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drawings/drawing11.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2.xml" ContentType="application/vnd.openxmlformats-officedocument.drawing+xml"/>
  <Override PartName="/xl/charts/chart9.xml" ContentType="application/vnd.openxmlformats-officedocument.drawingml.chart+xml"/>
  <Override PartName="/xl/comments3.xml" ContentType="application/vnd.openxmlformats-officedocument.spreadsheetml.comments+xml"/>
  <Override PartName="/xl/drawings/drawing13.xml" ContentType="application/vnd.openxmlformats-officedocument.drawing+xml"/>
  <Override PartName="/xl/comments4.xml" ContentType="application/vnd.openxmlformats-officedocument.spreadsheetml.comments+xml"/>
  <Override PartName="/xl/charts/chart10.xml" ContentType="application/vnd.openxmlformats-officedocument.drawingml.chart+xml"/>
  <Override PartName="/xl/comments5.xml" ContentType="application/vnd.openxmlformats-officedocument.spreadsheetml.comments+xml"/>
  <Override PartName="/xl/comments6.xml" ContentType="application/vnd.openxmlformats-officedocument.spreadsheetml.comments+xml"/>
  <Override PartName="/xl/drawings/drawing14.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15.xml" ContentType="application/vnd.openxmlformats-officedocument.drawing+xml"/>
  <Override PartName="/xl/comments9.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drawings/drawing16.xml" ContentType="application/vnd.openxmlformats-officedocument.drawing+xml"/>
  <Override PartName="/xl/charts/chart1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7.xml" ContentType="application/vnd.openxmlformats-officedocument.drawing+xml"/>
  <Override PartName="/xl/comments10.xml" ContentType="application/vnd.openxmlformats-officedocument.spreadsheetml.comments+xml"/>
  <Override PartName="/xl/charts/chart14.xml" ContentType="application/vnd.openxmlformats-officedocument.drawingml.chart+xml"/>
  <Override PartName="/xl/charts/style2.xml" ContentType="application/vnd.ms-office.chartstyle+xml"/>
  <Override PartName="/xl/charts/colors2.xml" ContentType="application/vnd.ms-office.chartcolorstyle+xml"/>
  <Override PartName="/xl/charts/chart15.xml" ContentType="application/vnd.openxmlformats-officedocument.drawingml.chart+xml"/>
  <Override PartName="/xl/charts/style3.xml" ContentType="application/vnd.ms-office.chartstyle+xml"/>
  <Override PartName="/xl/charts/colors3.xml" ContentType="application/vnd.ms-office.chartcolorstyle+xml"/>
  <Override PartName="/xl/charts/chart16.xml" ContentType="application/vnd.openxmlformats-officedocument.drawingml.chart+xml"/>
  <Override PartName="/xl/charts/style4.xml" ContentType="application/vnd.ms-office.chartstyle+xml"/>
  <Override PartName="/xl/charts/colors4.xml" ContentType="application/vnd.ms-office.chartcolorstyle+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18.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style5.xml" ContentType="application/vnd.ms-office.chartstyle+xml"/>
  <Override PartName="/xl/charts/colors5.xml" ContentType="application/vnd.ms-office.chartcolorstyle+xml"/>
  <Override PartName="/xl/charts/chart23.xml" ContentType="application/vnd.openxmlformats-officedocument.drawingml.chart+xml"/>
  <Override PartName="/xl/charts/style6.xml" ContentType="application/vnd.ms-office.chartstyle+xml"/>
  <Override PartName="/xl/charts/colors6.xml" ContentType="application/vnd.ms-office.chartcolorstyle+xml"/>
  <Override PartName="/xl/charts/chart24.xml" ContentType="application/vnd.openxmlformats-officedocument.drawingml.chart+xml"/>
  <Override PartName="/xl/charts/style7.xml" ContentType="application/vnd.ms-office.chartstyle+xml"/>
  <Override PartName="/xl/charts/colors7.xml" ContentType="application/vnd.ms-office.chartcolorstyle+xml"/>
  <Override PartName="/xl/charts/chart2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9.xml" ContentType="application/vnd.openxmlformats-officedocument.drawing+xml"/>
  <Override PartName="/xl/charts/chart2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0.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style10.xml" ContentType="application/vnd.ms-office.chartstyle+xml"/>
  <Override PartName="/xl/charts/colors10.xml" ContentType="application/vnd.ms-office.chartcolorstyle+xml"/>
  <Override PartName="/xl/charts/chart35.xml" ContentType="application/vnd.openxmlformats-officedocument.drawingml.chart+xml"/>
  <Override PartName="/xl/charts/style11.xml" ContentType="application/vnd.ms-office.chartstyle+xml"/>
  <Override PartName="/xl/charts/colors11.xml" ContentType="application/vnd.ms-office.chartcolorstyle+xml"/>
  <Override PartName="/xl/charts/chart3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1.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22.xml" ContentType="application/vnd.openxmlformats-officedocument.drawing+xml"/>
  <Override PartName="/xl/charts/chart45.xml" ContentType="application/vnd.openxmlformats-officedocument.drawingml.chart+xml"/>
  <Override PartName="/xl/charts/style13.xml" ContentType="application/vnd.ms-office.chartstyle+xml"/>
  <Override PartName="/xl/charts/colors13.xml" ContentType="application/vnd.ms-office.chartcolorstyle+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23.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drawings/drawing24.xml" ContentType="application/vnd.openxmlformats-officedocument.drawing+xml"/>
  <Override PartName="/xl/comments23.xml" ContentType="application/vnd.openxmlformats-officedocument.spreadsheetml.comments+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drawings/drawing25.xml" ContentType="application/vnd.openxmlformats-officedocument.drawing+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minhtrinh\Dropbox\Vietnam\Dragon Capital\AI\Company_Dashboard\data\"/>
    </mc:Choice>
  </mc:AlternateContent>
  <xr:revisionPtr revIDLastSave="0" documentId="8_{664B40EC-A1F4-4EBC-B5BA-D50A45FABB58}" xr6:coauthVersionLast="47" xr6:coauthVersionMax="47" xr10:uidLastSave="{00000000-0000-0000-0000-000000000000}"/>
  <bookViews>
    <workbookView xWindow="-120" yWindow="-120" windowWidth="51840" windowHeight="21120" tabRatio="662" firstSheet="34" activeTab="53" xr2:uid="{00000000-000D-0000-FFFF-FFFF00000000}"/>
  </bookViews>
  <sheets>
    <sheet name="EPS,P.E, P.B" sheetId="69" state="hidden" r:id="rId1"/>
    <sheet name="Voulme" sheetId="80" state="hidden" r:id="rId2"/>
    <sheet name="EPS" sheetId="70" state="hidden" r:id="rId3"/>
    <sheet name="Bloomberg" sheetId="32" state="hidden" r:id="rId4"/>
    <sheet name="FS Year" sheetId="31" state="hidden" r:id="rId5"/>
    <sheet name="VCSC" sheetId="13" state="hidden" r:id="rId6"/>
    <sheet name="FS QTR" sheetId="33" state="hidden" r:id="rId7"/>
    <sheet name="QoQ" sheetId="29" state="hidden" r:id="rId8"/>
    <sheet name="Price" sheetId="23" state="hidden" r:id="rId9"/>
    <sheet name="Sales" sheetId="30" state="hidden" r:id="rId10"/>
    <sheet name="Assumption" sheetId="5" state="hidden" r:id="rId11"/>
    <sheet name="Client" sheetId="73" state="hidden" r:id="rId12"/>
    <sheet name="1H15" sheetId="72" state="hidden" r:id="rId13"/>
    <sheet name="DCF" sheetId="4" state="hidden" r:id="rId14"/>
    <sheet name="Rev_NPAT" sheetId="40" state="hidden" r:id="rId15"/>
    <sheet name="SI forecast" sheetId="61" state="hidden" r:id="rId16"/>
    <sheet name="SI_Control sheet" sheetId="60" state="hidden" r:id="rId17"/>
    <sheet name="Rev_NPAT (new)" sheetId="63" state="hidden" r:id="rId18"/>
    <sheet name="Inventory" sheetId="57" state="hidden" r:id="rId19"/>
    <sheet name="Comps" sheetId="15" state="hidden" r:id="rId20"/>
    <sheet name="Revenue" sheetId="39" state="hidden" r:id="rId21"/>
    <sheet name="Sheet1" sheetId="41" state="hidden" r:id="rId22"/>
    <sheet name="Project Summary" sheetId="42" state="hidden" r:id="rId23"/>
    <sheet name="RNAV_No dilution" sheetId="44" state="hidden" r:id="rId24"/>
    <sheet name="RNAV Summary" sheetId="43" state="hidden" r:id="rId25"/>
    <sheet name="RNAV_11,000" sheetId="45" state="hidden" r:id="rId26"/>
    <sheet name="RNAV_12,000" sheetId="59" state="hidden" r:id="rId27"/>
    <sheet name="P&amp;L" sheetId="6" state="hidden" r:id="rId28"/>
    <sheet name="First_page" sheetId="68" state="hidden" r:id="rId29"/>
    <sheet name="New Valuation" sheetId="112" state="hidden" r:id="rId30"/>
    <sheet name="Charts" sheetId="183" r:id="rId31"/>
    <sheet name="Depreciation" sheetId="101" r:id="rId32"/>
    <sheet name="Amortization" sheetId="102" r:id="rId33"/>
    <sheet name="Debt" sheetId="99" r:id="rId34"/>
    <sheet name="Working Capital" sheetId="97" r:id="rId35"/>
    <sheet name="Quarterly Results" sheetId="168" r:id="rId36"/>
    <sheet name="Brokerage" sheetId="172" r:id="rId37"/>
    <sheet name="Equity May 2020" sheetId="181" state="hidden" r:id="rId38"/>
    <sheet name="Diamond_DXS" sheetId="184" r:id="rId39"/>
    <sheet name="Equity" sheetId="100" r:id="rId40"/>
    <sheet name="DXG X Factor" sheetId="179" state="hidden" r:id="rId41"/>
    <sheet name="Diamond" sheetId="178" r:id="rId42"/>
    <sheet name="Diamond_Quarter" sheetId="182" r:id="rId43"/>
    <sheet name="DXG - Factor" sheetId="180" state="hidden" r:id="rId44"/>
    <sheet name="For Report" sheetId="175" state="hidden" r:id="rId45"/>
    <sheet name="BS" sheetId="98" r:id="rId46"/>
    <sheet name="CF" sheetId="103" r:id="rId47"/>
    <sheet name="IS" sheetId="95" r:id="rId48"/>
    <sheet name="Valuation" sheetId="104" r:id="rId49"/>
    <sheet name="Key Chart" sheetId="174" r:id="rId50"/>
    <sheet name="Key Charts - Project" sheetId="171" state="hidden" r:id="rId51"/>
    <sheet name="Pipeline" sheetId="177" r:id="rId52"/>
    <sheet name="Sheet3" sheetId="185" state="hidden" r:id="rId53"/>
    <sheet name="Projects" sheetId="96" r:id="rId54"/>
    <sheet name="Prive" sheetId="157" r:id="rId55"/>
    <sheet name="Opal Central Park" sheetId="117" r:id="rId56"/>
    <sheet name="Opal Riverside" sheetId="119" r:id="rId57"/>
    <sheet name="Opal Garden" sheetId="121" r:id="rId58"/>
    <sheet name="Gem Premium" sheetId="132" r:id="rId59"/>
    <sheet name="Long Thanh 92ha" sheetId="155" r:id="rId60"/>
    <sheet name="Opal Luxury 8.6ha BD" sheetId="156" r:id="rId61"/>
    <sheet name="Opal Cityview" sheetId="160" r:id="rId62"/>
    <sheet name="St Moritz" sheetId="159" r:id="rId63"/>
    <sheet name="ParkViewThuanAn5ha" sheetId="134" r:id="rId64"/>
    <sheet name="ParkCityThuanAn10ha" sheetId="137" r:id="rId65"/>
    <sheet name="Lux Riverview Q7" sheetId="133" r:id="rId66"/>
    <sheet name="Opal City" sheetId="135" r:id="rId67"/>
    <sheet name="Opal Skyline" sheetId="161" state="hidden" r:id="rId68"/>
    <sheet name="Old" sheetId="176" r:id="rId69"/>
    <sheet name="Viva City" sheetId="48" state="hidden" r:id="rId70"/>
    <sheet name="Tan Thuan" sheetId="66" state="hidden" r:id="rId71"/>
    <sheet name="Viet Hung" sheetId="65" state="hidden" r:id="rId72"/>
    <sheet name="Brokerage value" sheetId="52" state="hidden" r:id="rId73"/>
    <sheet name="Viva City - TH" sheetId="87" state="hidden" r:id="rId74"/>
    <sheet name="Phu Quoc project" sheetId="53" state="hidden" r:id="rId75"/>
    <sheet name="2014 forecast" sheetId="54" state="hidden" r:id="rId76"/>
    <sheet name="Update160714" sheetId="55" state="hidden" r:id="rId77"/>
    <sheet name="Valuation summary" sheetId="46" state="hidden" r:id="rId78"/>
    <sheet name="CT15" sheetId="76" state="hidden" r:id="rId79"/>
    <sheet name="CT15 - TH" sheetId="90" state="hidden" r:id="rId80"/>
    <sheet name="Sheet2" sheetId="116" state="hidden" r:id="rId81"/>
    <sheet name="Venice City - FCFE" sheetId="110" state="hidden" r:id="rId82"/>
    <sheet name="Chart" sheetId="58" state="hidden" r:id="rId83"/>
    <sheet name="Chart 2" sheetId="62" state="hidden" r:id="rId84"/>
    <sheet name="Q3" sheetId="64" state="hidden" r:id="rId85"/>
    <sheet name="New projects" sheetId="67" state="hidden" r:id="rId86"/>
  </sheets>
  <externalReferences>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s>
  <definedNames>
    <definedName name="\T">#REF!</definedName>
    <definedName name="____a1" localSheetId="0" hidden="1">{"'Sheet1'!$L$16"}</definedName>
    <definedName name="____a1" localSheetId="28" hidden="1">{"'Sheet1'!$L$16"}</definedName>
    <definedName name="____a1" localSheetId="51" hidden="1">{"'Sheet1'!$L$16"}</definedName>
    <definedName name="____a1" hidden="1">{"'Sheet1'!$L$16"}</definedName>
    <definedName name="____NSO2" localSheetId="0" hidden="1">{"'Sheet1'!$L$16"}</definedName>
    <definedName name="____NSO2" localSheetId="28" hidden="1">{"'Sheet1'!$L$16"}</definedName>
    <definedName name="____NSO2" localSheetId="51" hidden="1">{"'Sheet1'!$L$16"}</definedName>
    <definedName name="____NSO2" hidden="1">{"'Sheet1'!$L$16"}</definedName>
    <definedName name="___a1" localSheetId="0" hidden="1">{"'Sheet1'!$L$16"}</definedName>
    <definedName name="___a1" localSheetId="28" hidden="1">{"'Sheet1'!$L$16"}</definedName>
    <definedName name="___a1" localSheetId="51" hidden="1">{"'Sheet1'!$L$16"}</definedName>
    <definedName name="___a1" hidden="1">{"'Sheet1'!$L$16"}</definedName>
    <definedName name="___f5" hidden="1">{"'Sheet1'!$L$16"}</definedName>
    <definedName name="___NOS2" hidden="1">{"'Sheet1'!$L$16"}</definedName>
    <definedName name="___NSO2" localSheetId="0" hidden="1">{"'Sheet1'!$L$16"}</definedName>
    <definedName name="___NSO2" localSheetId="28" hidden="1">{"'Sheet1'!$L$16"}</definedName>
    <definedName name="___NSO2" localSheetId="51" hidden="1">{"'Sheet1'!$L$16"}</definedName>
    <definedName name="___NSO2" hidden="1">{"'Sheet1'!$L$16"}</definedName>
    <definedName name="___T01" hidden="1">#REF!</definedName>
    <definedName name="__a1" localSheetId="0" hidden="1">{"'Sheet1'!$L$16"}</definedName>
    <definedName name="__a1" localSheetId="28" hidden="1">{"'Sheet1'!$L$16"}</definedName>
    <definedName name="__a1" localSheetId="51" hidden="1">{"'Sheet1'!$L$16"}</definedName>
    <definedName name="__a1" hidden="1">{"'Sheet1'!$L$16"}</definedName>
    <definedName name="__Count">9</definedName>
    <definedName name="__f5" hidden="1">{"'Sheet1'!$L$16"}</definedName>
    <definedName name="__IntlFixup" hidden="1">TRUE</definedName>
    <definedName name="__NOS2" hidden="1">{"'Sheet1'!$L$16"}</definedName>
    <definedName name="__NSO2" localSheetId="0" hidden="1">{"'Sheet1'!$L$16"}</definedName>
    <definedName name="__NSO2" localSheetId="28" hidden="1">{"'Sheet1'!$L$16"}</definedName>
    <definedName name="__NSO2" localSheetId="51" hidden="1">{"'Sheet1'!$L$16"}</definedName>
    <definedName name="__NSO2" hidden="1">{"'Sheet1'!$L$16"}</definedName>
    <definedName name="__T01" hidden="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300625210_025_1">#REF!</definedName>
    <definedName name="_0301167362_1">#REF!</definedName>
    <definedName name="_0600038118_3">#REF!</definedName>
    <definedName name="_1">#REF!</definedName>
    <definedName name="_1_20001_TblF0902JDE">#REF!</definedName>
    <definedName name="_1000A01">#N/A</definedName>
    <definedName name="_1111">#REF!</definedName>
    <definedName name="_11MAÕ_HAØNG">#REF!</definedName>
    <definedName name="_13MAÕ_SOÁ_THUEÁ">#REF!</definedName>
    <definedName name="_15ÑÔN_GIAÙ">#REF!</definedName>
    <definedName name="_1600377828_1">#REF!</definedName>
    <definedName name="_17SOÁ_CTÖØ">#REF!</definedName>
    <definedName name="_18SOÁ_LÖÔÏNG">#REF!</definedName>
    <definedName name="_1BA2500">#REF!</definedName>
    <definedName name="_1BA3250">#REF!</definedName>
    <definedName name="_1BA400P">#REF!</definedName>
    <definedName name="_1CAP001">#REF!</definedName>
    <definedName name="_1CAP011">#REF!</definedName>
    <definedName name="_1CAP012">#REF!</definedName>
    <definedName name="_1CDHT03">#REF!</definedName>
    <definedName name="_1CHANG2">#REF!</definedName>
    <definedName name="_1DADOI1">#REF!</definedName>
    <definedName name="_1DAU002">#REF!</definedName>
    <definedName name="_1DDAY03">#REF!</definedName>
    <definedName name="_1DDTT01">#REF!</definedName>
    <definedName name="_1FCO101">#REF!</definedName>
    <definedName name="_1GIA101">#REF!</definedName>
    <definedName name="_1LA1001">#REF!</definedName>
    <definedName name="_1MCCBO2">#REF!</definedName>
    <definedName name="_1PKCAP1">#REF!</definedName>
    <definedName name="_1PKIEN2">#REF!</definedName>
    <definedName name="_1PKTT01">#REF!</definedName>
    <definedName name="_1TCD101">#REF!</definedName>
    <definedName name="_1TCD201">#REF!</definedName>
    <definedName name="_1TCD203">#REF!</definedName>
    <definedName name="_1TD2001">#REF!</definedName>
    <definedName name="_1TIHT01">#REF!</definedName>
    <definedName name="_1TIHT06">#REF!</definedName>
    <definedName name="_1TIHT07">#REF!</definedName>
    <definedName name="_1TRU121">#REF!</definedName>
    <definedName name="_2">#REF!</definedName>
    <definedName name="_20TEÂN_HAØNG">#REF!</definedName>
    <definedName name="_22TEÂN_KHAÙCH_HAØ">#REF!</definedName>
    <definedName name="_24THAØNH_TIEÀN">#REF!</definedName>
    <definedName name="_26TRÒ_GIAÙ">#REF!</definedName>
    <definedName name="_2700138984_1">#REF!</definedName>
    <definedName name="_28TRÒ_GIAÙ__VAT">#REF!</definedName>
    <definedName name="_2900326167_1">#REF!</definedName>
    <definedName name="_2BLA100">#REF!</definedName>
    <definedName name="_2CHANG1">#REF!</definedName>
    <definedName name="_2CHANG2">#REF!</definedName>
    <definedName name="_2DADOI1">#REF!</definedName>
    <definedName name="_2DAL201">#REF!</definedName>
    <definedName name="_2KD0222">#REF!</definedName>
    <definedName name="_2TD2001">#REF!</definedName>
    <definedName name="_3BLXMD">#REF!</definedName>
    <definedName name="_3BOAG01">#REF!</definedName>
    <definedName name="_3COSSE1">#REF!</definedName>
    <definedName name="_3CTKHAC">#REF!</definedName>
    <definedName name="_3DMINO1">#REF!</definedName>
    <definedName name="_3DMINO2">#REF!</definedName>
    <definedName name="_3DUPSSS">#REF!</definedName>
    <definedName name="_3HTTR01">#REF!</definedName>
    <definedName name="_3HTTR02">#REF!</definedName>
    <definedName name="_3HTTR03">#REF!</definedName>
    <definedName name="_3HTTR04">#REF!</definedName>
    <definedName name="_3HTTR05">#REF!</definedName>
    <definedName name="_3PKDOM1">#REF!</definedName>
    <definedName name="_3PKDOM2">#REF!</definedName>
    <definedName name="_3TRU122">#REF!</definedName>
    <definedName name="_3TU0609">#REF!</definedName>
    <definedName name="_430.001">#REF!</definedName>
    <definedName name="_4CNT240">#REF!</definedName>
    <definedName name="_4CTL240">#REF!</definedName>
    <definedName name="_4FCO100">#REF!</definedName>
    <definedName name="_4HDCTT4">#REF!</definedName>
    <definedName name="_4HNCTT4">#REF!</definedName>
    <definedName name="_4LBCO01">#REF!</definedName>
    <definedName name="_5080591">#REF!</definedName>
    <definedName name="_a1" localSheetId="19" hidden="1">{"'Sheet1'!$L$16"}</definedName>
    <definedName name="_a1" localSheetId="0" hidden="1">{"'Sheet1'!$L$16"}</definedName>
    <definedName name="_a1" localSheetId="28" hidden="1">{"'Sheet1'!$L$16"}</definedName>
    <definedName name="_a1" localSheetId="51">{"'Sheet1'!$L$16"}</definedName>
    <definedName name="_a1" hidden="1">{"'Sheet1'!$L$16"}</definedName>
    <definedName name="_aaa100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oi1">#REF!</definedName>
    <definedName name="_boi2">#REF!</definedName>
    <definedName name="_btm10">#REF!</definedName>
    <definedName name="_BTM250">#REF!</definedName>
    <definedName name="_Builtin155" hidden="1">#N/A</definedName>
    <definedName name="_Cau2">#REF!</definedName>
    <definedName name="_CON1">#REF!</definedName>
    <definedName name="_CON2">#REF!</definedName>
    <definedName name="_Count">4</definedName>
    <definedName name="_cpd1">#REF!</definedName>
    <definedName name="_cpd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E99999">#REF!</definedName>
    <definedName name="_f5" hidden="1">{"'Sheet1'!$L$16"}</definedName>
    <definedName name="_Fill" localSheetId="19" hidden="1">#REF!</definedName>
    <definedName name="_Fill" localSheetId="78" hidden="1">#REF!</definedName>
    <definedName name="_Fill" localSheetId="6" hidden="1">#REF!</definedName>
    <definedName name="_Fill" localSheetId="4" hidden="1">#REF!</definedName>
    <definedName name="_Fill" localSheetId="68" hidden="1">#REF!</definedName>
    <definedName name="_Fill" localSheetId="17" hidden="1">#REF!</definedName>
    <definedName name="_Fill" localSheetId="26" hidden="1">#REF!</definedName>
    <definedName name="_Fill" localSheetId="70" hidden="1">#REF!</definedName>
    <definedName name="_Fill" localSheetId="71" hidden="1">#REF!</definedName>
    <definedName name="_Fill" hidden="1">#REF!</definedName>
    <definedName name="_xlnm._FilterDatabase" localSheetId="19" hidden="1">Comps!#REF!</definedName>
    <definedName name="_xlnm._FilterDatabase" localSheetId="78" hidden="1">[1]Sheet1!#REF!</definedName>
    <definedName name="_xlnm._FilterDatabase" localSheetId="0" hidden="1">[2]Sheet1!#REF!</definedName>
    <definedName name="_xlnm._FilterDatabase" localSheetId="28" hidden="1">[1]Sheet1!#REF!</definedName>
    <definedName name="_xlnm._FilterDatabase" localSheetId="6" hidden="1">[1]Sheet1!#REF!</definedName>
    <definedName name="_xlnm._FilterDatabase" localSheetId="4" hidden="1">[1]Sheet1!#REF!</definedName>
    <definedName name="_xlnm._FilterDatabase" localSheetId="68" hidden="1">[1]Sheet1!#REF!</definedName>
    <definedName name="_xlnm._FilterDatabase" localSheetId="51" hidden="1">#REF!</definedName>
    <definedName name="_xlnm._FilterDatabase" localSheetId="7" hidden="1">[1]Sheet1!#REF!</definedName>
    <definedName name="_xlnm._FilterDatabase" localSheetId="17" hidden="1">[1]Sheet1!#REF!</definedName>
    <definedName name="_xlnm._FilterDatabase" localSheetId="26" hidden="1">[1]Sheet1!#REF!</definedName>
    <definedName name="_xlnm._FilterDatabase" localSheetId="9" hidden="1">[1]Sheet1!#REF!</definedName>
    <definedName name="_xlnm._FilterDatabase" localSheetId="70" hidden="1">[1]Sheet1!#REF!</definedName>
    <definedName name="_xlnm._FilterDatabase" localSheetId="71" hidden="1">[1]Sheet1!#REF!</definedName>
    <definedName name="_xlnm._FilterDatabase" hidden="1">[1]Sheet1!#REF!</definedName>
    <definedName name="_gon4">#REF!</definedName>
    <definedName name="_Key1" localSheetId="19" hidden="1">#REF!</definedName>
    <definedName name="_Key1" localSheetId="78" hidden="1">#REF!</definedName>
    <definedName name="_Key1" localSheetId="6" hidden="1">#REF!</definedName>
    <definedName name="_Key1" localSheetId="4" hidden="1">#REF!</definedName>
    <definedName name="_Key1" localSheetId="68" hidden="1">#REF!</definedName>
    <definedName name="_Key1" localSheetId="17" hidden="1">#REF!</definedName>
    <definedName name="_Key1" localSheetId="26" hidden="1">#REF!</definedName>
    <definedName name="_Key1" localSheetId="70" hidden="1">#REF!</definedName>
    <definedName name="_Key1" localSheetId="71" hidden="1">#REF!</definedName>
    <definedName name="_Key1" hidden="1">#REF!</definedName>
    <definedName name="_Key2" localSheetId="19" hidden="1">#REF!</definedName>
    <definedName name="_Key2" localSheetId="78" hidden="1">#REF!</definedName>
    <definedName name="_Key2" localSheetId="6" hidden="1">#REF!</definedName>
    <definedName name="_Key2" localSheetId="4" hidden="1">#REF!</definedName>
    <definedName name="_Key2" localSheetId="68" hidden="1">#REF!</definedName>
    <definedName name="_Key2" localSheetId="17" hidden="1">#REF!</definedName>
    <definedName name="_Key2" localSheetId="26" hidden="1">#REF!</definedName>
    <definedName name="_Key2" localSheetId="70" hidden="1">#REF!</definedName>
    <definedName name="_Key2" localSheetId="71" hidden="1">#REF!</definedName>
    <definedName name="_Key2" hidden="1">#REF!</definedName>
    <definedName name="_khu7">#REF!</definedName>
    <definedName name="_Km36">#REF!</definedName>
    <definedName name="_Knc36">#REF!</definedName>
    <definedName name="_Knc57">#REF!</definedName>
    <definedName name="_Kvl36">#REF!</definedName>
    <definedName name="_lap1">#REF!</definedName>
    <definedName name="_lap2">#REF!</definedName>
    <definedName name="_MAC12">#REF!</definedName>
    <definedName name="_MAC46">#REF!</definedName>
    <definedName name="_May97">#REF!</definedName>
    <definedName name="_MB1">#REF!</definedName>
    <definedName name="_MB2">#REF!</definedName>
    <definedName name="_MN1">#REF!</definedName>
    <definedName name="_MN2">#REF!</definedName>
    <definedName name="_MT1">#REF!</definedName>
    <definedName name="_MT2">#REF!</definedName>
    <definedName name="_nc151">#REF!</definedName>
    <definedName name="_NCL100">#REF!</definedName>
    <definedName name="_NCL200">#REF!</definedName>
    <definedName name="_NCL250">#REF!</definedName>
    <definedName name="_NET2">#REF!</definedName>
    <definedName name="_nin190">#REF!</definedName>
    <definedName name="_NOS2" hidden="1">{"'Sheet1'!$L$16"}</definedName>
    <definedName name="_NSO2" localSheetId="19" hidden="1">{"'Sheet1'!$L$16"}</definedName>
    <definedName name="_NSO2" localSheetId="0" hidden="1">{"'Sheet1'!$L$16"}</definedName>
    <definedName name="_NSO2" localSheetId="28" hidden="1">{"'Sheet1'!$L$16"}</definedName>
    <definedName name="_NSO2" localSheetId="51" hidden="1">{"'Sheet1'!$L$16"}</definedName>
    <definedName name="_NSO2" hidden="1">{"'Sheet1'!$L$16"}</definedName>
    <definedName name="_Order1" hidden="1">255</definedName>
    <definedName name="_Order2" hidden="1">255</definedName>
    <definedName name="_Ps0301">#REF!</definedName>
    <definedName name="_Ps0302">#REF!</definedName>
    <definedName name="_Ps0303">#REF!</definedName>
    <definedName name="_Ps0304">#REF!</definedName>
    <definedName name="_Ps0305">#REF!</definedName>
    <definedName name="_Ps0306">#REF!</definedName>
    <definedName name="_Ps0307">#REF!</definedName>
    <definedName name="_Ps0308">#REF!</definedName>
    <definedName name="_Ps0309">#REF!</definedName>
    <definedName name="_Ps0312">#REF!</definedName>
    <definedName name="_Ps0401">#REF!</definedName>
    <definedName name="_Ps0402">#REF!</definedName>
    <definedName name="_Ps0403">#REF!</definedName>
    <definedName name="_Ps0404">#REF!</definedName>
    <definedName name="_Ps0405">#REF!</definedName>
    <definedName name="_Ps0406">#REF!</definedName>
    <definedName name="_Ps0407">#REF!</definedName>
    <definedName name="_Ps0408">#REF!</definedName>
    <definedName name="_Ps0409">#REF!</definedName>
    <definedName name="_Ps0410">#REF!</definedName>
    <definedName name="_Ps0411">#REF!</definedName>
    <definedName name="_Ps0412">#REF!</definedName>
    <definedName name="_Ps0501">#REF!</definedName>
    <definedName name="_Ps0502">#REF!</definedName>
    <definedName name="_Ps0503">#REF!</definedName>
    <definedName name="_Ps0504">#REF!</definedName>
    <definedName name="_Ps0505">#REF!</definedName>
    <definedName name="_Ps0506">#REF!</definedName>
    <definedName name="_Ps0507">#REF!</definedName>
    <definedName name="_Ps0508">#REF!</definedName>
    <definedName name="_Ps0509">#REF!</definedName>
    <definedName name="_Ps0510">#REF!</definedName>
    <definedName name="_Ps0511">#REF!</definedName>
    <definedName name="_Ps0512">#REF!</definedName>
    <definedName name="_QTY1">#REF!</definedName>
    <definedName name="_QTY11">#REF!</definedName>
    <definedName name="_QTY3">#REF!</definedName>
    <definedName name="_QTY5">#REF!</definedName>
    <definedName name="_QTY7">#REF!</definedName>
    <definedName name="_QTY9">#REF!</definedName>
    <definedName name="_sc1">#REF!</definedName>
    <definedName name="_SC2">#REF!</definedName>
    <definedName name="_sc3">#REF!</definedName>
    <definedName name="_SN3">#REF!</definedName>
    <definedName name="_Sort" localSheetId="78" hidden="1">[3]Sheet1!#REF!</definedName>
    <definedName name="_Sort" localSheetId="6" hidden="1">[3]Sheet1!#REF!</definedName>
    <definedName name="_Sort" localSheetId="4" hidden="1">[3]Sheet1!#REF!</definedName>
    <definedName name="_Sort" localSheetId="68" hidden="1">[3]Sheet1!#REF!</definedName>
    <definedName name="_Sort" localSheetId="51" hidden="1">#REF!</definedName>
    <definedName name="_Sort" localSheetId="17" hidden="1">[3]Sheet1!#REF!</definedName>
    <definedName name="_Sort" localSheetId="26" hidden="1">[3]Sheet1!#REF!</definedName>
    <definedName name="_Sort" localSheetId="70" hidden="1">[3]Sheet1!#REF!</definedName>
    <definedName name="_Sort" localSheetId="71" hidden="1">[3]Sheet1!#REF!</definedName>
    <definedName name="_Sort" hidden="1">[3]Sheet1!#REF!</definedName>
    <definedName name="_STD0898">#REF!</definedName>
    <definedName name="_T01" hidden="1">#REF!</definedName>
    <definedName name="_tax1">#REF!</definedName>
    <definedName name="_tax2">#REF!</definedName>
    <definedName name="_tax3">#REF!</definedName>
    <definedName name="_TB0901">#REF!</definedName>
    <definedName name="_TB1">#REF!</definedName>
    <definedName name="_TB1200">#REF!</definedName>
    <definedName name="_TB1201">#REF!</definedName>
    <definedName name="_Tbl0301">#REF!</definedName>
    <definedName name="_Tbl0302">#REF!</definedName>
    <definedName name="_Tbl0303">#REF!</definedName>
    <definedName name="_Tbl0304">#REF!</definedName>
    <definedName name="_Tbl0305">#REF!</definedName>
    <definedName name="_Tbl0306">#REF!</definedName>
    <definedName name="_Tbl0307">#REF!</definedName>
    <definedName name="_Tbl0308">#REF!</definedName>
    <definedName name="_Tbl0310">#REF!</definedName>
    <definedName name="_Tbl0311">#REF!</definedName>
    <definedName name="_Tbl0312">#REF!</definedName>
    <definedName name="_Tbl0401">#REF!</definedName>
    <definedName name="_Tbl0402">#REF!</definedName>
    <definedName name="_Tbl0403">#REF!</definedName>
    <definedName name="_Tbl0404">#REF!</definedName>
    <definedName name="_Tbl0405">#REF!</definedName>
    <definedName name="_Tbl0406">#REF!</definedName>
    <definedName name="_Tbl0407">#REF!</definedName>
    <definedName name="_Tbl0408">#REF!</definedName>
    <definedName name="_Tbl0409">#REF!</definedName>
    <definedName name="_Tbl0410">#REF!</definedName>
    <definedName name="_Tbl0412">#REF!</definedName>
    <definedName name="_Tbl0501">#REF!</definedName>
    <definedName name="_Tbl0502">#REF!</definedName>
    <definedName name="_Tbl0503">#REF!</definedName>
    <definedName name="_Tbl0504">#REF!</definedName>
    <definedName name="_Tbl0505">#REF!</definedName>
    <definedName name="_Tbl0506">#REF!</definedName>
    <definedName name="_Tbl0507">#REF!</definedName>
    <definedName name="_Tbl0508">#REF!</definedName>
    <definedName name="_Tbl0509">#REF!</definedName>
    <definedName name="_Tbl0510">#REF!</definedName>
    <definedName name="_Tbl0511">#REF!</definedName>
    <definedName name="_tct5">#REF!</definedName>
    <definedName name="_tg427">#REF!</definedName>
    <definedName name="_TH20">#REF!</definedName>
    <definedName name="_thu1">#REF!</definedName>
    <definedName name="_TK1">#REF!</definedName>
    <definedName name="_tk2">#REF!</definedName>
    <definedName name="_tk3">#REF!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oc422493978" localSheetId="28">First_page!$B$19</definedName>
    <definedName name="_UT2">#REF!</definedName>
    <definedName name="_VL100">#REF!</definedName>
    <definedName name="_VL200">#REF!</definedName>
    <definedName name="_VL250">#REF!</definedName>
    <definedName name="_xx3">#REF!</definedName>
    <definedName name="_xx4">#REF!</definedName>
    <definedName name="_xx5">#REF!</definedName>
    <definedName name="_xx6">#REF!</definedName>
    <definedName name="_xx7">#REF!</definedName>
    <definedName name="_zz999">#REF!</definedName>
    <definedName name="A" localSheetId="78" hidden="1">#REF!</definedName>
    <definedName name="A" localSheetId="68" hidden="1">#REF!</definedName>
    <definedName name="A" localSheetId="51" hidden="1">#REF!</definedName>
    <definedName name="A" hidden="1">#REF!</definedName>
    <definedName name="Á">{"'Sheet1'!$L$16"}</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20_">#REF!</definedName>
    <definedName name="A1Xc7">#REF!</definedName>
    <definedName name="a277Print_Titles">#REF!</definedName>
    <definedName name="A35_">#REF!</definedName>
    <definedName name="A50_">#REF!</definedName>
    <definedName name="A70_">#REF!</definedName>
    <definedName name="A95_">#REF!</definedName>
    <definedName name="AA">#REF!</definedName>
    <definedName name="AC120_">#REF!</definedName>
    <definedName name="AC35_">#REF!</definedName>
    <definedName name="AC50_">#REF!</definedName>
    <definedName name="AC70_">#REF!</definedName>
    <definedName name="AC95_">#REF!</definedName>
    <definedName name="Acc_Payable">#REF!</definedName>
    <definedName name="Acc_Receivable">#REF!</definedName>
    <definedName name="AG">#REF!</definedName>
    <definedName name="AG_Temp">#REF!</definedName>
    <definedName name="AGED">#N/A</definedName>
    <definedName name="ah" hidden="1">{"'Sheet1'!$L$16"}</definedName>
    <definedName name="All_Item">#REF!</definedName>
    <definedName name="ALLOWANCE">#REF!</definedName>
    <definedName name="ALPIN">#N/A</definedName>
    <definedName name="ALPJYOU">#N/A</definedName>
    <definedName name="ALPTOI">#N/A</definedName>
    <definedName name="anpha">#REF!</definedName>
    <definedName name="AppRoad">#REF!</definedName>
    <definedName name="Area">#REF!</definedName>
    <definedName name="as" localSheetId="78" hidden="1">[1]Sheet1!#REF!</definedName>
    <definedName name="as" localSheetId="0" hidden="1">[2]Sheet1!#REF!</definedName>
    <definedName name="as" localSheetId="28" hidden="1">[1]Sheet1!#REF!</definedName>
    <definedName name="as" localSheetId="6" hidden="1">[1]Sheet1!#REF!</definedName>
    <definedName name="as" localSheetId="4" hidden="1">[1]Sheet1!#REF!</definedName>
    <definedName name="as" localSheetId="68" hidden="1">[1]Sheet1!#REF!</definedName>
    <definedName name="AS" localSheetId="51">{"'Sheet1'!$L$16"}</definedName>
    <definedName name="as" localSheetId="7" hidden="1">[1]Sheet1!#REF!</definedName>
    <definedName name="as" localSheetId="17" hidden="1">[1]Sheet1!#REF!</definedName>
    <definedName name="as" localSheetId="26" hidden="1">[1]Sheet1!#REF!</definedName>
    <definedName name="as" localSheetId="70" hidden="1">[1]Sheet1!#REF!</definedName>
    <definedName name="as" localSheetId="71" hidden="1">[1]Sheet1!#REF!</definedName>
    <definedName name="as" hidden="1">[1]Sheet1!#REF!</definedName>
    <definedName name="ASD" hidden="1">{"'Sheet1'!$L$16"}</definedName>
    <definedName name="ASS" hidden="1">[1]Sheet1!#REF!</definedName>
    <definedName name="Associate">#REF!</definedName>
    <definedName name="ASSS" hidden="1">#REF!</definedName>
    <definedName name="AÙ">#REF!</definedName>
    <definedName name="B_KLXLNX2">#REF!</definedName>
    <definedName name="B_tinh">#REF!</definedName>
    <definedName name="BacKan">#REF!</definedName>
    <definedName name="balance_type">1</definedName>
    <definedName name="ban">#REF!</definedName>
    <definedName name="Bang_cly">#REF!</definedName>
    <definedName name="Bang_CVC">#REF!</definedName>
    <definedName name="bang_gia">#REF!</definedName>
    <definedName name="bang_ke_nop_nsach">#REF!</definedName>
    <definedName name="Bang_travl">#REF!</definedName>
    <definedName name="bangtinh">#REF!</definedName>
    <definedName name="BarData">#REF!</definedName>
    <definedName name="Bay">#REF!</definedName>
    <definedName name="BB">#REF!</definedName>
    <definedName name="BB00">#REF!</definedName>
    <definedName name="beaubien">#REF!</definedName>
    <definedName name="beaubienconso">#REF!</definedName>
    <definedName name="beta">#REF!</definedName>
    <definedName name="BGiacuoc">#REF!</definedName>
    <definedName name="bia">#REF!</definedName>
    <definedName name="blang">#REF!</definedName>
    <definedName name="blkh">#REF!</definedName>
    <definedName name="blkh1">#REF!</definedName>
    <definedName name="BLOCK1">#REF!</definedName>
    <definedName name="BLOCK2">#REF!</definedName>
    <definedName name="BLOCK3">#REF!</definedName>
    <definedName name="blong">#REF!</definedName>
    <definedName name="BMMMAT">#N/A</definedName>
    <definedName name="Bon">#REF!</definedName>
    <definedName name="BONUS">#REF!</definedName>
    <definedName name="booking_CoGS">#REF!</definedName>
    <definedName name="BookName">"Bao_cao_cua_NVTK_tai_NPP_bieu_mau_moi_4___Mau_moi.xls"</definedName>
    <definedName name="BOQ">#REF!</definedName>
    <definedName name="Botanical2">#REF!</definedName>
    <definedName name="Botanical2.Jun">#REF!</definedName>
    <definedName name="BOTTOM" localSheetId="0">#REF!</definedName>
    <definedName name="BOTTOM" localSheetId="28">#REF!</definedName>
    <definedName name="BOTTOM" localSheetId="68">#REF!</definedName>
    <definedName name="BOTTOM">#REF!</definedName>
    <definedName name="BR_373">#REF!</definedName>
    <definedName name="BrName">#REF!</definedName>
    <definedName name="bson">#REF!</definedName>
    <definedName name="BT">#REF!</definedName>
    <definedName name="btchiuaxitm300">#REF!</definedName>
    <definedName name="BTchiuaxm200">#REF!</definedName>
    <definedName name="btcocM400">#REF!</definedName>
    <definedName name="BTlotm100">#REF!</definedName>
    <definedName name="BTN">#REF!</definedName>
    <definedName name="Bust">#N/A</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2.7">#REF!</definedName>
    <definedName name="C3.0">#REF!</definedName>
    <definedName name="C3.5">#REF!</definedName>
    <definedName name="C3.7">#REF!</definedName>
    <definedName name="C4.0">#REF!</definedName>
    <definedName name="CA">#REF!</definedName>
    <definedName name="CAGR_table">Assumption!$G$7:$P$10</definedName>
    <definedName name="calc">1</definedName>
    <definedName name="cap">#REF!</definedName>
    <definedName name="cap0.7">#REF!</definedName>
    <definedName name="Case">[4]Assumptions!$A$5</definedName>
    <definedName name="Cat">#REF!</definedName>
    <definedName name="Category_All">#REF!</definedName>
    <definedName name="CATIN">#N/A</definedName>
    <definedName name="CATJYOU">#N/A</definedName>
    <definedName name="CATREC">#N/A</definedName>
    <definedName name="CATSYU">#N/A</definedName>
    <definedName name="cau">#REF!</definedName>
    <definedName name="Cau_1">#REF!</definedName>
    <definedName name="Cau_tam">#REF!</definedName>
    <definedName name="CAÙm">#REF!</definedName>
    <definedName name="CB">#REF!</definedName>
    <definedName name="cc">#REF!</definedName>
    <definedName name="CCS">#REF!</definedName>
    <definedName name="CDA">#REF!</definedName>
    <definedName name="CDD">#REF!</definedName>
    <definedName name="CDDD1PHA">#REF!</definedName>
    <definedName name="CDDD3PHA">#REF!</definedName>
    <definedName name="cdkt01">#REF!</definedName>
    <definedName name="cdkt02">#REF!</definedName>
    <definedName name="cdkt03">#REF!</definedName>
    <definedName name="cdkt04">#REF!</definedName>
    <definedName name="cdkt05">#REF!</definedName>
    <definedName name="cdkt06">#REF!</definedName>
    <definedName name="CDKT6TD">#REF!</definedName>
    <definedName name="CDKTQ01">#REF!</definedName>
    <definedName name="CDKTQ02">#REF!</definedName>
    <definedName name="cdn">#REF!</definedName>
    <definedName name="Cdnum">#REF!</definedName>
    <definedName name="cdps01">#REF!</definedName>
    <definedName name="cdps02">#REF!</definedName>
    <definedName name="cdps03">#REF!</definedName>
    <definedName name="cdps04">#REF!</definedName>
    <definedName name="cdps05">#REF!</definedName>
    <definedName name="cdps06">#REF!</definedName>
    <definedName name="cdps07">#REF!</definedName>
    <definedName name="CDPS6TD">#REF!</definedName>
    <definedName name="CDPSQ01">#REF!</definedName>
    <definedName name="CDPSQ02">#REF!</definedName>
    <definedName name="Céng">#REF!</definedName>
    <definedName name="cfk">#REF!</definedName>
    <definedName name="CGS_CLO">#REF!</definedName>
    <definedName name="Ch_rong">#REF!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i_Phi_Chung">#REF!</definedName>
    <definedName name="Chin">#REF!</definedName>
    <definedName name="ChiPhiKhac">#REF!</definedName>
    <definedName name="CIQWBGuid" localSheetId="0" hidden="1">"KDH valuation model with FS_guidance FY15.xlsx"</definedName>
    <definedName name="CIQWBGuid" hidden="1">"47f8d6bb-6fc3-43e7-bc64-f1e66a9d03af"</definedName>
    <definedName name="CK">#REF!</definedName>
    <definedName name="CL">#REF!</definedName>
    <definedName name="CLai">#REF!</definedName>
    <definedName name="CLVC3">0.1</definedName>
    <definedName name="CLVC35">#REF!</definedName>
    <definedName name="CLVCTB">#REF!</definedName>
    <definedName name="CNC">#REF!</definedName>
    <definedName name="CND">#REF!</definedName>
    <definedName name="CNG">#REF!</definedName>
    <definedName name="Co">#REF!</definedName>
    <definedName name="coc">#REF!</definedName>
    <definedName name="Code" localSheetId="19" hidden="1">#REF!</definedName>
    <definedName name="Code" localSheetId="78" hidden="1">#REF!</definedName>
    <definedName name="Code" localSheetId="6" hidden="1">#REF!</definedName>
    <definedName name="Code" localSheetId="4" hidden="1">#REF!</definedName>
    <definedName name="Code" localSheetId="68" hidden="1">#REF!</definedName>
    <definedName name="Code" localSheetId="17" hidden="1">#REF!</definedName>
    <definedName name="Code" localSheetId="26" hidden="1">#REF!</definedName>
    <definedName name="Code" localSheetId="70" hidden="1">#REF!</definedName>
    <definedName name="Code" localSheetId="71" hidden="1">#REF!</definedName>
    <definedName name="Code" hidden="1">#REF!</definedName>
    <definedName name="CODE1">#REF!</definedName>
    <definedName name="CODE2">#REF!</definedName>
    <definedName name="CODE3">#REF!</definedName>
    <definedName name="Cöï_ly_vaän_chuyeãn">#REF!</definedName>
    <definedName name="CÖÏ_LY_VAÄN_CHUYEÅN">#REF!</definedName>
    <definedName name="COMMON">#REF!</definedName>
    <definedName name="Comp">#REF!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ST_EQ">#REF!</definedName>
    <definedName name="Continue">#N/A</definedName>
    <definedName name="ContractLab" localSheetId="68">#REF!</definedName>
    <definedName name="ContractLab">#REF!</definedName>
    <definedName name="conversion">#REF!</definedName>
    <definedName name="coppha">#REF!</definedName>
    <definedName name="COST">#N/A</definedName>
    <definedName name="Cost1">#REF!</definedName>
    <definedName name="Cost10">#REF!</definedName>
    <definedName name="Cost11">#REF!</definedName>
    <definedName name="Cost12">#REF!</definedName>
    <definedName name="Cost2">#REF!</definedName>
    <definedName name="Cost3">#REF!</definedName>
    <definedName name="Cost4">#REF!</definedName>
    <definedName name="Cost5">#REF!</definedName>
    <definedName name="Cost6">#REF!</definedName>
    <definedName name="Cost7">#REF!</definedName>
    <definedName name="Cost8">#REF!</definedName>
    <definedName name="Cost9">#REF!</definedName>
    <definedName name="countryrisk" localSheetId="0">[5]Comps!$H$9</definedName>
    <definedName name="countryrisk" localSheetId="28">#REF!</definedName>
    <definedName name="countryrisk" localSheetId="51">[6]Comps!$H$9</definedName>
    <definedName name="countryrisk">Comps!$H$9</definedName>
    <definedName name="COVER">#REF!</definedName>
    <definedName name="CPC">#REF!</definedName>
    <definedName name="CPCC">#REF!</definedName>
    <definedName name="cpdd1">#REF!</definedName>
    <definedName name="CPVC100">#REF!</definedName>
    <definedName name="CPVC35">#REF!</definedName>
    <definedName name="CRD">#REF!</definedName>
    <definedName name="CRITINST">#REF!</definedName>
    <definedName name="CRITPURC">#REF!</definedName>
    <definedName name="crrdata">#REF!</definedName>
    <definedName name="CR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T_KSTK">#REF!</definedName>
    <definedName name="CTBTN">#REF!</definedName>
    <definedName name="ctdn9697">#REF!</definedName>
    <definedName name="ctiep">#REF!</definedName>
    <definedName name="CTIET">#REF!</definedName>
    <definedName name="ctmai">#REF!</definedName>
    <definedName name="ctong">#REF!</definedName>
    <definedName name="ctre">#REF!</definedName>
    <definedName name="CU_LY">#REF!</definedName>
    <definedName name="cui">#REF!</definedName>
    <definedName name="culy">#REF!</definedName>
    <definedName name="cuoc_vc">#REF!</definedName>
    <definedName name="CURRENCY">#REF!</definedName>
    <definedName name="CURRENTALL" localSheetId="0">#REF!</definedName>
    <definedName name="CURRENTALL" localSheetId="28">#REF!</definedName>
    <definedName name="CURRENTALL" localSheetId="68">#REF!</definedName>
    <definedName name="CURRENTALL" localSheetId="51">#REF!</definedName>
    <definedName name="CURRENTALL">#REF!</definedName>
    <definedName name="currentpage1a" localSheetId="0">#REF!</definedName>
    <definedName name="currentpage1a" localSheetId="68">#REF!</definedName>
    <definedName name="currentpage1a">#REF!</definedName>
    <definedName name="currentpage1b" localSheetId="68">#REF!</definedName>
    <definedName name="currentpage1b">#REF!</definedName>
    <definedName name="currentpage2" localSheetId="68">[7]WBS!#REF!</definedName>
    <definedName name="currentpage2">[7]WBS!#REF!</definedName>
    <definedName name="currentpage2a" localSheetId="0">#REF!</definedName>
    <definedName name="currentpage2a" localSheetId="28">#REF!</definedName>
    <definedName name="currentpage2a" localSheetId="68">#REF!</definedName>
    <definedName name="currentpage2a" localSheetId="51">#REF!</definedName>
    <definedName name="currentpage2a">#REF!</definedName>
    <definedName name="currentpage2b" localSheetId="28">#REF!</definedName>
    <definedName name="currentpage2b" localSheetId="68">#REF!</definedName>
    <definedName name="currentpage2b">#REF!</definedName>
    <definedName name="currentpage3" localSheetId="28">[7]WBS!#REF!</definedName>
    <definedName name="currentpage3" localSheetId="68">[7]WBS!#REF!</definedName>
    <definedName name="currentpage3">[7]WBS!#REF!</definedName>
    <definedName name="currentpage3a" localSheetId="0">#REF!</definedName>
    <definedName name="currentpage3a" localSheetId="28">#REF!</definedName>
    <definedName name="currentpage3a" localSheetId="68">#REF!</definedName>
    <definedName name="currentpage3a" localSheetId="51">#REF!</definedName>
    <definedName name="currentpage3a">#REF!</definedName>
    <definedName name="currentpage3b" localSheetId="28">#REF!</definedName>
    <definedName name="currentpage3b" localSheetId="68">#REF!</definedName>
    <definedName name="currentpage3b">#REF!</definedName>
    <definedName name="currenttotal" localSheetId="28">[7]WBS!#REF!</definedName>
    <definedName name="currenttotal" localSheetId="68">[7]WBS!#REF!</definedName>
    <definedName name="currenttotal">[7]WBS!#REF!</definedName>
    <definedName name="cx">#REF!</definedName>
    <definedName name="D_7101A_B">#REF!</definedName>
    <definedName name="DA">#REF!</definedName>
    <definedName name="da4x7">#REF!</definedName>
    <definedName name="Dalan">#REF!</definedName>
    <definedName name="DALANPASTE">#REF!</definedName>
    <definedName name="Dat">#REF!</definedName>
    <definedName name="Data">#REF!</definedName>
    <definedName name="DATA_DATA2_List">#REF!</definedName>
    <definedName name="data1" localSheetId="19" hidden="1">#REF!</definedName>
    <definedName name="data1" localSheetId="78" hidden="1">#REF!</definedName>
    <definedName name="data1" localSheetId="6" hidden="1">#REF!</definedName>
    <definedName name="data1" localSheetId="4" hidden="1">#REF!</definedName>
    <definedName name="data1" localSheetId="68" hidden="1">#REF!</definedName>
    <definedName name="data1" localSheetId="17" hidden="1">#REF!</definedName>
    <definedName name="data1" localSheetId="26" hidden="1">#REF!</definedName>
    <definedName name="data1" localSheetId="70" hidden="1">#REF!</definedName>
    <definedName name="data1" localSheetId="71" hidden="1">#REF!</definedName>
    <definedName name="data1" hidden="1">#REF!</definedName>
    <definedName name="Data11">#REF!</definedName>
    <definedName name="data2" localSheetId="19" hidden="1">#REF!</definedName>
    <definedName name="data2" localSheetId="78" hidden="1">#REF!</definedName>
    <definedName name="data2" localSheetId="6" hidden="1">#REF!</definedName>
    <definedName name="data2" localSheetId="4" hidden="1">#REF!</definedName>
    <definedName name="data2" localSheetId="68" hidden="1">#REF!</definedName>
    <definedName name="data2" localSheetId="17" hidden="1">#REF!</definedName>
    <definedName name="data2" localSheetId="26" hidden="1">#REF!</definedName>
    <definedName name="data2" localSheetId="70" hidden="1">#REF!</definedName>
    <definedName name="data2" localSheetId="71" hidden="1">#REF!</definedName>
    <definedName name="data2" hidden="1">#REF!</definedName>
    <definedName name="data3" localSheetId="78" hidden="1">#REF!</definedName>
    <definedName name="data3" localSheetId="6" hidden="1">#REF!</definedName>
    <definedName name="data3" localSheetId="4" hidden="1">#REF!</definedName>
    <definedName name="data3" localSheetId="68" hidden="1">#REF!</definedName>
    <definedName name="data3" localSheetId="17" hidden="1">#REF!</definedName>
    <definedName name="data3" localSheetId="26" hidden="1">#REF!</definedName>
    <definedName name="data3" localSheetId="70" hidden="1">#REF!</definedName>
    <definedName name="data3" localSheetId="71" hidden="1">#REF!</definedName>
    <definedName name="data3" hidden="1">#REF!</definedName>
    <definedName name="Data41">#REF!</definedName>
    <definedName name="_xlnm.Database">#REF!</definedName>
    <definedName name="datak">#REF!</definedName>
    <definedName name="datal">#REF!</definedName>
    <definedName name="DATATKDT">#REF!</definedName>
    <definedName name="Date">#REF!</definedName>
    <definedName name="Dattt">#REF!</definedName>
    <definedName name="Datvv">#REF!</definedName>
    <definedName name="daunoi">#REF!</definedName>
    <definedName name="DayAV120">#REF!</definedName>
    <definedName name="DayAV35">#REF!</definedName>
    <definedName name="DayAV50">#REF!</definedName>
    <definedName name="DayAV70">#REF!</definedName>
    <definedName name="DayAV95">#REF!</definedName>
    <definedName name="days">[8]inputs!$F$16</definedName>
    <definedName name="dche">#REF!</definedName>
    <definedName name="DD">#REF!</definedName>
    <definedName name="dd4x6">#REF!</definedName>
    <definedName name="dday">#REF!</definedName>
    <definedName name="dden">#REF!</definedName>
    <definedName name="DDFSDF">{"Thuxm2.xls","Sheet1"}</definedName>
    <definedName name="ddia">#REF!</definedName>
    <definedName name="Den_bu">#REF!</definedName>
    <definedName name="DenBu">#REF!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gbdII">#REF!</definedName>
    <definedName name="DGCT">#REF!</definedName>
    <definedName name="DGia">#REF!</definedName>
    <definedName name="dgqndn">#REF!</definedName>
    <definedName name="DGTV">#REF!</definedName>
    <definedName name="dgvl">#REF!</definedName>
    <definedName name="dh">#REF!</definedName>
    <definedName name="dien">#REF!</definedName>
    <definedName name="dinh">#REF!</definedName>
    <definedName name="dinh2">#REF!</definedName>
    <definedName name="Discount" localSheetId="78" hidden="1">#REF!</definedName>
    <definedName name="Discount" localSheetId="6" hidden="1">#REF!</definedName>
    <definedName name="Discount" localSheetId="4" hidden="1">#REF!</definedName>
    <definedName name="Discount" localSheetId="68" hidden="1">#REF!</definedName>
    <definedName name="Discount" localSheetId="17" hidden="1">#REF!</definedName>
    <definedName name="Discount" localSheetId="26" hidden="1">#REF!</definedName>
    <definedName name="Discount" localSheetId="70" hidden="1">#REF!</definedName>
    <definedName name="Discount" localSheetId="71" hidden="1">#REF!</definedName>
    <definedName name="Discount" hidden="1">#REF!</definedName>
    <definedName name="display_area_2" localSheetId="78" hidden="1">#REF!</definedName>
    <definedName name="display_area_2" localSheetId="6" hidden="1">#REF!</definedName>
    <definedName name="display_area_2" localSheetId="4" hidden="1">#REF!</definedName>
    <definedName name="display_area_2" localSheetId="68" hidden="1">#REF!</definedName>
    <definedName name="display_area_2" localSheetId="17" hidden="1">#REF!</definedName>
    <definedName name="display_area_2" localSheetId="26" hidden="1">#REF!</definedName>
    <definedName name="display_area_2" localSheetId="70" hidden="1">#REF!</definedName>
    <definedName name="display_area_2" localSheetId="71" hidden="1">#REF!</definedName>
    <definedName name="display_area_2" hidden="1">#REF!</definedName>
    <definedName name="DISPLAY_TICKER" localSheetId="28">[9]Ownership!$A$5</definedName>
    <definedName name="DISPLAY_TICKER">[10]Ownership!$A$5</definedName>
    <definedName name="DKCO">#REF!</definedName>
    <definedName name="DKNO">#REF!</definedName>
    <definedName name="DLCC">#REF!</definedName>
    <definedName name="DM">#REF!</definedName>
    <definedName name="dm_d">#REF!</definedName>
    <definedName name="dm_s">#REF!</definedName>
    <definedName name="dm56bxd">#REF!</definedName>
    <definedName name="dmat">#REF!</definedName>
    <definedName name="DMBTN">#REF!</definedName>
    <definedName name="dmdv">#REF!</definedName>
    <definedName name="DMHH">#REF!</definedName>
    <definedName name="DMKH">#REF!</definedName>
    <definedName name="dmoi">#REF!</definedName>
    <definedName name="DN">#REF!</definedName>
    <definedName name="DÑt45x4">#REF!</definedName>
    <definedName name="dobt">#REF!</definedName>
    <definedName name="Document_array">{"Thuxm2.xls","Sheet1"}</definedName>
    <definedName name="Documents_array">#N/A</definedName>
    <definedName name="Dongia">#REF!</definedName>
    <definedName name="DongiaPA1">#REF!</definedName>
    <definedName name="DongiaPA2">#REF!</definedName>
    <definedName name="dqwsdqw" hidden="1">{"'Sheet1'!$L$16"}</definedName>
    <definedName name="ds">#REF!</definedName>
    <definedName name="DS_2">#REF!</definedName>
    <definedName name="DS_305">#REF!</definedName>
    <definedName name="DS_38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sd">{"'Sheet1'!$L$16"}</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khu">#REF!</definedName>
    <definedName name="dsm">#REF!</definedName>
    <definedName name="DSPK1p1nc">#REF!</definedName>
    <definedName name="DSPK1p1vl">#REF!</definedName>
    <definedName name="DSPK1pnc">#REF!</definedName>
    <definedName name="DSPK1pvl">#REF!</definedName>
    <definedName name="DSTD_Clear">[0]!DSTD_Clear</definedName>
    <definedName name="DSTinh">#REF!</definedName>
    <definedName name="DSUMDATA">#REF!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hu1">#REF!</definedName>
    <definedName name="dthu10">#REF!</definedName>
    <definedName name="dthu11">#REF!</definedName>
    <definedName name="dthu12">#REF!</definedName>
    <definedName name="dthu2">#REF!</definedName>
    <definedName name="dthu3">#REF!</definedName>
    <definedName name="dthu4">#REF!</definedName>
    <definedName name="dthu5">#REF!</definedName>
    <definedName name="dthu6">#REF!</definedName>
    <definedName name="dthu7">#REF!</definedName>
    <definedName name="dthu8">#REF!</definedName>
    <definedName name="dthu9">#REF!</definedName>
    <definedName name="duong">#REF!</definedName>
    <definedName name="Duong_373">#REF!</definedName>
    <definedName name="Duong_tam">#REF!</definedName>
    <definedName name="dvql">#REF!</definedName>
    <definedName name="E">{"'Sheet1'!$L$16"}</definedName>
    <definedName name="EFASDASDASDFSD" hidden="1">{"'Sheet1'!$L$16"}</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year" localSheetId="0">[11]VCSC!$A$11</definedName>
    <definedName name="end_year" localSheetId="28">[12]VCSC!$A$11</definedName>
    <definedName name="end_year" localSheetId="51">[6]VCSC!$A$11</definedName>
    <definedName name="end_year">VCSC!$A$11</definedName>
    <definedName name="EPS_F" localSheetId="0">[5]Valuation!$D$14</definedName>
    <definedName name="EPS_F" localSheetId="28">#REF!</definedName>
    <definedName name="EPS_F" localSheetId="68">#REF!</definedName>
    <definedName name="EPS_F" localSheetId="51">#REF!</definedName>
    <definedName name="EPS_F">#REF!</definedName>
    <definedName name="EPS_LY" localSheetId="0">[5]Valuation!$C$14</definedName>
    <definedName name="EPS_LY" localSheetId="28">#REF!</definedName>
    <definedName name="EPS_LY" localSheetId="68">#REF!</definedName>
    <definedName name="EPS_LY" localSheetId="51">#REF!</definedName>
    <definedName name="EPS_LY">#REF!</definedName>
    <definedName name="EV" localSheetId="0">#REF!</definedName>
    <definedName name="EV" localSheetId="28">#REF!</definedName>
    <definedName name="EV">DCF!$C$18</definedName>
    <definedName name="Ex_L">#REF!</definedName>
    <definedName name="EX_Length_373">#REF!</definedName>
    <definedName name="_xlnm.Extract">#REF!</definedName>
    <definedName name="f">#REF!</definedName>
    <definedName name="FACTOR">#REF!</definedName>
    <definedName name="FCode" localSheetId="78" hidden="1">#REF!</definedName>
    <definedName name="FCode" localSheetId="6" hidden="1">#REF!</definedName>
    <definedName name="FCode" localSheetId="4" hidden="1">#REF!</definedName>
    <definedName name="FCode" localSheetId="68" hidden="1">#REF!</definedName>
    <definedName name="FCode" localSheetId="17" hidden="1">#REF!</definedName>
    <definedName name="FCode" localSheetId="26" hidden="1">#REF!</definedName>
    <definedName name="FCode" localSheetId="70" hidden="1">#REF!</definedName>
    <definedName name="FCode" localSheetId="71" hidden="1">#REF!</definedName>
    <definedName name="FCode" hidden="1">#REF!</definedName>
    <definedName name="fd" localSheetId="78" hidden="1">#REF!</definedName>
    <definedName name="fd" localSheetId="68" hidden="1">#REF!</definedName>
    <definedName name="fd" hidden="1">#REF!</definedName>
    <definedName name="Fi">#REF!</definedName>
    <definedName name="FlexZZ">#REF!</definedName>
    <definedName name="FOLD">#N/A</definedName>
    <definedName name="freight" localSheetId="68">#REF!</definedName>
    <definedName name="freight">#REF!</definedName>
    <definedName name="frhyejukikikilkilloilliuluiktyu" localSheetId="78" hidden="1">[3]Sheet1!#REF!</definedName>
    <definedName name="frhyejukikikilkilloilliuluiktyu" localSheetId="6" hidden="1">[3]Sheet1!#REF!</definedName>
    <definedName name="frhyejukikikilkilloilliuluiktyu" localSheetId="4" hidden="1">[3]Sheet1!#REF!</definedName>
    <definedName name="frhyejukikikilkilloilliuluiktyu" localSheetId="68" hidden="1">[3]Sheet1!#REF!</definedName>
    <definedName name="frhyejukikikilkilloilliuluiktyu" localSheetId="17" hidden="1">[3]Sheet1!#REF!</definedName>
    <definedName name="frhyejukikikilkilloilliuluiktyu" localSheetId="26" hidden="1">[3]Sheet1!#REF!</definedName>
    <definedName name="frhyejukikikilkilloilliuluiktyu" localSheetId="70" hidden="1">[3]Sheet1!#REF!</definedName>
    <definedName name="frhyejukikikilkilloilliuluiktyu" localSheetId="71" hidden="1">[3]Sheet1!#REF!</definedName>
    <definedName name="frhyejukikikilkilloilliuluiktyu" hidden="1">[3]Sheet1!#REF!</definedName>
    <definedName name="fs">#REF!</definedName>
    <definedName name="Ftax">#REF!</definedName>
    <definedName name="FY">2001</definedName>
    <definedName name="FYE">[8]inputs!$F$14</definedName>
    <definedName name="g">#REF!</definedName>
    <definedName name="G_ME">#REF!</definedName>
    <definedName name="g40g40">#REF!</definedName>
    <definedName name="gas">#REF!</definedName>
    <definedName name="gchi">#REF!</definedName>
    <definedName name="gd">#REF!</definedName>
    <definedName name="GD_1">#REF!</definedName>
    <definedName name="GD_2">#REF!</definedName>
    <definedName name="GETMAT">#N/A</definedName>
    <definedName name="Gia_CT">#REF!</definedName>
    <definedName name="gia_tien">#REF!</definedName>
    <definedName name="gia_tien_BTN">#REF!</definedName>
    <definedName name="Gia_VT">#REF!</definedName>
    <definedName name="GiaBTN">#REF!</definedName>
    <definedName name="Giai_doan">#REF!</definedName>
    <definedName name="GIAVLIEUTN">#REF!</definedName>
    <definedName name="GiaVTBTN">#REF!</definedName>
    <definedName name="Giocong">#REF!</definedName>
    <definedName name="gl3p">#REF!</definedName>
    <definedName name="gld">#REF!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ld">#REF!</definedName>
    <definedName name="GRFICM">#REF!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he">#REF!</definedName>
    <definedName name="GTXL">#REF!</definedName>
    <definedName name="gxm">#REF!</definedName>
    <definedName name="h" hidden="1">{"'Sheet1'!$L$16"}</definedName>
    <definedName name="H_THUCHTHH">#REF!</definedName>
    <definedName name="H_THUCTT">#REF!</definedName>
    <definedName name="Ha">#REF!</definedName>
    <definedName name="hangmuc">#REF!</definedName>
    <definedName name="hanh">#REF!</definedName>
    <definedName name="hanh1">#REF!</definedName>
    <definedName name="HCM">#REF!</definedName>
    <definedName name="Heä_soá_laép_xaø_H">1.7</definedName>
    <definedName name="heä_soá_sình_laày">#REF!</definedName>
    <definedName name="Hello">#N/A</definedName>
    <definedName name="HH" localSheetId="0" hidden="1">{"'Sheet1'!$L$16"}</definedName>
    <definedName name="HH" localSheetId="51" hidden="1">{"'Sheet1'!$L$16"}</definedName>
    <definedName name="HH" hidden="1">{"'Sheet1'!$L$16"}</definedName>
    <definedName name="HHD" hidden="1">{"'Sheet1'!$L$16"}</definedName>
    <definedName name="HHTT">#REF!</definedName>
    <definedName name="HiddenRows" localSheetId="78" hidden="1">#REF!</definedName>
    <definedName name="HiddenRows" localSheetId="6" hidden="1">#REF!</definedName>
    <definedName name="HiddenRows" localSheetId="4" hidden="1">#REF!</definedName>
    <definedName name="HiddenRows" localSheetId="68" hidden="1">#REF!</definedName>
    <definedName name="HiddenRows" localSheetId="17" hidden="1">#REF!</definedName>
    <definedName name="HiddenRows" localSheetId="26" hidden="1">#REF!</definedName>
    <definedName name="HiddenRows" localSheetId="70" hidden="1">#REF!</definedName>
    <definedName name="HiddenRows" localSheetId="71" hidden="1">#REF!</definedName>
    <definedName name="HiddenRows" hidden="1">#REF!</definedName>
    <definedName name="hien">#REF!</definedName>
    <definedName name="Hinh_thuc">#REF!</definedName>
    <definedName name="hjjkl" hidden="1">{"'Sheet1'!$L$16"}</definedName>
    <definedName name="HM">#REF!</definedName>
    <definedName name="HOÏ_TEÂN">#REF!</definedName>
    <definedName name="holdingrisk" localSheetId="0">[5]Comps!$H$11</definedName>
    <definedName name="holdingrisk" localSheetId="28">#REF!</definedName>
    <definedName name="holdingrisk" localSheetId="51">[6]Comps!$H$11</definedName>
    <definedName name="holdingrisk">Comps!$H$11</definedName>
    <definedName name="HOME_MANP">#REF!</definedName>
    <definedName name="HOMEOFFICE_COST">#REF!</definedName>
    <definedName name="Hoten">#REF!</definedName>
    <definedName name="House">#REF!</definedName>
    <definedName name="HSCT3">0.1</definedName>
    <definedName name="hsdc">#REF!</definedName>
    <definedName name="hsdc1">#REF!</definedName>
    <definedName name="HSDN">2.5</definedName>
    <definedName name="HSHH">#REF!</definedName>
    <definedName name="HSHHUT">#REF!</definedName>
    <definedName name="hsk">#REF!</definedName>
    <definedName name="HSKK35">#REF!</definedName>
    <definedName name="HSLX">#REF!</definedName>
    <definedName name="HSLXH">1.7</definedName>
    <definedName name="HSLXP">#REF!</definedName>
    <definedName name="HSSL">#REF!</definedName>
    <definedName name="HSVC1">#REF!</definedName>
    <definedName name="HSVC2">#REF!</definedName>
    <definedName name="HSVC3">#REF!</definedName>
    <definedName name="HT">#REF!</definedName>
    <definedName name="HTHH">#REF!</definedName>
    <definedName name="HTML" hidden="1">{"'Sheet1'!$L$16"}</definedName>
    <definedName name="HTML_CodePage" hidden="1">950</definedName>
    <definedName name="HTML_Control" localSheetId="19" hidden="1">{"'Sheet1'!$L$16"}</definedName>
    <definedName name="HTML_Control" localSheetId="0" hidden="1">{"'Sheet1'!$L$16"}</definedName>
    <definedName name="HTML_Control" localSheetId="28" hidden="1">{"'Sheet1'!$L$16"}</definedName>
    <definedName name="HTML_Control" localSheetId="5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#REF!</definedName>
    <definedName name="httk">#REF!</definedName>
    <definedName name="HTVL">#REF!</definedName>
    <definedName name="huy" localSheetId="19" hidden="1">{"'Sheet1'!$L$16"}</definedName>
    <definedName name="huy" localSheetId="0" hidden="1">{"'Sheet1'!$L$16"}</definedName>
    <definedName name="huy" localSheetId="28" hidden="1">{"'Sheet1'!$L$16"}</definedName>
    <definedName name="huy" localSheetId="51" hidden="1">{"'Sheet1'!$L$16"}</definedName>
    <definedName name="huy" hidden="1">{"'Sheet1'!$L$16"}</definedName>
    <definedName name="I">#REF!</definedName>
    <definedName name="iCount">3</definedName>
    <definedName name="IDLAB_COST">#REF!</definedName>
    <definedName name="IMM">#N/A</definedName>
    <definedName name="IMMMAT">#N/A</definedName>
    <definedName name="IND_LAB">#REF!</definedName>
    <definedName name="index" localSheetId="51">#REF!</definedName>
    <definedName name="index">VCSC!$A$10</definedName>
    <definedName name="INDMANP">#REF!</definedName>
    <definedName name="InLK">#REF!</definedName>
    <definedName name="InTH">#REF!</definedName>
    <definedName name="inTK">#REF!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BROKER_REC_NO_REUT" hidden="1">"c5315"</definedName>
    <definedName name="IQ_AVG_BROKER_REC_REUT" hidden="1">"c3630"</definedName>
    <definedName name="IQ_CAPEX_BR" hidden="1">"c111"</definedName>
    <definedName name="IQ_CH" hidden="1">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 hidden="1">5000</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ARNINGS_ANNOUNCE_DATE_REUT" hidden="1">"c5314"</definedName>
    <definedName name="IQ_EBITDA_EST_REUT" hidden="1">"c3640"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PS_EST_REUT" hidden="1">"c5453"</definedName>
    <definedName name="IQ_EPS_HIGH_EST_REUT" hidden="1">"c5454"</definedName>
    <definedName name="IQ_EPS_LOW_EST_REUT" hidden="1">"c5455"</definedName>
    <definedName name="IQ_EPS_MEDIAN_EST_REUT" hidden="1">"c5456"</definedName>
    <definedName name="IQ_EPS_NUM_EST_REUT" hidden="1">"c5451"</definedName>
    <definedName name="IQ_EPS_STDDEV_EST_REUT" hidden="1">"c5452"</definedName>
    <definedName name="IQ_EST_CURRENCY_REUT" hidden="1">"c5437"</definedName>
    <definedName name="IQ_EST_DATE_REUT" hidden="1">"c5438"</definedName>
    <definedName name="IQ_EST_EPS_GROWTH_1YR_REUT" hidden="1">"c3646"</definedName>
    <definedName name="IQ_EST_EPS_GROWTH_5YR_REUT" hidden="1">"c3633"</definedName>
    <definedName name="IQ_EST_EPS_GROWTH_Q_1YR_REUT" hidden="1">"c5410"</definedName>
    <definedName name="IQ_EXTRA_ACC_ITEMS_BR" hidden="1">"c412"</definedName>
    <definedName name="IQ_FH" hidden="1">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IGH_TARGET_PRICE_REUT" hidden="1">"c5317"</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MONTH" hidden="1">120000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TH" hidden="1">15000</definedName>
    <definedName name="IQ_MTD" hidden="1">800000</definedName>
    <definedName name="IQ_NAMES_REVISION_DATE_" localSheetId="40" hidden="1">42299.0961342593</definedName>
    <definedName name="IQ_NAMES_REVISION_DATE_" hidden="1">"04/30/2015 13:05:15"</definedName>
    <definedName name="IQ_NET_DEBT_ISSUED_BR" hidden="1">"c753"</definedName>
    <definedName name="IQ_NET_INT_INC_BR" hidden="1">"c765"</definedName>
    <definedName name="IQ_NTM" hidden="1">6000</definedName>
    <definedName name="IQ_OPER_INC_BR" hidden="1">"c850"</definedName>
    <definedName name="IQ_OTHER_AMORT_BR" hidden="1">"c5566"</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_EXCL_FWD_REUT" hidden="1">"c4049"</definedName>
    <definedName name="IQ_PEG_FWD_REUT" hidden="1">"c4052"</definedName>
    <definedName name="IQ_PREF_ISSUED_BR" hidden="1">"c1047"</definedName>
    <definedName name="IQ_PREF_OTHER_BR" hidden="1">"c1055"</definedName>
    <definedName name="IQ_PREF_REP_BR" hidden="1">"c1062"</definedName>
    <definedName name="IQ_PRICE_TARGET_REUT" hidden="1">"c3631"</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REV_STDDEV_EST_REUT" hidden="1">"c3639"</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ARGET_PRICE_NUM_REUT" hidden="1">"c5319"</definedName>
    <definedName name="IQ_TARGET_PRICE_STDDEV_REUT" hidden="1">"c5320"</definedName>
    <definedName name="IQ_TEV_EBITDA_FWD_REUT" hidden="1">"c4050"</definedName>
    <definedName name="IQ_TEV_TOTAL_REV_FWD_REUT" hidden="1">"c4051"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OTAL_UNUSUAL_BR" hidden="1">"c5517"</definedName>
    <definedName name="IQ_TREASURY_OTHER_EQUITY_BR" hidden="1">"c1314"</definedName>
    <definedName name="IQ_UNEARN_REV_CURRENT_BR" hidden="1">"c1324"</definedName>
    <definedName name="IQ_WEEK" hidden="1">50000</definedName>
    <definedName name="IQ_YTD" hidden="1">3000</definedName>
    <definedName name="IQ_YTDMONTH" hidden="1">130000</definedName>
    <definedName name="j356C8">#REF!</definedName>
    <definedName name="Jan">#REF!</definedName>
    <definedName name="JPYVND1">#REF!</definedName>
    <definedName name="Jul">#REF!</definedName>
    <definedName name="kcong">#REF!</definedName>
    <definedName name="kdien">#REF!</definedName>
    <definedName name="KE_HOACH_VON_PHU_THU">#REF!</definedName>
    <definedName name="Ket_Qua_KD">#REF!</definedName>
    <definedName name="kethue">#REF!</definedName>
    <definedName name="KeyFigure">#REF!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h">#REF!</definedName>
    <definedName name="KH_Chang">#REF!</definedName>
    <definedName name="KHNG" hidden="1">{"'Sheet1'!$L$16"}</definedName>
    <definedName name="KhoiLuong">#REF!</definedName>
    <definedName name="KHTSCD01">#REF!</definedName>
    <definedName name="KHTSCD02">#REF!</definedName>
    <definedName name="KHTSCD03">#REF!</definedName>
    <definedName name="KHTSCD04">#REF!</definedName>
    <definedName name="KHTSCD05">#REF!</definedName>
    <definedName name="KHTSCD06">#REF!</definedName>
    <definedName name="KHTSCD07">#REF!</definedName>
    <definedName name="KHTSCDQ1">#REF!</definedName>
    <definedName name="KHTSCDQ2">#REF!</definedName>
    <definedName name="KhuyenmaiUPS">"AutoShape 264"</definedName>
    <definedName name="Kiem_tra_trung_ten">#REF!</definedName>
    <definedName name="kl_ME">#REF!</definedName>
    <definedName name="KLBTN">#REF!</definedName>
    <definedName name="KLTHDN">#REF!</definedName>
    <definedName name="KLVANKHUON">#REF!</definedName>
    <definedName name="kp1ph">#REF!</definedName>
    <definedName name="kq">#REF!</definedName>
    <definedName name="KQHD9KD">{"Thuxm2.xls","Sheet1"}</definedName>
    <definedName name="kqkd01">#REF!</definedName>
    <definedName name="kqkd02">#REF!</definedName>
    <definedName name="kqkd03">#REF!</definedName>
    <definedName name="kqkd04">#REF!</definedName>
    <definedName name="kqkd05">#REF!</definedName>
    <definedName name="kqkd06">#REF!</definedName>
    <definedName name="kqkd07">#REF!</definedName>
    <definedName name="KQKDQ01">#REF!</definedName>
    <definedName name="KQKDQ02">#REF!</definedName>
    <definedName name="KS">#REF!</definedName>
    <definedName name="KS_1">#REF!</definedName>
    <definedName name="KS_2">#REF!</definedName>
    <definedName name="KSTK">#REF!</definedName>
    <definedName name="KVC">#REF!</definedName>
    <definedName name="Ký_nép">#REF!</definedName>
    <definedName name="l">#REF!</definedName>
    <definedName name="L_1">#REF!</definedName>
    <definedName name="L_2">#REF!</definedName>
    <definedName name="L_mong">#REF!</definedName>
    <definedName name="lab" localSheetId="28">#REF!</definedName>
    <definedName name="lab" localSheetId="68">#REF!</definedName>
    <definedName name="lab">#REF!</definedName>
    <definedName name="LAG" localSheetId="68">#REF!</definedName>
    <definedName name="LAG">#REF!</definedName>
    <definedName name="LAMTUBE">#REF!</definedName>
    <definedName name="lan" localSheetId="19" hidden="1">{#N/A,#N/A,TRUE,"BT M200 da 10x20"}</definedName>
    <definedName name="lan" localSheetId="0" hidden="1">{#N/A,#N/A,TRUE,"BT M200 da 10x20"}</definedName>
    <definedName name="lan" localSheetId="28" hidden="1">{#N/A,#N/A,TRUE,"BT M200 da 10x20"}</definedName>
    <definedName name="lan" localSheetId="51" hidden="1">{#N/A,#N/A,TRUE,"BT M200 da 10x20"}</definedName>
    <definedName name="lan" hidden="1">{#N/A,#N/A,TRUE,"BT M200 da 10x20"}</definedName>
    <definedName name="Land">#REF!</definedName>
    <definedName name="LapDungDam">#REF!</definedName>
    <definedName name="leborne">#REF!</definedName>
    <definedName name="LEÛ">#REF!</definedName>
    <definedName name="liquidityrisk" localSheetId="0">[5]Comps!$H$10</definedName>
    <definedName name="liquidityrisk" localSheetId="28">#REF!</definedName>
    <definedName name="liquidityrisk" localSheetId="51">[6]Comps!$H$10</definedName>
    <definedName name="liquidityrisk">Comps!$H$10</definedName>
    <definedName name="list">#REF!</definedName>
    <definedName name="LK">#REF!</definedName>
    <definedName name="LK_hathe">#REF!</definedName>
    <definedName name="LKHT">#REF!</definedName>
    <definedName name="Lmk">#REF!</definedName>
    <definedName name="Loai_TD">#REF!</definedName>
    <definedName name="long">#REF!</definedName>
    <definedName name="Long1">#REF!</definedName>
    <definedName name="ltre">#REF!</definedName>
    <definedName name="LUONG">#REF!</definedName>
    <definedName name="luuthong">#REF!</definedName>
    <definedName name="lVC">#REF!</definedName>
    <definedName name="m">#REF!</definedName>
    <definedName name="M_1">#REF!</definedName>
    <definedName name="M_2">#REF!</definedName>
    <definedName name="M0.4">#REF!</definedName>
    <definedName name="M12ba3p">#REF!</definedName>
    <definedName name="M12bb1p">#REF!</definedName>
    <definedName name="M12cbnc">#REF!</definedName>
    <definedName name="M12cbvl">#REF!</definedName>
    <definedName name="M14bb1p">#REF!</definedName>
    <definedName name="m8aanc">#REF!</definedName>
    <definedName name="m8aavl">#REF!</definedName>
    <definedName name="MA_KH">#REF!</definedName>
    <definedName name="Ma3pnc">#REF!</definedName>
    <definedName name="Ma3pvl">#REF!</definedName>
    <definedName name="Maa3pnc">#REF!</definedName>
    <definedName name="Maa3pvl">#REF!</definedName>
    <definedName name="MACTANG_BD">#REF!</definedName>
    <definedName name="MACTANG_HT_BD">#REF!</definedName>
    <definedName name="MACTANG_HT_KT">#REF!</definedName>
    <definedName name="MACTANG_KT">#REF!</definedName>
    <definedName name="MAJ_CON_EQP">#REF!</definedName>
    <definedName name="Mar">#REF!</definedName>
    <definedName name="marginal_tax" localSheetId="0">#REF!</definedName>
    <definedName name="marginal_tax" localSheetId="28">[12]DCF!$G$7</definedName>
    <definedName name="marginal_tax" localSheetId="51">[6]DCF!$G$7</definedName>
    <definedName name="marginal_tax">DCF!$G$7</definedName>
    <definedName name="Materials" localSheetId="0">#REF!</definedName>
    <definedName name="Materials" localSheetId="28">#REF!</definedName>
    <definedName name="Materials" localSheetId="68">#REF!</definedName>
    <definedName name="Materials" localSheetId="51">#REF!</definedName>
    <definedName name="Materials">#REF!</definedName>
    <definedName name="MAVANKHUON">#REF!</definedName>
    <definedName name="MAVLTHDN">#REF!</definedName>
    <definedName name="MAY">#REF!</definedName>
    <definedName name="Mba1p">#REF!</definedName>
    <definedName name="Mba3p">#REF!</definedName>
    <definedName name="Mbb3p">#REF!</definedName>
    <definedName name="Mbn1p">#REF!</definedName>
    <definedName name="mc">#REF!</definedName>
    <definedName name="me">#REF!</definedName>
    <definedName name="MG_A">#REF!</definedName>
    <definedName name="mh_s">#REF!</definedName>
    <definedName name="MHDM">#REF!</definedName>
    <definedName name="MN">#REF!</definedName>
    <definedName name="MONG">#REF!</definedName>
    <definedName name="month">#REF!</definedName>
    <definedName name="month2">CONCATENATE("CGM KIDO ",TEXT(#REF!,"mm")," ",YEAR(#REF!))</definedName>
    <definedName name="Moùng">#REF!</definedName>
    <definedName name="MS">#REF!</definedName>
    <definedName name="MSCT">#REF!</definedName>
    <definedName name="MTax" localSheetId="68">#REF!</definedName>
    <definedName name="MTax">#REF!</definedName>
    <definedName name="MTMAC12">#REF!</definedName>
    <definedName name="mtram">#REF!</definedName>
    <definedName name="mvt_b">#REF!</definedName>
    <definedName name="mvt_k">#REF!</definedName>
    <definedName name="mvt_n">#REF!</definedName>
    <definedName name="mvt_t">#REF!</definedName>
    <definedName name="n">#REF!</definedName>
    <definedName name="n1pig">#REF!</definedName>
    <definedName name="N1pIGvc">#REF!</definedName>
    <definedName name="n1pind">#REF!</definedName>
    <definedName name="N1pINDvc">#REF!</definedName>
    <definedName name="n1ping">#REF!</definedName>
    <definedName name="N1pINGvc">#REF!</definedName>
    <definedName name="n1pint">#REF!</definedName>
    <definedName name="Nam">#REF!</definedName>
    <definedName name="name">[8]inputs!$F$8</definedName>
    <definedName name="NC">#REF!</definedName>
    <definedName name="nc_btm10">#REF!</definedName>
    <definedName name="nc1p">#REF!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100">#REF!</definedName>
    <definedName name="NCBD200">#REF!</definedName>
    <definedName name="NCBD250">#REF!</definedName>
    <definedName name="NCBTN">#REF!</definedName>
    <definedName name="NCcap0.7">#REF!</definedName>
    <definedName name="NCcap1">#REF!</definedName>
    <definedName name="NCCT3p">#REF!</definedName>
    <definedName name="NCKT">#REF!</definedName>
    <definedName name="nctram">#REF!</definedName>
    <definedName name="NCVC100">#REF!</definedName>
    <definedName name="NCVC200">#REF!</definedName>
    <definedName name="NCVC250">#REF!</definedName>
    <definedName name="NCVC3P">#REF!</definedName>
    <definedName name="NenCPDD">#REF!</definedName>
    <definedName name="NET">#REF!</definedName>
    <definedName name="NET_1">#REF!</definedName>
    <definedName name="NET_ANA">#REF!</definedName>
    <definedName name="NET_ANA_1">#REF!</definedName>
    <definedName name="NET_ANA_2">#REF!</definedName>
    <definedName name="New_L">#REF!</definedName>
    <definedName name="NewPOS">#REF!</definedName>
    <definedName name="ngan">{"Thuxm2.xls","Sheet1"}</definedName>
    <definedName name="NGAØY">#REF!</definedName>
    <definedName name="ngau">#REF!</definedName>
    <definedName name="NH">#REF!</definedName>
    <definedName name="Nha">#REF!</definedName>
    <definedName name="NHAÂN_COÂNG" localSheetId="37">[0]!BTRAM</definedName>
    <definedName name="NHAÂN_COÂNG">[0]!BTRAM</definedName>
    <definedName name="nhan">#REF!</definedName>
    <definedName name="nhn">#REF!</definedName>
    <definedName name="nhom">#REF!</definedName>
    <definedName name="NHot">#REF!</definedName>
    <definedName name="nhua">#REF!</definedName>
    <definedName name="Nhucau">#REF!</definedName>
    <definedName name="nhucauvl">#REF!</definedName>
    <definedName name="nig">#REF!</definedName>
    <definedName name="nig1p">#REF!</definedName>
    <definedName name="nig3p">#REF!</definedName>
    <definedName name="NIGnc">#REF!</definedName>
    <definedName name="nignc1p">#REF!</definedName>
    <definedName name="NIGvc">#REF!</definedName>
    <definedName name="NIGvl">#REF!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c">#REF!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c">#REF!</definedName>
    <definedName name="ninvl3p">#REF!</definedName>
    <definedName name="nl">#REF!</definedName>
    <definedName name="nl1p">#REF!</definedName>
    <definedName name="nl3p">#REF!</definedName>
    <definedName name="nlnc3p">#REF!</definedName>
    <definedName name="nlnc3pha">#REF!</definedName>
    <definedName name="NLTK1p">#REF!</definedName>
    <definedName name="nlvl3p">#REF!</definedName>
    <definedName name="nn">#REF!</definedName>
    <definedName name="nn1p">#REF!</definedName>
    <definedName name="nn3p">#REF!</definedName>
    <definedName name="nnnc3p">#REF!</definedName>
    <definedName name="nnvl3p">#REF!</definedName>
    <definedName name="No">#REF!</definedName>
    <definedName name="Notes">#REF!</definedName>
    <definedName name="Nov">#REF!</definedName>
    <definedName name="NR">#REF!</definedName>
    <definedName name="o">#REF!</definedName>
    <definedName name="o_n_phÝ_1__thu_nhËp_th_ng">#REF!</definedName>
    <definedName name="ong">#REF!</definedName>
    <definedName name="OrderTable" localSheetId="19" hidden="1">#REF!</definedName>
    <definedName name="OrderTable" localSheetId="78" hidden="1">#REF!</definedName>
    <definedName name="OrderTable" localSheetId="6" hidden="1">#REF!</definedName>
    <definedName name="OrderTable" localSheetId="4" hidden="1">#REF!</definedName>
    <definedName name="OrderTable" localSheetId="68" hidden="1">#REF!</definedName>
    <definedName name="OrderTable" localSheetId="17" hidden="1">#REF!</definedName>
    <definedName name="OrderTable" localSheetId="26" hidden="1">#REF!</definedName>
    <definedName name="OrderTable" localSheetId="70" hidden="1">#REF!</definedName>
    <definedName name="OrderTable" localSheetId="71" hidden="1">#REF!</definedName>
    <definedName name="OrderTable" hidden="1">#REF!</definedName>
    <definedName name="orton">#REF!</definedName>
    <definedName name="other" localSheetId="68">#REF!</definedName>
    <definedName name="other">#REF!</definedName>
    <definedName name="oxy">#REF!</definedName>
    <definedName name="PA">#REF!</definedName>
    <definedName name="PA1_1">#REF!</definedName>
    <definedName name="pe_high" localSheetId="0">[5]Valuation!$O$14</definedName>
    <definedName name="pe_high" localSheetId="28">#REF!</definedName>
    <definedName name="pe_high" localSheetId="68">#REF!</definedName>
    <definedName name="pe_high" localSheetId="51">#REF!</definedName>
    <definedName name="pe_high">#REF!</definedName>
    <definedName name="pe_low" localSheetId="0">[5]Valuation!$M$14</definedName>
    <definedName name="pe_low" localSheetId="28">#REF!</definedName>
    <definedName name="pe_low" localSheetId="68">#REF!</definedName>
    <definedName name="pe_low" localSheetId="51">#REF!</definedName>
    <definedName name="pe_low">#REF!</definedName>
    <definedName name="period">12</definedName>
    <definedName name="pgia">#REF!</definedName>
    <definedName name="phtuyen">#REF!</definedName>
    <definedName name="phu_luc_vua">#REF!</definedName>
    <definedName name="Position">#REF!</definedName>
    <definedName name="PR">#REF!</definedName>
    <definedName name="price" localSheetId="0">[11]VCSC!$E$19</definedName>
    <definedName name="price" localSheetId="28">[12]VCSC!$E$19</definedName>
    <definedName name="PRICE" localSheetId="51">#REF!</definedName>
    <definedName name="price">VCSC!$F$21</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32">Amortization!$A$1:$P$30</definedName>
    <definedName name="_xlnm.Print_Area" localSheetId="45">BS!$1:$63</definedName>
    <definedName name="_xlnm.Print_Area" localSheetId="46">CF!$A$1:$M$38</definedName>
    <definedName name="_xlnm.Print_Area" localSheetId="0">#REF!</definedName>
    <definedName name="_xlnm.Print_Area" localSheetId="39">Equity!$A$1:$N$49</definedName>
    <definedName name="_xlnm.Print_Area" localSheetId="37">'Equity May 2020'!$A$1:$N$49</definedName>
    <definedName name="_xlnm.Print_Area" localSheetId="28">#REF!</definedName>
    <definedName name="_xlnm.Print_Area" localSheetId="47">IS!$A$1:$M$48</definedName>
    <definedName name="_xlnm.Print_Area" localSheetId="68">#REF!</definedName>
    <definedName name="_xlnm.Print_Area" localSheetId="51">#REF!</definedName>
    <definedName name="_xlnm.Print_Area" localSheetId="53">Projects!#REF!</definedName>
    <definedName name="_xlnm.Print_Area" localSheetId="48">Valuation!$A$1:$F$4</definedName>
    <definedName name="_xlnm.Print_Area">#REF!</definedName>
    <definedName name="Print_Title" localSheetId="28">#REF!</definedName>
    <definedName name="Print_Title" localSheetId="68">#REF!</definedName>
    <definedName name="Print_Title" localSheetId="51">#REF!</definedName>
    <definedName name="Print_Title">#REF!</definedName>
    <definedName name="_xlnm.Print_Titles" localSheetId="28">[7]WBS!#REF!</definedName>
    <definedName name="_xlnm.Print_Titles" localSheetId="68">[7]WBS!#REF!</definedName>
    <definedName name="_xlnm.Print_Titles" localSheetId="51">#N/A</definedName>
    <definedName name="_xlnm.Print_Titles">[7]WBS!#REF!</definedName>
    <definedName name="PRINT_TITLES_MI">#REF!</definedName>
    <definedName name="PRINTA">#REF!</definedName>
    <definedName name="PRINTB">#REF!</definedName>
    <definedName name="PRINTC">#REF!</definedName>
    <definedName name="PRO_CODE">#REF!</definedName>
    <definedName name="ProdForm" localSheetId="19" hidden="1">#REF!</definedName>
    <definedName name="ProdForm" localSheetId="78" hidden="1">#REF!</definedName>
    <definedName name="ProdForm" localSheetId="6" hidden="1">#REF!</definedName>
    <definedName name="ProdForm" localSheetId="4" hidden="1">#REF!</definedName>
    <definedName name="ProdForm" localSheetId="68" hidden="1">#REF!</definedName>
    <definedName name="ProdForm" localSheetId="17" hidden="1">#REF!</definedName>
    <definedName name="ProdForm" localSheetId="26" hidden="1">#REF!</definedName>
    <definedName name="ProdForm" localSheetId="70" hidden="1">#REF!</definedName>
    <definedName name="ProdForm" localSheetId="71" hidden="1">#REF!</definedName>
    <definedName name="ProdForm" hidden="1">#REF!</definedName>
    <definedName name="Product" localSheetId="19" hidden="1">#REF!</definedName>
    <definedName name="Product" localSheetId="78" hidden="1">#REF!</definedName>
    <definedName name="Product" localSheetId="6" hidden="1">#REF!</definedName>
    <definedName name="Product" localSheetId="4" hidden="1">#REF!</definedName>
    <definedName name="Product" localSheetId="68" hidden="1">#REF!</definedName>
    <definedName name="Product" localSheetId="17" hidden="1">#REF!</definedName>
    <definedName name="Product" localSheetId="26" hidden="1">#REF!</definedName>
    <definedName name="Product" localSheetId="70" hidden="1">#REF!</definedName>
    <definedName name="Product" localSheetId="71" hidden="1">#REF!</definedName>
    <definedName name="Product" hidden="1">#REF!</definedName>
    <definedName name="PROPOSAL">#REF!</definedName>
    <definedName name="Protex">#REF!</definedName>
    <definedName name="Province">#REF!</definedName>
    <definedName name="Ps0312_AfterClosing">#REF!</definedName>
    <definedName name="Ps0312_AfterConsol">#REF!</definedName>
    <definedName name="Ps0412_AfterConsol">#REF!</definedName>
    <definedName name="Ps0412_AfterMForm">#REF!</definedName>
    <definedName name="Ps0512_AfterClosing">#REF!</definedName>
    <definedName name="Ps0512_AfterMForm051220">#REF!</definedName>
    <definedName name="PST">#REF!</definedName>
    <definedName name="pt">#REF!</definedName>
    <definedName name="PT_Duong">#REF!</definedName>
    <definedName name="ptdg">#REF!</definedName>
    <definedName name="PTDG_cau">#REF!</definedName>
    <definedName name="ptdg_cong">#REF!</definedName>
    <definedName name="ptdg_duong">#REF!</definedName>
    <definedName name="PtichDTL">[0]!PtichDTL</definedName>
    <definedName name="QC" localSheetId="68">#REF!</definedName>
    <definedName name="QC">#REF!</definedName>
    <definedName name="qh">#REF!</definedName>
    <definedName name="Quantities">#REF!</definedName>
    <definedName name="QWDASD" hidden="1">{"'Sheet1'!$L$16"}</definedName>
    <definedName name="ra11p">#REF!</definedName>
    <definedName name="ra13p">#REF!</definedName>
    <definedName name="RCArea" localSheetId="19" hidden="1">#REF!</definedName>
    <definedName name="RCArea" localSheetId="78" hidden="1">#REF!</definedName>
    <definedName name="RCArea" localSheetId="6" hidden="1">#REF!</definedName>
    <definedName name="RCArea" localSheetId="4" hidden="1">#REF!</definedName>
    <definedName name="RCArea" localSheetId="68" hidden="1">#REF!</definedName>
    <definedName name="RCArea" localSheetId="17" hidden="1">#REF!</definedName>
    <definedName name="RCArea" localSheetId="26" hidden="1">#REF!</definedName>
    <definedName name="RCArea" localSheetId="70" hidden="1">#REF!</definedName>
    <definedName name="RCArea" localSheetId="71" hidden="1">#REF!</definedName>
    <definedName name="RCArea" hidden="1">#REF!</definedName>
    <definedName name="Rd" localSheetId="0">#REF!</definedName>
    <definedName name="Rd" localSheetId="28">#REF!</definedName>
    <definedName name="Rd">DCF!$G$4</definedName>
    <definedName name="Re" localSheetId="0">#REF!</definedName>
    <definedName name="Re" localSheetId="28">[12]DCF!$G$5</definedName>
    <definedName name="Re">DCF!$G$5</definedName>
    <definedName name="_xlnm.Recorder">#REF!</definedName>
    <definedName name="RECOUT">#N/A</definedName>
    <definedName name="regent">#REF!</definedName>
    <definedName name="Region">#REF!</definedName>
    <definedName name="relocation" localSheetId="0">#REF!</definedName>
    <definedName name="relocation" localSheetId="28">#REF!</definedName>
    <definedName name="relocation" localSheetId="68">#REF!</definedName>
    <definedName name="relocation" localSheetId="51">#REF!</definedName>
    <definedName name="relocation">#REF!</definedName>
    <definedName name="RFP003A">#REF!</definedName>
    <definedName name="RFP003B">#REF!</definedName>
    <definedName name="RFP003C">#REF!</definedName>
    <definedName name="RFP003D">#REF!</definedName>
    <definedName name="RFP003E">#REF!</definedName>
    <definedName name="RFP003F">#REF!</definedName>
    <definedName name="River">#REF!</definedName>
    <definedName name="River_Code">#REF!</definedName>
    <definedName name="Road_Code">#REF!</definedName>
    <definedName name="Road_Name">#REF!</definedName>
    <definedName name="RoadNo_373">#REF!</definedName>
    <definedName name="ROUND">1</definedName>
    <definedName name="s">#REF!</definedName>
    <definedName name="S_1">#REF!</definedName>
    <definedName name="S_2">#REF!</definedName>
    <definedName name="saa" hidden="1">{"'Sheet1'!$L$16"}</definedName>
    <definedName name="saasad">{"'Sheet1'!$L$16"}</definedName>
    <definedName name="SADSAD">{"'Sheet1'!$L$16"}</definedName>
    <definedName name="SÆ">#REF!</definedName>
    <definedName name="SASAS" hidden="1">{"'Sheet1'!$L$16"}</definedName>
    <definedName name="Sau">#REF!</definedName>
    <definedName name="SCCR">#REF!</definedName>
    <definedName name="SCDT">#REF!</definedName>
    <definedName name="SCH">#REF!</definedName>
    <definedName name="SCHEDULE" localSheetId="28">#REF!</definedName>
    <definedName name="SCHEDULE" localSheetId="68">#REF!</definedName>
    <definedName name="SCHEDULE">#REF!</definedName>
    <definedName name="sd1p">#REF!</definedName>
    <definedName name="sdcuoi_co">#REF!</definedName>
    <definedName name="sdcuoi_no">#REF!</definedName>
    <definedName name="sddau_co">#REF!</definedName>
    <definedName name="sddau_no">#REF!</definedName>
    <definedName name="SDDSD" hidden="1">{"'Sheet1'!$L$16"}</definedName>
    <definedName name="SDMONG">#REF!</definedName>
    <definedName name="seminar" localSheetId="28">#REF!</definedName>
    <definedName name="seminar" localSheetId="68">#REF!</definedName>
    <definedName name="seminar">#REF!</definedName>
    <definedName name="Sen" localSheetId="68">#REF!</definedName>
    <definedName name="Sen">#REF!</definedName>
    <definedName name="Sensation">#REF!</definedName>
    <definedName name="Sensitivity" localSheetId="0">#REF!</definedName>
    <definedName name="Sensitivity" localSheetId="28">#REF!</definedName>
    <definedName name="Sensitivity">DCF!$S$13:$T$23</definedName>
    <definedName name="Sep">#REF!</definedName>
    <definedName name="SFC" localSheetId="78" hidden="1">[2]Sheet1!#REF!</definedName>
    <definedName name="SFC" localSheetId="0" hidden="1">[2]Sheet1!#REF!</definedName>
    <definedName name="SFC" localSheetId="28" hidden="1">[2]Sheet1!#REF!</definedName>
    <definedName name="SFC" localSheetId="68" hidden="1">[2]Sheet1!#REF!</definedName>
    <definedName name="SFC" localSheetId="51" hidden="1">[1]Sheet1!#REF!</definedName>
    <definedName name="SFC" hidden="1">[2]Sheet1!#REF!</definedName>
    <definedName name="shares" localSheetId="0">[11]VCSC!$E$25</definedName>
    <definedName name="shares" localSheetId="28">[12]VCSC!$E$25</definedName>
    <definedName name="shares" localSheetId="51">[6]VCSC!$F$26</definedName>
    <definedName name="shares">VCSC!$F$26</definedName>
    <definedName name="Sheet1">#REF!</definedName>
    <definedName name="SheetName">"[Bao_cao_cua_NVTK_tai_NPP_bieu_mau_moi_4___Mau_moi.xls]~         "</definedName>
    <definedName name="sht1p">#REF!</definedName>
    <definedName name="SIZE">#REF!</definedName>
    <definedName name="SKUcoverage">#REF!</definedName>
    <definedName name="sl_BN">#REF!</definedName>
    <definedName name="SL_CRD">#REF!</definedName>
    <definedName name="SL_CRS">#REF!</definedName>
    <definedName name="SL_CS">#REF!</definedName>
    <definedName name="SL_DD">#REF!</definedName>
    <definedName name="sl_n">#REF!</definedName>
    <definedName name="sl_QV">#REF!</definedName>
    <definedName name="sl_t">#REF!</definedName>
    <definedName name="sl_TD">#REF!</definedName>
    <definedName name="sl_TS">#REF!</definedName>
    <definedName name="sl_TX">#REF!</definedName>
    <definedName name="sl_YP">#REF!</definedName>
    <definedName name="slk">#REF!</definedName>
    <definedName name="sll">#REF!</definedName>
    <definedName name="soc3p">#REF!</definedName>
    <definedName name="Soi">#REF!</definedName>
    <definedName name="soichon12">#REF!</definedName>
    <definedName name="soichon24">#REF!</definedName>
    <definedName name="soichon46">#REF!</definedName>
    <definedName name="solieu">#REF!</definedName>
    <definedName name="SORT">#REF!</definedName>
    <definedName name="SPAN">#REF!</definedName>
    <definedName name="SPAN_No">#REF!</definedName>
    <definedName name="SPEC">#REF!</definedName>
    <definedName name="SpecialPrice" localSheetId="78" hidden="1">#REF!</definedName>
    <definedName name="SpecialPrice" localSheetId="6" hidden="1">#REF!</definedName>
    <definedName name="SpecialPrice" localSheetId="4" hidden="1">#REF!</definedName>
    <definedName name="SpecialPrice" localSheetId="68" hidden="1">#REF!</definedName>
    <definedName name="SpecialPrice" localSheetId="17" hidden="1">#REF!</definedName>
    <definedName name="SpecialPrice" localSheetId="26" hidden="1">#REF!</definedName>
    <definedName name="SpecialPrice" localSheetId="70" hidden="1">#REF!</definedName>
    <definedName name="SpecialPrice" localSheetId="71" hidden="1">#REF!</definedName>
    <definedName name="SpecialPrice" hidden="1">#REF!</definedName>
    <definedName name="SPECSUMMARY">#REF!</definedName>
    <definedName name="SPOT1">#N/A</definedName>
    <definedName name="st1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D">#REF!</definedName>
    <definedName name="stt">#REF!</definedName>
    <definedName name="SU">#REF!</definedName>
    <definedName name="Subheader">[8]inputs!$F$10</definedName>
    <definedName name="Subsidiary">#REF!</definedName>
    <definedName name="SUMMARY">#REF!</definedName>
    <definedName name="t">#REF!</definedName>
    <definedName name="T.nhËp">#REF!</definedName>
    <definedName name="T_HOP">#REF!</definedName>
    <definedName name="T02_DANH_MUC_CONG_VIEC">#REF!</definedName>
    <definedName name="T03_BANG_GIA_VAT_LIEU">#REF!</definedName>
    <definedName name="T09_DINH_MUC_DU_TOAN">#REF!</definedName>
    <definedName name="t101p">#REF!</definedName>
    <definedName name="t103p">#REF!</definedName>
    <definedName name="t10nc1p">#REF!</definedName>
    <definedName name="t10vl1p">#REF!</definedName>
    <definedName name="t121p">#REF!</definedName>
    <definedName name="t123p">#REF!</definedName>
    <definedName name="T12vc">#REF!</definedName>
    <definedName name="t141p">#REF!</definedName>
    <definedName name="t143p">#REF!</definedName>
    <definedName name="t14nc3p">#REF!</definedName>
    <definedName name="t14vl3p">#REF!</definedName>
    <definedName name="Table2">#REF!</definedName>
    <definedName name="tadao">#REF!</definedName>
    <definedName name="Tai_trong">#REF!</definedName>
    <definedName name="taluydac2">#REF!</definedName>
    <definedName name="taluydc1">#REF!</definedName>
    <definedName name="taluydc2">#REF!</definedName>
    <definedName name="taluydc3">#REF!</definedName>
    <definedName name="taluydc4">#REF!</definedName>
    <definedName name="Tam">#REF!</definedName>
    <definedName name="TAMTINH">#REF!</definedName>
    <definedName name="tax">#REF!</definedName>
    <definedName name="taxn">#REF!</definedName>
    <definedName name="TaxTV">10%</definedName>
    <definedName name="TaxXL">5%</definedName>
    <definedName name="TBA">#REF!</definedName>
    <definedName name="tbl_ProdInfo" localSheetId="78" hidden="1">#REF!</definedName>
    <definedName name="tbl_ProdInfo" localSheetId="6" hidden="1">#REF!</definedName>
    <definedName name="tbl_ProdInfo" localSheetId="4" hidden="1">#REF!</definedName>
    <definedName name="tbl_ProdInfo" localSheetId="68" hidden="1">#REF!</definedName>
    <definedName name="tbl_ProdInfo" localSheetId="17" hidden="1">#REF!</definedName>
    <definedName name="tbl_ProdInfo" localSheetId="26" hidden="1">#REF!</definedName>
    <definedName name="tbl_ProdInfo" localSheetId="70" hidden="1">#REF!</definedName>
    <definedName name="tbl_ProdInfo" localSheetId="71" hidden="1">#REF!</definedName>
    <definedName name="tbl_ProdInfo" hidden="1">#REF!</definedName>
    <definedName name="Tbl0312_AfterConsol">#REF!</definedName>
    <definedName name="Tbl0412_AfterClosing">#REF!</definedName>
    <definedName name="Tbl0412_AfterConsol">#REF!</definedName>
    <definedName name="Tbl0412AfterMForm">#REF!</definedName>
    <definedName name="tbtn">#REF!</definedName>
    <definedName name="tbtram">#REF!</definedName>
    <definedName name="TBV">#REF!</definedName>
    <definedName name="TBXD">#REF!</definedName>
    <definedName name="TC">#REF!</definedName>
    <definedName name="TC_NHANH1">#REF!</definedName>
    <definedName name="TD">#REF!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nc1p">#REF!</definedName>
    <definedName name="tdo">#REF!</definedName>
    <definedName name="tdtr2cnc">#REF!</definedName>
    <definedName name="tdtr2cvl">#REF!</definedName>
    <definedName name="tdvl1p">#REF!</definedName>
    <definedName name="temp">#REF!</definedName>
    <definedName name="Temp_Br">#REF!</definedName>
    <definedName name="TEMPBR">#REF!</definedName>
    <definedName name="ten">#REF!</definedName>
    <definedName name="tencongviec">#REF!</definedName>
    <definedName name="TENCT">#REF!</definedName>
    <definedName name="tenvung">#REF!</definedName>
    <definedName name="ter_g" localSheetId="68">#REF!</definedName>
    <definedName name="ter_g">#REF!</definedName>
    <definedName name="terminal_g" localSheetId="0">#REF!</definedName>
    <definedName name="terminal_g" localSheetId="28">[12]DCF!$G$6</definedName>
    <definedName name="terminal_g" localSheetId="51">[6]DCF!$G$6</definedName>
    <definedName name="terminal_g">DCF!$G$6</definedName>
    <definedName name="TEST0">#REF!</definedName>
    <definedName name="TESTHKEY">#REF!</definedName>
    <definedName name="TESTKEYS">#REF!</definedName>
    <definedName name="TESTVKEY">#REF!</definedName>
    <definedName name="TH.tinh">#REF!</definedName>
    <definedName name="TH_VKHNN">#REF!</definedName>
    <definedName name="tha" hidden="1">{"'Sheet1'!$L$16"}</definedName>
    <definedName name="than" hidden="1">{"'Sheet1'!$L$16"}</definedName>
    <definedName name="THANG01_05" localSheetId="37">[0]!BTRAM</definedName>
    <definedName name="THANG01_05">[0]!BTRAM</definedName>
    <definedName name="Thang1">#REF!</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oCauCu">#REF!</definedName>
    <definedName name="Thautinh">#REF!</definedName>
    <definedName name="Þcot">#REF!</definedName>
    <definedName name="ÞCTd4">#REF!</definedName>
    <definedName name="ÞCTt4">#REF!</definedName>
    <definedName name="Þdamd4">#REF!</definedName>
    <definedName name="Þdamt4">#REF!</definedName>
    <definedName name="THDS">#REF!</definedName>
    <definedName name="THDT_HT_DAO_THUONG">#REF!</definedName>
    <definedName name="THDT_HT_XOM_NOI">#REF!</definedName>
    <definedName name="THDT_NPP_XOM_NOI">#REF!</definedName>
    <definedName name="THDT_TBA_XOM_NOI">#REF!</definedName>
    <definedName name="thepgoc25_60">#REF!</definedName>
    <definedName name="thepgoc63_75">#REF!</definedName>
    <definedName name="thepgoc80_100">#REF!</definedName>
    <definedName name="theptron12">#REF!</definedName>
    <definedName name="theptron14_22">#REF!</definedName>
    <definedName name="theptron6_8">#REF!</definedName>
    <definedName name="THGO1pnc">#REF!</definedName>
    <definedName name="thht">#REF!</definedName>
    <definedName name="THI">#REF!</definedName>
    <definedName name="thkp3">#REF!</definedName>
    <definedName name="Þmong">#REF!</definedName>
    <definedName name="ÞNXoldk">#REF!</definedName>
    <definedName name="Thop">#REF!</definedName>
    <definedName name="THop2">#REF!</definedName>
    <definedName name="Þsan">#REF!</definedName>
    <definedName name="THT">#REF!</definedName>
    <definedName name="THToanBo">#REF!</definedName>
    <definedName name="THtoanbo2">#REF!</definedName>
    <definedName name="thtt">#REF!</definedName>
    <definedName name="ticker" localSheetId="0">[11]VCSC!$C$8</definedName>
    <definedName name="ticker" localSheetId="28">[12]VCSC!$C$8</definedName>
    <definedName name="ticker" localSheetId="51">[6]VCSC!$C$8</definedName>
    <definedName name="ticker">VCSC!$C$8</definedName>
    <definedName name="Tien">#REF!</definedName>
    <definedName name="TIEN_CO">#REF!</definedName>
    <definedName name="TIEN_NO">#REF!</definedName>
    <definedName name="TIENLUONG">#REF!</definedName>
    <definedName name="tim_xuat_hien">#REF!</definedName>
    <definedName name="TITAN">#REF!</definedName>
    <definedName name="TK">#REF!</definedName>
    <definedName name="TKP">#REF!</definedName>
    <definedName name="TL">#REF!</definedName>
    <definedName name="TLAC120">#REF!</definedName>
    <definedName name="TLAC35">#REF!</definedName>
    <definedName name="TLAC50">#REF!</definedName>
    <definedName name="TLAC70">#REF!</definedName>
    <definedName name="TLAC95">#REF!</definedName>
    <definedName name="Tle">#REF!</definedName>
    <definedName name="tluong">#REF!</definedName>
    <definedName name="TM">#REF!</definedName>
    <definedName name="TN">#REF!</definedName>
    <definedName name="TN_b_qu_n">#REF!</definedName>
    <definedName name="Toanbo">#REF!</definedName>
    <definedName name="ton">#REF!</definedName>
    <definedName name="Tong">#REF!</definedName>
    <definedName name="TONGDUTOAN">#REF!</definedName>
    <definedName name="TonghopHtxH">#REF!</definedName>
    <definedName name="TonghopHtxT">#REF!</definedName>
    <definedName name="TOP" localSheetId="0">#REF!</definedName>
    <definedName name="TOP" localSheetId="28">#REF!</definedName>
    <definedName name="TOP" localSheetId="68">#REF!</definedName>
    <definedName name="TOP" localSheetId="51">#REF!</definedName>
    <definedName name="TOP">#REF!</definedName>
    <definedName name="TOPANDBOTTOM" localSheetId="28">#REF!</definedName>
    <definedName name="TOPANDBOTTOM" localSheetId="68">#REF!</definedName>
    <definedName name="TOPANDBOTTOM">#REF!</definedName>
    <definedName name="TOTALALL" localSheetId="28">#REF!</definedName>
    <definedName name="TOTALALL" localSheetId="68">#REF!</definedName>
    <definedName name="TOTALALL">#REF!</definedName>
    <definedName name="totalpage1" localSheetId="28">[7]WBS!#REF!</definedName>
    <definedName name="totalpage1" localSheetId="68">[7]WBS!#REF!</definedName>
    <definedName name="totalpage1">[7]WBS!#REF!</definedName>
    <definedName name="totalpage1a" localSheetId="0">#REF!</definedName>
    <definedName name="totalpage1a" localSheetId="28">#REF!</definedName>
    <definedName name="totalpage1a" localSheetId="68">#REF!</definedName>
    <definedName name="totalpage1a" localSheetId="51">#REF!</definedName>
    <definedName name="totalpage1a">#REF!</definedName>
    <definedName name="totalpage1b" localSheetId="28">#REF!</definedName>
    <definedName name="totalpage1b" localSheetId="68">#REF!</definedName>
    <definedName name="totalpage1b">#REF!</definedName>
    <definedName name="totalpage2" localSheetId="28">[7]WBS!#REF!</definedName>
    <definedName name="totalpage2" localSheetId="68">[7]WBS!#REF!</definedName>
    <definedName name="totalpage2">[7]WBS!#REF!</definedName>
    <definedName name="totalpage2a" localSheetId="0">#REF!</definedName>
    <definedName name="totalpage2a" localSheetId="28">#REF!</definedName>
    <definedName name="totalpage2a" localSheetId="68">#REF!</definedName>
    <definedName name="totalpage2a" localSheetId="51">#REF!</definedName>
    <definedName name="totalpage2a">#REF!</definedName>
    <definedName name="totalpage2b" localSheetId="28">#REF!</definedName>
    <definedName name="totalpage2b" localSheetId="68">#REF!</definedName>
    <definedName name="totalpage2b">#REF!</definedName>
    <definedName name="totalpage3" localSheetId="28">[7]WBS!#REF!</definedName>
    <definedName name="totalpage3" localSheetId="68">[7]WBS!#REF!</definedName>
    <definedName name="totalpage3">[7]WBS!#REF!</definedName>
    <definedName name="totalpage3a" localSheetId="0">#REF!</definedName>
    <definedName name="totalpage3a" localSheetId="28">#REF!</definedName>
    <definedName name="totalpage3a" localSheetId="68">#REF!</definedName>
    <definedName name="totalpage3a" localSheetId="51">#REF!</definedName>
    <definedName name="totalpage3a">#REF!</definedName>
    <definedName name="totalpage3b" localSheetId="28">#REF!</definedName>
    <definedName name="totalpage3b" localSheetId="68">#REF!</definedName>
    <definedName name="totalpage3b">#REF!</definedName>
    <definedName name="totaltotal" localSheetId="28">[7]WBS!#REF!</definedName>
    <definedName name="totaltotal" localSheetId="68">[7]WBS!#REF!</definedName>
    <definedName name="totaltotal">[7]WBS!#REF!</definedName>
    <definedName name="TPLRP">#REF!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M">#REF!</definedName>
    <definedName name="Travel" localSheetId="0">#REF!</definedName>
    <definedName name="Travel" localSheetId="28">#REF!</definedName>
    <definedName name="Travel" localSheetId="68">#REF!</definedName>
    <definedName name="Travel" localSheetId="51">#REF!</definedName>
    <definedName name="Travel">#REF!</definedName>
    <definedName name="TRAVL">#REF!</definedName>
    <definedName name="trghjyjuytjyujiukiuloilkaefcaedafcdfdwfdwefefrdfwfwqfewf" localSheetId="78" hidden="1">#REF!</definedName>
    <definedName name="trghjyjuytjyujiukiuloilkaefcaedafcdfdwfdwefefrdfwfwqfewf" localSheetId="6" hidden="1">#REF!</definedName>
    <definedName name="trghjyjuytjyujiukiuloilkaefcaedafcdfdwfdwefefrdfwfwqfewf" localSheetId="4" hidden="1">#REF!</definedName>
    <definedName name="trghjyjuytjyujiukiuloilkaefcaedafcdfdwfdwefefrdfwfwqfewf" localSheetId="68" hidden="1">#REF!</definedName>
    <definedName name="trghjyjuytjyujiukiuloilkaefcaedafcdfdwfdwefefrdfwfwqfewf" localSheetId="17" hidden="1">#REF!</definedName>
    <definedName name="trghjyjuytjyujiukiuloilkaefcaedafcdfdwfdwefefrdfwfwqfewf" localSheetId="26" hidden="1">#REF!</definedName>
    <definedName name="trghjyjuytjyujiukiuloilkaefcaedafcdfdwfdwefefrdfwfwqfewf" localSheetId="70" hidden="1">#REF!</definedName>
    <definedName name="trghjyjuytjyujiukiuloilkaefcaedafcdfdwfdwefefrdfwfwqfewf" localSheetId="71" hidden="1">#REF!</definedName>
    <definedName name="trghjyjuytjyujiukiuloilkaefcaedafcdfdwfdwefefrdfwfwqfewf" hidden="1">#REF!</definedName>
    <definedName name="TRISO">#REF!</definedName>
    <definedName name="TROCAP">#REF!</definedName>
    <definedName name="ts">#REF!</definedName>
    <definedName name="tsI">#REF!</definedName>
    <definedName name="TT">#REF!</definedName>
    <definedName name="TT_1P">#REF!</definedName>
    <definedName name="TT_3p">#REF!</definedName>
    <definedName name="tt_BN">#REF!</definedName>
    <definedName name="tt_n">#REF!</definedName>
    <definedName name="tt_QV">#REF!</definedName>
    <definedName name="tt_t">#REF!</definedName>
    <definedName name="tt_TD">#REF!</definedName>
    <definedName name="tt_TS">#REF!</definedName>
    <definedName name="tt_TX">#REF!</definedName>
    <definedName name="tt_YP">#REF!</definedName>
    <definedName name="ttam">#REF!</definedName>
    <definedName name="ttao">#REF!</definedName>
    <definedName name="ttbt">#REF!</definedName>
    <definedName name="tthi">#REF!</definedName>
    <definedName name="TTN">#REF!</definedName>
    <definedName name="ttronmk">#REF!</definedName>
    <definedName name="tttt">#REF!</definedName>
    <definedName name="TTVAn5">#REF!</definedName>
    <definedName name="TuVan">#REF!</definedName>
    <definedName name="TV">#REF!</definedName>
    <definedName name="tv75nc">#REF!</definedName>
    <definedName name="tv75vl">#REF!</definedName>
    <definedName name="Twister">#REF!</definedName>
    <definedName name="TXL">[0]!TXL</definedName>
    <definedName name="ty_le">#REF!</definedName>
    <definedName name="ty_le_BTN">#REF!</definedName>
    <definedName name="Ty_le1">#REF!</definedName>
    <definedName name="Type_1">#REF!</definedName>
    <definedName name="Type_2">#REF!</definedName>
    <definedName name="U_tien">#REF!</definedName>
    <definedName name="unit" localSheetId="0">[11]VCSC!$E$9</definedName>
    <definedName name="unit" localSheetId="28">[12]VCSC!$E$9</definedName>
    <definedName name="unit" localSheetId="51">[6]VCSC!$E$9</definedName>
    <definedName name="unit">VCSC!$E$9</definedName>
    <definedName name="ut">#REF!</definedName>
    <definedName name="UT_1">#REF!</definedName>
    <definedName name="UT1_373">#REF!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ÄT_LIEÄU">"ATRAM"</definedName>
    <definedName name="value">3</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Dam">#REF!</definedName>
    <definedName name="VARIINST">#REF!</definedName>
    <definedName name="VARIPURC">#REF!</definedName>
    <definedName name="VAS">#REF!</definedName>
    <definedName name="VAT">#REF!</definedName>
    <definedName name="Vat_tu">#REF!</definedName>
    <definedName name="VatTuTungHangMuc">#REF!</definedName>
    <definedName name="vbtchongnuocm300">#REF!</definedName>
    <definedName name="vbtm150">#REF!</definedName>
    <definedName name="vbtm300">#REF!</definedName>
    <definedName name="vbtm400">#REF!</definedName>
    <definedName name="VC">#REF!</definedName>
    <definedName name="vccatv">#REF!</definedName>
    <definedName name="vccot">#REF!</definedName>
    <definedName name="vccott">#REF!</definedName>
    <definedName name="vccottt">#REF!</definedName>
    <definedName name="vcda">#REF!</definedName>
    <definedName name="vcdatc2">#REF!</definedName>
    <definedName name="vcdatc3">#REF!</definedName>
    <definedName name="vcday">#REF!</definedName>
    <definedName name="vcdctc">#REF!</definedName>
    <definedName name="vcg">#REF!</definedName>
    <definedName name="vcgo">#REF!</definedName>
    <definedName name="VCHT">#REF!</definedName>
    <definedName name="vcn">#REF!</definedName>
    <definedName name="VCPBKKC">#REF!</definedName>
    <definedName name="vcpk">#REF!</definedName>
    <definedName name="VCPTHGV">#REF!</definedName>
    <definedName name="vcsu">#REF!</definedName>
    <definedName name="vctb">#REF!</definedName>
    <definedName name="vctmong">#REF!</definedName>
    <definedName name="vctre">#REF!</definedName>
    <definedName name="vcxm">#REF!</definedName>
    <definedName name="vd3p">#REF!</definedName>
    <definedName name="versionno">1</definedName>
    <definedName name="VincomThaoDien" hidden="1">#REF!</definedName>
    <definedName name="vkcauthang">#REF!</definedName>
    <definedName name="vksan">#REF!</definedName>
    <definedName name="vl">#REF!</definedName>
    <definedName name="vl1p">#REF!</definedName>
    <definedName name="vl3p">#REF!</definedName>
    <definedName name="Vlcap0.7">#REF!</definedName>
    <definedName name="VLcap1">#REF!</definedName>
    <definedName name="VLCT3p">#REF!</definedName>
    <definedName name="vldn400">#REF!</definedName>
    <definedName name="vldn600">#REF!</definedName>
    <definedName name="VLIEU">#REF!</definedName>
    <definedName name="vltram">#REF!</definedName>
    <definedName name="Von.KL">#REF!</definedName>
    <definedName name="vr3p">#REF!</definedName>
    <definedName name="VT">#REF!</definedName>
    <definedName name="Vtax1">#REF!</definedName>
    <definedName name="vungdcd">#REF!</definedName>
    <definedName name="vungdcl">#REF!</definedName>
    <definedName name="vungnhapk">#REF!</definedName>
    <definedName name="vungnhapl">#REF!</definedName>
    <definedName name="vungxuatk">#REF!</definedName>
    <definedName name="vungxuatl">#REF!</definedName>
    <definedName name="vxuan">#REF!</definedName>
    <definedName name="W">#REF!</definedName>
    <definedName name="WACC" localSheetId="0">#REF!</definedName>
    <definedName name="WACC" localSheetId="28">#REF!</definedName>
    <definedName name="WACC">DCF!$D$33</definedName>
    <definedName name="wrn.chi._.tiÆt." localSheetId="19" hidden="1">{#N/A,#N/A,FALSE,"Chi tiÆt"}</definedName>
    <definedName name="wrn.chi._.tiÆt." localSheetId="0" hidden="1">{#N/A,#N/A,FALSE,"Chi tiÆt"}</definedName>
    <definedName name="wrn.chi._.tiÆt." localSheetId="28" hidden="1">{#N/A,#N/A,FALSE,"Chi tiÆt"}</definedName>
    <definedName name="wrn.chi._.tiÆt." localSheetId="51" hidden="1">{#N/A,#N/A,FALSE,"Chi tiÆt"}</definedName>
    <definedName name="wrn.chi._.tiÆt." hidden="1">{#N/A,#N/A,FALSE,"Chi tiÆt"}</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vd." localSheetId="19" hidden="1">{#N/A,#N/A,TRUE,"BT M200 da 10x20"}</definedName>
    <definedName name="wrn.vd." localSheetId="0" hidden="1">{#N/A,#N/A,TRUE,"BT M200 da 10x20"}</definedName>
    <definedName name="wrn.vd." localSheetId="28" hidden="1">{#N/A,#N/A,TRUE,"BT M200 da 10x20"}</definedName>
    <definedName name="wrn.vd." localSheetId="51" hidden="1">{#N/A,#N/A,TRUE,"BT M200 da 10x20"}</definedName>
    <definedName name="wrn.vd." hidden="1">{#N/A,#N/A,TRUE,"BT M200 da 10x20"}</definedName>
    <definedName name="WSWSA" hidden="1">{"'Sheet1'!$L$16"}</definedName>
    <definedName name="X">#REF!</definedName>
    <definedName name="x1pind">#REF!</definedName>
    <definedName name="X1pINDvc">#REF!</definedName>
    <definedName name="x1ping">#REF!</definedName>
    <definedName name="X1pINGvc">#REF!</definedName>
    <definedName name="x1pint">#REF!</definedName>
    <definedName name="XCCT">0.5</definedName>
    <definedName name="xfco">#REF!</definedName>
    <definedName name="xfco3p">#REF!</definedName>
    <definedName name="xfcotnc">#REF!</definedName>
    <definedName name="xfcotvl">#REF!</definedName>
    <definedName name="xh">#REF!</definedName>
    <definedName name="xhn">#REF!</definedName>
    <definedName name="xig">#REF!</definedName>
    <definedName name="xig1">#REF!</definedName>
    <definedName name="xig1p">#REF!</definedName>
    <definedName name="xig3p">#REF!</definedName>
    <definedName name="xignc3p">#REF!</definedName>
    <definedName name="XIGvc">#REF!</definedName>
    <definedName name="xigvl3p">#REF!</definedName>
    <definedName name="ximang">#REF!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c">#REF!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c">#REF!</definedName>
    <definedName name="xitvl3p">#REF!</definedName>
    <definedName name="xl">#REF!</definedName>
    <definedName name="xlbs">#REF!</definedName>
    <definedName name="xlc">#REF!</definedName>
    <definedName name="xlk">#REF!</definedName>
    <definedName name="XLxa">#REF!</definedName>
    <definedName name="xmcax">#REF!</definedName>
    <definedName name="xmp40">#REF!</definedName>
    <definedName name="xn">#REF!</definedName>
    <definedName name="xoanhapk">#REF!,#REF!</definedName>
    <definedName name="xoanhapl">#REF!,#REF!</definedName>
    <definedName name="xoaxuatk">#REF!</definedName>
    <definedName name="xoaxuatl">#REF!</definedName>
    <definedName name="Y">{"'Sheet1'!$L$16"}</definedName>
    <definedName name="year" localSheetId="0">[11]VCSC!$C$10</definedName>
    <definedName name="year" localSheetId="28">[12]VCSC!$C$10</definedName>
    <definedName name="year" localSheetId="51">#REF!</definedName>
    <definedName name="year">VCSC!$C$10</definedName>
    <definedName name="Yellow2000">#REF!</definedName>
    <definedName name="yy">#REF!</definedName>
    <definedName name="z">#REF!</definedName>
    <definedName name="ZXD">#REF!</definedName>
    <definedName name="ZYX">#REF!</definedName>
    <definedName name="ZZZ">#REF!</definedName>
    <definedName name="전">#REF!</definedName>
    <definedName name="주택사업본부">#REF!</definedName>
    <definedName name="철구사업본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0" i="156" l="1"/>
  <c r="S14" i="185"/>
  <c r="R14" i="185"/>
  <c r="O14" i="185"/>
  <c r="N14" i="185"/>
  <c r="M14" i="185"/>
  <c r="L14" i="185"/>
  <c r="K14" i="185"/>
  <c r="J14" i="185"/>
  <c r="I14" i="185"/>
  <c r="H14" i="185"/>
  <c r="G14" i="185"/>
  <c r="F14" i="185"/>
  <c r="E14" i="185"/>
  <c r="D14" i="185"/>
  <c r="C14" i="185"/>
  <c r="S13" i="185"/>
  <c r="R13" i="185"/>
  <c r="O13" i="185"/>
  <c r="N13" i="185"/>
  <c r="M13" i="185"/>
  <c r="L13" i="185"/>
  <c r="K13" i="185"/>
  <c r="J13" i="185"/>
  <c r="I13" i="185"/>
  <c r="H13" i="185"/>
  <c r="G13" i="185"/>
  <c r="F13" i="185"/>
  <c r="E13" i="185"/>
  <c r="D13" i="185"/>
  <c r="C13" i="185"/>
  <c r="S12" i="185"/>
  <c r="R12" i="185"/>
  <c r="O12" i="185"/>
  <c r="N12" i="185"/>
  <c r="L12" i="185"/>
  <c r="K12" i="185"/>
  <c r="J12" i="185"/>
  <c r="I12" i="185"/>
  <c r="H12" i="185"/>
  <c r="G12" i="185"/>
  <c r="F12" i="185"/>
  <c r="E12" i="185"/>
  <c r="D12" i="185"/>
  <c r="C12" i="185"/>
  <c r="P12" i="185"/>
  <c r="Q12" i="185"/>
  <c r="P13" i="185"/>
  <c r="Q13" i="185"/>
  <c r="P14" i="185"/>
  <c r="Q14" i="185"/>
  <c r="C79" i="157" l="1"/>
  <c r="J29" i="157"/>
  <c r="C70" i="157"/>
  <c r="U5" i="100"/>
  <c r="U7" i="100"/>
  <c r="U8" i="100"/>
  <c r="U39" i="98" s="1"/>
  <c r="N37" i="178" s="1"/>
  <c r="U11" i="100"/>
  <c r="U12" i="100"/>
  <c r="U43" i="98" s="1"/>
  <c r="N39" i="178" s="1"/>
  <c r="U15" i="100"/>
  <c r="U17" i="100"/>
  <c r="U18" i="100"/>
  <c r="U9" i="100" s="1"/>
  <c r="U40" i="98" s="1"/>
  <c r="N36" i="178" s="1"/>
  <c r="U19" i="100"/>
  <c r="U20" i="100"/>
  <c r="U29" i="103" s="1"/>
  <c r="U32" i="103" s="1"/>
  <c r="U23" i="100"/>
  <c r="U24" i="100"/>
  <c r="U32" i="100"/>
  <c r="U33" i="100"/>
  <c r="U35" i="100"/>
  <c r="U46" i="100"/>
  <c r="M39" i="178"/>
  <c r="M41" i="178"/>
  <c r="U5" i="97"/>
  <c r="U13" i="97"/>
  <c r="U36" i="97" s="1"/>
  <c r="U18" i="97"/>
  <c r="U39" i="97" s="1"/>
  <c r="U28" i="97"/>
  <c r="U30" i="97"/>
  <c r="U31" i="97"/>
  <c r="U5" i="103"/>
  <c r="U9" i="103"/>
  <c r="U10" i="103"/>
  <c r="U11" i="103"/>
  <c r="U13" i="103"/>
  <c r="U14" i="103"/>
  <c r="U19" i="103"/>
  <c r="U23" i="103" s="1"/>
  <c r="U20" i="103"/>
  <c r="U22" i="103"/>
  <c r="U30" i="103"/>
  <c r="U5" i="98"/>
  <c r="U8" i="98"/>
  <c r="U11" i="98"/>
  <c r="N16" i="178" s="1"/>
  <c r="U14" i="98"/>
  <c r="N18" i="178" s="1"/>
  <c r="U15" i="98"/>
  <c r="U17" i="98"/>
  <c r="N19" i="178" s="1"/>
  <c r="U18" i="98"/>
  <c r="U20" i="98"/>
  <c r="N21" i="178" s="1"/>
  <c r="U21" i="98"/>
  <c r="N20" i="178" s="1"/>
  <c r="U22" i="98"/>
  <c r="N23" i="178" s="1"/>
  <c r="U23" i="98"/>
  <c r="N22" i="178" s="1"/>
  <c r="U24" i="98"/>
  <c r="N24" i="178" s="1"/>
  <c r="U31" i="98"/>
  <c r="U49" i="98" s="1"/>
  <c r="U34" i="98"/>
  <c r="U35" i="98"/>
  <c r="U38" i="98"/>
  <c r="U42" i="98"/>
  <c r="N41" i="178" s="1"/>
  <c r="U60" i="98"/>
  <c r="N13" i="178"/>
  <c r="N30" i="178"/>
  <c r="N33" i="178"/>
  <c r="N34" i="178"/>
  <c r="N51" i="178"/>
  <c r="N52" i="178"/>
  <c r="N53" i="178"/>
  <c r="N54" i="178"/>
  <c r="N55" i="178"/>
  <c r="N59" i="178"/>
  <c r="N63" i="178"/>
  <c r="G25" i="104"/>
  <c r="U21" i="132"/>
  <c r="V21" i="132"/>
  <c r="W21" i="132"/>
  <c r="T21" i="132"/>
  <c r="C71" i="132"/>
  <c r="C83" i="132"/>
  <c r="C70" i="132"/>
  <c r="V14" i="132"/>
  <c r="W14" i="132"/>
  <c r="V15" i="132"/>
  <c r="W15" i="132"/>
  <c r="V17" i="132"/>
  <c r="W17" i="132"/>
  <c r="V18" i="132"/>
  <c r="W18" i="132"/>
  <c r="V19" i="132"/>
  <c r="W19" i="132"/>
  <c r="V20" i="132"/>
  <c r="W20" i="132"/>
  <c r="V22" i="132"/>
  <c r="W22" i="132"/>
  <c r="V23" i="132"/>
  <c r="W23" i="132"/>
  <c r="V34" i="132"/>
  <c r="W34" i="132"/>
  <c r="V74" i="132"/>
  <c r="W74" i="132" s="1"/>
  <c r="V75" i="132"/>
  <c r="W75" i="132"/>
  <c r="V113" i="132"/>
  <c r="W113" i="132"/>
  <c r="W49" i="132"/>
  <c r="W52" i="132"/>
  <c r="W50" i="132" s="1"/>
  <c r="W54" i="132"/>
  <c r="W56" i="132"/>
  <c r="W62" i="132" s="1"/>
  <c r="W69" i="132" s="1"/>
  <c r="W59" i="132"/>
  <c r="W70" i="132"/>
  <c r="W100" i="132" s="1"/>
  <c r="V49" i="132"/>
  <c r="V56" i="132" s="1"/>
  <c r="V62" i="132" s="1"/>
  <c r="V69" i="132" s="1"/>
  <c r="V52" i="132"/>
  <c r="V50" i="132" s="1"/>
  <c r="V54" i="132"/>
  <c r="V59" i="132"/>
  <c r="V70" i="132"/>
  <c r="V100" i="132" s="1"/>
  <c r="W45" i="157"/>
  <c r="W40" i="157"/>
  <c r="Q47" i="157"/>
  <c r="R47" i="157"/>
  <c r="P47" i="157"/>
  <c r="M77" i="178"/>
  <c r="M82" i="178"/>
  <c r="M51" i="178"/>
  <c r="M52" i="178"/>
  <c r="M53" i="178"/>
  <c r="M54" i="178"/>
  <c r="M55" i="178"/>
  <c r="M59" i="178"/>
  <c r="M63" i="178"/>
  <c r="M13" i="178"/>
  <c r="M16" i="178"/>
  <c r="M18" i="178"/>
  <c r="M17" i="178" s="1"/>
  <c r="M19" i="178"/>
  <c r="M20" i="178"/>
  <c r="M21" i="178"/>
  <c r="M22" i="178"/>
  <c r="M23" i="178"/>
  <c r="M24" i="178"/>
  <c r="M30" i="178"/>
  <c r="M31" i="178"/>
  <c r="M33" i="178"/>
  <c r="M32" i="178" s="1"/>
  <c r="M34" i="178"/>
  <c r="M36" i="178"/>
  <c r="M37" i="178"/>
  <c r="D41" i="157"/>
  <c r="D40" i="157"/>
  <c r="T6" i="157"/>
  <c r="S4" i="157"/>
  <c r="P57" i="156"/>
  <c r="P83" i="156" s="1"/>
  <c r="R98" i="160"/>
  <c r="R57" i="160"/>
  <c r="Q57" i="160"/>
  <c r="Q98" i="160"/>
  <c r="Q103" i="160"/>
  <c r="Q105" i="160"/>
  <c r="P105" i="160"/>
  <c r="P63" i="160"/>
  <c r="P96" i="160"/>
  <c r="S85" i="95"/>
  <c r="S28" i="95"/>
  <c r="R5" i="95"/>
  <c r="R7" i="95"/>
  <c r="R8" i="95"/>
  <c r="R9" i="95"/>
  <c r="R35" i="95" s="1"/>
  <c r="R11" i="95"/>
  <c r="R36" i="95" s="1"/>
  <c r="R12" i="95"/>
  <c r="R13" i="95"/>
  <c r="R18" i="95"/>
  <c r="R20" i="95"/>
  <c r="R21" i="95"/>
  <c r="R11" i="103" s="1"/>
  <c r="R22" i="95"/>
  <c r="R25" i="95"/>
  <c r="R28" i="95"/>
  <c r="R31" i="95"/>
  <c r="R42" i="95"/>
  <c r="R5" i="103"/>
  <c r="R9" i="103"/>
  <c r="R12" i="103"/>
  <c r="R13" i="103"/>
  <c r="R14" i="103"/>
  <c r="R15" i="103"/>
  <c r="R19" i="103"/>
  <c r="R20" i="103"/>
  <c r="R23" i="103"/>
  <c r="R22" i="103" s="1"/>
  <c r="R28" i="103"/>
  <c r="R29" i="103"/>
  <c r="R30" i="103"/>
  <c r="R32" i="103"/>
  <c r="R35" i="103"/>
  <c r="R36" i="103"/>
  <c r="R5" i="98"/>
  <c r="R8" i="98"/>
  <c r="R11" i="98"/>
  <c r="R14" i="98"/>
  <c r="R15" i="98"/>
  <c r="R17" i="98"/>
  <c r="R18" i="98"/>
  <c r="R20" i="98"/>
  <c r="R21" i="98"/>
  <c r="R22" i="98"/>
  <c r="R23" i="98"/>
  <c r="R24" i="98"/>
  <c r="R30" i="98"/>
  <c r="R31" i="98"/>
  <c r="R49" i="98" s="1"/>
  <c r="R34" i="98"/>
  <c r="R35" i="98"/>
  <c r="R38" i="98"/>
  <c r="R39" i="98"/>
  <c r="R40" i="98"/>
  <c r="R43" i="98"/>
  <c r="R60" i="98"/>
  <c r="C115" i="157"/>
  <c r="C51" i="157"/>
  <c r="C58" i="157"/>
  <c r="C71" i="157"/>
  <c r="T76" i="157"/>
  <c r="T20" i="157"/>
  <c r="T14" i="157"/>
  <c r="T34" i="157" s="1"/>
  <c r="O52" i="157"/>
  <c r="C115" i="155"/>
  <c r="C71" i="155"/>
  <c r="C58" i="155"/>
  <c r="C51" i="155"/>
  <c r="C36" i="155"/>
  <c r="S113" i="155"/>
  <c r="S76" i="155"/>
  <c r="S75" i="155"/>
  <c r="S74" i="155"/>
  <c r="S82" i="155" s="1"/>
  <c r="S95" i="155" s="1"/>
  <c r="S70" i="155"/>
  <c r="S100" i="155" s="1"/>
  <c r="S59" i="155"/>
  <c r="S54" i="155"/>
  <c r="S49" i="155"/>
  <c r="S56" i="155" s="1"/>
  <c r="S62" i="155" s="1"/>
  <c r="S69" i="155" s="1"/>
  <c r="S35" i="155"/>
  <c r="S99" i="155" s="1"/>
  <c r="S22" i="155"/>
  <c r="S20" i="155"/>
  <c r="S18" i="155"/>
  <c r="S17" i="155"/>
  <c r="S19" i="155" s="1"/>
  <c r="S23" i="155" s="1"/>
  <c r="S15" i="155"/>
  <c r="S14" i="155"/>
  <c r="S34" i="155" s="1"/>
  <c r="R113" i="155"/>
  <c r="R76" i="155"/>
  <c r="R75" i="155"/>
  <c r="R74" i="155"/>
  <c r="R82" i="155" s="1"/>
  <c r="R95" i="155" s="1"/>
  <c r="R70" i="155"/>
  <c r="R100" i="155" s="1"/>
  <c r="R59" i="155"/>
  <c r="R54" i="155"/>
  <c r="R49" i="155"/>
  <c r="R56" i="155" s="1"/>
  <c r="R62" i="155" s="1"/>
  <c r="R69" i="155" s="1"/>
  <c r="R35" i="155"/>
  <c r="R99" i="155" s="1"/>
  <c r="R22" i="155"/>
  <c r="R20" i="155"/>
  <c r="R18" i="155"/>
  <c r="R17" i="155"/>
  <c r="R19" i="155" s="1"/>
  <c r="R23" i="155" s="1"/>
  <c r="R15" i="155"/>
  <c r="R14" i="155"/>
  <c r="R34" i="155" s="1"/>
  <c r="D48" i="168"/>
  <c r="D45" i="168"/>
  <c r="D46" i="168" s="1"/>
  <c r="D44" i="168"/>
  <c r="D37" i="168"/>
  <c r="D35" i="168"/>
  <c r="H48" i="168"/>
  <c r="H45" i="168"/>
  <c r="H46" i="168"/>
  <c r="C46" i="168"/>
  <c r="C45" i="168"/>
  <c r="C44" i="168"/>
  <c r="C42" i="168"/>
  <c r="C37" i="168"/>
  <c r="C35" i="168"/>
  <c r="G48" i="168"/>
  <c r="G46" i="168"/>
  <c r="G45" i="168"/>
  <c r="G35" i="168"/>
  <c r="C31" i="168"/>
  <c r="C30" i="168"/>
  <c r="C29" i="168"/>
  <c r="C28" i="168"/>
  <c r="C27" i="168"/>
  <c r="C25" i="168"/>
  <c r="C24" i="168"/>
  <c r="C23" i="168"/>
  <c r="C22" i="168"/>
  <c r="C21" i="168"/>
  <c r="C19" i="168"/>
  <c r="C13" i="168"/>
  <c r="C11" i="168"/>
  <c r="D24" i="168"/>
  <c r="D30" i="168" s="1"/>
  <c r="D23" i="168"/>
  <c r="D29" i="168" s="1"/>
  <c r="D22" i="168"/>
  <c r="D28" i="168" s="1"/>
  <c r="D21" i="168"/>
  <c r="D27" i="168" s="1"/>
  <c r="D19" i="168"/>
  <c r="D11" i="168"/>
  <c r="D25" i="168" s="1"/>
  <c r="H35" i="168"/>
  <c r="E45" i="168"/>
  <c r="I45" i="168"/>
  <c r="F45" i="168"/>
  <c r="J45" i="168"/>
  <c r="I11" i="168"/>
  <c r="I13" i="168" s="1"/>
  <c r="H11" i="168"/>
  <c r="H13" i="168" s="1"/>
  <c r="G11" i="168"/>
  <c r="G13" i="168" s="1"/>
  <c r="F11" i="168"/>
  <c r="E11" i="168"/>
  <c r="E13" i="168" s="1"/>
  <c r="J11" i="168"/>
  <c r="J13" i="168" s="1"/>
  <c r="E35" i="168"/>
  <c r="I35" i="168"/>
  <c r="F35" i="168"/>
  <c r="J35" i="168"/>
  <c r="I30" i="168"/>
  <c r="J29" i="168"/>
  <c r="I29" i="168"/>
  <c r="G29" i="168"/>
  <c r="F29" i="168"/>
  <c r="E24" i="168"/>
  <c r="E30" i="168" s="1"/>
  <c r="E23" i="168"/>
  <c r="E29" i="168" s="1"/>
  <c r="E22" i="168"/>
  <c r="E28" i="168" s="1"/>
  <c r="E21" i="168"/>
  <c r="E27" i="168" s="1"/>
  <c r="E19" i="168"/>
  <c r="E25" i="168" s="1"/>
  <c r="J24" i="168"/>
  <c r="J30" i="168" s="1"/>
  <c r="I24" i="168"/>
  <c r="H24" i="168"/>
  <c r="H30" i="168" s="1"/>
  <c r="G24" i="168"/>
  <c r="G30" i="168" s="1"/>
  <c r="F24" i="168"/>
  <c r="F30" i="168" s="1"/>
  <c r="J23" i="168"/>
  <c r="I23" i="168"/>
  <c r="H23" i="168"/>
  <c r="H29" i="168" s="1"/>
  <c r="G23" i="168"/>
  <c r="F23" i="168"/>
  <c r="J22" i="168"/>
  <c r="J28" i="168" s="1"/>
  <c r="I22" i="168"/>
  <c r="I28" i="168" s="1"/>
  <c r="H22" i="168"/>
  <c r="H28" i="168" s="1"/>
  <c r="G22" i="168"/>
  <c r="G28" i="168" s="1"/>
  <c r="F22" i="168"/>
  <c r="F28" i="168" s="1"/>
  <c r="I21" i="168"/>
  <c r="I27" i="168" s="1"/>
  <c r="H21" i="168"/>
  <c r="H27" i="168" s="1"/>
  <c r="G21" i="168"/>
  <c r="G27" i="168" s="1"/>
  <c r="F21" i="168"/>
  <c r="F27" i="168" s="1"/>
  <c r="J21" i="168"/>
  <c r="J27" i="168" s="1"/>
  <c r="I19" i="168"/>
  <c r="H19" i="168"/>
  <c r="G19" i="168"/>
  <c r="F19" i="168"/>
  <c r="J19" i="168"/>
  <c r="J27" i="104"/>
  <c r="J24" i="104"/>
  <c r="L63" i="178"/>
  <c r="L55" i="178"/>
  <c r="L54" i="178"/>
  <c r="L51" i="178"/>
  <c r="Q40" i="98"/>
  <c r="Q38" i="98"/>
  <c r="Q35" i="98"/>
  <c r="Q31" i="98"/>
  <c r="Q30" i="98"/>
  <c r="Q29" i="98"/>
  <c r="Q28" i="98"/>
  <c r="Q32" i="98" s="1"/>
  <c r="Q24" i="98"/>
  <c r="Q23" i="98"/>
  <c r="Q22" i="98"/>
  <c r="Q21" i="98"/>
  <c r="Q20" i="98"/>
  <c r="Q13" i="102"/>
  <c r="Q12" i="102"/>
  <c r="Q11" i="102"/>
  <c r="Q10" i="102"/>
  <c r="Q14" i="101"/>
  <c r="Q13" i="101"/>
  <c r="Q12" i="101"/>
  <c r="Q11" i="101"/>
  <c r="R13" i="99"/>
  <c r="R32" i="100"/>
  <c r="R31" i="100"/>
  <c r="Q18" i="99"/>
  <c r="Q14" i="99"/>
  <c r="R14" i="99" s="1"/>
  <c r="Q13" i="99"/>
  <c r="Q8" i="97"/>
  <c r="Q18" i="97"/>
  <c r="Q17" i="97"/>
  <c r="Q16" i="97"/>
  <c r="Q19" i="97" s="1"/>
  <c r="Q13" i="97"/>
  <c r="Q12" i="97"/>
  <c r="Q11" i="97"/>
  <c r="Q14" i="97" s="1"/>
  <c r="Q11" i="98"/>
  <c r="Q10" i="98"/>
  <c r="Q8" i="98"/>
  <c r="T44" i="172"/>
  <c r="T43" i="172"/>
  <c r="T37" i="172"/>
  <c r="S37" i="172"/>
  <c r="T36" i="172"/>
  <c r="S36" i="172"/>
  <c r="T64" i="172"/>
  <c r="S64" i="172"/>
  <c r="R64" i="172"/>
  <c r="Q64" i="172"/>
  <c r="P65" i="95"/>
  <c r="P64" i="95"/>
  <c r="P63" i="95"/>
  <c r="P62" i="95"/>
  <c r="Q65" i="95"/>
  <c r="Q64" i="95"/>
  <c r="Q63" i="95"/>
  <c r="Q62" i="95"/>
  <c r="P55" i="95"/>
  <c r="Q55" i="95"/>
  <c r="O21" i="95"/>
  <c r="N21" i="95"/>
  <c r="M21" i="95"/>
  <c r="L21" i="95"/>
  <c r="K21" i="95"/>
  <c r="J21" i="95"/>
  <c r="P21" i="95"/>
  <c r="Q21" i="95"/>
  <c r="Q22" i="95"/>
  <c r="Q36" i="103"/>
  <c r="Q7" i="98" s="1"/>
  <c r="Q32" i="103"/>
  <c r="Q30" i="103"/>
  <c r="Q29" i="103"/>
  <c r="Q28" i="103"/>
  <c r="Q23" i="103"/>
  <c r="Q20" i="103"/>
  <c r="Q22" i="103" s="1"/>
  <c r="Q19" i="103"/>
  <c r="Q15" i="103"/>
  <c r="Q12" i="103"/>
  <c r="Q9" i="103"/>
  <c r="Q33" i="100"/>
  <c r="Q18" i="100"/>
  <c r="Q17" i="100"/>
  <c r="Q19" i="100" s="1"/>
  <c r="Q13" i="100"/>
  <c r="Q11" i="100"/>
  <c r="Q42" i="98" s="1"/>
  <c r="Q10" i="100"/>
  <c r="Q41" i="98" s="1"/>
  <c r="Q9" i="100"/>
  <c r="Q8" i="100"/>
  <c r="Q39" i="98" s="1"/>
  <c r="Q7" i="100"/>
  <c r="Q28" i="95"/>
  <c r="Q25" i="95"/>
  <c r="Q20" i="95"/>
  <c r="Q18" i="95"/>
  <c r="Q13" i="95"/>
  <c r="Q12" i="95"/>
  <c r="Q8" i="95"/>
  <c r="Q7" i="95"/>
  <c r="D44" i="155"/>
  <c r="N53" i="155"/>
  <c r="O53" i="155" s="1"/>
  <c r="P53" i="155" s="1"/>
  <c r="Q53" i="155" s="1"/>
  <c r="R53" i="155" s="1"/>
  <c r="S53" i="155" s="1"/>
  <c r="F39" i="99"/>
  <c r="F38" i="99"/>
  <c r="F37" i="99"/>
  <c r="F36" i="99"/>
  <c r="F35" i="99"/>
  <c r="D31" i="99"/>
  <c r="U30" i="98" l="1"/>
  <c r="N17" i="178"/>
  <c r="N32" i="178"/>
  <c r="W82" i="132"/>
  <c r="W95" i="132" s="1"/>
  <c r="V82" i="132"/>
  <c r="V95" i="132" s="1"/>
  <c r="R15" i="95"/>
  <c r="R25" i="103"/>
  <c r="R34" i="103" s="1"/>
  <c r="Q12" i="100"/>
  <c r="Q43" i="98" s="1"/>
  <c r="Q44" i="98" s="1"/>
  <c r="Q34" i="98"/>
  <c r="Q30" i="97"/>
  <c r="Q36" i="98"/>
  <c r="Q9" i="98"/>
  <c r="Q12" i="98" s="1"/>
  <c r="Q27" i="97"/>
  <c r="Q9" i="95"/>
  <c r="Q7" i="97"/>
  <c r="Q26" i="97" s="1"/>
  <c r="S133" i="155"/>
  <c r="S123" i="155"/>
  <c r="S108" i="155"/>
  <c r="S104" i="155"/>
  <c r="R133" i="155"/>
  <c r="R104" i="155"/>
  <c r="R123" i="155"/>
  <c r="R108" i="155"/>
  <c r="D13" i="168"/>
  <c r="D31" i="168" s="1"/>
  <c r="G25" i="168"/>
  <c r="G31" i="168" s="1"/>
  <c r="H25" i="168"/>
  <c r="H37" i="168" s="1"/>
  <c r="H44" i="168" s="1"/>
  <c r="F25" i="168"/>
  <c r="F37" i="168" s="1"/>
  <c r="F44" i="168" s="1"/>
  <c r="F46" i="168" s="1"/>
  <c r="F48" i="168" s="1"/>
  <c r="E37" i="168"/>
  <c r="E44" i="168" s="1"/>
  <c r="E46" i="168" s="1"/>
  <c r="E48" i="168" s="1"/>
  <c r="E31" i="168"/>
  <c r="I25" i="168"/>
  <c r="I31" i="168" s="1"/>
  <c r="J25" i="168"/>
  <c r="F13" i="168"/>
  <c r="Q11" i="103"/>
  <c r="Q11" i="95"/>
  <c r="Q36" i="95" s="1"/>
  <c r="Q20" i="100"/>
  <c r="G53" i="135"/>
  <c r="H53" i="135" s="1"/>
  <c r="I53" i="135" s="1"/>
  <c r="J53" i="135" s="1"/>
  <c r="K53" i="135" s="1"/>
  <c r="L53" i="135" s="1"/>
  <c r="M53" i="135" s="1"/>
  <c r="N53" i="135" s="1"/>
  <c r="O53" i="135" s="1"/>
  <c r="P53" i="135" s="1"/>
  <c r="Q53" i="135" s="1"/>
  <c r="R53" i="135" s="1"/>
  <c r="S53" i="135" s="1"/>
  <c r="T53" i="135" s="1"/>
  <c r="U53" i="135" s="1"/>
  <c r="V53" i="135" s="1"/>
  <c r="F53" i="135"/>
  <c r="Q20" i="121"/>
  <c r="P20" i="121"/>
  <c r="O20" i="121"/>
  <c r="N20" i="121"/>
  <c r="L62" i="104"/>
  <c r="L61" i="104"/>
  <c r="L60" i="104"/>
  <c r="L59" i="104"/>
  <c r="N31" i="178" l="1"/>
  <c r="V104" i="132"/>
  <c r="V108" i="132"/>
  <c r="V123" i="132"/>
  <c r="W104" i="132"/>
  <c r="W108" i="132"/>
  <c r="W123" i="132"/>
  <c r="R37" i="95"/>
  <c r="R43" i="95"/>
  <c r="R58" i="98"/>
  <c r="R16" i="95"/>
  <c r="R23" i="95"/>
  <c r="G37" i="168"/>
  <c r="G44" i="168" s="1"/>
  <c r="H31" i="168"/>
  <c r="F31" i="168"/>
  <c r="I37" i="168"/>
  <c r="I44" i="168" s="1"/>
  <c r="I46" i="168" s="1"/>
  <c r="I48" i="168" s="1"/>
  <c r="J37" i="168"/>
  <c r="J44" i="168" s="1"/>
  <c r="J46" i="168" s="1"/>
  <c r="J48" i="168" s="1"/>
  <c r="J31" i="168"/>
  <c r="Q15" i="95"/>
  <c r="Q23" i="95" s="1"/>
  <c r="Q46" i="95" s="1"/>
  <c r="E22" i="183"/>
  <c r="F22" i="183" s="1"/>
  <c r="G22" i="183" s="1"/>
  <c r="H22" i="183" s="1"/>
  <c r="D22" i="183"/>
  <c r="D5" i="121"/>
  <c r="C116" i="161"/>
  <c r="D5" i="137"/>
  <c r="D5" i="176"/>
  <c r="C115" i="135"/>
  <c r="D5" i="119"/>
  <c r="D5" i="159"/>
  <c r="U118" i="133"/>
  <c r="V118" i="133" s="1"/>
  <c r="C115" i="133"/>
  <c r="C116" i="133"/>
  <c r="D5" i="133"/>
  <c r="D5" i="117"/>
  <c r="C115" i="134"/>
  <c r="R22" i="160"/>
  <c r="S22" i="160" s="1"/>
  <c r="T22" i="160" s="1"/>
  <c r="U22" i="160" s="1"/>
  <c r="U20" i="160"/>
  <c r="T20" i="160"/>
  <c r="S20" i="160"/>
  <c r="R20" i="160"/>
  <c r="S18" i="160"/>
  <c r="T18" i="160" s="1"/>
  <c r="U18" i="160" s="1"/>
  <c r="R18" i="160"/>
  <c r="R17" i="160"/>
  <c r="S17" i="160" s="1"/>
  <c r="S15" i="160"/>
  <c r="T15" i="160" s="1"/>
  <c r="U15" i="160" s="1"/>
  <c r="R15" i="160"/>
  <c r="U14" i="160"/>
  <c r="T14" i="160"/>
  <c r="S14" i="160"/>
  <c r="R14" i="160"/>
  <c r="C36" i="132"/>
  <c r="R46" i="95" l="1"/>
  <c r="R26" i="95"/>
  <c r="R61" i="98"/>
  <c r="R59" i="98"/>
  <c r="Q26" i="95"/>
  <c r="Q29" i="95" s="1"/>
  <c r="Q8" i="103" s="1"/>
  <c r="C118" i="133"/>
  <c r="S19" i="160"/>
  <c r="S23" i="160" s="1"/>
  <c r="T17" i="160"/>
  <c r="R19" i="160"/>
  <c r="R23" i="160" s="1"/>
  <c r="I68" i="183"/>
  <c r="I65" i="183"/>
  <c r="J65" i="183" s="1"/>
  <c r="I60" i="183"/>
  <c r="J60" i="183" s="1"/>
  <c r="H37" i="104"/>
  <c r="H34" i="104"/>
  <c r="H30" i="104"/>
  <c r="N52" i="156"/>
  <c r="C51" i="156"/>
  <c r="C58" i="156"/>
  <c r="D41" i="156"/>
  <c r="O8" i="98"/>
  <c r="N8" i="98"/>
  <c r="M8" i="98"/>
  <c r="L8" i="98"/>
  <c r="K8" i="98"/>
  <c r="J8" i="98"/>
  <c r="P8" i="98"/>
  <c r="O36" i="103"/>
  <c r="N36" i="103"/>
  <c r="M36" i="103"/>
  <c r="L36" i="103"/>
  <c r="K36" i="103"/>
  <c r="J36" i="103"/>
  <c r="P36" i="103"/>
  <c r="Q35" i="103" s="1"/>
  <c r="O8" i="100"/>
  <c r="N8" i="100"/>
  <c r="M8" i="100"/>
  <c r="L8" i="100"/>
  <c r="K8" i="100"/>
  <c r="J8" i="100"/>
  <c r="P8" i="100"/>
  <c r="O35" i="98"/>
  <c r="N35" i="98"/>
  <c r="M35" i="98"/>
  <c r="L35" i="98"/>
  <c r="K35" i="98"/>
  <c r="J35" i="98"/>
  <c r="P35" i="98"/>
  <c r="O21" i="98"/>
  <c r="N21" i="98"/>
  <c r="M21" i="98"/>
  <c r="L21" i="98"/>
  <c r="K21" i="98"/>
  <c r="J21" i="98"/>
  <c r="P21" i="98"/>
  <c r="S21" i="98" s="1"/>
  <c r="O23" i="98"/>
  <c r="N23" i="98"/>
  <c r="M23" i="98"/>
  <c r="L23" i="98"/>
  <c r="K23" i="98"/>
  <c r="J23" i="98"/>
  <c r="P23" i="98"/>
  <c r="S23" i="98" s="1"/>
  <c r="O24" i="98"/>
  <c r="N24" i="98"/>
  <c r="M24" i="98"/>
  <c r="L24" i="98"/>
  <c r="K24" i="98"/>
  <c r="J24" i="98"/>
  <c r="P24" i="98"/>
  <c r="O22" i="98"/>
  <c r="N22" i="98"/>
  <c r="M22" i="98"/>
  <c r="L22" i="98"/>
  <c r="K22" i="98"/>
  <c r="J22" i="98"/>
  <c r="P22" i="98"/>
  <c r="O20" i="98"/>
  <c r="N20" i="98"/>
  <c r="M20" i="98"/>
  <c r="L20" i="98"/>
  <c r="K20" i="98"/>
  <c r="J20" i="98"/>
  <c r="P20" i="98"/>
  <c r="O63" i="161"/>
  <c r="N63" i="161"/>
  <c r="M63" i="161"/>
  <c r="L63" i="161"/>
  <c r="K63" i="161"/>
  <c r="J63" i="161"/>
  <c r="I63" i="161"/>
  <c r="H63" i="161"/>
  <c r="G63" i="161"/>
  <c r="Q22" i="172"/>
  <c r="S16" i="172"/>
  <c r="R16" i="172"/>
  <c r="Q16" i="172"/>
  <c r="P16" i="172"/>
  <c r="D16" i="172"/>
  <c r="S33" i="172"/>
  <c r="R33" i="172"/>
  <c r="Q33" i="172"/>
  <c r="S32" i="172"/>
  <c r="R32" i="172"/>
  <c r="Q32" i="172"/>
  <c r="S31" i="172"/>
  <c r="R31" i="172"/>
  <c r="Q31" i="172"/>
  <c r="S30" i="172"/>
  <c r="R30" i="172"/>
  <c r="Q30" i="172"/>
  <c r="S29" i="172"/>
  <c r="R29" i="172"/>
  <c r="Q29" i="172"/>
  <c r="S28" i="172"/>
  <c r="R28" i="172"/>
  <c r="Q28" i="172"/>
  <c r="S27" i="172"/>
  <c r="R27" i="172"/>
  <c r="Q27" i="172"/>
  <c r="S26" i="172"/>
  <c r="R26" i="172"/>
  <c r="Q26" i="172"/>
  <c r="S25" i="172"/>
  <c r="R25" i="172"/>
  <c r="Q25" i="172"/>
  <c r="S24" i="172"/>
  <c r="R24" i="172"/>
  <c r="Q24" i="172"/>
  <c r="S23" i="172"/>
  <c r="R23" i="172"/>
  <c r="Q23" i="172"/>
  <c r="S21" i="172"/>
  <c r="R21" i="172"/>
  <c r="Q21" i="172"/>
  <c r="S20" i="172"/>
  <c r="R20" i="172"/>
  <c r="Q20" i="172"/>
  <c r="S19" i="172"/>
  <c r="R19" i="172"/>
  <c r="Q19" i="172"/>
  <c r="S18" i="172"/>
  <c r="R18" i="172"/>
  <c r="Q18" i="172"/>
  <c r="S17" i="172"/>
  <c r="R17" i="172"/>
  <c r="Q17" i="172"/>
  <c r="P33" i="172"/>
  <c r="P32" i="172"/>
  <c r="P31" i="172"/>
  <c r="P30" i="172"/>
  <c r="P29" i="172"/>
  <c r="P28" i="172"/>
  <c r="P27" i="172"/>
  <c r="P26" i="172"/>
  <c r="P25" i="172"/>
  <c r="P24" i="172"/>
  <c r="P23" i="172"/>
  <c r="P21" i="172"/>
  <c r="P22" i="172" s="1"/>
  <c r="P20" i="172"/>
  <c r="P19" i="172"/>
  <c r="P18" i="172"/>
  <c r="P17" i="172"/>
  <c r="O33" i="172"/>
  <c r="O32" i="172"/>
  <c r="O31" i="172"/>
  <c r="O30" i="172"/>
  <c r="O29" i="172"/>
  <c r="O28" i="172"/>
  <c r="O27" i="172"/>
  <c r="O26" i="172"/>
  <c r="O25" i="172"/>
  <c r="O24" i="172"/>
  <c r="O23" i="172"/>
  <c r="O21" i="172"/>
  <c r="O22" i="172" s="1"/>
  <c r="O20" i="172"/>
  <c r="O19" i="172"/>
  <c r="O18" i="172"/>
  <c r="O17" i="172"/>
  <c r="B33" i="172"/>
  <c r="B32" i="172"/>
  <c r="B31" i="172"/>
  <c r="B30" i="172"/>
  <c r="B29" i="172"/>
  <c r="B28" i="172"/>
  <c r="B27" i="172"/>
  <c r="B26" i="172"/>
  <c r="B25" i="172"/>
  <c r="B24" i="172"/>
  <c r="B23" i="172"/>
  <c r="B21" i="172"/>
  <c r="B20" i="172"/>
  <c r="B19" i="172"/>
  <c r="B18" i="172"/>
  <c r="B17" i="172"/>
  <c r="J60" i="184"/>
  <c r="R29" i="95" l="1"/>
  <c r="R38" i="95"/>
  <c r="S35" i="98"/>
  <c r="Q14" i="103"/>
  <c r="S24" i="98"/>
  <c r="Q13" i="103"/>
  <c r="T23" i="98"/>
  <c r="L22" i="178"/>
  <c r="T21" i="98"/>
  <c r="L20" i="178"/>
  <c r="Q30" i="95"/>
  <c r="S22" i="172"/>
  <c r="R22" i="172"/>
  <c r="U17" i="160"/>
  <c r="U19" i="160" s="1"/>
  <c r="U23" i="160" s="1"/>
  <c r="T19" i="160"/>
  <c r="T23" i="160" s="1"/>
  <c r="R8" i="103" l="1"/>
  <c r="R10" i="103" s="1"/>
  <c r="R30" i="95"/>
  <c r="R44" i="95"/>
  <c r="R39" i="95"/>
  <c r="T35" i="98"/>
  <c r="L34" i="178"/>
  <c r="Q10" i="103"/>
  <c r="T24" i="98"/>
  <c r="L24" i="178"/>
  <c r="S44" i="172"/>
  <c r="S43" i="172"/>
  <c r="B39" i="183"/>
  <c r="B50" i="183" s="1"/>
  <c r="B28" i="183"/>
  <c r="Z51" i="172"/>
  <c r="Y51" i="172"/>
  <c r="X51" i="172"/>
  <c r="AO11" i="95"/>
  <c r="W5" i="99"/>
  <c r="V71" i="95"/>
  <c r="V70" i="95"/>
  <c r="V69" i="95"/>
  <c r="V65" i="95"/>
  <c r="V83" i="95" s="1"/>
  <c r="V46" i="95"/>
  <c r="V33" i="95"/>
  <c r="V31" i="95"/>
  <c r="U71" i="95"/>
  <c r="U65" i="95"/>
  <c r="U77" i="95" s="1"/>
  <c r="U46" i="95"/>
  <c r="U31" i="95"/>
  <c r="S76" i="157"/>
  <c r="S20" i="157"/>
  <c r="S14" i="157"/>
  <c r="S34" i="157" s="1"/>
  <c r="R76" i="157"/>
  <c r="R20" i="157"/>
  <c r="R14" i="157"/>
  <c r="R34" i="157" s="1"/>
  <c r="W51" i="172"/>
  <c r="V51" i="172"/>
  <c r="U51" i="172"/>
  <c r="P18" i="99"/>
  <c r="O25" i="95"/>
  <c r="N25" i="95"/>
  <c r="M25" i="95"/>
  <c r="L25" i="95"/>
  <c r="K25" i="95"/>
  <c r="J25" i="95"/>
  <c r="P25" i="95"/>
  <c r="O22" i="95"/>
  <c r="N22" i="95"/>
  <c r="M22" i="95"/>
  <c r="L22" i="95"/>
  <c r="K22" i="95"/>
  <c r="J22" i="95"/>
  <c r="P22" i="95"/>
  <c r="O20" i="95"/>
  <c r="N20" i="95"/>
  <c r="M20" i="95"/>
  <c r="L20" i="95"/>
  <c r="K20" i="95"/>
  <c r="J20" i="95"/>
  <c r="P20" i="95"/>
  <c r="O18" i="95"/>
  <c r="N18" i="95"/>
  <c r="M18" i="95"/>
  <c r="L18" i="95"/>
  <c r="K18" i="95"/>
  <c r="J18" i="95"/>
  <c r="P18" i="95"/>
  <c r="O13" i="95"/>
  <c r="N13" i="95"/>
  <c r="M13" i="95"/>
  <c r="L13" i="95"/>
  <c r="K13" i="95"/>
  <c r="J13" i="95"/>
  <c r="O12" i="95"/>
  <c r="N12" i="95"/>
  <c r="M12" i="95"/>
  <c r="L12" i="95"/>
  <c r="K12" i="95"/>
  <c r="J12" i="95"/>
  <c r="P13" i="95"/>
  <c r="P12" i="95"/>
  <c r="O8" i="95"/>
  <c r="N8" i="95"/>
  <c r="M8" i="95"/>
  <c r="L8" i="95"/>
  <c r="K8" i="95"/>
  <c r="J8" i="95"/>
  <c r="P8" i="95"/>
  <c r="P8" i="97" s="1"/>
  <c r="O7" i="95"/>
  <c r="N7" i="95"/>
  <c r="M7" i="95"/>
  <c r="L7" i="95"/>
  <c r="K7" i="95"/>
  <c r="J7" i="95"/>
  <c r="P7" i="95"/>
  <c r="P7" i="97" s="1"/>
  <c r="O28" i="95"/>
  <c r="O85" i="95" s="1"/>
  <c r="N28" i="95"/>
  <c r="N85" i="95" s="1"/>
  <c r="M28" i="95"/>
  <c r="M85" i="95" s="1"/>
  <c r="L28" i="95"/>
  <c r="L85" i="95" s="1"/>
  <c r="K28" i="95"/>
  <c r="K85" i="95" s="1"/>
  <c r="J28" i="95"/>
  <c r="J85" i="95" s="1"/>
  <c r="P28" i="95"/>
  <c r="P85" i="95" s="1"/>
  <c r="P86" i="95" l="1"/>
  <c r="P87" i="95" s="1"/>
  <c r="Q87" i="95" s="1"/>
  <c r="R87" i="95" s="1"/>
  <c r="S87" i="95" s="1"/>
  <c r="T87" i="95" s="1"/>
  <c r="U87" i="95" s="1"/>
  <c r="V87" i="95" s="1"/>
  <c r="V77" i="95"/>
  <c r="U83" i="95"/>
  <c r="D22" i="104" l="1"/>
  <c r="E22" i="104" s="1"/>
  <c r="K62" i="104"/>
  <c r="K61" i="104"/>
  <c r="K60" i="104"/>
  <c r="K59" i="104"/>
  <c r="F46" i="175"/>
  <c r="F17" i="175" s="1"/>
  <c r="E104" i="104"/>
  <c r="C115" i="137"/>
  <c r="C63" i="137"/>
  <c r="C71" i="137"/>
  <c r="C58" i="137"/>
  <c r="C51" i="137"/>
  <c r="T50" i="137"/>
  <c r="U50" i="137"/>
  <c r="W118" i="137"/>
  <c r="V118" i="137"/>
  <c r="S118" i="137"/>
  <c r="R118" i="137"/>
  <c r="R113" i="137"/>
  <c r="S113" i="137" s="1"/>
  <c r="T113" i="137" s="1"/>
  <c r="U113" i="137" s="1"/>
  <c r="V113" i="137" s="1"/>
  <c r="W113" i="137" s="1"/>
  <c r="R99" i="137"/>
  <c r="W76" i="137"/>
  <c r="V76" i="137"/>
  <c r="U76" i="137"/>
  <c r="T76" i="137"/>
  <c r="S76" i="137"/>
  <c r="R76" i="137"/>
  <c r="W75" i="137"/>
  <c r="V75" i="137"/>
  <c r="U75" i="137"/>
  <c r="T75" i="137"/>
  <c r="S75" i="137"/>
  <c r="R75" i="137"/>
  <c r="R74" i="137"/>
  <c r="R82" i="137" s="1"/>
  <c r="R95" i="137" s="1"/>
  <c r="W70" i="137"/>
  <c r="W100" i="137" s="1"/>
  <c r="V70" i="137"/>
  <c r="V100" i="137" s="1"/>
  <c r="U70" i="137"/>
  <c r="U100" i="137" s="1"/>
  <c r="T70" i="137"/>
  <c r="T100" i="137" s="1"/>
  <c r="S70" i="137"/>
  <c r="S100" i="137" s="1"/>
  <c r="R70" i="137"/>
  <c r="R100" i="137" s="1"/>
  <c r="W59" i="137"/>
  <c r="V59" i="137"/>
  <c r="U59" i="137"/>
  <c r="T59" i="137"/>
  <c r="S59" i="137"/>
  <c r="R59" i="137"/>
  <c r="W54" i="137"/>
  <c r="V54" i="137"/>
  <c r="U54" i="137"/>
  <c r="T54" i="137"/>
  <c r="S54" i="137"/>
  <c r="R54" i="137"/>
  <c r="W53" i="137"/>
  <c r="V53" i="137"/>
  <c r="U53" i="137"/>
  <c r="T53" i="137"/>
  <c r="S53" i="137"/>
  <c r="R53" i="137"/>
  <c r="R49" i="137"/>
  <c r="R56" i="137" s="1"/>
  <c r="R62" i="137" s="1"/>
  <c r="R69" i="137" s="1"/>
  <c r="W35" i="137"/>
  <c r="W99" i="137" s="1"/>
  <c r="V35" i="137"/>
  <c r="V99" i="137" s="1"/>
  <c r="U35" i="137"/>
  <c r="U99" i="137" s="1"/>
  <c r="T35" i="137"/>
  <c r="T99" i="137" s="1"/>
  <c r="S35" i="137"/>
  <c r="S99" i="137" s="1"/>
  <c r="R35" i="137"/>
  <c r="V34" i="137"/>
  <c r="R22" i="137"/>
  <c r="S22" i="137" s="1"/>
  <c r="T22" i="137" s="1"/>
  <c r="U22" i="137" s="1"/>
  <c r="V22" i="137" s="1"/>
  <c r="W22" i="137" s="1"/>
  <c r="W20" i="137"/>
  <c r="V20" i="137"/>
  <c r="U20" i="137"/>
  <c r="T20" i="137"/>
  <c r="S20" i="137"/>
  <c r="R20" i="137"/>
  <c r="R18" i="137"/>
  <c r="S18" i="137" s="1"/>
  <c r="T18" i="137" s="1"/>
  <c r="U18" i="137" s="1"/>
  <c r="V18" i="137" s="1"/>
  <c r="W18" i="137" s="1"/>
  <c r="R17" i="137"/>
  <c r="W14" i="137"/>
  <c r="W34" i="137" s="1"/>
  <c r="V14" i="137"/>
  <c r="U14" i="137"/>
  <c r="U34" i="137" s="1"/>
  <c r="T14" i="137"/>
  <c r="T34" i="137" s="1"/>
  <c r="S14" i="137"/>
  <c r="S34" i="137" s="1"/>
  <c r="R14" i="137"/>
  <c r="R34" i="137" s="1"/>
  <c r="Q118" i="137"/>
  <c r="P118" i="137"/>
  <c r="O118" i="137"/>
  <c r="N118" i="137"/>
  <c r="N113" i="137"/>
  <c r="O113" i="137" s="1"/>
  <c r="P113" i="137" s="1"/>
  <c r="Q113" i="137" s="1"/>
  <c r="N99" i="137"/>
  <c r="Q76" i="137"/>
  <c r="P76" i="137"/>
  <c r="O76" i="137"/>
  <c r="N76" i="137"/>
  <c r="Q75" i="137"/>
  <c r="P75" i="137"/>
  <c r="O75" i="137"/>
  <c r="N75" i="137"/>
  <c r="N74" i="137"/>
  <c r="Q70" i="137"/>
  <c r="Q100" i="137" s="1"/>
  <c r="P70" i="137"/>
  <c r="P100" i="137" s="1"/>
  <c r="O70" i="137"/>
  <c r="O100" i="137" s="1"/>
  <c r="N70" i="137"/>
  <c r="N100" i="137" s="1"/>
  <c r="N133" i="137" s="1"/>
  <c r="Q59" i="137"/>
  <c r="P59" i="137"/>
  <c r="O59" i="137"/>
  <c r="N59" i="137"/>
  <c r="Q54" i="137"/>
  <c r="P54" i="137"/>
  <c r="O54" i="137"/>
  <c r="N54" i="137"/>
  <c r="Q53" i="137"/>
  <c r="P53" i="137"/>
  <c r="O53" i="137"/>
  <c r="N53" i="137"/>
  <c r="N52" i="137"/>
  <c r="N50" i="137" s="1"/>
  <c r="N49" i="137"/>
  <c r="N56" i="137" s="1"/>
  <c r="N62" i="137" s="1"/>
  <c r="N69" i="137" s="1"/>
  <c r="Q35" i="137"/>
  <c r="Q99" i="137" s="1"/>
  <c r="P35" i="137"/>
  <c r="P99" i="137" s="1"/>
  <c r="O35" i="137"/>
  <c r="O99" i="137" s="1"/>
  <c r="N35" i="137"/>
  <c r="Q34" i="137"/>
  <c r="P34" i="137"/>
  <c r="O34" i="137"/>
  <c r="N34" i="137"/>
  <c r="C36" i="135"/>
  <c r="C71" i="135"/>
  <c r="C58" i="135"/>
  <c r="C51" i="135"/>
  <c r="V118" i="135"/>
  <c r="V215" i="96" s="1"/>
  <c r="R118" i="135"/>
  <c r="R113" i="135"/>
  <c r="S113" i="135" s="1"/>
  <c r="T113" i="135" s="1"/>
  <c r="U113" i="135" s="1"/>
  <c r="V113" i="135" s="1"/>
  <c r="U100" i="135"/>
  <c r="S100" i="135"/>
  <c r="V99" i="135"/>
  <c r="V76" i="135"/>
  <c r="U76" i="135"/>
  <c r="T76" i="135"/>
  <c r="S76" i="135"/>
  <c r="R76" i="135"/>
  <c r="V75" i="135"/>
  <c r="U75" i="135"/>
  <c r="T75" i="135"/>
  <c r="S75" i="135"/>
  <c r="R75" i="135"/>
  <c r="R74" i="135"/>
  <c r="V70" i="135"/>
  <c r="V100" i="135" s="1"/>
  <c r="V133" i="135" s="1"/>
  <c r="U70" i="135"/>
  <c r="T70" i="135"/>
  <c r="T100" i="135" s="1"/>
  <c r="S70" i="135"/>
  <c r="R70" i="135"/>
  <c r="R100" i="135" s="1"/>
  <c r="V59" i="135"/>
  <c r="U59" i="135"/>
  <c r="T59" i="135"/>
  <c r="S59" i="135"/>
  <c r="R59" i="135"/>
  <c r="V54" i="135"/>
  <c r="U54" i="135"/>
  <c r="T54" i="135"/>
  <c r="S54" i="135"/>
  <c r="R54" i="135"/>
  <c r="R49" i="135"/>
  <c r="R56" i="135" s="1"/>
  <c r="R62" i="135" s="1"/>
  <c r="R69" i="135" s="1"/>
  <c r="V35" i="135"/>
  <c r="U35" i="135"/>
  <c r="U99" i="135" s="1"/>
  <c r="T35" i="135"/>
  <c r="T99" i="135" s="1"/>
  <c r="S35" i="135"/>
  <c r="S99" i="135" s="1"/>
  <c r="R35" i="135"/>
  <c r="R99" i="135" s="1"/>
  <c r="R22" i="135"/>
  <c r="S22" i="135" s="1"/>
  <c r="T22" i="135" s="1"/>
  <c r="U22" i="135" s="1"/>
  <c r="V22" i="135" s="1"/>
  <c r="V20" i="135"/>
  <c r="U20" i="135"/>
  <c r="T20" i="135"/>
  <c r="S20" i="135"/>
  <c r="R20" i="135"/>
  <c r="R18" i="135"/>
  <c r="S18" i="135" s="1"/>
  <c r="T18" i="135" s="1"/>
  <c r="U18" i="135" s="1"/>
  <c r="V18" i="135" s="1"/>
  <c r="S17" i="135"/>
  <c r="R17" i="135"/>
  <c r="V14" i="135"/>
  <c r="V34" i="135" s="1"/>
  <c r="U14" i="135"/>
  <c r="U34" i="135" s="1"/>
  <c r="T14" i="135"/>
  <c r="T34" i="135" s="1"/>
  <c r="S14" i="135"/>
  <c r="S34" i="135" s="1"/>
  <c r="R14" i="135"/>
  <c r="R34" i="135" s="1"/>
  <c r="C115" i="132"/>
  <c r="C58" i="132"/>
  <c r="C51" i="132"/>
  <c r="R118" i="132"/>
  <c r="R113" i="132"/>
  <c r="S113" i="132" s="1"/>
  <c r="T113" i="132" s="1"/>
  <c r="U113" i="132" s="1"/>
  <c r="R74" i="132"/>
  <c r="S74" i="132" s="1"/>
  <c r="U70" i="132"/>
  <c r="U100" i="132" s="1"/>
  <c r="T70" i="132"/>
  <c r="T100" i="132" s="1"/>
  <c r="U59" i="132"/>
  <c r="T59" i="132"/>
  <c r="S59" i="132"/>
  <c r="R59" i="132"/>
  <c r="U54" i="132"/>
  <c r="T54" i="132"/>
  <c r="S54" i="132"/>
  <c r="R54" i="132"/>
  <c r="R49" i="132"/>
  <c r="R56" i="132" s="1"/>
  <c r="R62" i="132" s="1"/>
  <c r="R69" i="132" s="1"/>
  <c r="R22" i="132"/>
  <c r="S22" i="132" s="1"/>
  <c r="T22" i="132" s="1"/>
  <c r="U22" i="132" s="1"/>
  <c r="U20" i="132"/>
  <c r="T20" i="132"/>
  <c r="S20" i="132"/>
  <c r="R20" i="132"/>
  <c r="R18" i="132"/>
  <c r="S18" i="132" s="1"/>
  <c r="T18" i="132" s="1"/>
  <c r="U18" i="132" s="1"/>
  <c r="R17" i="132"/>
  <c r="S17" i="132" s="1"/>
  <c r="U14" i="132"/>
  <c r="U34" i="132" s="1"/>
  <c r="T14" i="132"/>
  <c r="T34" i="132" s="1"/>
  <c r="S14" i="132"/>
  <c r="S34" i="132" s="1"/>
  <c r="R14" i="132"/>
  <c r="R34" i="132" s="1"/>
  <c r="C71" i="133"/>
  <c r="C58" i="133"/>
  <c r="C51" i="133"/>
  <c r="C36" i="133"/>
  <c r="S118" i="133"/>
  <c r="R118" i="133"/>
  <c r="Q118" i="133"/>
  <c r="P118" i="133"/>
  <c r="P213" i="96" s="1"/>
  <c r="P113" i="133"/>
  <c r="Q113" i="133" s="1"/>
  <c r="R113" i="133" s="1"/>
  <c r="S113" i="133" s="1"/>
  <c r="T113" i="133" s="1"/>
  <c r="U113" i="133" s="1"/>
  <c r="V113" i="133" s="1"/>
  <c r="W113" i="133" s="1"/>
  <c r="P99" i="133"/>
  <c r="W76" i="133"/>
  <c r="V76" i="133"/>
  <c r="U76" i="133"/>
  <c r="T76" i="133"/>
  <c r="S76" i="133"/>
  <c r="R76" i="133"/>
  <c r="Q76" i="133"/>
  <c r="P76" i="133"/>
  <c r="P74" i="133"/>
  <c r="Q74" i="133" s="1"/>
  <c r="P62" i="133"/>
  <c r="P69" i="133" s="1"/>
  <c r="W59" i="133"/>
  <c r="V59" i="133"/>
  <c r="U59" i="133"/>
  <c r="T59" i="133"/>
  <c r="S59" i="133"/>
  <c r="R59" i="133"/>
  <c r="Q59" i="133"/>
  <c r="P59" i="133"/>
  <c r="P56" i="133"/>
  <c r="W54" i="133"/>
  <c r="V54" i="133"/>
  <c r="U54" i="133"/>
  <c r="T54" i="133"/>
  <c r="S54" i="133"/>
  <c r="R54" i="133"/>
  <c r="Q54" i="133"/>
  <c r="P54" i="133"/>
  <c r="W53" i="133"/>
  <c r="V53" i="133"/>
  <c r="U53" i="133"/>
  <c r="T53" i="133"/>
  <c r="S53" i="133"/>
  <c r="R53" i="133"/>
  <c r="Q53" i="133"/>
  <c r="P53" i="133"/>
  <c r="P52" i="133"/>
  <c r="Q52" i="133" s="1"/>
  <c r="P50" i="133"/>
  <c r="P49" i="133"/>
  <c r="Q49" i="133" s="1"/>
  <c r="W35" i="133"/>
  <c r="W99" i="133" s="1"/>
  <c r="V35" i="133"/>
  <c r="V99" i="133" s="1"/>
  <c r="U35" i="133"/>
  <c r="U99" i="133" s="1"/>
  <c r="T35" i="133"/>
  <c r="T99" i="133" s="1"/>
  <c r="S35" i="133"/>
  <c r="S99" i="133" s="1"/>
  <c r="R35" i="133"/>
  <c r="R99" i="133" s="1"/>
  <c r="Q35" i="133"/>
  <c r="Q99" i="133" s="1"/>
  <c r="P35" i="133"/>
  <c r="W34" i="133"/>
  <c r="V34" i="133"/>
  <c r="U34" i="133"/>
  <c r="T34" i="133"/>
  <c r="S34" i="133"/>
  <c r="R34" i="133"/>
  <c r="Q34" i="133"/>
  <c r="P34" i="133"/>
  <c r="R22" i="133"/>
  <c r="S22" i="133" s="1"/>
  <c r="T22" i="133" s="1"/>
  <c r="U22" i="133" s="1"/>
  <c r="V22" i="133" s="1"/>
  <c r="W22" i="133" s="1"/>
  <c r="W20" i="133"/>
  <c r="V20" i="133"/>
  <c r="U20" i="133"/>
  <c r="T20" i="133"/>
  <c r="S20" i="133"/>
  <c r="R20" i="133"/>
  <c r="R18" i="133"/>
  <c r="S18" i="133" s="1"/>
  <c r="T18" i="133" s="1"/>
  <c r="U18" i="133" s="1"/>
  <c r="V18" i="133" s="1"/>
  <c r="W18" i="133" s="1"/>
  <c r="R17" i="133"/>
  <c r="S17" i="133" s="1"/>
  <c r="W14" i="133"/>
  <c r="V14" i="133"/>
  <c r="U14" i="133"/>
  <c r="T14" i="133"/>
  <c r="S14" i="133"/>
  <c r="R14" i="133"/>
  <c r="V320" i="96"/>
  <c r="U320" i="96"/>
  <c r="V319" i="96"/>
  <c r="U319" i="96"/>
  <c r="T319" i="96"/>
  <c r="S319" i="96"/>
  <c r="R319" i="96"/>
  <c r="V313" i="96"/>
  <c r="U313" i="96"/>
  <c r="T313" i="96"/>
  <c r="S313" i="96"/>
  <c r="V312" i="96"/>
  <c r="U312" i="96"/>
  <c r="T312" i="96"/>
  <c r="V311" i="96"/>
  <c r="U311" i="96"/>
  <c r="T311" i="96"/>
  <c r="V310" i="96"/>
  <c r="U310" i="96"/>
  <c r="T310" i="96"/>
  <c r="S310" i="96"/>
  <c r="R310" i="96"/>
  <c r="V309" i="96"/>
  <c r="U309" i="96"/>
  <c r="T309" i="96"/>
  <c r="S309" i="96"/>
  <c r="R309" i="96"/>
  <c r="V308" i="96"/>
  <c r="U308" i="96"/>
  <c r="T308" i="96"/>
  <c r="S308" i="96"/>
  <c r="R308" i="96"/>
  <c r="V307" i="96"/>
  <c r="U307" i="96"/>
  <c r="T307" i="96"/>
  <c r="S307" i="96"/>
  <c r="R307" i="96"/>
  <c r="V303" i="96"/>
  <c r="U303" i="96"/>
  <c r="V302" i="96"/>
  <c r="U302" i="96"/>
  <c r="T302" i="96"/>
  <c r="S302" i="96"/>
  <c r="S336" i="96" s="1"/>
  <c r="R302" i="96"/>
  <c r="R336" i="96" s="1"/>
  <c r="V297" i="96"/>
  <c r="U297" i="96"/>
  <c r="T297" i="96"/>
  <c r="S297" i="96"/>
  <c r="R297" i="96"/>
  <c r="V296" i="96"/>
  <c r="V330" i="96" s="1"/>
  <c r="U296" i="96"/>
  <c r="U330" i="96" s="1"/>
  <c r="T296" i="96"/>
  <c r="S296" i="96"/>
  <c r="V295" i="96"/>
  <c r="U295" i="96"/>
  <c r="U329" i="96" s="1"/>
  <c r="T295" i="96"/>
  <c r="V294" i="96"/>
  <c r="U294" i="96"/>
  <c r="U328" i="96" s="1"/>
  <c r="T294" i="96"/>
  <c r="T328" i="96" s="1"/>
  <c r="V293" i="96"/>
  <c r="U293" i="96"/>
  <c r="U327" i="96" s="1"/>
  <c r="T293" i="96"/>
  <c r="S293" i="96"/>
  <c r="R293" i="96"/>
  <c r="R327" i="96" s="1"/>
  <c r="V292" i="96"/>
  <c r="V326" i="96" s="1"/>
  <c r="U292" i="96"/>
  <c r="T292" i="96"/>
  <c r="S292" i="96"/>
  <c r="R292" i="96"/>
  <c r="R326" i="96" s="1"/>
  <c r="V291" i="96"/>
  <c r="U291" i="96"/>
  <c r="T291" i="96"/>
  <c r="T325" i="96" s="1"/>
  <c r="S291" i="96"/>
  <c r="S325" i="96" s="1"/>
  <c r="R291" i="96"/>
  <c r="V290" i="96"/>
  <c r="U290" i="96"/>
  <c r="T290" i="96"/>
  <c r="T324" i="96" s="1"/>
  <c r="S290" i="96"/>
  <c r="R290" i="96"/>
  <c r="V286" i="96"/>
  <c r="U286" i="96"/>
  <c r="V285" i="96"/>
  <c r="U285" i="96"/>
  <c r="T285" i="96"/>
  <c r="S285" i="96"/>
  <c r="R285" i="96"/>
  <c r="V280" i="96"/>
  <c r="U280" i="96"/>
  <c r="T280" i="96"/>
  <c r="S280" i="96"/>
  <c r="R280" i="96"/>
  <c r="V279" i="96"/>
  <c r="U279" i="96"/>
  <c r="T279" i="96"/>
  <c r="S279" i="96"/>
  <c r="V278" i="96"/>
  <c r="U278" i="96"/>
  <c r="T278" i="96"/>
  <c r="V277" i="96"/>
  <c r="U277" i="96"/>
  <c r="T277" i="96"/>
  <c r="V276" i="96"/>
  <c r="U276" i="96"/>
  <c r="T276" i="96"/>
  <c r="S276" i="96"/>
  <c r="R276" i="96"/>
  <c r="V275" i="96"/>
  <c r="U275" i="96"/>
  <c r="T275" i="96"/>
  <c r="S275" i="96"/>
  <c r="R275" i="96"/>
  <c r="V274" i="96"/>
  <c r="U274" i="96"/>
  <c r="T274" i="96"/>
  <c r="S274" i="96"/>
  <c r="R274" i="96"/>
  <c r="V273" i="96"/>
  <c r="U273" i="96"/>
  <c r="T273" i="96"/>
  <c r="S273" i="96"/>
  <c r="R273" i="96"/>
  <c r="V269" i="96"/>
  <c r="U269" i="96"/>
  <c r="V268" i="96"/>
  <c r="U268" i="96"/>
  <c r="T268" i="96"/>
  <c r="S268" i="96"/>
  <c r="R268" i="96"/>
  <c r="V262" i="96"/>
  <c r="U262" i="96"/>
  <c r="T262" i="96"/>
  <c r="S262" i="96"/>
  <c r="V261" i="96"/>
  <c r="U261" i="96"/>
  <c r="T261" i="96"/>
  <c r="V260" i="96"/>
  <c r="U260" i="96"/>
  <c r="T260" i="96"/>
  <c r="V259" i="96"/>
  <c r="U259" i="96"/>
  <c r="T259" i="96"/>
  <c r="S259" i="96"/>
  <c r="R259" i="96"/>
  <c r="V258" i="96"/>
  <c r="U258" i="96"/>
  <c r="T258" i="96"/>
  <c r="S258" i="96"/>
  <c r="R258" i="96"/>
  <c r="V257" i="96"/>
  <c r="U257" i="96"/>
  <c r="T257" i="96"/>
  <c r="S257" i="96"/>
  <c r="R257" i="96"/>
  <c r="V256" i="96"/>
  <c r="U256" i="96"/>
  <c r="T256" i="96"/>
  <c r="S256" i="96"/>
  <c r="R256" i="96"/>
  <c r="V252" i="96"/>
  <c r="U252" i="96"/>
  <c r="V251" i="96"/>
  <c r="U251" i="96"/>
  <c r="T251" i="96"/>
  <c r="S251" i="96"/>
  <c r="R251" i="96"/>
  <c r="V245" i="96"/>
  <c r="U245" i="96"/>
  <c r="T245" i="96"/>
  <c r="S245" i="96"/>
  <c r="V244" i="96"/>
  <c r="U244" i="96"/>
  <c r="T244" i="96"/>
  <c r="V243" i="96"/>
  <c r="U243" i="96"/>
  <c r="T243" i="96"/>
  <c r="V242" i="96"/>
  <c r="U242" i="96"/>
  <c r="T242" i="96"/>
  <c r="S242" i="96"/>
  <c r="R242" i="96"/>
  <c r="V241" i="96"/>
  <c r="U241" i="96"/>
  <c r="T241" i="96"/>
  <c r="S241" i="96"/>
  <c r="R241" i="96"/>
  <c r="V240" i="96"/>
  <c r="U240" i="96"/>
  <c r="T240" i="96"/>
  <c r="S240" i="96"/>
  <c r="R240" i="96"/>
  <c r="V239" i="96"/>
  <c r="U239" i="96"/>
  <c r="T239" i="96"/>
  <c r="S239" i="96"/>
  <c r="R239" i="96"/>
  <c r="V235" i="96"/>
  <c r="U235" i="96"/>
  <c r="V234" i="96"/>
  <c r="U234" i="96"/>
  <c r="T234" i="96"/>
  <c r="S234" i="96"/>
  <c r="R234" i="96"/>
  <c r="V228" i="96"/>
  <c r="U228" i="96"/>
  <c r="T228" i="96"/>
  <c r="S228" i="96"/>
  <c r="V227" i="96"/>
  <c r="U227" i="96"/>
  <c r="T227" i="96"/>
  <c r="V226" i="96"/>
  <c r="U226" i="96"/>
  <c r="T226" i="96"/>
  <c r="V225" i="96"/>
  <c r="U225" i="96"/>
  <c r="T225" i="96"/>
  <c r="S225" i="96"/>
  <c r="R225" i="96"/>
  <c r="V224" i="96"/>
  <c r="U224" i="96"/>
  <c r="T224" i="96"/>
  <c r="S224" i="96"/>
  <c r="R224" i="96"/>
  <c r="V223" i="96"/>
  <c r="U223" i="96"/>
  <c r="T223" i="96"/>
  <c r="S223" i="96"/>
  <c r="R223" i="96"/>
  <c r="V222" i="96"/>
  <c r="U222" i="96"/>
  <c r="T222" i="96"/>
  <c r="S222" i="96"/>
  <c r="R222" i="96"/>
  <c r="V218" i="96"/>
  <c r="U218" i="96"/>
  <c r="V217" i="96"/>
  <c r="U217" i="96"/>
  <c r="T217" i="96"/>
  <c r="S217" i="96"/>
  <c r="R217" i="96"/>
  <c r="V216" i="96"/>
  <c r="S216" i="96"/>
  <c r="R216" i="96"/>
  <c r="S215" i="96"/>
  <c r="R215" i="96"/>
  <c r="R214" i="96"/>
  <c r="V213" i="96"/>
  <c r="U213" i="96"/>
  <c r="T213" i="96"/>
  <c r="S213" i="96"/>
  <c r="R213" i="96"/>
  <c r="S212" i="96"/>
  <c r="R212" i="96"/>
  <c r="V211" i="96"/>
  <c r="U211" i="96"/>
  <c r="T211" i="96"/>
  <c r="S211" i="96"/>
  <c r="R211" i="96"/>
  <c r="V210" i="96"/>
  <c r="U210" i="96"/>
  <c r="T210" i="96"/>
  <c r="S210" i="96"/>
  <c r="R210" i="96"/>
  <c r="V209" i="96"/>
  <c r="U209" i="96"/>
  <c r="T209" i="96"/>
  <c r="S209" i="96"/>
  <c r="R209" i="96"/>
  <c r="V208" i="96"/>
  <c r="U208" i="96"/>
  <c r="T208" i="96"/>
  <c r="S208" i="96"/>
  <c r="R208" i="96"/>
  <c r="V207" i="96"/>
  <c r="U207" i="96"/>
  <c r="T207" i="96"/>
  <c r="S207" i="96"/>
  <c r="R207" i="96"/>
  <c r="V206" i="96"/>
  <c r="U206" i="96"/>
  <c r="T206" i="96"/>
  <c r="S206" i="96"/>
  <c r="R206" i="96"/>
  <c r="V205" i="96"/>
  <c r="U205" i="96"/>
  <c r="T205" i="96"/>
  <c r="S205" i="96"/>
  <c r="R205" i="96"/>
  <c r="V201" i="96"/>
  <c r="U201" i="96"/>
  <c r="V200" i="96"/>
  <c r="U200" i="96"/>
  <c r="T200" i="96"/>
  <c r="S200" i="96"/>
  <c r="R200" i="96"/>
  <c r="V194" i="96"/>
  <c r="U194" i="96"/>
  <c r="T194" i="96"/>
  <c r="S194" i="96"/>
  <c r="V193" i="96"/>
  <c r="U193" i="96"/>
  <c r="T193" i="96"/>
  <c r="V192" i="96"/>
  <c r="U192" i="96"/>
  <c r="T192" i="96"/>
  <c r="V191" i="96"/>
  <c r="U191" i="96"/>
  <c r="T191" i="96"/>
  <c r="S191" i="96"/>
  <c r="R191" i="96"/>
  <c r="V190" i="96"/>
  <c r="U190" i="96"/>
  <c r="T190" i="96"/>
  <c r="S190" i="96"/>
  <c r="R190" i="96"/>
  <c r="V189" i="96"/>
  <c r="U189" i="96"/>
  <c r="T189" i="96"/>
  <c r="S189" i="96"/>
  <c r="R189" i="96"/>
  <c r="V188" i="96"/>
  <c r="U188" i="96"/>
  <c r="T188" i="96"/>
  <c r="S188" i="96"/>
  <c r="R188" i="96"/>
  <c r="V167" i="96"/>
  <c r="U167" i="96"/>
  <c r="V166" i="96"/>
  <c r="U166" i="96"/>
  <c r="T166" i="96"/>
  <c r="S166" i="96"/>
  <c r="R166" i="96"/>
  <c r="V160" i="96"/>
  <c r="U160" i="96"/>
  <c r="T160" i="96"/>
  <c r="S160" i="96"/>
  <c r="V159" i="96"/>
  <c r="U159" i="96"/>
  <c r="T159" i="96"/>
  <c r="V158" i="96"/>
  <c r="U158" i="96"/>
  <c r="T158" i="96"/>
  <c r="V157" i="96"/>
  <c r="U157" i="96"/>
  <c r="T157" i="96"/>
  <c r="S157" i="96"/>
  <c r="R157" i="96"/>
  <c r="V156" i="96"/>
  <c r="U156" i="96"/>
  <c r="T156" i="96"/>
  <c r="S156" i="96"/>
  <c r="R156" i="96"/>
  <c r="V155" i="96"/>
  <c r="U155" i="96"/>
  <c r="T155" i="96"/>
  <c r="S155" i="96"/>
  <c r="R155" i="96"/>
  <c r="V154" i="96"/>
  <c r="U154" i="96"/>
  <c r="T154" i="96"/>
  <c r="S154" i="96"/>
  <c r="R154" i="96"/>
  <c r="V133" i="96"/>
  <c r="U133" i="96"/>
  <c r="V132" i="96"/>
  <c r="U132" i="96"/>
  <c r="T132" i="96"/>
  <c r="S132" i="96"/>
  <c r="R132" i="96"/>
  <c r="V126" i="96"/>
  <c r="U126" i="96"/>
  <c r="T126" i="96"/>
  <c r="S126" i="96"/>
  <c r="V125" i="96"/>
  <c r="U125" i="96"/>
  <c r="T125" i="96"/>
  <c r="V124" i="96"/>
  <c r="U124" i="96"/>
  <c r="T124" i="96"/>
  <c r="V123" i="96"/>
  <c r="U123" i="96"/>
  <c r="T123" i="96"/>
  <c r="S123" i="96"/>
  <c r="R123" i="96"/>
  <c r="V122" i="96"/>
  <c r="U122" i="96"/>
  <c r="T122" i="96"/>
  <c r="S122" i="96"/>
  <c r="R122" i="96"/>
  <c r="V121" i="96"/>
  <c r="U121" i="96"/>
  <c r="T121" i="96"/>
  <c r="S121" i="96"/>
  <c r="R121" i="96"/>
  <c r="V120" i="96"/>
  <c r="U120" i="96"/>
  <c r="T120" i="96"/>
  <c r="S120" i="96"/>
  <c r="R120" i="96"/>
  <c r="V99" i="96"/>
  <c r="U99" i="96"/>
  <c r="V98" i="96"/>
  <c r="V183" i="96" s="1"/>
  <c r="U98" i="96"/>
  <c r="U183" i="96" s="1"/>
  <c r="T98" i="96"/>
  <c r="T183" i="96" s="1"/>
  <c r="S98" i="96"/>
  <c r="R98" i="96"/>
  <c r="V93" i="96"/>
  <c r="U93" i="96"/>
  <c r="T93" i="96"/>
  <c r="S93" i="96"/>
  <c r="R93" i="96"/>
  <c r="V92" i="96"/>
  <c r="U92" i="96"/>
  <c r="T92" i="96"/>
  <c r="T177" i="96" s="1"/>
  <c r="S92" i="96"/>
  <c r="S177" i="96" s="1"/>
  <c r="V91" i="96"/>
  <c r="U91" i="96"/>
  <c r="T91" i="96"/>
  <c r="T176" i="96" s="1"/>
  <c r="V90" i="96"/>
  <c r="V175" i="96" s="1"/>
  <c r="U90" i="96"/>
  <c r="U175" i="96" s="1"/>
  <c r="T90" i="96"/>
  <c r="T175" i="96" s="1"/>
  <c r="V89" i="96"/>
  <c r="V174" i="96" s="1"/>
  <c r="U89" i="96"/>
  <c r="T89" i="96"/>
  <c r="S89" i="96"/>
  <c r="S174" i="96" s="1"/>
  <c r="R89" i="96"/>
  <c r="R174" i="96" s="1"/>
  <c r="V88" i="96"/>
  <c r="U88" i="96"/>
  <c r="T88" i="96"/>
  <c r="S88" i="96"/>
  <c r="S173" i="96" s="1"/>
  <c r="R88" i="96"/>
  <c r="V87" i="96"/>
  <c r="U87" i="96"/>
  <c r="U172" i="96" s="1"/>
  <c r="T87" i="96"/>
  <c r="T172" i="96" s="1"/>
  <c r="S87" i="96"/>
  <c r="S172" i="96" s="1"/>
  <c r="R87" i="96"/>
  <c r="V86" i="96"/>
  <c r="U86" i="96"/>
  <c r="U171" i="96" s="1"/>
  <c r="T86" i="96"/>
  <c r="S86" i="96"/>
  <c r="R86" i="96"/>
  <c r="V81" i="96"/>
  <c r="U81" i="96"/>
  <c r="T81" i="96"/>
  <c r="S81" i="96"/>
  <c r="H37" i="183" s="1"/>
  <c r="R81" i="96"/>
  <c r="G37" i="183" s="1"/>
  <c r="V80" i="96"/>
  <c r="U80" i="96"/>
  <c r="T80" i="96"/>
  <c r="S80" i="96"/>
  <c r="H36" i="183" s="1"/>
  <c r="R80" i="96"/>
  <c r="G36" i="183" s="1"/>
  <c r="V52" i="96"/>
  <c r="V68" i="96" s="1"/>
  <c r="U52" i="96"/>
  <c r="T52" i="96"/>
  <c r="T85" i="96" s="1"/>
  <c r="T102" i="96" s="1"/>
  <c r="T119" i="96" s="1"/>
  <c r="T136" i="96" s="1"/>
  <c r="T153" i="96" s="1"/>
  <c r="S52" i="96"/>
  <c r="S85" i="96" s="1"/>
  <c r="S102" i="96" s="1"/>
  <c r="S119" i="96" s="1"/>
  <c r="R52" i="96"/>
  <c r="R85" i="96" s="1"/>
  <c r="R102" i="96" s="1"/>
  <c r="R119" i="96" s="1"/>
  <c r="V49" i="96"/>
  <c r="U49" i="96"/>
  <c r="V48" i="96"/>
  <c r="U48" i="96"/>
  <c r="T48" i="96"/>
  <c r="S48" i="96"/>
  <c r="H48" i="183" s="1"/>
  <c r="R48" i="96"/>
  <c r="G48" i="183" s="1"/>
  <c r="V45" i="96"/>
  <c r="V43" i="96"/>
  <c r="U43" i="96"/>
  <c r="T43" i="96"/>
  <c r="S43" i="96"/>
  <c r="R43" i="96"/>
  <c r="V42" i="96"/>
  <c r="U42" i="96"/>
  <c r="T42" i="96"/>
  <c r="S42" i="96"/>
  <c r="V41" i="96"/>
  <c r="U41" i="96"/>
  <c r="T41" i="96"/>
  <c r="V40" i="96"/>
  <c r="U40" i="96"/>
  <c r="T40" i="96"/>
  <c r="V39" i="96"/>
  <c r="U39" i="96"/>
  <c r="T39" i="96"/>
  <c r="S39" i="96"/>
  <c r="R39" i="96"/>
  <c r="V38" i="96"/>
  <c r="U38" i="96"/>
  <c r="T38" i="96"/>
  <c r="S38" i="96"/>
  <c r="R38" i="96"/>
  <c r="V37" i="96"/>
  <c r="U37" i="96"/>
  <c r="T37" i="96"/>
  <c r="S37" i="96"/>
  <c r="R37" i="96"/>
  <c r="V36" i="96"/>
  <c r="U36" i="96"/>
  <c r="T36" i="96"/>
  <c r="S36" i="96"/>
  <c r="R36" i="96"/>
  <c r="V13" i="96"/>
  <c r="U13" i="96"/>
  <c r="T13" i="96"/>
  <c r="S13" i="96"/>
  <c r="R13" i="96"/>
  <c r="C71" i="134"/>
  <c r="C58" i="134"/>
  <c r="C51" i="134"/>
  <c r="U22" i="117"/>
  <c r="V22" i="117" s="1"/>
  <c r="W22" i="117" s="1"/>
  <c r="X22" i="117" s="1"/>
  <c r="X20" i="117"/>
  <c r="W20" i="117"/>
  <c r="V20" i="117"/>
  <c r="U20" i="117"/>
  <c r="U18" i="117"/>
  <c r="V18" i="117" s="1"/>
  <c r="W18" i="117" s="1"/>
  <c r="X18" i="117" s="1"/>
  <c r="U17" i="117"/>
  <c r="V17" i="117" s="1"/>
  <c r="U14" i="117"/>
  <c r="U14" i="119" s="1"/>
  <c r="U14" i="134" s="1"/>
  <c r="U34" i="134" s="1"/>
  <c r="U22" i="119"/>
  <c r="V22" i="119" s="1"/>
  <c r="W22" i="119" s="1"/>
  <c r="W20" i="119"/>
  <c r="V20" i="119"/>
  <c r="U20" i="119"/>
  <c r="U18" i="119"/>
  <c r="V18" i="119" s="1"/>
  <c r="W18" i="119" s="1"/>
  <c r="U17" i="119"/>
  <c r="V17" i="119" s="1"/>
  <c r="U113" i="134"/>
  <c r="V113" i="134" s="1"/>
  <c r="V75" i="134"/>
  <c r="U75" i="134"/>
  <c r="U74" i="134"/>
  <c r="U82" i="134" s="1"/>
  <c r="U95" i="134" s="1"/>
  <c r="V70" i="134"/>
  <c r="V100" i="134" s="1"/>
  <c r="U70" i="134"/>
  <c r="U100" i="134" s="1"/>
  <c r="V59" i="134"/>
  <c r="U59" i="134"/>
  <c r="V54" i="134"/>
  <c r="U54" i="134"/>
  <c r="V53" i="134"/>
  <c r="U53" i="134"/>
  <c r="U49" i="134"/>
  <c r="V49" i="134" s="1"/>
  <c r="V56" i="134" s="1"/>
  <c r="V62" i="134" s="1"/>
  <c r="V69" i="134" s="1"/>
  <c r="U22" i="134"/>
  <c r="V22" i="134" s="1"/>
  <c r="V20" i="134"/>
  <c r="U20" i="134"/>
  <c r="U18" i="134"/>
  <c r="V18" i="134" s="1"/>
  <c r="U17" i="134"/>
  <c r="U19" i="134" s="1"/>
  <c r="R22" i="117"/>
  <c r="S22" i="117" s="1"/>
  <c r="T22" i="117" s="1"/>
  <c r="T20" i="117"/>
  <c r="S20" i="117"/>
  <c r="R20" i="117"/>
  <c r="R18" i="117"/>
  <c r="S18" i="117" s="1"/>
  <c r="T18" i="117" s="1"/>
  <c r="R17" i="117"/>
  <c r="S17" i="117" s="1"/>
  <c r="R14" i="117"/>
  <c r="S14" i="117" s="1"/>
  <c r="S22" i="119"/>
  <c r="T22" i="119" s="1"/>
  <c r="R22" i="119"/>
  <c r="T20" i="119"/>
  <c r="S20" i="119"/>
  <c r="R20" i="119"/>
  <c r="R18" i="119"/>
  <c r="S18" i="119" s="1"/>
  <c r="T18" i="119" s="1"/>
  <c r="R17" i="119"/>
  <c r="S17" i="119" s="1"/>
  <c r="R19" i="119"/>
  <c r="R22" i="134"/>
  <c r="S22" i="134" s="1"/>
  <c r="T22" i="134" s="1"/>
  <c r="T20" i="134"/>
  <c r="S20" i="134"/>
  <c r="R20" i="134"/>
  <c r="R18" i="134"/>
  <c r="S18" i="134" s="1"/>
  <c r="T18" i="134" s="1"/>
  <c r="R17" i="134"/>
  <c r="S17" i="134" s="1"/>
  <c r="R19" i="134"/>
  <c r="N113" i="134"/>
  <c r="O113" i="134" s="1"/>
  <c r="P113" i="134" s="1"/>
  <c r="Q113" i="134" s="1"/>
  <c r="R113" i="134" s="1"/>
  <c r="S113" i="134" s="1"/>
  <c r="T113" i="134" s="1"/>
  <c r="N82" i="134"/>
  <c r="N95" i="134" s="1"/>
  <c r="T75" i="134"/>
  <c r="S75" i="134"/>
  <c r="R75" i="134"/>
  <c r="Q75" i="134"/>
  <c r="P75" i="134"/>
  <c r="O75" i="134"/>
  <c r="N75" i="134"/>
  <c r="O74" i="134"/>
  <c r="N74" i="134"/>
  <c r="T70" i="134"/>
  <c r="T100" i="134" s="1"/>
  <c r="S70" i="134"/>
  <c r="S100" i="134" s="1"/>
  <c r="R70" i="134"/>
  <c r="R100" i="134" s="1"/>
  <c r="Q70" i="134"/>
  <c r="Q100" i="134" s="1"/>
  <c r="P70" i="134"/>
  <c r="P100" i="134" s="1"/>
  <c r="O70" i="134"/>
  <c r="O100" i="134" s="1"/>
  <c r="N70" i="134"/>
  <c r="N100" i="134" s="1"/>
  <c r="T59" i="134"/>
  <c r="S59" i="134"/>
  <c r="R59" i="134"/>
  <c r="Q59" i="134"/>
  <c r="P59" i="134"/>
  <c r="O59" i="134"/>
  <c r="N59" i="134"/>
  <c r="T54" i="134"/>
  <c r="S54" i="134"/>
  <c r="R54" i="134"/>
  <c r="Q54" i="134"/>
  <c r="P54" i="134"/>
  <c r="O54" i="134"/>
  <c r="N54" i="134"/>
  <c r="T53" i="134"/>
  <c r="S53" i="134"/>
  <c r="R53" i="134"/>
  <c r="Q53" i="134"/>
  <c r="P53" i="134"/>
  <c r="O53" i="134"/>
  <c r="N53" i="134"/>
  <c r="O49" i="134"/>
  <c r="O56" i="134" s="1"/>
  <c r="O62" i="134" s="1"/>
  <c r="O69" i="134" s="1"/>
  <c r="N49" i="134"/>
  <c r="N56" i="134" s="1"/>
  <c r="N62" i="134" s="1"/>
  <c r="N69" i="134" s="1"/>
  <c r="P34" i="134"/>
  <c r="O34" i="134"/>
  <c r="N34" i="134"/>
  <c r="C76" i="155"/>
  <c r="F52" i="117"/>
  <c r="G52" i="117" s="1"/>
  <c r="H52" i="117" s="1"/>
  <c r="I52" i="117" s="1"/>
  <c r="J52" i="117" s="1"/>
  <c r="K52" i="117" s="1"/>
  <c r="L52" i="117" s="1"/>
  <c r="M52" i="117" s="1"/>
  <c r="N52" i="117" s="1"/>
  <c r="O52" i="117" s="1"/>
  <c r="E52" i="117"/>
  <c r="D52" i="117"/>
  <c r="C71" i="160"/>
  <c r="C58" i="160"/>
  <c r="G53" i="160"/>
  <c r="H53" i="160" s="1"/>
  <c r="I53" i="160" s="1"/>
  <c r="J53" i="160" s="1"/>
  <c r="K53" i="160" s="1"/>
  <c r="L53" i="160" s="1"/>
  <c r="M53" i="160" s="1"/>
  <c r="N53" i="160" s="1"/>
  <c r="O53" i="160" s="1"/>
  <c r="P53" i="160" s="1"/>
  <c r="Q53" i="160" s="1"/>
  <c r="R53" i="160" s="1"/>
  <c r="F53" i="160"/>
  <c r="C51" i="160"/>
  <c r="C36" i="160"/>
  <c r="C115" i="160"/>
  <c r="R113" i="160"/>
  <c r="R75" i="160"/>
  <c r="R74" i="160"/>
  <c r="R82" i="160" s="1"/>
  <c r="R95" i="160" s="1"/>
  <c r="R70" i="160"/>
  <c r="R100" i="160" s="1"/>
  <c r="R59" i="160"/>
  <c r="R56" i="160"/>
  <c r="R62" i="160" s="1"/>
  <c r="R69" i="160" s="1"/>
  <c r="R54" i="160"/>
  <c r="R49" i="160"/>
  <c r="R34" i="160"/>
  <c r="Q113" i="160"/>
  <c r="Q75" i="160"/>
  <c r="Q74" i="160"/>
  <c r="Q82" i="160" s="1"/>
  <c r="Q95" i="160" s="1"/>
  <c r="Q70" i="160"/>
  <c r="Q100" i="160" s="1"/>
  <c r="Q59" i="160"/>
  <c r="Q56" i="160"/>
  <c r="Q62" i="160" s="1"/>
  <c r="Q69" i="160" s="1"/>
  <c r="Q54" i="160"/>
  <c r="Q49" i="160"/>
  <c r="M17" i="156"/>
  <c r="M18" i="156"/>
  <c r="M19" i="156" s="1"/>
  <c r="M20" i="156"/>
  <c r="M22" i="156"/>
  <c r="N22" i="156" s="1"/>
  <c r="O22" i="156" s="1"/>
  <c r="P22" i="156" s="1"/>
  <c r="Q22" i="156" s="1"/>
  <c r="R22" i="156" s="1"/>
  <c r="S22" i="156" s="1"/>
  <c r="C115" i="156"/>
  <c r="C71" i="156"/>
  <c r="S113" i="156"/>
  <c r="S74" i="156"/>
  <c r="S82" i="156" s="1"/>
  <c r="S95" i="156" s="1"/>
  <c r="S59" i="156"/>
  <c r="S56" i="156"/>
  <c r="S62" i="156" s="1"/>
  <c r="S69" i="156" s="1"/>
  <c r="S54" i="156"/>
  <c r="S53" i="156"/>
  <c r="S49" i="156"/>
  <c r="S34" i="156"/>
  <c r="S20" i="156"/>
  <c r="R113" i="156"/>
  <c r="R74" i="156"/>
  <c r="R82" i="156" s="1"/>
  <c r="R95" i="156" s="1"/>
  <c r="R59" i="156"/>
  <c r="R56" i="156"/>
  <c r="R62" i="156" s="1"/>
  <c r="R69" i="156" s="1"/>
  <c r="R54" i="156"/>
  <c r="R53" i="156"/>
  <c r="R49" i="156"/>
  <c r="R20" i="156"/>
  <c r="R34" i="156"/>
  <c r="H53" i="156"/>
  <c r="I53" i="156" s="1"/>
  <c r="J53" i="156" s="1"/>
  <c r="K53" i="156" s="1"/>
  <c r="L53" i="156" s="1"/>
  <c r="M53" i="156" s="1"/>
  <c r="N53" i="156" s="1"/>
  <c r="O53" i="156" s="1"/>
  <c r="P53" i="156" s="1"/>
  <c r="Q53" i="156" s="1"/>
  <c r="G53" i="156"/>
  <c r="F53" i="156"/>
  <c r="C36" i="156"/>
  <c r="D42" i="156"/>
  <c r="D40" i="156"/>
  <c r="Q113" i="156"/>
  <c r="Q74" i="156"/>
  <c r="Q82" i="156" s="1"/>
  <c r="Q95" i="156" s="1"/>
  <c r="Q56" i="156"/>
  <c r="Q62" i="156" s="1"/>
  <c r="Q69" i="156" s="1"/>
  <c r="Q54" i="156"/>
  <c r="Q49" i="156"/>
  <c r="P113" i="156"/>
  <c r="P74" i="156"/>
  <c r="P82" i="156" s="1"/>
  <c r="P95" i="156" s="1"/>
  <c r="P56" i="156"/>
  <c r="P62" i="156" s="1"/>
  <c r="P69" i="156" s="1"/>
  <c r="P49" i="156"/>
  <c r="P34" i="156"/>
  <c r="O113" i="156"/>
  <c r="O74" i="156"/>
  <c r="O82" i="156" s="1"/>
  <c r="O95" i="156" s="1"/>
  <c r="O56" i="156"/>
  <c r="O62" i="156" s="1"/>
  <c r="O69" i="156" s="1"/>
  <c r="O54" i="156"/>
  <c r="O49" i="156"/>
  <c r="O34" i="156"/>
  <c r="N113" i="156"/>
  <c r="N74" i="156"/>
  <c r="N82" i="156" s="1"/>
  <c r="N95" i="156" s="1"/>
  <c r="N49" i="156"/>
  <c r="N56" i="156" s="1"/>
  <c r="N62" i="156" s="1"/>
  <c r="N69" i="156" s="1"/>
  <c r="N34" i="156"/>
  <c r="T24" i="100"/>
  <c r="T23" i="100"/>
  <c r="T18" i="100"/>
  <c r="T19" i="103"/>
  <c r="S19" i="103"/>
  <c r="O32" i="103"/>
  <c r="N32" i="103"/>
  <c r="M32" i="103"/>
  <c r="L32" i="103"/>
  <c r="K32" i="103"/>
  <c r="J32" i="103"/>
  <c r="P32" i="103"/>
  <c r="O30" i="103"/>
  <c r="N30" i="103"/>
  <c r="M30" i="103"/>
  <c r="L30" i="103"/>
  <c r="K30" i="103"/>
  <c r="J30" i="103"/>
  <c r="O29" i="103"/>
  <c r="N29" i="103"/>
  <c r="M29" i="103"/>
  <c r="L29" i="103"/>
  <c r="K29" i="103"/>
  <c r="J29" i="103"/>
  <c r="O28" i="103"/>
  <c r="N28" i="103"/>
  <c r="M28" i="103"/>
  <c r="L28" i="103"/>
  <c r="K28" i="103"/>
  <c r="J28" i="103"/>
  <c r="P29" i="103"/>
  <c r="P30" i="103"/>
  <c r="P28" i="103"/>
  <c r="O12" i="103"/>
  <c r="N12" i="103"/>
  <c r="M12" i="103"/>
  <c r="L12" i="103"/>
  <c r="K12" i="103"/>
  <c r="J12" i="103"/>
  <c r="P12" i="103"/>
  <c r="T9" i="103"/>
  <c r="S9" i="103"/>
  <c r="O9" i="103"/>
  <c r="N9" i="103"/>
  <c r="M9" i="103"/>
  <c r="L9" i="103"/>
  <c r="K9" i="103"/>
  <c r="J9" i="103"/>
  <c r="P9" i="103"/>
  <c r="O15" i="103"/>
  <c r="N15" i="103"/>
  <c r="M15" i="103"/>
  <c r="L15" i="103"/>
  <c r="L25" i="103" s="1"/>
  <c r="K15" i="103"/>
  <c r="J15" i="103"/>
  <c r="J25" i="103" s="1"/>
  <c r="P15" i="103"/>
  <c r="O23" i="103"/>
  <c r="N23" i="103"/>
  <c r="N25" i="103" s="1"/>
  <c r="M23" i="103"/>
  <c r="M25" i="103" s="1"/>
  <c r="L23" i="103"/>
  <c r="K23" i="103"/>
  <c r="J23" i="103"/>
  <c r="P23" i="103"/>
  <c r="O20" i="103"/>
  <c r="N20" i="103"/>
  <c r="M20" i="103"/>
  <c r="L20" i="103"/>
  <c r="K20" i="103"/>
  <c r="J20" i="103"/>
  <c r="P20" i="103"/>
  <c r="P22" i="103" s="1"/>
  <c r="O19" i="103"/>
  <c r="N19" i="103"/>
  <c r="M19" i="103"/>
  <c r="L19" i="103"/>
  <c r="K19" i="103"/>
  <c r="J19" i="103"/>
  <c r="P19" i="103"/>
  <c r="O13" i="102"/>
  <c r="O17" i="98" s="1"/>
  <c r="N13" i="102"/>
  <c r="O9" i="102" s="1"/>
  <c r="M13" i="102"/>
  <c r="M17" i="98" s="1"/>
  <c r="L13" i="102"/>
  <c r="M9" i="102" s="1"/>
  <c r="K13" i="102"/>
  <c r="K17" i="98" s="1"/>
  <c r="J13" i="102"/>
  <c r="P13" i="102"/>
  <c r="Q9" i="102" s="1"/>
  <c r="O14" i="101"/>
  <c r="P10" i="101" s="1"/>
  <c r="N14" i="101"/>
  <c r="N14" i="98" s="1"/>
  <c r="M14" i="101"/>
  <c r="M14" i="98" s="1"/>
  <c r="L14" i="101"/>
  <c r="M10" i="101" s="1"/>
  <c r="K14" i="101"/>
  <c r="K14" i="98" s="1"/>
  <c r="J14" i="101"/>
  <c r="P14" i="101"/>
  <c r="O18" i="97"/>
  <c r="O39" i="97" s="1"/>
  <c r="N18" i="97"/>
  <c r="M18" i="97"/>
  <c r="L18" i="97"/>
  <c r="K18" i="97"/>
  <c r="J18" i="97"/>
  <c r="J39" i="97" s="1"/>
  <c r="P18" i="97"/>
  <c r="Q39" i="97" s="1"/>
  <c r="O17" i="97"/>
  <c r="O29" i="98" s="1"/>
  <c r="L27" i="174" s="1"/>
  <c r="N17" i="97"/>
  <c r="O38" i="97" s="1"/>
  <c r="M17" i="97"/>
  <c r="M29" i="98" s="1"/>
  <c r="L17" i="97"/>
  <c r="L29" i="98" s="1"/>
  <c r="G18" i="171" s="1"/>
  <c r="K17" i="97"/>
  <c r="K29" i="98" s="1"/>
  <c r="J17" i="97"/>
  <c r="J29" i="98" s="1"/>
  <c r="P17" i="97"/>
  <c r="O16" i="97"/>
  <c r="N16" i="97"/>
  <c r="N37" i="97" s="1"/>
  <c r="M16" i="97"/>
  <c r="L16" i="97"/>
  <c r="M37" i="97" s="1"/>
  <c r="K16" i="97"/>
  <c r="J16" i="97"/>
  <c r="J37" i="97" s="1"/>
  <c r="P16" i="97"/>
  <c r="P28" i="98" s="1"/>
  <c r="O13" i="97"/>
  <c r="N13" i="97"/>
  <c r="N11" i="98" s="1"/>
  <c r="M13" i="97"/>
  <c r="N36" i="97" s="1"/>
  <c r="L13" i="97"/>
  <c r="L11" i="98" s="1"/>
  <c r="K13" i="97"/>
  <c r="K11" i="98" s="1"/>
  <c r="J13" i="97"/>
  <c r="P13" i="97"/>
  <c r="J12" i="97"/>
  <c r="J10" i="98" s="1"/>
  <c r="O12" i="97"/>
  <c r="N12" i="97"/>
  <c r="M12" i="97"/>
  <c r="L12" i="97"/>
  <c r="M35" i="97" s="1"/>
  <c r="K12" i="97"/>
  <c r="P12" i="97"/>
  <c r="J11" i="97"/>
  <c r="J34" i="97" s="1"/>
  <c r="K11" i="97"/>
  <c r="L11" i="97"/>
  <c r="L9" i="98" s="1"/>
  <c r="M11" i="97"/>
  <c r="M9" i="98" s="1"/>
  <c r="N11" i="97"/>
  <c r="N14" i="97" s="1"/>
  <c r="O11" i="97"/>
  <c r="P11" i="97"/>
  <c r="P9" i="98" s="1"/>
  <c r="P33" i="100"/>
  <c r="N12" i="100"/>
  <c r="N43" i="98" s="1"/>
  <c r="L12" i="100"/>
  <c r="L43" i="98" s="1"/>
  <c r="O13" i="100"/>
  <c r="N13" i="100"/>
  <c r="M13" i="100"/>
  <c r="L13" i="100"/>
  <c r="K13" i="100"/>
  <c r="J13" i="100"/>
  <c r="P13" i="100"/>
  <c r="O11" i="100"/>
  <c r="N11" i="100"/>
  <c r="N42" i="98" s="1"/>
  <c r="M11" i="100"/>
  <c r="M42" i="98" s="1"/>
  <c r="L11" i="100"/>
  <c r="L42" i="98" s="1"/>
  <c r="K11" i="100"/>
  <c r="K42" i="98" s="1"/>
  <c r="J11" i="100"/>
  <c r="J42" i="98" s="1"/>
  <c r="P11" i="100"/>
  <c r="P42" i="98" s="1"/>
  <c r="J10" i="100"/>
  <c r="J41" i="98" s="1"/>
  <c r="O10" i="100"/>
  <c r="N10" i="100"/>
  <c r="M10" i="100"/>
  <c r="M41" i="98" s="1"/>
  <c r="L10" i="100"/>
  <c r="K10" i="100"/>
  <c r="P10" i="100"/>
  <c r="J9" i="100"/>
  <c r="O9" i="100"/>
  <c r="N9" i="100"/>
  <c r="N40" i="98" s="1"/>
  <c r="M9" i="100"/>
  <c r="M40" i="98" s="1"/>
  <c r="L9" i="100"/>
  <c r="L40" i="98" s="1"/>
  <c r="K9" i="100"/>
  <c r="K40" i="98" s="1"/>
  <c r="P9" i="100"/>
  <c r="T20" i="102"/>
  <c r="T10" i="102"/>
  <c r="S20" i="102"/>
  <c r="S12" i="102"/>
  <c r="S20" i="103" s="1"/>
  <c r="S10" i="102"/>
  <c r="R20" i="102"/>
  <c r="R12" i="102"/>
  <c r="R10" i="102"/>
  <c r="T21" i="101"/>
  <c r="T11" i="101"/>
  <c r="S21" i="101"/>
  <c r="S11" i="101"/>
  <c r="R21" i="101"/>
  <c r="R13" i="101"/>
  <c r="S13" i="101" s="1"/>
  <c r="T13" i="101" s="1"/>
  <c r="R11" i="101"/>
  <c r="O14" i="99"/>
  <c r="O12" i="99" s="1"/>
  <c r="N14" i="99"/>
  <c r="N34" i="98" s="1"/>
  <c r="M14" i="99"/>
  <c r="M34" i="98" s="1"/>
  <c r="L14" i="99"/>
  <c r="L34" i="98" s="1"/>
  <c r="K14" i="99"/>
  <c r="K34" i="98" s="1"/>
  <c r="J14" i="99"/>
  <c r="P14" i="99"/>
  <c r="P34" i="98" s="1"/>
  <c r="J13" i="99"/>
  <c r="K13" i="99"/>
  <c r="L13" i="99"/>
  <c r="L31" i="98" s="1"/>
  <c r="O13" i="99"/>
  <c r="O31" i="98" s="1"/>
  <c r="N13" i="99"/>
  <c r="M13" i="99"/>
  <c r="P13" i="99"/>
  <c r="Q319" i="96"/>
  <c r="Q310" i="96"/>
  <c r="Q309" i="96"/>
  <c r="Q308" i="96"/>
  <c r="Q302" i="96"/>
  <c r="Q293" i="96"/>
  <c r="Q292" i="96"/>
  <c r="Q326" i="96" s="1"/>
  <c r="Q291" i="96"/>
  <c r="Q325" i="96" s="1"/>
  <c r="Q285" i="96"/>
  <c r="Q276" i="96"/>
  <c r="Q275" i="96"/>
  <c r="Q274" i="96"/>
  <c r="Q268" i="96"/>
  <c r="Q259" i="96"/>
  <c r="Q258" i="96"/>
  <c r="Q257" i="96"/>
  <c r="Q251" i="96"/>
  <c r="Q242" i="96"/>
  <c r="Q241" i="96"/>
  <c r="Q240" i="96"/>
  <c r="Q234" i="96"/>
  <c r="Q225" i="96"/>
  <c r="Q224" i="96"/>
  <c r="Q223" i="96"/>
  <c r="Q218" i="96"/>
  <c r="Q217" i="96"/>
  <c r="Q216" i="96"/>
  <c r="Q215" i="96"/>
  <c r="Q214" i="96"/>
  <c r="Q213" i="96"/>
  <c r="Q212" i="96"/>
  <c r="Q209" i="96"/>
  <c r="Q208" i="96"/>
  <c r="Q207" i="96"/>
  <c r="Q206" i="96"/>
  <c r="Q205" i="96"/>
  <c r="Q200" i="96"/>
  <c r="Q191" i="96"/>
  <c r="Q190" i="96"/>
  <c r="Q189" i="96"/>
  <c r="Q166" i="96"/>
  <c r="Q157" i="96"/>
  <c r="Q156" i="96"/>
  <c r="Q155" i="96"/>
  <c r="Q132" i="96"/>
  <c r="Q123" i="96"/>
  <c r="Q122" i="96"/>
  <c r="Q121" i="96"/>
  <c r="Q98" i="96"/>
  <c r="F10" i="183" s="1"/>
  <c r="Q89" i="96"/>
  <c r="Q174" i="96" s="1"/>
  <c r="Q88" i="96"/>
  <c r="Q87" i="96"/>
  <c r="Q81" i="96"/>
  <c r="F37" i="183" s="1"/>
  <c r="Q80" i="96"/>
  <c r="F36" i="183" s="1"/>
  <c r="Q52" i="96"/>
  <c r="Q68" i="96" s="1"/>
  <c r="F28" i="183" s="1"/>
  <c r="Q48" i="96"/>
  <c r="F48" i="183" s="1"/>
  <c r="Q39" i="96"/>
  <c r="Q38" i="96"/>
  <c r="Q37" i="96"/>
  <c r="Q13" i="96"/>
  <c r="T71" i="95"/>
  <c r="T65" i="95"/>
  <c r="T77" i="95" s="1"/>
  <c r="T46" i="95"/>
  <c r="S71" i="95"/>
  <c r="S65" i="95"/>
  <c r="S77" i="95" s="1"/>
  <c r="S46" i="95"/>
  <c r="R71" i="95"/>
  <c r="R65" i="95"/>
  <c r="T15" i="98"/>
  <c r="S15" i="98"/>
  <c r="S24" i="100"/>
  <c r="S23" i="100"/>
  <c r="S18" i="100"/>
  <c r="R23" i="100"/>
  <c r="R24" i="100" s="1"/>
  <c r="R18" i="100"/>
  <c r="R19" i="100"/>
  <c r="R7" i="100"/>
  <c r="S7" i="100" s="1"/>
  <c r="P319" i="96"/>
  <c r="P310" i="96"/>
  <c r="P309" i="96"/>
  <c r="P308" i="96"/>
  <c r="P302" i="96"/>
  <c r="P293" i="96"/>
  <c r="P327" i="96" s="1"/>
  <c r="P292" i="96"/>
  <c r="P291" i="96"/>
  <c r="P285" i="96"/>
  <c r="P276" i="96"/>
  <c r="P275" i="96"/>
  <c r="P274" i="96"/>
  <c r="P268" i="96"/>
  <c r="P259" i="96"/>
  <c r="P258" i="96"/>
  <c r="P257" i="96"/>
  <c r="P251" i="96"/>
  <c r="P242" i="96"/>
  <c r="P241" i="96"/>
  <c r="P240" i="96"/>
  <c r="P234" i="96"/>
  <c r="P225" i="96"/>
  <c r="P224" i="96"/>
  <c r="P223" i="96"/>
  <c r="P217" i="96"/>
  <c r="P216" i="96"/>
  <c r="P212" i="96"/>
  <c r="P209" i="96"/>
  <c r="P208" i="96"/>
  <c r="P207" i="96"/>
  <c r="P206" i="96"/>
  <c r="P205" i="96"/>
  <c r="P200" i="96"/>
  <c r="P191" i="96"/>
  <c r="P190" i="96"/>
  <c r="P189" i="96"/>
  <c r="P166" i="96"/>
  <c r="P157" i="96"/>
  <c r="P156" i="96"/>
  <c r="P155" i="96"/>
  <c r="P132" i="96"/>
  <c r="P123" i="96"/>
  <c r="P122" i="96"/>
  <c r="P121" i="96"/>
  <c r="P98" i="96"/>
  <c r="P89" i="96"/>
  <c r="P174" i="96" s="1"/>
  <c r="P88" i="96"/>
  <c r="P87" i="96"/>
  <c r="P81" i="96"/>
  <c r="E37" i="183" s="1"/>
  <c r="P80" i="96"/>
  <c r="E36" i="183" s="1"/>
  <c r="P52" i="96"/>
  <c r="P68" i="96" s="1"/>
  <c r="E28" i="183" s="1"/>
  <c r="P48" i="96"/>
  <c r="E48" i="183" s="1"/>
  <c r="P39" i="96"/>
  <c r="P38" i="96"/>
  <c r="P37" i="96"/>
  <c r="P13" i="96"/>
  <c r="O310" i="96"/>
  <c r="O309" i="96"/>
  <c r="O308" i="96"/>
  <c r="O293" i="96"/>
  <c r="O292" i="96"/>
  <c r="O291" i="96"/>
  <c r="O276" i="96"/>
  <c r="O275" i="96"/>
  <c r="O274" i="96"/>
  <c r="O259" i="96"/>
  <c r="O258" i="96"/>
  <c r="O257" i="96"/>
  <c r="O242" i="96"/>
  <c r="O241" i="96"/>
  <c r="O240" i="96"/>
  <c r="O225" i="96"/>
  <c r="O224" i="96"/>
  <c r="O223" i="96"/>
  <c r="O218" i="96"/>
  <c r="O217" i="96"/>
  <c r="O216" i="96"/>
  <c r="O215" i="96"/>
  <c r="O214" i="96"/>
  <c r="O212" i="96"/>
  <c r="O211" i="96"/>
  <c r="O208" i="96"/>
  <c r="O207" i="96"/>
  <c r="O206" i="96"/>
  <c r="O191" i="96"/>
  <c r="O190" i="96"/>
  <c r="O189" i="96"/>
  <c r="O157" i="96"/>
  <c r="O156" i="96"/>
  <c r="O155" i="96"/>
  <c r="O123" i="96"/>
  <c r="O122" i="96"/>
  <c r="O121" i="96"/>
  <c r="O89" i="96"/>
  <c r="O174" i="96" s="1"/>
  <c r="O88" i="96"/>
  <c r="O87" i="96"/>
  <c r="O81" i="96"/>
  <c r="D37" i="183" s="1"/>
  <c r="O80" i="96"/>
  <c r="D36" i="183" s="1"/>
  <c r="O52" i="96"/>
  <c r="O68" i="96" s="1"/>
  <c r="D28" i="183" s="1"/>
  <c r="O39" i="96"/>
  <c r="O38" i="96"/>
  <c r="O37" i="96"/>
  <c r="O13" i="96"/>
  <c r="Y98" i="182"/>
  <c r="Z98" i="182"/>
  <c r="AD98" i="182"/>
  <c r="AC98" i="182"/>
  <c r="AB98" i="182"/>
  <c r="AA98" i="182"/>
  <c r="Y96" i="182"/>
  <c r="Z96" i="182"/>
  <c r="AD96" i="182"/>
  <c r="AC96" i="182"/>
  <c r="AB96" i="182"/>
  <c r="AA96" i="182"/>
  <c r="P11" i="95"/>
  <c r="P36" i="95" s="1"/>
  <c r="P9" i="95"/>
  <c r="R15" i="177"/>
  <c r="R17" i="177"/>
  <c r="R19" i="177"/>
  <c r="C72" i="161"/>
  <c r="C58" i="161"/>
  <c r="C51" i="161"/>
  <c r="C36" i="161"/>
  <c r="N53" i="161"/>
  <c r="O53" i="161"/>
  <c r="G83" i="104"/>
  <c r="G78" i="104"/>
  <c r="E77" i="104"/>
  <c r="A23" i="177"/>
  <c r="A24" i="177"/>
  <c r="A25" i="177"/>
  <c r="K15" i="177"/>
  <c r="A22" i="177"/>
  <c r="R44" i="172"/>
  <c r="R43" i="172"/>
  <c r="O9" i="95"/>
  <c r="O35" i="95" s="1"/>
  <c r="O11" i="95"/>
  <c r="O36" i="95" s="1"/>
  <c r="N302" i="96"/>
  <c r="N34" i="157"/>
  <c r="O34" i="157"/>
  <c r="P34" i="157"/>
  <c r="Q118" i="157"/>
  <c r="P49" i="135"/>
  <c r="Q49" i="135"/>
  <c r="Q56" i="135"/>
  <c r="Q62" i="135" s="1"/>
  <c r="Q69" i="135" s="1"/>
  <c r="P54" i="135"/>
  <c r="Q54" i="135"/>
  <c r="P56" i="135"/>
  <c r="P59" i="135"/>
  <c r="Q59" i="135"/>
  <c r="P62" i="135"/>
  <c r="P69" i="135" s="1"/>
  <c r="P74" i="135"/>
  <c r="Q74" i="135"/>
  <c r="P76" i="135"/>
  <c r="Q76" i="135"/>
  <c r="P82" i="135"/>
  <c r="P95" i="135"/>
  <c r="P99" i="135"/>
  <c r="P113" i="135"/>
  <c r="Q113" i="135"/>
  <c r="Q118" i="135"/>
  <c r="N34" i="135"/>
  <c r="O34" i="135"/>
  <c r="P34" i="135"/>
  <c r="N35" i="135"/>
  <c r="O35" i="135"/>
  <c r="P35" i="135"/>
  <c r="Q35" i="135"/>
  <c r="Q99" i="135" s="1"/>
  <c r="P34" i="132"/>
  <c r="P49" i="132"/>
  <c r="Q49" i="132"/>
  <c r="Q56" i="132"/>
  <c r="Q62" i="132"/>
  <c r="Q69" i="132"/>
  <c r="P54" i="132"/>
  <c r="Q54" i="132"/>
  <c r="P59" i="132"/>
  <c r="Q59" i="132"/>
  <c r="P74" i="132"/>
  <c r="Q74" i="132"/>
  <c r="P82" i="132"/>
  <c r="P95" i="132"/>
  <c r="P108" i="132" s="1"/>
  <c r="P113" i="132"/>
  <c r="Q113" i="132"/>
  <c r="Q118" i="132"/>
  <c r="K71" i="95"/>
  <c r="L71" i="95"/>
  <c r="M71" i="95"/>
  <c r="M77" i="95" s="1"/>
  <c r="N71" i="95"/>
  <c r="N77" i="95" s="1"/>
  <c r="O71" i="95"/>
  <c r="P71" i="95"/>
  <c r="Q71" i="95"/>
  <c r="J71" i="95"/>
  <c r="K65" i="95"/>
  <c r="K83" i="95" s="1"/>
  <c r="L65" i="95"/>
  <c r="L83" i="95" s="1"/>
  <c r="M65" i="95"/>
  <c r="M83" i="95" s="1"/>
  <c r="N65" i="95"/>
  <c r="N83" i="95" s="1"/>
  <c r="O65" i="95"/>
  <c r="O83" i="95" s="1"/>
  <c r="P83" i="95"/>
  <c r="Q77" i="95"/>
  <c r="J65" i="95"/>
  <c r="N310" i="96"/>
  <c r="N309" i="96"/>
  <c r="N308" i="96"/>
  <c r="N293" i="96"/>
  <c r="N292" i="96"/>
  <c r="N291" i="96"/>
  <c r="N276" i="96"/>
  <c r="N275" i="96"/>
  <c r="N274" i="96"/>
  <c r="N259" i="96"/>
  <c r="N258" i="96"/>
  <c r="N257" i="96"/>
  <c r="N242" i="96"/>
  <c r="N241" i="96"/>
  <c r="N240" i="96"/>
  <c r="N225" i="96"/>
  <c r="N224" i="96"/>
  <c r="N223" i="96"/>
  <c r="N218" i="96"/>
  <c r="N217" i="96"/>
  <c r="N216" i="96"/>
  <c r="N215" i="96"/>
  <c r="N214" i="96"/>
  <c r="N212" i="96"/>
  <c r="N210" i="96"/>
  <c r="N208" i="96"/>
  <c r="N207" i="96"/>
  <c r="N206" i="96"/>
  <c r="N191" i="96"/>
  <c r="N190" i="96"/>
  <c r="N189" i="96"/>
  <c r="N157" i="96"/>
  <c r="N156" i="96"/>
  <c r="N155" i="96"/>
  <c r="N123" i="96"/>
  <c r="N122" i="96"/>
  <c r="N121" i="96"/>
  <c r="N89" i="96"/>
  <c r="N174" i="96" s="1"/>
  <c r="N88" i="96"/>
  <c r="N139" i="96" s="1"/>
  <c r="N87" i="96"/>
  <c r="N138" i="96" s="1"/>
  <c r="N81" i="96"/>
  <c r="C37" i="183" s="1"/>
  <c r="N80" i="96"/>
  <c r="C36" i="183" s="1"/>
  <c r="N52" i="96"/>
  <c r="N85" i="96" s="1"/>
  <c r="N102" i="96" s="1"/>
  <c r="N119" i="96" s="1"/>
  <c r="N39" i="96"/>
  <c r="N38" i="96"/>
  <c r="N37" i="96"/>
  <c r="N13" i="96"/>
  <c r="T51" i="172"/>
  <c r="Q20" i="102"/>
  <c r="N97" i="161"/>
  <c r="Q82" i="135"/>
  <c r="Q95" i="135" s="1"/>
  <c r="P123" i="135"/>
  <c r="P108" i="135"/>
  <c r="P123" i="132"/>
  <c r="Q82" i="132"/>
  <c r="Q95" i="132" s="1"/>
  <c r="P56" i="132"/>
  <c r="P62" i="132"/>
  <c r="P69" i="132" s="1"/>
  <c r="N140" i="96"/>
  <c r="R33" i="100"/>
  <c r="K63" i="178" s="1"/>
  <c r="J32" i="100"/>
  <c r="F26" i="177"/>
  <c r="D26" i="177"/>
  <c r="G79" i="104"/>
  <c r="G80" i="104"/>
  <c r="I74" i="104"/>
  <c r="K26" i="177"/>
  <c r="G89" i="104"/>
  <c r="Q15" i="177"/>
  <c r="M15" i="177"/>
  <c r="N15" i="177"/>
  <c r="O15" i="177"/>
  <c r="P15" i="177"/>
  <c r="C71" i="117"/>
  <c r="C58" i="117"/>
  <c r="C51" i="117"/>
  <c r="C36" i="117"/>
  <c r="P53" i="117"/>
  <c r="Q53" i="117"/>
  <c r="N71" i="172"/>
  <c r="O71" i="172"/>
  <c r="P71" i="172"/>
  <c r="Q71" i="172"/>
  <c r="L38" i="172"/>
  <c r="M38" i="172"/>
  <c r="M40" i="172" s="1"/>
  <c r="N38" i="172"/>
  <c r="N40" i="172" s="1"/>
  <c r="O38" i="172"/>
  <c r="L69" i="95" s="1"/>
  <c r="P38" i="172"/>
  <c r="Q38" i="172"/>
  <c r="N43" i="172"/>
  <c r="O43" i="172"/>
  <c r="P43" i="172"/>
  <c r="Q43" i="172"/>
  <c r="L44" i="172"/>
  <c r="M44" i="172"/>
  <c r="N44" i="172"/>
  <c r="O44" i="172"/>
  <c r="P44" i="172"/>
  <c r="Q44" i="172"/>
  <c r="N9" i="95"/>
  <c r="N35" i="95" s="1"/>
  <c r="N11" i="95"/>
  <c r="N36" i="95" s="1"/>
  <c r="G75" i="104"/>
  <c r="G85" i="104" s="1"/>
  <c r="G87" i="104" s="1"/>
  <c r="G77" i="104"/>
  <c r="G84" i="104"/>
  <c r="G76" i="104"/>
  <c r="G82" i="104"/>
  <c r="G81" i="104"/>
  <c r="A7" i="177"/>
  <c r="A8" i="177"/>
  <c r="A9" i="177"/>
  <c r="A10" i="177"/>
  <c r="A11" i="177"/>
  <c r="A12" i="177"/>
  <c r="A13" i="177"/>
  <c r="C20" i="175"/>
  <c r="C19" i="175"/>
  <c r="D63" i="178"/>
  <c r="E63" i="178"/>
  <c r="C115" i="117"/>
  <c r="N53" i="117"/>
  <c r="O53" i="117"/>
  <c r="K31" i="95"/>
  <c r="L31" i="95"/>
  <c r="M31" i="95"/>
  <c r="I31" i="95"/>
  <c r="N53" i="133"/>
  <c r="O53" i="133"/>
  <c r="D66" i="157"/>
  <c r="D43" i="135"/>
  <c r="D66" i="135"/>
  <c r="D44" i="135"/>
  <c r="D32" i="135"/>
  <c r="N99" i="135"/>
  <c r="O99" i="135"/>
  <c r="D43" i="132"/>
  <c r="D52" i="132" s="1"/>
  <c r="E32" i="132"/>
  <c r="N53" i="132"/>
  <c r="D66" i="132"/>
  <c r="N46" i="100"/>
  <c r="O46" i="100" s="1"/>
  <c r="F5" i="100"/>
  <c r="F35" i="100" s="1"/>
  <c r="D104" i="175" s="1"/>
  <c r="F46" i="181"/>
  <c r="G46" i="181" s="1"/>
  <c r="H46" i="181" s="1"/>
  <c r="J7" i="181"/>
  <c r="K7" i="181"/>
  <c r="L7" i="181"/>
  <c r="G32" i="181"/>
  <c r="F32" i="181"/>
  <c r="J19" i="181"/>
  <c r="J8" i="181"/>
  <c r="K8" i="181"/>
  <c r="K17" i="181"/>
  <c r="K19" i="181"/>
  <c r="L17" i="181"/>
  <c r="M17" i="181"/>
  <c r="N18" i="181"/>
  <c r="M23" i="181"/>
  <c r="M24" i="181"/>
  <c r="O18" i="181"/>
  <c r="P18" i="181"/>
  <c r="K12" i="181"/>
  <c r="J18" i="181"/>
  <c r="J24" i="181"/>
  <c r="J9" i="181"/>
  <c r="K26" i="181"/>
  <c r="J26" i="181"/>
  <c r="I13" i="181"/>
  <c r="H13" i="181"/>
  <c r="G13" i="181"/>
  <c r="G42" i="181"/>
  <c r="F13" i="181"/>
  <c r="F42" i="181"/>
  <c r="F5" i="181"/>
  <c r="F35" i="181" s="1"/>
  <c r="G33" i="181"/>
  <c r="F33" i="181"/>
  <c r="L24" i="181"/>
  <c r="K22" i="181"/>
  <c r="K23" i="181"/>
  <c r="K24" i="181"/>
  <c r="Q20" i="181"/>
  <c r="S20" i="181"/>
  <c r="M18" i="181"/>
  <c r="L18" i="181"/>
  <c r="K18" i="181"/>
  <c r="K20" i="181"/>
  <c r="J20" i="181"/>
  <c r="N12" i="181"/>
  <c r="O12" i="181"/>
  <c r="P12" i="181"/>
  <c r="K77" i="180" a="1"/>
  <c r="K77" i="180"/>
  <c r="K78" i="180" a="1"/>
  <c r="K78" i="180"/>
  <c r="K79" i="180" a="1"/>
  <c r="K79" i="180"/>
  <c r="K80" i="180" a="1"/>
  <c r="K81" i="180" a="1"/>
  <c r="K82" i="180" a="1"/>
  <c r="K83" i="180" a="1"/>
  <c r="K83" i="180"/>
  <c r="K84" i="180" a="1"/>
  <c r="K84" i="180"/>
  <c r="K85" i="180" a="1"/>
  <c r="K85" i="180"/>
  <c r="K80" i="180"/>
  <c r="K81" i="180"/>
  <c r="K82" i="180"/>
  <c r="K70" i="180" a="1"/>
  <c r="K70" i="180"/>
  <c r="K71" i="180" a="1"/>
  <c r="K71" i="180"/>
  <c r="K72" i="180" a="1"/>
  <c r="K72" i="180"/>
  <c r="K73" i="180" a="1"/>
  <c r="K74" i="180" a="1"/>
  <c r="K74" i="180"/>
  <c r="K73" i="180"/>
  <c r="K63" i="180" a="1"/>
  <c r="K63" i="180"/>
  <c r="K64" i="180" a="1"/>
  <c r="K64" i="180"/>
  <c r="K65" i="180" a="1"/>
  <c r="K66" i="180" a="1"/>
  <c r="K66" i="180"/>
  <c r="K67" i="180" a="1"/>
  <c r="K65" i="180"/>
  <c r="K67" i="180"/>
  <c r="K53" i="180" a="1"/>
  <c r="K53" i="180"/>
  <c r="K54" i="180" a="1"/>
  <c r="K54" i="180"/>
  <c r="K55" i="180" a="1"/>
  <c r="K56" i="180" a="1"/>
  <c r="K57" i="180" a="1"/>
  <c r="K57" i="180"/>
  <c r="K58" i="180" a="1"/>
  <c r="K58" i="180"/>
  <c r="K59" i="180" a="1"/>
  <c r="K60" i="180" a="1"/>
  <c r="K55" i="180"/>
  <c r="K56" i="180"/>
  <c r="K59" i="180"/>
  <c r="K60" i="180"/>
  <c r="K45" i="180" a="1"/>
  <c r="K45" i="180"/>
  <c r="K46" i="180" a="1"/>
  <c r="K46" i="180"/>
  <c r="K47" i="180" a="1"/>
  <c r="K48" i="180" a="1"/>
  <c r="K49" i="180" a="1"/>
  <c r="K50" i="180" a="1"/>
  <c r="K47" i="180"/>
  <c r="K48" i="180"/>
  <c r="K49" i="180"/>
  <c r="K50" i="180"/>
  <c r="K37" i="180" a="1"/>
  <c r="K37" i="180"/>
  <c r="K43" i="180"/>
  <c r="E7" i="180"/>
  <c r="K38" i="180" a="1"/>
  <c r="K38" i="180"/>
  <c r="K39" i="180" a="1"/>
  <c r="K40" i="180" a="1"/>
  <c r="K41" i="180" a="1"/>
  <c r="K42" i="180" a="1"/>
  <c r="K39" i="180"/>
  <c r="K40" i="180"/>
  <c r="K41" i="180"/>
  <c r="K42" i="180"/>
  <c r="K29" i="180" a="1"/>
  <c r="K29" i="180"/>
  <c r="K30" i="180" a="1"/>
  <c r="K30" i="180"/>
  <c r="K31" i="180" a="1"/>
  <c r="K32" i="180" a="1"/>
  <c r="K33" i="180" a="1"/>
  <c r="K34" i="180" a="1"/>
  <c r="K31" i="180"/>
  <c r="K32" i="180"/>
  <c r="K33" i="180"/>
  <c r="K34" i="180"/>
  <c r="K20" i="180" a="1"/>
  <c r="K20" i="180"/>
  <c r="K21" i="180" a="1"/>
  <c r="K21" i="180"/>
  <c r="K27" i="180"/>
  <c r="E4" i="180"/>
  <c r="K22" i="180" a="1"/>
  <c r="K23" i="180" a="1"/>
  <c r="K24" i="180" a="1"/>
  <c r="K24" i="180"/>
  <c r="K25" i="180" a="1"/>
  <c r="K26" i="180" a="1"/>
  <c r="K22" i="180"/>
  <c r="K23" i="180"/>
  <c r="K25" i="180"/>
  <c r="K26" i="180"/>
  <c r="I12" i="99"/>
  <c r="J7" i="97"/>
  <c r="K8" i="97"/>
  <c r="P18" i="100"/>
  <c r="S51" i="172"/>
  <c r="F40" i="175"/>
  <c r="F12" i="175" s="1"/>
  <c r="D43" i="137"/>
  <c r="D52" i="137" s="1"/>
  <c r="E52" i="137" s="1"/>
  <c r="F52" i="137" s="1"/>
  <c r="G52" i="137" s="1"/>
  <c r="H52" i="137" s="1"/>
  <c r="I52" i="137" s="1"/>
  <c r="J52" i="137" s="1"/>
  <c r="K52" i="137" s="1"/>
  <c r="L52" i="137" s="1"/>
  <c r="M52" i="137" s="1"/>
  <c r="L89" i="179"/>
  <c r="J89" i="179"/>
  <c r="L90" i="179"/>
  <c r="J90" i="179"/>
  <c r="L91" i="179"/>
  <c r="J91" i="179"/>
  <c r="N92" i="179"/>
  <c r="J92" i="179"/>
  <c r="L93" i="179"/>
  <c r="J93" i="179"/>
  <c r="M41" i="179"/>
  <c r="M95" i="179"/>
  <c r="J95" i="179"/>
  <c r="N95" i="179"/>
  <c r="L95" i="179"/>
  <c r="N94" i="179"/>
  <c r="L94" i="179"/>
  <c r="N93" i="179"/>
  <c r="C90" i="179"/>
  <c r="C91" i="179"/>
  <c r="C93" i="179"/>
  <c r="L92" i="179"/>
  <c r="N91" i="179"/>
  <c r="N90" i="179"/>
  <c r="N89" i="179"/>
  <c r="M89" i="179"/>
  <c r="M82" i="179"/>
  <c r="J82" i="179"/>
  <c r="L83" i="179"/>
  <c r="J83" i="179"/>
  <c r="N87" i="179"/>
  <c r="M87" i="179"/>
  <c r="L87" i="179"/>
  <c r="N86" i="179"/>
  <c r="L86" i="179"/>
  <c r="N85" i="179"/>
  <c r="L85" i="179"/>
  <c r="C82" i="179"/>
  <c r="C83" i="179"/>
  <c r="C85" i="179"/>
  <c r="N84" i="179"/>
  <c r="L84" i="179"/>
  <c r="N83" i="179"/>
  <c r="N82" i="179"/>
  <c r="L82" i="179"/>
  <c r="N81" i="179"/>
  <c r="L81" i="179"/>
  <c r="N72" i="179"/>
  <c r="J72" i="179"/>
  <c r="L74" i="179"/>
  <c r="J74" i="179"/>
  <c r="L75" i="179"/>
  <c r="J75" i="179"/>
  <c r="L76" i="179"/>
  <c r="J76" i="179"/>
  <c r="L77" i="179"/>
  <c r="J77" i="179"/>
  <c r="N78" i="179"/>
  <c r="L78" i="179"/>
  <c r="J78" i="179"/>
  <c r="N77" i="179"/>
  <c r="M77" i="179"/>
  <c r="N76" i="179"/>
  <c r="N75" i="179"/>
  <c r="M75" i="179"/>
  <c r="N74" i="179"/>
  <c r="M74" i="179"/>
  <c r="N73" i="179"/>
  <c r="L73" i="179"/>
  <c r="M72" i="179"/>
  <c r="L72" i="179"/>
  <c r="M64" i="179"/>
  <c r="J64" i="179"/>
  <c r="N65" i="179"/>
  <c r="J65" i="179"/>
  <c r="M66" i="179"/>
  <c r="J66" i="179"/>
  <c r="M67" i="179"/>
  <c r="J67" i="179"/>
  <c r="N67" i="179"/>
  <c r="L67" i="179"/>
  <c r="N66" i="179"/>
  <c r="L66" i="179"/>
  <c r="M65" i="179"/>
  <c r="L65" i="179"/>
  <c r="N64" i="179"/>
  <c r="L64" i="179"/>
  <c r="M57" i="179"/>
  <c r="J57" i="179"/>
  <c r="M58" i="179"/>
  <c r="J58" i="179"/>
  <c r="M59" i="179"/>
  <c r="J59" i="179"/>
  <c r="M60" i="179"/>
  <c r="J60" i="179"/>
  <c r="N61" i="179"/>
  <c r="M61" i="179"/>
  <c r="L61" i="179"/>
  <c r="N60" i="179"/>
  <c r="L60" i="179"/>
  <c r="N59" i="179"/>
  <c r="L59" i="179"/>
  <c r="N58" i="179"/>
  <c r="L58" i="179"/>
  <c r="N57" i="179"/>
  <c r="L57" i="179"/>
  <c r="N56" i="179"/>
  <c r="M56" i="179"/>
  <c r="L56" i="179"/>
  <c r="M50" i="179"/>
  <c r="J50" i="179"/>
  <c r="J54" i="179"/>
  <c r="J51" i="179"/>
  <c r="J52" i="179"/>
  <c r="M52" i="179"/>
  <c r="O52" i="179"/>
  <c r="M51" i="179"/>
  <c r="O51" i="179"/>
  <c r="O50" i="179"/>
  <c r="L42" i="179"/>
  <c r="J42" i="179"/>
  <c r="M42" i="179"/>
  <c r="M43" i="179"/>
  <c r="L43" i="179"/>
  <c r="L44" i="179"/>
  <c r="L45" i="179"/>
  <c r="N42" i="179"/>
  <c r="N43" i="179"/>
  <c r="N44" i="179"/>
  <c r="N45" i="179"/>
  <c r="N46" i="179"/>
  <c r="J34" i="179"/>
  <c r="L35" i="179"/>
  <c r="J35" i="179"/>
  <c r="M34" i="179"/>
  <c r="M35" i="179"/>
  <c r="M36" i="179"/>
  <c r="L36" i="179"/>
  <c r="L37" i="179"/>
  <c r="J37" i="179"/>
  <c r="N35" i="179"/>
  <c r="N36" i="179"/>
  <c r="N37" i="179"/>
  <c r="J27" i="179"/>
  <c r="M27" i="179"/>
  <c r="M28" i="179"/>
  <c r="M29" i="179"/>
  <c r="M30" i="179"/>
  <c r="M31" i="179"/>
  <c r="J31" i="179"/>
  <c r="J28" i="179"/>
  <c r="N28" i="179"/>
  <c r="N29" i="179"/>
  <c r="O27" i="179"/>
  <c r="O28" i="179"/>
  <c r="O29" i="179"/>
  <c r="O30" i="179"/>
  <c r="O31" i="179"/>
  <c r="L28" i="179"/>
  <c r="L29" i="179"/>
  <c r="L30" i="179"/>
  <c r="L31" i="179"/>
  <c r="M16" i="179"/>
  <c r="M17" i="179"/>
  <c r="J17" i="179"/>
  <c r="N17" i="179"/>
  <c r="N18" i="179"/>
  <c r="L17" i="179"/>
  <c r="L18" i="179"/>
  <c r="L19" i="179"/>
  <c r="L20" i="179"/>
  <c r="K41" i="98"/>
  <c r="L41" i="98"/>
  <c r="L9" i="95"/>
  <c r="M9" i="95"/>
  <c r="K9" i="95"/>
  <c r="K35" i="95" s="1"/>
  <c r="J9" i="95"/>
  <c r="G6" i="174" s="1"/>
  <c r="J5" i="174"/>
  <c r="G59" i="104" s="1"/>
  <c r="K104" i="104" s="1"/>
  <c r="I5" i="174"/>
  <c r="H5" i="174"/>
  <c r="G5" i="174"/>
  <c r="G17" i="174" s="1"/>
  <c r="M7" i="97"/>
  <c r="M11" i="95"/>
  <c r="M36" i="95" s="1"/>
  <c r="J7" i="100"/>
  <c r="J38" i="98" s="1"/>
  <c r="M18" i="100"/>
  <c r="M23" i="100"/>
  <c r="N23" i="100" s="1"/>
  <c r="N18" i="100"/>
  <c r="O18" i="100"/>
  <c r="K7" i="101"/>
  <c r="L7" i="101" s="1"/>
  <c r="K7" i="102"/>
  <c r="L7" i="102"/>
  <c r="M7" i="102"/>
  <c r="J13" i="101"/>
  <c r="K13" i="101"/>
  <c r="L13" i="101"/>
  <c r="M13" i="101"/>
  <c r="J12" i="102"/>
  <c r="K12" i="102"/>
  <c r="L12" i="102"/>
  <c r="M12" i="102"/>
  <c r="N12" i="102"/>
  <c r="O12" i="102"/>
  <c r="P12" i="102"/>
  <c r="K17" i="100"/>
  <c r="K19" i="100"/>
  <c r="L17" i="100"/>
  <c r="L19" i="100" s="1"/>
  <c r="D40" i="117"/>
  <c r="D42" i="117"/>
  <c r="S6" i="117"/>
  <c r="D41" i="117"/>
  <c r="D43" i="117"/>
  <c r="E53" i="117"/>
  <c r="F53" i="117"/>
  <c r="G53" i="117"/>
  <c r="H53" i="117"/>
  <c r="I53" i="117"/>
  <c r="J53" i="117"/>
  <c r="K53" i="117"/>
  <c r="L53" i="117"/>
  <c r="M53" i="117"/>
  <c r="D40" i="159"/>
  <c r="D41" i="159"/>
  <c r="D43" i="159"/>
  <c r="D52" i="159"/>
  <c r="E53" i="159"/>
  <c r="F53" i="159"/>
  <c r="G53" i="159"/>
  <c r="H53" i="159"/>
  <c r="I53" i="159"/>
  <c r="J53" i="159"/>
  <c r="K53" i="159"/>
  <c r="L53" i="159"/>
  <c r="M53" i="159"/>
  <c r="D40" i="119"/>
  <c r="D42" i="119"/>
  <c r="D41" i="119"/>
  <c r="D43" i="119"/>
  <c r="D52" i="119"/>
  <c r="E52" i="119"/>
  <c r="F52" i="119"/>
  <c r="G52" i="119"/>
  <c r="H52" i="119"/>
  <c r="I52" i="119"/>
  <c r="J52" i="119"/>
  <c r="K52" i="119"/>
  <c r="L52" i="119"/>
  <c r="M52" i="119"/>
  <c r="E53" i="119"/>
  <c r="F53" i="119"/>
  <c r="G53" i="119"/>
  <c r="H53" i="119"/>
  <c r="I53" i="119"/>
  <c r="J53" i="119"/>
  <c r="K53" i="119"/>
  <c r="L53" i="119"/>
  <c r="M53" i="119"/>
  <c r="D40" i="121"/>
  <c r="D42" i="121"/>
  <c r="D41" i="121"/>
  <c r="D43" i="121"/>
  <c r="D52" i="121"/>
  <c r="E52" i="121"/>
  <c r="F52" i="121"/>
  <c r="G52" i="121"/>
  <c r="H52" i="121"/>
  <c r="I52" i="121"/>
  <c r="J52" i="121"/>
  <c r="K52" i="121"/>
  <c r="L52" i="121"/>
  <c r="M52" i="121"/>
  <c r="E53" i="121"/>
  <c r="F53" i="121"/>
  <c r="G53" i="121"/>
  <c r="H53" i="121"/>
  <c r="I53" i="121"/>
  <c r="J53" i="121"/>
  <c r="K53" i="121"/>
  <c r="L53" i="121"/>
  <c r="M53" i="121"/>
  <c r="D40" i="155"/>
  <c r="D42" i="155"/>
  <c r="S6" i="155"/>
  <c r="D41" i="155"/>
  <c r="D43" i="155"/>
  <c r="D52" i="155"/>
  <c r="E53" i="155"/>
  <c r="E52" i="155" s="1"/>
  <c r="F53" i="155"/>
  <c r="G53" i="155"/>
  <c r="H53" i="155"/>
  <c r="I53" i="155"/>
  <c r="J53" i="155"/>
  <c r="K53" i="155"/>
  <c r="L53" i="155"/>
  <c r="M53" i="155"/>
  <c r="D43" i="156"/>
  <c r="E53" i="156"/>
  <c r="D40" i="160"/>
  <c r="D41" i="160"/>
  <c r="D42" i="160"/>
  <c r="D43" i="160"/>
  <c r="N52" i="160" s="1"/>
  <c r="E53" i="160"/>
  <c r="D40" i="134"/>
  <c r="C70" i="134" s="1"/>
  <c r="D41" i="134"/>
  <c r="D43" i="134"/>
  <c r="D52" i="134" s="1"/>
  <c r="E52" i="134" s="1"/>
  <c r="F52" i="134" s="1"/>
  <c r="G52" i="134" s="1"/>
  <c r="H52" i="134" s="1"/>
  <c r="I52" i="134" s="1"/>
  <c r="J52" i="134" s="1"/>
  <c r="K52" i="134" s="1"/>
  <c r="L52" i="134" s="1"/>
  <c r="M52" i="134" s="1"/>
  <c r="E53" i="134"/>
  <c r="F53" i="134"/>
  <c r="G53" i="134"/>
  <c r="H53" i="134"/>
  <c r="I53" i="134"/>
  <c r="J53" i="134"/>
  <c r="K53" i="134"/>
  <c r="L53" i="134"/>
  <c r="M53" i="134"/>
  <c r="D40" i="133"/>
  <c r="D42" i="133"/>
  <c r="D41" i="133"/>
  <c r="D43" i="133"/>
  <c r="D52" i="133"/>
  <c r="E53" i="133"/>
  <c r="F53" i="133"/>
  <c r="G53" i="133"/>
  <c r="H53" i="133"/>
  <c r="I53" i="133"/>
  <c r="J53" i="133"/>
  <c r="K53" i="133"/>
  <c r="L53" i="133"/>
  <c r="M53" i="133"/>
  <c r="D40" i="132"/>
  <c r="D41" i="132"/>
  <c r="E53" i="132"/>
  <c r="F53" i="132"/>
  <c r="G53" i="132"/>
  <c r="H53" i="132"/>
  <c r="I53" i="132"/>
  <c r="J53" i="132"/>
  <c r="K53" i="132"/>
  <c r="L53" i="132"/>
  <c r="M53" i="132"/>
  <c r="D40" i="135"/>
  <c r="D42" i="135"/>
  <c r="D41" i="135"/>
  <c r="E53" i="135"/>
  <c r="D40" i="137"/>
  <c r="D41" i="137"/>
  <c r="E53" i="137"/>
  <c r="F53" i="137"/>
  <c r="G53" i="137"/>
  <c r="H53" i="137"/>
  <c r="I53" i="137"/>
  <c r="J53" i="137"/>
  <c r="K53" i="137"/>
  <c r="L53" i="137"/>
  <c r="M53" i="137"/>
  <c r="D40" i="161"/>
  <c r="D42" i="161"/>
  <c r="O50" i="161" s="1"/>
  <c r="O48" i="96" s="1"/>
  <c r="D48" i="183" s="1"/>
  <c r="D41" i="161"/>
  <c r="D43" i="161"/>
  <c r="D52" i="161" s="1"/>
  <c r="E52" i="161" s="1"/>
  <c r="F52" i="161" s="1"/>
  <c r="G52" i="161" s="1"/>
  <c r="H52" i="161" s="1"/>
  <c r="I52" i="161" s="1"/>
  <c r="J52" i="161" s="1"/>
  <c r="E53" i="161"/>
  <c r="F53" i="161"/>
  <c r="G53" i="161"/>
  <c r="H53" i="161"/>
  <c r="I53" i="161"/>
  <c r="J53" i="161"/>
  <c r="K53" i="161"/>
  <c r="L53" i="161"/>
  <c r="M53" i="161"/>
  <c r="D43" i="157"/>
  <c r="E53" i="157"/>
  <c r="F53" i="157" s="1"/>
  <c r="G53" i="157" s="1"/>
  <c r="H53" i="157" s="1"/>
  <c r="I53" i="157" s="1"/>
  <c r="J53" i="157" s="1"/>
  <c r="K53" i="157" s="1"/>
  <c r="L53" i="157" s="1"/>
  <c r="M53" i="157" s="1"/>
  <c r="N53" i="157" s="1"/>
  <c r="O53" i="157" s="1"/>
  <c r="P53" i="157" s="1"/>
  <c r="Q53" i="157" s="1"/>
  <c r="R53" i="157" s="1"/>
  <c r="S53" i="157" s="1"/>
  <c r="T53" i="157" s="1"/>
  <c r="M81" i="172"/>
  <c r="N81" i="172" s="1"/>
  <c r="M69" i="95"/>
  <c r="M51" i="95"/>
  <c r="M52" i="95"/>
  <c r="D21" i="101"/>
  <c r="Q21" i="101"/>
  <c r="P21" i="101"/>
  <c r="G5" i="95"/>
  <c r="G5" i="101" s="1"/>
  <c r="E25" i="101"/>
  <c r="E26" i="101"/>
  <c r="E27" i="101"/>
  <c r="E28" i="101"/>
  <c r="E29" i="101"/>
  <c r="N10" i="101"/>
  <c r="N21" i="101"/>
  <c r="M10" i="102"/>
  <c r="D20" i="102"/>
  <c r="E24" i="102"/>
  <c r="E25" i="102"/>
  <c r="E26" i="102"/>
  <c r="E27" i="102"/>
  <c r="E28" i="102"/>
  <c r="N9" i="102"/>
  <c r="N10" i="102"/>
  <c r="O10" i="102"/>
  <c r="D66" i="117"/>
  <c r="D124" i="159"/>
  <c r="E124" i="159"/>
  <c r="D66" i="159"/>
  <c r="D124" i="119"/>
  <c r="E124" i="119"/>
  <c r="D66" i="119"/>
  <c r="D124" i="121"/>
  <c r="E124" i="121"/>
  <c r="D66" i="121"/>
  <c r="D124" i="155"/>
  <c r="E124" i="155"/>
  <c r="D124" i="156"/>
  <c r="E124" i="156"/>
  <c r="D66" i="156"/>
  <c r="D124" i="160"/>
  <c r="E124" i="160"/>
  <c r="D66" i="160"/>
  <c r="D124" i="134"/>
  <c r="E124" i="134"/>
  <c r="D66" i="134"/>
  <c r="D124" i="133"/>
  <c r="E124" i="133"/>
  <c r="D66" i="133"/>
  <c r="D124" i="132"/>
  <c r="E124" i="132"/>
  <c r="D124" i="135"/>
  <c r="E124" i="135"/>
  <c r="D124" i="137"/>
  <c r="E124" i="137"/>
  <c r="D66" i="137"/>
  <c r="D125" i="161"/>
  <c r="E125" i="161" s="1"/>
  <c r="D124" i="157"/>
  <c r="D127" i="157" s="1"/>
  <c r="E124" i="157"/>
  <c r="E127" i="157" s="1"/>
  <c r="O14" i="103"/>
  <c r="J19" i="100"/>
  <c r="P17" i="100"/>
  <c r="P19" i="100"/>
  <c r="P20" i="100"/>
  <c r="N17" i="177"/>
  <c r="E12" i="177"/>
  <c r="G58" i="175"/>
  <c r="L11" i="95"/>
  <c r="K18" i="6" s="1"/>
  <c r="K11" i="95"/>
  <c r="J18" i="100"/>
  <c r="J20" i="100" s="1"/>
  <c r="J24" i="100"/>
  <c r="J26" i="100"/>
  <c r="J11" i="95"/>
  <c r="J36" i="95" s="1"/>
  <c r="I38" i="98"/>
  <c r="I39" i="98"/>
  <c r="I40" i="98"/>
  <c r="I44" i="98" s="1"/>
  <c r="I41" i="98"/>
  <c r="I42" i="98"/>
  <c r="I43" i="98"/>
  <c r="I9" i="95"/>
  <c r="I11" i="95"/>
  <c r="AA12" i="95" s="1"/>
  <c r="AA13" i="95" s="1"/>
  <c r="H38" i="98"/>
  <c r="H39" i="98"/>
  <c r="H40" i="98"/>
  <c r="H44" i="98" s="1"/>
  <c r="H53" i="98" s="1"/>
  <c r="H41" i="98"/>
  <c r="H42" i="98"/>
  <c r="H43" i="98"/>
  <c r="H9" i="95"/>
  <c r="H11" i="95"/>
  <c r="Z12" i="95" s="1"/>
  <c r="Z13" i="95" s="1"/>
  <c r="G38" i="98"/>
  <c r="G39" i="98"/>
  <c r="G40" i="98"/>
  <c r="G44" i="98" s="1"/>
  <c r="G41" i="98"/>
  <c r="G42" i="98"/>
  <c r="G43" i="98"/>
  <c r="G9" i="95"/>
  <c r="D6" i="174" s="1"/>
  <c r="G11" i="95"/>
  <c r="G36" i="95" s="1"/>
  <c r="F38" i="98"/>
  <c r="F39" i="98"/>
  <c r="F40" i="98"/>
  <c r="F44" i="98" s="1"/>
  <c r="F41" i="98"/>
  <c r="F42" i="98"/>
  <c r="F43" i="98"/>
  <c r="G60" i="175"/>
  <c r="G59" i="175"/>
  <c r="G49" i="175"/>
  <c r="G47" i="175"/>
  <c r="G20" i="175"/>
  <c r="G18" i="175"/>
  <c r="C25" i="175"/>
  <c r="C24" i="175"/>
  <c r="C18" i="175"/>
  <c r="G17" i="175"/>
  <c r="C17" i="175"/>
  <c r="C15" i="175"/>
  <c r="C14" i="175"/>
  <c r="C13" i="175"/>
  <c r="D12" i="175"/>
  <c r="C12" i="175"/>
  <c r="C11" i="175"/>
  <c r="C10" i="175"/>
  <c r="C9" i="175"/>
  <c r="C8" i="175"/>
  <c r="B8" i="175"/>
  <c r="B7" i="175"/>
  <c r="B6" i="175"/>
  <c r="B5" i="175"/>
  <c r="B4" i="175"/>
  <c r="F3" i="175"/>
  <c r="E3" i="175"/>
  <c r="D3" i="175"/>
  <c r="C3" i="175"/>
  <c r="AC12" i="95"/>
  <c r="AD12" i="95" s="1"/>
  <c r="AE12" i="95" s="1"/>
  <c r="F9" i="95"/>
  <c r="F35" i="95" s="1"/>
  <c r="F11" i="95"/>
  <c r="F36" i="95" s="1"/>
  <c r="D127" i="155"/>
  <c r="E96" i="155"/>
  <c r="D96" i="155"/>
  <c r="C54" i="155"/>
  <c r="O54" i="155"/>
  <c r="C49" i="155"/>
  <c r="C56" i="155"/>
  <c r="C62" i="155"/>
  <c r="C69" i="155"/>
  <c r="C74" i="155"/>
  <c r="C82" i="155"/>
  <c r="D46" i="155"/>
  <c r="C70" i="155"/>
  <c r="M70" i="155" s="1"/>
  <c r="M100" i="155" s="1"/>
  <c r="M133" i="155" s="1"/>
  <c r="E14" i="117"/>
  <c r="F14" i="117"/>
  <c r="D32" i="155"/>
  <c r="E29" i="155"/>
  <c r="E31" i="155"/>
  <c r="D6" i="155"/>
  <c r="G22" i="155"/>
  <c r="H22" i="155"/>
  <c r="I22" i="155"/>
  <c r="J22" i="155"/>
  <c r="K22" i="155"/>
  <c r="L22" i="155"/>
  <c r="M22" i="155"/>
  <c r="N22" i="155"/>
  <c r="O22" i="155"/>
  <c r="P22" i="155"/>
  <c r="Q22" i="155"/>
  <c r="E22" i="117"/>
  <c r="F22" i="117"/>
  <c r="F22" i="155"/>
  <c r="D22" i="155"/>
  <c r="G21" i="155"/>
  <c r="H21" i="155"/>
  <c r="F21" i="155"/>
  <c r="E21" i="155"/>
  <c r="D21" i="155"/>
  <c r="P20" i="155"/>
  <c r="Q20" i="155"/>
  <c r="M20" i="155"/>
  <c r="L20" i="155"/>
  <c r="I20" i="155"/>
  <c r="E20" i="155"/>
  <c r="D20" i="155"/>
  <c r="D18" i="155"/>
  <c r="E18" i="155"/>
  <c r="F18" i="155"/>
  <c r="G18" i="155"/>
  <c r="H18" i="155"/>
  <c r="I18" i="155"/>
  <c r="J18" i="155"/>
  <c r="K18" i="155"/>
  <c r="L18" i="155"/>
  <c r="M18" i="155"/>
  <c r="N18" i="155"/>
  <c r="O18" i="155"/>
  <c r="P18" i="155"/>
  <c r="Q18" i="155"/>
  <c r="D17" i="155"/>
  <c r="D16" i="155"/>
  <c r="D19" i="155" s="1"/>
  <c r="D23" i="155" s="1"/>
  <c r="E14" i="119"/>
  <c r="E14" i="155"/>
  <c r="E34" i="155"/>
  <c r="E49" i="155"/>
  <c r="E56" i="155"/>
  <c r="E62" i="155"/>
  <c r="E69" i="155"/>
  <c r="E74" i="155"/>
  <c r="D14" i="119"/>
  <c r="D14" i="155"/>
  <c r="D34" i="155"/>
  <c r="D49" i="155"/>
  <c r="D56" i="155"/>
  <c r="D62" i="155"/>
  <c r="D69" i="155"/>
  <c r="D74" i="155"/>
  <c r="D12" i="119"/>
  <c r="D12" i="121" s="1"/>
  <c r="N20" i="155"/>
  <c r="Q54" i="155"/>
  <c r="E54" i="155"/>
  <c r="I54" i="155"/>
  <c r="C59" i="155"/>
  <c r="I59" i="155"/>
  <c r="M54" i="155"/>
  <c r="E30" i="155"/>
  <c r="E17" i="155"/>
  <c r="G20" i="155"/>
  <c r="K20" i="155"/>
  <c r="O20" i="155"/>
  <c r="E59" i="155"/>
  <c r="E32" i="155"/>
  <c r="D15" i="155"/>
  <c r="E15" i="155"/>
  <c r="F15" i="155" s="1"/>
  <c r="F20" i="155"/>
  <c r="J20" i="155"/>
  <c r="G59" i="155"/>
  <c r="D54" i="155"/>
  <c r="H54" i="155"/>
  <c r="L54" i="155"/>
  <c r="P54" i="155"/>
  <c r="F54" i="155"/>
  <c r="J54" i="155"/>
  <c r="N54" i="155"/>
  <c r="G54" i="155"/>
  <c r="K54" i="155"/>
  <c r="O21" i="101"/>
  <c r="O59" i="155"/>
  <c r="F17" i="155"/>
  <c r="E127" i="155"/>
  <c r="P76" i="155"/>
  <c r="L76" i="155"/>
  <c r="H76" i="155"/>
  <c r="D76" i="155"/>
  <c r="O76" i="155"/>
  <c r="K76" i="155"/>
  <c r="G76" i="155"/>
  <c r="Q76" i="155"/>
  <c r="M76" i="155"/>
  <c r="I76" i="155"/>
  <c r="E76" i="155"/>
  <c r="F76" i="155"/>
  <c r="N76" i="155"/>
  <c r="J76" i="155"/>
  <c r="C35" i="155"/>
  <c r="H22" i="117"/>
  <c r="I22" i="117"/>
  <c r="J22" i="117"/>
  <c r="K22" i="117"/>
  <c r="L22" i="117"/>
  <c r="O72" i="172"/>
  <c r="P72" i="172" s="1"/>
  <c r="E4" i="172"/>
  <c r="F4" i="172" s="1"/>
  <c r="G4" i="172" s="1"/>
  <c r="H4" i="172" s="1"/>
  <c r="I4" i="172" s="1"/>
  <c r="J4" i="172" s="1"/>
  <c r="K4" i="172" s="1"/>
  <c r="L4" i="172" s="1"/>
  <c r="M4" i="172" s="1"/>
  <c r="N4" i="172" s="1"/>
  <c r="O4" i="172" s="1"/>
  <c r="P4" i="172" s="1"/>
  <c r="Q4" i="172" s="1"/>
  <c r="R4" i="172" s="1"/>
  <c r="S4" i="172" s="1"/>
  <c r="T4" i="172" s="1"/>
  <c r="E6" i="172"/>
  <c r="F6" i="172" s="1"/>
  <c r="G6" i="172" s="1"/>
  <c r="H6" i="172" s="1"/>
  <c r="I6" i="172" s="1"/>
  <c r="J6" i="172" s="1"/>
  <c r="K6" i="172" s="1"/>
  <c r="L6" i="172" s="1"/>
  <c r="M6" i="172" s="1"/>
  <c r="N6" i="172" s="1"/>
  <c r="O6" i="172" s="1"/>
  <c r="P6" i="172" s="1"/>
  <c r="Q6" i="172" s="1"/>
  <c r="R6" i="172" s="1"/>
  <c r="S6" i="172" s="1"/>
  <c r="T6" i="172" s="1"/>
  <c r="D7" i="172"/>
  <c r="E7" i="172" s="1"/>
  <c r="D8" i="172"/>
  <c r="E8" i="172" s="1"/>
  <c r="F8" i="172" s="1"/>
  <c r="G8" i="172" s="1"/>
  <c r="H8" i="172" s="1"/>
  <c r="I8" i="172" s="1"/>
  <c r="J8" i="172" s="1"/>
  <c r="K8" i="172" s="1"/>
  <c r="L8" i="172" s="1"/>
  <c r="M8" i="172" s="1"/>
  <c r="N8" i="172" s="1"/>
  <c r="O8" i="172" s="1"/>
  <c r="P8" i="172" s="1"/>
  <c r="Q8" i="172" s="1"/>
  <c r="R8" i="172" s="1"/>
  <c r="S8" i="172" s="1"/>
  <c r="T8" i="172" s="1"/>
  <c r="E10" i="172"/>
  <c r="F10" i="172" s="1"/>
  <c r="G11" i="172"/>
  <c r="H11" i="172" s="1"/>
  <c r="I11" i="172" s="1"/>
  <c r="J11" i="172" s="1"/>
  <c r="K11" i="172" s="1"/>
  <c r="L11" i="172" s="1"/>
  <c r="M11" i="172" s="1"/>
  <c r="N11" i="172" s="1"/>
  <c r="O11" i="172" s="1"/>
  <c r="P11" i="172" s="1"/>
  <c r="Q11" i="172" s="1"/>
  <c r="R11" i="172" s="1"/>
  <c r="S11" i="172" s="1"/>
  <c r="T11" i="172" s="1"/>
  <c r="G12" i="172"/>
  <c r="H12" i="172" s="1"/>
  <c r="AG52" i="172"/>
  <c r="AG54" i="172" s="1"/>
  <c r="L53" i="172" s="1"/>
  <c r="M55" i="172"/>
  <c r="N55" i="172" s="1"/>
  <c r="M57" i="172"/>
  <c r="N57" i="172" s="1"/>
  <c r="M58" i="172"/>
  <c r="N58" i="172" s="1"/>
  <c r="O58" i="172" s="1"/>
  <c r="P58" i="172" s="1"/>
  <c r="Q58" i="172" s="1"/>
  <c r="R58" i="172" s="1"/>
  <c r="S58" i="172" s="1"/>
  <c r="T58" i="172" s="1"/>
  <c r="U58" i="172" s="1"/>
  <c r="V58" i="172" s="1"/>
  <c r="W58" i="172" s="1"/>
  <c r="X58" i="172" s="1"/>
  <c r="Y58" i="172" s="1"/>
  <c r="Z58" i="172" s="1"/>
  <c r="E63" i="172"/>
  <c r="F63" i="172" s="1"/>
  <c r="K73" i="172"/>
  <c r="M73" i="172" s="1"/>
  <c r="M79" i="172"/>
  <c r="N79" i="172" s="1"/>
  <c r="O79" i="172" s="1"/>
  <c r="M83" i="172"/>
  <c r="N83" i="172" s="1"/>
  <c r="C99" i="155"/>
  <c r="N35" i="155"/>
  <c r="N99" i="155"/>
  <c r="J35" i="155"/>
  <c r="J99" i="155"/>
  <c r="F35" i="155"/>
  <c r="F99" i="155"/>
  <c r="Q35" i="155"/>
  <c r="Q99" i="155"/>
  <c r="M35" i="155"/>
  <c r="M99" i="155"/>
  <c r="I35" i="155"/>
  <c r="I99" i="155"/>
  <c r="E35" i="155"/>
  <c r="E99" i="155"/>
  <c r="P35" i="155"/>
  <c r="P99" i="155"/>
  <c r="L35" i="155"/>
  <c r="L99" i="155"/>
  <c r="D35" i="155"/>
  <c r="D99" i="155"/>
  <c r="O35" i="155"/>
  <c r="O99" i="155"/>
  <c r="K35" i="155"/>
  <c r="K99" i="155"/>
  <c r="G35" i="155"/>
  <c r="G99" i="155"/>
  <c r="H35" i="155"/>
  <c r="H99" i="155"/>
  <c r="G17" i="155"/>
  <c r="H17" i="155"/>
  <c r="L49" i="172"/>
  <c r="L126" i="175" s="1"/>
  <c r="M49" i="172"/>
  <c r="M126" i="175" s="1"/>
  <c r="P125" i="175"/>
  <c r="O125" i="175"/>
  <c r="E35" i="175"/>
  <c r="C35" i="175"/>
  <c r="C115" i="176"/>
  <c r="C71" i="176"/>
  <c r="C58" i="176"/>
  <c r="C51" i="176"/>
  <c r="C36" i="176"/>
  <c r="N53" i="176"/>
  <c r="O53" i="176"/>
  <c r="P53" i="176"/>
  <c r="Q53" i="176"/>
  <c r="D124" i="176"/>
  <c r="E96" i="176"/>
  <c r="D96" i="176"/>
  <c r="D66" i="176"/>
  <c r="C54" i="176"/>
  <c r="J54" i="176"/>
  <c r="M53" i="176"/>
  <c r="L53" i="176"/>
  <c r="K53" i="176"/>
  <c r="J53" i="176"/>
  <c r="I53" i="176"/>
  <c r="H53" i="176"/>
  <c r="G53" i="176"/>
  <c r="F53" i="176"/>
  <c r="E53" i="176"/>
  <c r="C49" i="176"/>
  <c r="C56" i="176"/>
  <c r="C62" i="176"/>
  <c r="C69" i="176"/>
  <c r="C74" i="176"/>
  <c r="C82" i="176"/>
  <c r="D44" i="176"/>
  <c r="D40" i="176"/>
  <c r="C70" i="176"/>
  <c r="D43" i="176"/>
  <c r="D52" i="176"/>
  <c r="D41" i="176"/>
  <c r="D32" i="176"/>
  <c r="E29" i="176"/>
  <c r="G22" i="176"/>
  <c r="H22" i="176"/>
  <c r="I22" i="176"/>
  <c r="J22" i="176"/>
  <c r="K22" i="176"/>
  <c r="L22" i="176"/>
  <c r="M22" i="176"/>
  <c r="N22" i="176"/>
  <c r="O22" i="176"/>
  <c r="P22" i="176"/>
  <c r="Q22" i="176"/>
  <c r="D22" i="176"/>
  <c r="G21" i="176"/>
  <c r="H21" i="176"/>
  <c r="F21" i="176"/>
  <c r="E21" i="176"/>
  <c r="D21" i="176"/>
  <c r="D18" i="176"/>
  <c r="E18" i="176"/>
  <c r="F18" i="176"/>
  <c r="G18" i="176"/>
  <c r="H18" i="176"/>
  <c r="I18" i="176"/>
  <c r="J18" i="176"/>
  <c r="K18" i="176"/>
  <c r="L18" i="176"/>
  <c r="M18" i="176"/>
  <c r="N18" i="176"/>
  <c r="O18" i="176"/>
  <c r="P18" i="176"/>
  <c r="Q18" i="176"/>
  <c r="D17" i="176"/>
  <c r="D19" i="176"/>
  <c r="D16" i="176"/>
  <c r="E16" i="176" s="1"/>
  <c r="S11" i="176"/>
  <c r="D46" i="176"/>
  <c r="I6" i="176"/>
  <c r="D15" i="176" s="1"/>
  <c r="E15" i="176" s="1"/>
  <c r="F15" i="176" s="1"/>
  <c r="G15" i="176" s="1"/>
  <c r="H15" i="176" s="1"/>
  <c r="I15" i="176" s="1"/>
  <c r="J15" i="176" s="1"/>
  <c r="K15" i="176" s="1"/>
  <c r="L15" i="176" s="1"/>
  <c r="M15" i="176" s="1"/>
  <c r="N15" i="176" s="1"/>
  <c r="O15" i="176" s="1"/>
  <c r="P15" i="176" s="1"/>
  <c r="Q15" i="176" s="1"/>
  <c r="Q54" i="176"/>
  <c r="P54" i="176"/>
  <c r="N54" i="176"/>
  <c r="O54" i="176"/>
  <c r="H54" i="176"/>
  <c r="I54" i="176"/>
  <c r="D54" i="176"/>
  <c r="M54" i="176"/>
  <c r="D42" i="176"/>
  <c r="S6" i="176"/>
  <c r="I20" i="176"/>
  <c r="Q20" i="176"/>
  <c r="J20" i="176"/>
  <c r="N20" i="176"/>
  <c r="G20" i="176"/>
  <c r="O20" i="176"/>
  <c r="D20" i="176"/>
  <c r="H20" i="176"/>
  <c r="G54" i="176"/>
  <c r="K54" i="176"/>
  <c r="L54" i="176"/>
  <c r="F54" i="176"/>
  <c r="E124" i="176"/>
  <c r="E127" i="176"/>
  <c r="D127" i="176"/>
  <c r="E124" i="175"/>
  <c r="F124" i="175"/>
  <c r="G124" i="175"/>
  <c r="H124" i="175"/>
  <c r="I124" i="175"/>
  <c r="J124" i="175"/>
  <c r="K124" i="175"/>
  <c r="L124" i="175"/>
  <c r="M124" i="175"/>
  <c r="K18" i="100"/>
  <c r="L18" i="100"/>
  <c r="J86" i="95"/>
  <c r="M13" i="96"/>
  <c r="J80" i="95"/>
  <c r="F44" i="175"/>
  <c r="F41" i="175"/>
  <c r="F13" i="175" s="1"/>
  <c r="E125" i="175"/>
  <c r="F125" i="175"/>
  <c r="G125" i="175"/>
  <c r="H125" i="175"/>
  <c r="I125" i="175"/>
  <c r="J125" i="175"/>
  <c r="K125" i="175"/>
  <c r="L125" i="175"/>
  <c r="M125" i="175"/>
  <c r="D125" i="175"/>
  <c r="M71" i="172"/>
  <c r="M43" i="172"/>
  <c r="C62" i="95"/>
  <c r="C68" i="95" s="1"/>
  <c r="C74" i="95" s="1"/>
  <c r="C80" i="95" s="1"/>
  <c r="C63" i="95"/>
  <c r="C69" i="95" s="1"/>
  <c r="C75" i="95" s="1"/>
  <c r="C81" i="95" s="1"/>
  <c r="C64" i="95"/>
  <c r="C70" i="95" s="1"/>
  <c r="C76" i="95" s="1"/>
  <c r="C82" i="95" s="1"/>
  <c r="C65" i="95"/>
  <c r="C71" i="95" s="1"/>
  <c r="C77" i="95" s="1"/>
  <c r="C83" i="95" s="1"/>
  <c r="C61" i="95"/>
  <c r="C67" i="95" s="1"/>
  <c r="C73" i="95" s="1"/>
  <c r="C79" i="95" s="1"/>
  <c r="J52" i="95"/>
  <c r="J51" i="95"/>
  <c r="E38" i="175"/>
  <c r="E10" i="175" s="1"/>
  <c r="B19" i="104"/>
  <c r="F22" i="104"/>
  <c r="Y49" i="96"/>
  <c r="Y48" i="96"/>
  <c r="Y47" i="96"/>
  <c r="Y46" i="96"/>
  <c r="Y45" i="96"/>
  <c r="Y44" i="96"/>
  <c r="Y43" i="96"/>
  <c r="Y42" i="96"/>
  <c r="Y41" i="96"/>
  <c r="Y40" i="96"/>
  <c r="Y39" i="96"/>
  <c r="Y38" i="96"/>
  <c r="Y37" i="96"/>
  <c r="Y36" i="96"/>
  <c r="A325" i="96"/>
  <c r="A326" i="96" s="1"/>
  <c r="A327" i="96" s="1"/>
  <c r="A328" i="96" s="1"/>
  <c r="A329" i="96" s="1"/>
  <c r="A330" i="96" s="1"/>
  <c r="A331" i="96" s="1"/>
  <c r="A332" i="96" s="1"/>
  <c r="A333" i="96" s="1"/>
  <c r="A334" i="96" s="1"/>
  <c r="A335" i="96" s="1"/>
  <c r="A336" i="96" s="1"/>
  <c r="A337" i="96" s="1"/>
  <c r="M81" i="96"/>
  <c r="L81" i="96"/>
  <c r="K81" i="96"/>
  <c r="J81" i="96"/>
  <c r="I81" i="96"/>
  <c r="H81" i="96"/>
  <c r="G81" i="96"/>
  <c r="F81" i="96"/>
  <c r="E81" i="96"/>
  <c r="D81" i="96"/>
  <c r="F14" i="68"/>
  <c r="F15" i="68" s="1"/>
  <c r="I35" i="103"/>
  <c r="I32" i="103"/>
  <c r="I34" i="103"/>
  <c r="I36" i="103"/>
  <c r="J35" i="103" s="1"/>
  <c r="I25" i="103"/>
  <c r="I9" i="98"/>
  <c r="I10" i="98"/>
  <c r="I11" i="98"/>
  <c r="H9" i="98"/>
  <c r="H10" i="98"/>
  <c r="H11" i="98"/>
  <c r="H12" i="98"/>
  <c r="H54" i="98" s="1"/>
  <c r="C17" i="171"/>
  <c r="E5" i="174"/>
  <c r="F5" i="174"/>
  <c r="F17" i="174" s="1"/>
  <c r="D5" i="174"/>
  <c r="E17" i="174" s="1"/>
  <c r="M65" i="172"/>
  <c r="C5" i="174"/>
  <c r="B18" i="174"/>
  <c r="B19" i="174"/>
  <c r="B20" i="174"/>
  <c r="B21" i="174"/>
  <c r="B17" i="174"/>
  <c r="D29" i="174"/>
  <c r="E29" i="174"/>
  <c r="F29" i="174"/>
  <c r="C29" i="174"/>
  <c r="D28" i="174"/>
  <c r="E28" i="174"/>
  <c r="C28" i="174"/>
  <c r="D27" i="174"/>
  <c r="E27" i="174"/>
  <c r="F27" i="174"/>
  <c r="C27" i="174"/>
  <c r="D26" i="174"/>
  <c r="C26" i="174"/>
  <c r="G60" i="98"/>
  <c r="F60" i="98"/>
  <c r="G49" i="98"/>
  <c r="F49" i="98"/>
  <c r="G28" i="98"/>
  <c r="G30" i="98" s="1"/>
  <c r="F28" i="98"/>
  <c r="F30" i="98"/>
  <c r="F36" i="98"/>
  <c r="G12" i="98"/>
  <c r="G54" i="98" s="1"/>
  <c r="F12" i="98"/>
  <c r="F54" i="98" s="1"/>
  <c r="G13" i="100"/>
  <c r="F13" i="100"/>
  <c r="H42" i="95"/>
  <c r="G42" i="95"/>
  <c r="B38" i="96"/>
  <c r="B292" i="96" s="1"/>
  <c r="B309" i="96" s="1"/>
  <c r="B326" i="96" s="1"/>
  <c r="B39" i="96"/>
  <c r="B56" i="96" s="1"/>
  <c r="B72" i="96" s="1"/>
  <c r="B40" i="96"/>
  <c r="B57" i="96" s="1"/>
  <c r="B73" i="96" s="1"/>
  <c r="B29" i="183" s="1"/>
  <c r="B40" i="183" s="1"/>
  <c r="B41" i="96"/>
  <c r="B58" i="96" s="1"/>
  <c r="B74" i="96" s="1"/>
  <c r="B30" i="183" s="1"/>
  <c r="B41" i="183" s="1"/>
  <c r="B42" i="96"/>
  <c r="B296" i="96" s="1"/>
  <c r="B313" i="96" s="1"/>
  <c r="B330" i="96" s="1"/>
  <c r="B43" i="96"/>
  <c r="B44" i="96"/>
  <c r="B61" i="96" s="1"/>
  <c r="B77" i="96" s="1"/>
  <c r="B33" i="183" s="1"/>
  <c r="B44" i="183" s="1"/>
  <c r="B45" i="96"/>
  <c r="B62" i="96" s="1"/>
  <c r="B78" i="96" s="1"/>
  <c r="B34" i="183" s="1"/>
  <c r="B45" i="183" s="1"/>
  <c r="B46" i="96"/>
  <c r="B63" i="96" s="1"/>
  <c r="B79" i="96" s="1"/>
  <c r="B35" i="183" s="1"/>
  <c r="B46" i="183" s="1"/>
  <c r="B47" i="96"/>
  <c r="B64" i="96" s="1"/>
  <c r="B80" i="96" s="1"/>
  <c r="B36" i="183" s="1"/>
  <c r="B47" i="183" s="1"/>
  <c r="B48" i="96"/>
  <c r="B65" i="96" s="1"/>
  <c r="B81" i="96" s="1"/>
  <c r="B37" i="183" s="1"/>
  <c r="B48" i="183" s="1"/>
  <c r="B49" i="96"/>
  <c r="B37" i="96"/>
  <c r="B291" i="96" s="1"/>
  <c r="B308" i="96" s="1"/>
  <c r="B325" i="96" s="1"/>
  <c r="B36" i="96"/>
  <c r="B53" i="96" s="1"/>
  <c r="B69" i="96" s="1"/>
  <c r="D32" i="161"/>
  <c r="E32" i="161" s="1"/>
  <c r="E29" i="161"/>
  <c r="E30" i="161"/>
  <c r="D44" i="161"/>
  <c r="C71" i="161" s="1"/>
  <c r="O76" i="161" s="1"/>
  <c r="E31" i="161"/>
  <c r="S11" i="161"/>
  <c r="D46" i="161" s="1"/>
  <c r="E128" i="161"/>
  <c r="E97" i="161"/>
  <c r="D97" i="161"/>
  <c r="D17" i="161"/>
  <c r="E17" i="161"/>
  <c r="F17" i="161"/>
  <c r="D16" i="161"/>
  <c r="E16" i="161" s="1"/>
  <c r="D18" i="161"/>
  <c r="E18" i="161" s="1"/>
  <c r="F18" i="161" s="1"/>
  <c r="G18" i="161" s="1"/>
  <c r="H18" i="161" s="1"/>
  <c r="D15" i="161"/>
  <c r="E15" i="161" s="1"/>
  <c r="F15" i="161" s="1"/>
  <c r="G15" i="161" s="1"/>
  <c r="H15" i="161" s="1"/>
  <c r="I15" i="161" s="1"/>
  <c r="J15" i="161" s="1"/>
  <c r="G21" i="161"/>
  <c r="H21" i="161"/>
  <c r="I21" i="161" s="1"/>
  <c r="J21" i="161" s="1"/>
  <c r="K21" i="161" s="1"/>
  <c r="L21" i="161" s="1"/>
  <c r="M21" i="161" s="1"/>
  <c r="G22" i="161"/>
  <c r="H22" i="161"/>
  <c r="I22" i="161" s="1"/>
  <c r="J22" i="161" s="1"/>
  <c r="K22" i="161" s="1"/>
  <c r="L22" i="161" s="1"/>
  <c r="M22" i="161" s="1"/>
  <c r="N22" i="161" s="1"/>
  <c r="O22" i="161" s="1"/>
  <c r="P22" i="161" s="1"/>
  <c r="Q22" i="161" s="1"/>
  <c r="C49" i="161"/>
  <c r="C56" i="161"/>
  <c r="C62" i="161" s="1"/>
  <c r="C70" i="161" s="1"/>
  <c r="C75" i="161" s="1"/>
  <c r="C83" i="161" s="1"/>
  <c r="C54" i="161"/>
  <c r="N54" i="161" s="1"/>
  <c r="F21" i="161"/>
  <c r="E21" i="161"/>
  <c r="D21" i="161"/>
  <c r="D22" i="161"/>
  <c r="N18" i="104"/>
  <c r="N6" i="104"/>
  <c r="N7" i="104"/>
  <c r="N8" i="104"/>
  <c r="N9" i="104"/>
  <c r="N10" i="104"/>
  <c r="N11" i="104"/>
  <c r="N12" i="104"/>
  <c r="N13" i="104"/>
  <c r="N14" i="104"/>
  <c r="N15" i="104"/>
  <c r="N16" i="104"/>
  <c r="N17" i="104"/>
  <c r="O18" i="104"/>
  <c r="O6" i="104"/>
  <c r="O7" i="104"/>
  <c r="O8" i="104"/>
  <c r="O9" i="104"/>
  <c r="O10" i="104"/>
  <c r="O11" i="104"/>
  <c r="O12" i="104"/>
  <c r="O13" i="104"/>
  <c r="O14" i="104"/>
  <c r="O15" i="104"/>
  <c r="O16" i="104"/>
  <c r="O17" i="104"/>
  <c r="M6" i="104"/>
  <c r="M7" i="104"/>
  <c r="M8" i="104"/>
  <c r="M9" i="104"/>
  <c r="M10" i="104"/>
  <c r="M11" i="104"/>
  <c r="M12" i="104"/>
  <c r="M13" i="104"/>
  <c r="M14" i="104"/>
  <c r="M15" i="104"/>
  <c r="M16" i="104"/>
  <c r="M17" i="104"/>
  <c r="M18" i="104"/>
  <c r="M21" i="104" s="1"/>
  <c r="C12" i="171"/>
  <c r="E302" i="96"/>
  <c r="E291" i="96"/>
  <c r="E292" i="96"/>
  <c r="E293" i="96"/>
  <c r="E294" i="96"/>
  <c r="E295" i="96"/>
  <c r="E296" i="96"/>
  <c r="E297" i="96"/>
  <c r="E298" i="96"/>
  <c r="E299" i="96"/>
  <c r="E300" i="96"/>
  <c r="E301" i="96"/>
  <c r="E303" i="96"/>
  <c r="E217" i="96"/>
  <c r="E205" i="96"/>
  <c r="E206" i="96"/>
  <c r="E207" i="96"/>
  <c r="E208" i="96"/>
  <c r="E209" i="96"/>
  <c r="E210" i="96"/>
  <c r="E211" i="96"/>
  <c r="E212" i="96"/>
  <c r="E213" i="96"/>
  <c r="E214" i="96"/>
  <c r="E215" i="96"/>
  <c r="E216" i="96"/>
  <c r="E218" i="96"/>
  <c r="E4" i="96"/>
  <c r="E22" i="96" s="1"/>
  <c r="X36" i="96"/>
  <c r="C69" i="96" s="1"/>
  <c r="B8" i="171"/>
  <c r="B9" i="171"/>
  <c r="B10" i="171"/>
  <c r="C10" i="171"/>
  <c r="C9" i="171"/>
  <c r="C8" i="171"/>
  <c r="K11" i="101"/>
  <c r="K13" i="103"/>
  <c r="H8" i="97"/>
  <c r="H30" i="97" s="1"/>
  <c r="I8" i="97"/>
  <c r="I27" i="97" s="1"/>
  <c r="I18" i="98"/>
  <c r="I9" i="102"/>
  <c r="I10" i="102"/>
  <c r="I15" i="98"/>
  <c r="I10" i="101"/>
  <c r="I11" i="101"/>
  <c r="F205" i="96"/>
  <c r="F206" i="96"/>
  <c r="F207" i="96"/>
  <c r="F208" i="96"/>
  <c r="F209" i="96"/>
  <c r="F210" i="96"/>
  <c r="F211" i="96"/>
  <c r="F212" i="96"/>
  <c r="F213" i="96"/>
  <c r="F214" i="96"/>
  <c r="F215" i="96"/>
  <c r="F216" i="96"/>
  <c r="F217" i="96"/>
  <c r="F218" i="96"/>
  <c r="L54" i="172"/>
  <c r="L78" i="172"/>
  <c r="L65" i="172"/>
  <c r="L82" i="172" s="1"/>
  <c r="E35" i="172"/>
  <c r="E16" i="172" s="1"/>
  <c r="D77" i="172"/>
  <c r="D87" i="172" s="1"/>
  <c r="K75" i="172"/>
  <c r="J75" i="172"/>
  <c r="L66" i="172"/>
  <c r="J66" i="172"/>
  <c r="J68" i="172" s="1"/>
  <c r="K72" i="172"/>
  <c r="J72" i="172"/>
  <c r="L71" i="172"/>
  <c r="K71" i="172"/>
  <c r="AF52" i="172"/>
  <c r="AF54" i="172" s="1"/>
  <c r="D51" i="172"/>
  <c r="K49" i="172"/>
  <c r="K126" i="175" s="1"/>
  <c r="K127" i="175" s="1"/>
  <c r="J49" i="172"/>
  <c r="J126" i="175" s="1"/>
  <c r="J127" i="175" s="1"/>
  <c r="I49" i="172"/>
  <c r="I126" i="175" s="1"/>
  <c r="H49" i="172"/>
  <c r="H126" i="175" s="1"/>
  <c r="H127" i="175" s="1"/>
  <c r="G49" i="172"/>
  <c r="G126" i="175" s="1"/>
  <c r="F49" i="172"/>
  <c r="F126" i="175" s="1"/>
  <c r="F127" i="175" s="1"/>
  <c r="E49" i="172"/>
  <c r="E126" i="175" s="1"/>
  <c r="E127" i="175" s="1"/>
  <c r="D49" i="172"/>
  <c r="D126" i="175" s="1"/>
  <c r="K38" i="172"/>
  <c r="K40" i="172" s="1"/>
  <c r="E12" i="172"/>
  <c r="K44" i="172"/>
  <c r="J44" i="172"/>
  <c r="I44" i="172"/>
  <c r="H44" i="172"/>
  <c r="G44" i="172"/>
  <c r="F44" i="172"/>
  <c r="E44" i="172"/>
  <c r="D44" i="172"/>
  <c r="L43" i="172"/>
  <c r="K43" i="172"/>
  <c r="J43" i="172"/>
  <c r="I43" i="172"/>
  <c r="H43" i="172"/>
  <c r="G43" i="172"/>
  <c r="F43" i="172"/>
  <c r="E43" i="172"/>
  <c r="D5" i="172"/>
  <c r="D14" i="159"/>
  <c r="D34" i="159"/>
  <c r="D49" i="159"/>
  <c r="D56" i="159"/>
  <c r="D62" i="159"/>
  <c r="D69" i="159"/>
  <c r="D74" i="159"/>
  <c r="E29" i="157"/>
  <c r="D32" i="157" s="1"/>
  <c r="S8" i="157" s="1"/>
  <c r="E31" i="157"/>
  <c r="S11" i="157"/>
  <c r="E96" i="157"/>
  <c r="D96" i="157"/>
  <c r="D17" i="157"/>
  <c r="E17" i="157"/>
  <c r="F17" i="157" s="1"/>
  <c r="G17" i="157" s="1"/>
  <c r="H17" i="157" s="1"/>
  <c r="I17" i="157" s="1"/>
  <c r="J17" i="157" s="1"/>
  <c r="D16" i="157"/>
  <c r="E16" i="157"/>
  <c r="F16" i="157" s="1"/>
  <c r="D18" i="157"/>
  <c r="E18" i="157"/>
  <c r="F18" i="157" s="1"/>
  <c r="G18" i="157" s="1"/>
  <c r="H18" i="157" s="1"/>
  <c r="I18" i="157" s="1"/>
  <c r="J18" i="157" s="1"/>
  <c r="K18" i="157" s="1"/>
  <c r="L18" i="157" s="1"/>
  <c r="M18" i="157" s="1"/>
  <c r="N18" i="157" s="1"/>
  <c r="O18" i="157" s="1"/>
  <c r="P18" i="157" s="1"/>
  <c r="Q18" i="157" s="1"/>
  <c r="R18" i="157" s="1"/>
  <c r="S18" i="157" s="1"/>
  <c r="T18" i="157" s="1"/>
  <c r="F20" i="157"/>
  <c r="G21" i="157"/>
  <c r="H21" i="157"/>
  <c r="I21" i="157"/>
  <c r="J21" i="157" s="1"/>
  <c r="K21" i="157" s="1"/>
  <c r="L21" i="157" s="1"/>
  <c r="M21" i="157" s="1"/>
  <c r="G22" i="157"/>
  <c r="H22" i="157"/>
  <c r="I22" i="157"/>
  <c r="J22" i="157"/>
  <c r="K22" i="157" s="1"/>
  <c r="L22" i="157" s="1"/>
  <c r="M22" i="157" s="1"/>
  <c r="N22" i="157" s="1"/>
  <c r="O22" i="157" s="1"/>
  <c r="P22" i="157" s="1"/>
  <c r="Q22" i="157"/>
  <c r="R22" i="157" s="1"/>
  <c r="S22" i="157" s="1"/>
  <c r="T22" i="157" s="1"/>
  <c r="C49" i="157"/>
  <c r="C56" i="157" s="1"/>
  <c r="C62" i="157" s="1"/>
  <c r="C69" i="157" s="1"/>
  <c r="C74" i="157" s="1"/>
  <c r="C82" i="157" s="1"/>
  <c r="C54" i="157"/>
  <c r="C59" i="157"/>
  <c r="K59" i="157" s="1"/>
  <c r="F21" i="157"/>
  <c r="E21" i="157"/>
  <c r="D21" i="157"/>
  <c r="D22" i="157"/>
  <c r="D32" i="137"/>
  <c r="E29" i="137"/>
  <c r="D44" i="137"/>
  <c r="S11" i="137"/>
  <c r="D46" i="137"/>
  <c r="E127" i="137"/>
  <c r="E96" i="137"/>
  <c r="D96" i="137"/>
  <c r="D17" i="137"/>
  <c r="E17" i="137"/>
  <c r="D16" i="137"/>
  <c r="E16" i="137"/>
  <c r="F16" i="137" s="1"/>
  <c r="D18" i="137"/>
  <c r="E18" i="137"/>
  <c r="F18" i="137"/>
  <c r="G18" i="137"/>
  <c r="H18" i="137"/>
  <c r="I18" i="137"/>
  <c r="J18" i="137"/>
  <c r="K18" i="137"/>
  <c r="L18" i="137"/>
  <c r="M18" i="137"/>
  <c r="N18" i="137"/>
  <c r="O18" i="137"/>
  <c r="P18" i="137"/>
  <c r="Q18" i="137"/>
  <c r="D15" i="137"/>
  <c r="G21" i="137"/>
  <c r="H21" i="137"/>
  <c r="G22" i="137"/>
  <c r="H22" i="137"/>
  <c r="I22" i="137"/>
  <c r="J22" i="137"/>
  <c r="K22" i="137"/>
  <c r="L22" i="137"/>
  <c r="M22" i="137"/>
  <c r="N22" i="137"/>
  <c r="O22" i="137"/>
  <c r="P22" i="137"/>
  <c r="Q22" i="137"/>
  <c r="C49" i="137"/>
  <c r="C56" i="137"/>
  <c r="C62" i="137"/>
  <c r="C69" i="137"/>
  <c r="C74" i="137"/>
  <c r="C82" i="137"/>
  <c r="C54" i="137"/>
  <c r="C59" i="137" s="1"/>
  <c r="C36" i="137"/>
  <c r="F21" i="137"/>
  <c r="E21" i="137"/>
  <c r="D21" i="137"/>
  <c r="D22" i="137"/>
  <c r="E29" i="135"/>
  <c r="E30" i="135"/>
  <c r="S11" i="135"/>
  <c r="D46" i="135"/>
  <c r="E96" i="135"/>
  <c r="D96" i="135"/>
  <c r="D17" i="135"/>
  <c r="E17" i="135"/>
  <c r="D16" i="135"/>
  <c r="E16" i="135" s="1"/>
  <c r="D18" i="135"/>
  <c r="E18" i="135"/>
  <c r="F18" i="135"/>
  <c r="G18" i="135"/>
  <c r="H18" i="135"/>
  <c r="I18" i="135"/>
  <c r="J18" i="135"/>
  <c r="K18" i="135"/>
  <c r="L18" i="135"/>
  <c r="M18" i="135"/>
  <c r="N18" i="135"/>
  <c r="O18" i="135"/>
  <c r="P18" i="135"/>
  <c r="Q18" i="135"/>
  <c r="D20" i="135"/>
  <c r="G21" i="135"/>
  <c r="H21" i="135"/>
  <c r="G22" i="135"/>
  <c r="H22" i="135"/>
  <c r="I22" i="135"/>
  <c r="J22" i="135"/>
  <c r="K22" i="135"/>
  <c r="L22" i="135"/>
  <c r="M22" i="135"/>
  <c r="N22" i="135"/>
  <c r="O22" i="135"/>
  <c r="P22" i="135"/>
  <c r="Q22" i="135"/>
  <c r="C49" i="135"/>
  <c r="C56" i="135"/>
  <c r="C62" i="135"/>
  <c r="C69" i="135"/>
  <c r="C74" i="135"/>
  <c r="C82" i="135"/>
  <c r="C54" i="135"/>
  <c r="F21" i="135"/>
  <c r="E21" i="135"/>
  <c r="D21" i="135"/>
  <c r="D22" i="135"/>
  <c r="E29" i="132"/>
  <c r="E30" i="132"/>
  <c r="S11" i="132"/>
  <c r="E127" i="132"/>
  <c r="E96" i="132"/>
  <c r="D96" i="132"/>
  <c r="D17" i="132"/>
  <c r="E17" i="132"/>
  <c r="D16" i="132"/>
  <c r="E16" i="132"/>
  <c r="F16" i="132" s="1"/>
  <c r="D18" i="132"/>
  <c r="E18" i="132"/>
  <c r="F18" i="132"/>
  <c r="G18" i="132"/>
  <c r="H18" i="132"/>
  <c r="I18" i="132"/>
  <c r="J18" i="132"/>
  <c r="K18" i="132"/>
  <c r="L18" i="132"/>
  <c r="M18" i="132"/>
  <c r="N18" i="132"/>
  <c r="O18" i="132"/>
  <c r="P18" i="132"/>
  <c r="Q18" i="132"/>
  <c r="D15" i="132"/>
  <c r="G21" i="132"/>
  <c r="H21" i="132"/>
  <c r="G22" i="132"/>
  <c r="H22" i="132"/>
  <c r="I22" i="132"/>
  <c r="J22" i="132"/>
  <c r="K22" i="132"/>
  <c r="L22" i="132"/>
  <c r="M22" i="132"/>
  <c r="N22" i="132"/>
  <c r="O22" i="132"/>
  <c r="P22" i="132"/>
  <c r="Q22" i="132"/>
  <c r="C49" i="132"/>
  <c r="C56" i="132"/>
  <c r="C62" i="132"/>
  <c r="C69" i="132"/>
  <c r="C74" i="132"/>
  <c r="C82" i="132"/>
  <c r="C54" i="132"/>
  <c r="J54" i="132"/>
  <c r="F21" i="132"/>
  <c r="E21" i="132"/>
  <c r="D21" i="132"/>
  <c r="D22" i="132"/>
  <c r="D32" i="133"/>
  <c r="E29" i="133"/>
  <c r="E30" i="133"/>
  <c r="D44" i="133"/>
  <c r="S11" i="133"/>
  <c r="D46" i="133"/>
  <c r="E127" i="133"/>
  <c r="E96" i="133"/>
  <c r="D96" i="133"/>
  <c r="D17" i="133"/>
  <c r="E17" i="133"/>
  <c r="D16" i="133"/>
  <c r="E16" i="133"/>
  <c r="F16" i="133" s="1"/>
  <c r="D18" i="133"/>
  <c r="E18" i="133"/>
  <c r="F18" i="133"/>
  <c r="G18" i="133"/>
  <c r="H18" i="133"/>
  <c r="I18" i="133"/>
  <c r="J18" i="133"/>
  <c r="K18" i="133"/>
  <c r="L18" i="133"/>
  <c r="M18" i="133"/>
  <c r="N18" i="133"/>
  <c r="O18" i="133"/>
  <c r="P18" i="133"/>
  <c r="Q18" i="133"/>
  <c r="D15" i="133"/>
  <c r="G21" i="133"/>
  <c r="H21" i="133"/>
  <c r="G22" i="133"/>
  <c r="H22" i="133"/>
  <c r="I22" i="133"/>
  <c r="J22" i="133"/>
  <c r="K22" i="133"/>
  <c r="L22" i="133"/>
  <c r="M22" i="133"/>
  <c r="N22" i="133"/>
  <c r="O22" i="133"/>
  <c r="P22" i="133"/>
  <c r="Q22" i="133"/>
  <c r="C49" i="133"/>
  <c r="C56" i="133"/>
  <c r="C62" i="133"/>
  <c r="C69" i="133"/>
  <c r="C74" i="133"/>
  <c r="C82" i="133"/>
  <c r="C54" i="133"/>
  <c r="C59" i="133"/>
  <c r="F21" i="133"/>
  <c r="E21" i="133"/>
  <c r="D21" i="133"/>
  <c r="D22" i="133"/>
  <c r="E29" i="134"/>
  <c r="E30" i="134"/>
  <c r="D44" i="134"/>
  <c r="S11" i="134"/>
  <c r="D46" i="134"/>
  <c r="E127" i="134"/>
  <c r="E96" i="134"/>
  <c r="D96" i="134"/>
  <c r="D17" i="134"/>
  <c r="D16" i="134"/>
  <c r="E16" i="134"/>
  <c r="F16" i="134" s="1"/>
  <c r="D18" i="134"/>
  <c r="E18" i="134"/>
  <c r="F18" i="134"/>
  <c r="G18" i="134"/>
  <c r="H18" i="134"/>
  <c r="I18" i="134"/>
  <c r="J18" i="134"/>
  <c r="K18" i="134"/>
  <c r="L18" i="134"/>
  <c r="M18" i="134"/>
  <c r="N18" i="134"/>
  <c r="O18" i="134"/>
  <c r="P18" i="134"/>
  <c r="Q18" i="134"/>
  <c r="M20" i="134"/>
  <c r="G21" i="134"/>
  <c r="H21" i="134"/>
  <c r="I21" i="134"/>
  <c r="G22" i="134"/>
  <c r="H22" i="134"/>
  <c r="I22" i="134"/>
  <c r="J22" i="134"/>
  <c r="K22" i="134"/>
  <c r="L22" i="134"/>
  <c r="M22" i="134"/>
  <c r="N22" i="134"/>
  <c r="O22" i="134"/>
  <c r="P22" i="134"/>
  <c r="Q22" i="134"/>
  <c r="C49" i="134"/>
  <c r="C56" i="134"/>
  <c r="C62" i="134"/>
  <c r="C69" i="134"/>
  <c r="C74" i="134"/>
  <c r="C82" i="134"/>
  <c r="C54" i="134"/>
  <c r="L54" i="134" s="1"/>
  <c r="C36" i="134"/>
  <c r="F21" i="134"/>
  <c r="E21" i="134"/>
  <c r="D21" i="134"/>
  <c r="D22" i="134"/>
  <c r="D32" i="160"/>
  <c r="E29" i="160"/>
  <c r="E31" i="160"/>
  <c r="D44" i="160"/>
  <c r="S11" i="160"/>
  <c r="D46" i="160"/>
  <c r="D127" i="160"/>
  <c r="E96" i="160"/>
  <c r="D96" i="160"/>
  <c r="D17" i="160"/>
  <c r="E17" i="160"/>
  <c r="F17" i="160"/>
  <c r="G17" i="160"/>
  <c r="D16" i="160"/>
  <c r="E16" i="160"/>
  <c r="D18" i="160"/>
  <c r="E18" i="160"/>
  <c r="F18" i="160"/>
  <c r="G18" i="160"/>
  <c r="H18" i="160"/>
  <c r="I18" i="160"/>
  <c r="J18" i="160"/>
  <c r="K18" i="160"/>
  <c r="L18" i="160"/>
  <c r="M18" i="160"/>
  <c r="N18" i="160"/>
  <c r="O18" i="160"/>
  <c r="P18" i="160"/>
  <c r="Q18" i="160"/>
  <c r="G21" i="160"/>
  <c r="H21" i="160"/>
  <c r="G22" i="160"/>
  <c r="H22" i="160"/>
  <c r="I22" i="160"/>
  <c r="J22" i="160"/>
  <c r="K22" i="160"/>
  <c r="L22" i="160"/>
  <c r="M22" i="160"/>
  <c r="N22" i="160"/>
  <c r="O22" i="160"/>
  <c r="P22" i="160"/>
  <c r="Q22" i="160"/>
  <c r="C49" i="160"/>
  <c r="C56" i="160"/>
  <c r="C62" i="160"/>
  <c r="C69" i="160"/>
  <c r="C74" i="160"/>
  <c r="C82" i="160"/>
  <c r="C54" i="160"/>
  <c r="F21" i="160"/>
  <c r="E21" i="160"/>
  <c r="D21" i="160"/>
  <c r="D22" i="160"/>
  <c r="E29" i="156"/>
  <c r="E30" i="156" s="1"/>
  <c r="F70" i="156"/>
  <c r="F100" i="156" s="1"/>
  <c r="D46" i="156"/>
  <c r="E127" i="156"/>
  <c r="E96" i="156"/>
  <c r="D96" i="156"/>
  <c r="D17" i="156"/>
  <c r="E17" i="156"/>
  <c r="F17" i="156"/>
  <c r="D16" i="156"/>
  <c r="E16" i="156" s="1"/>
  <c r="D18" i="156"/>
  <c r="E18" i="156"/>
  <c r="F18" i="156"/>
  <c r="G18" i="156"/>
  <c r="H18" i="156"/>
  <c r="I18" i="156"/>
  <c r="J18" i="156"/>
  <c r="K18" i="156"/>
  <c r="L18" i="156"/>
  <c r="N18" i="156"/>
  <c r="O18" i="156" s="1"/>
  <c r="P18" i="156" s="1"/>
  <c r="Q18" i="156" s="1"/>
  <c r="R18" i="156" s="1"/>
  <c r="S18" i="156" s="1"/>
  <c r="D20" i="156"/>
  <c r="D15" i="156"/>
  <c r="G21" i="156"/>
  <c r="H21" i="156"/>
  <c r="I21" i="156"/>
  <c r="G22" i="156"/>
  <c r="H22" i="156"/>
  <c r="I22" i="156"/>
  <c r="J22" i="156"/>
  <c r="K22" i="156"/>
  <c r="L22" i="156"/>
  <c r="C49" i="156"/>
  <c r="C56" i="156"/>
  <c r="C62" i="156"/>
  <c r="C69" i="156"/>
  <c r="C74" i="156"/>
  <c r="C82" i="156"/>
  <c r="C54" i="156"/>
  <c r="N54" i="156" s="1"/>
  <c r="F21" i="156"/>
  <c r="E21" i="156"/>
  <c r="D21" i="156"/>
  <c r="D22" i="156"/>
  <c r="D32" i="117"/>
  <c r="X37" i="96"/>
  <c r="C70" i="96" s="1"/>
  <c r="X39" i="96"/>
  <c r="C72" i="96" s="1"/>
  <c r="X40" i="96"/>
  <c r="C73" i="96" s="1"/>
  <c r="E29" i="119"/>
  <c r="D32" i="119"/>
  <c r="E29" i="117"/>
  <c r="E31" i="117"/>
  <c r="E29" i="159"/>
  <c r="E31" i="159"/>
  <c r="D32" i="159"/>
  <c r="E29" i="121"/>
  <c r="E31" i="121"/>
  <c r="D32" i="121"/>
  <c r="B151" i="96"/>
  <c r="B168" i="96" s="1"/>
  <c r="A240" i="96"/>
  <c r="A241" i="96" s="1"/>
  <c r="A242" i="96" s="1"/>
  <c r="A243" i="96" s="1"/>
  <c r="A244" i="96" s="1"/>
  <c r="A245" i="96" s="1"/>
  <c r="A246" i="96" s="1"/>
  <c r="A247" i="96" s="1"/>
  <c r="A248" i="96" s="1"/>
  <c r="A249" i="96" s="1"/>
  <c r="A250" i="96" s="1"/>
  <c r="A251" i="96" s="1"/>
  <c r="A252" i="96" s="1"/>
  <c r="M52" i="96"/>
  <c r="M68" i="96" s="1"/>
  <c r="L52" i="96"/>
  <c r="K52" i="96"/>
  <c r="K85" i="96" s="1"/>
  <c r="K102" i="96" s="1"/>
  <c r="K119" i="96" s="1"/>
  <c r="J52" i="96"/>
  <c r="I52" i="96"/>
  <c r="I68" i="96" s="1"/>
  <c r="H52" i="96"/>
  <c r="H85" i="96" s="1"/>
  <c r="H102" i="96" s="1"/>
  <c r="H119" i="96" s="1"/>
  <c r="G52" i="96"/>
  <c r="G85" i="96" s="1"/>
  <c r="G102" i="96" s="1"/>
  <c r="G119" i="96" s="1"/>
  <c r="G136" i="96" s="1"/>
  <c r="G153" i="96" s="1"/>
  <c r="F52" i="96"/>
  <c r="F85" i="96" s="1"/>
  <c r="F102" i="96" s="1"/>
  <c r="F119" i="96" s="1"/>
  <c r="E52" i="96"/>
  <c r="E68" i="96" s="1"/>
  <c r="D52" i="96"/>
  <c r="D85" i="96" s="1"/>
  <c r="D102" i="96" s="1"/>
  <c r="D119" i="96" s="1"/>
  <c r="C153" i="96"/>
  <c r="C187" i="96" s="1"/>
  <c r="C204" i="96" s="1"/>
  <c r="C221" i="96" s="1"/>
  <c r="I7" i="97"/>
  <c r="I26" i="97" s="1"/>
  <c r="X38" i="96"/>
  <c r="C71" i="96" s="1"/>
  <c r="X41" i="96"/>
  <c r="C74" i="96" s="1"/>
  <c r="X42" i="96"/>
  <c r="C75" i="96" s="1"/>
  <c r="X43" i="96"/>
  <c r="C76" i="96" s="1"/>
  <c r="X44" i="96"/>
  <c r="C77" i="96" s="1"/>
  <c r="X46" i="96"/>
  <c r="C79" i="96" s="1"/>
  <c r="X49" i="96"/>
  <c r="C82" i="96" s="1"/>
  <c r="X45" i="96"/>
  <c r="C78" i="96" s="1"/>
  <c r="X47" i="96"/>
  <c r="C80" i="96" s="1"/>
  <c r="X48" i="96"/>
  <c r="C81" i="96" s="1"/>
  <c r="A37" i="96"/>
  <c r="A38" i="96" s="1"/>
  <c r="A53" i="96"/>
  <c r="A69" i="96" s="1"/>
  <c r="H35" i="95"/>
  <c r="D18" i="171"/>
  <c r="E127" i="121"/>
  <c r="C18" i="171"/>
  <c r="I49" i="98"/>
  <c r="F23" i="174"/>
  <c r="H49" i="98"/>
  <c r="E23" i="174" s="1"/>
  <c r="N5" i="104"/>
  <c r="O5" i="104"/>
  <c r="M5" i="104"/>
  <c r="D44" i="159"/>
  <c r="D44" i="117"/>
  <c r="A172" i="96"/>
  <c r="A173" i="96" s="1"/>
  <c r="A174" i="96" s="1"/>
  <c r="A175" i="96" s="1"/>
  <c r="A176" i="96" s="1"/>
  <c r="A177" i="96" s="1"/>
  <c r="A178" i="96" s="1"/>
  <c r="A179" i="96" s="1"/>
  <c r="A180" i="96" s="1"/>
  <c r="A181" i="96" s="1"/>
  <c r="A182" i="96" s="1"/>
  <c r="A183" i="96" s="1"/>
  <c r="A184" i="96" s="1"/>
  <c r="F6" i="104"/>
  <c r="Y121" i="96" s="1"/>
  <c r="F7" i="104"/>
  <c r="Y122" i="96" s="1"/>
  <c r="F8" i="104"/>
  <c r="Y123" i="96" s="1"/>
  <c r="F9" i="104"/>
  <c r="Y124" i="96" s="1"/>
  <c r="E7" i="175"/>
  <c r="F10" i="104"/>
  <c r="Y125" i="96" s="1"/>
  <c r="F11" i="104"/>
  <c r="Y126" i="96" s="1"/>
  <c r="F12" i="104"/>
  <c r="Y127" i="96" s="1"/>
  <c r="F13" i="104"/>
  <c r="Y128" i="96" s="1"/>
  <c r="F14" i="104"/>
  <c r="Y129" i="96" s="1"/>
  <c r="F15" i="104"/>
  <c r="Y130" i="96" s="1"/>
  <c r="F16" i="104"/>
  <c r="F17" i="104"/>
  <c r="Y132" i="96" s="1"/>
  <c r="F18" i="104"/>
  <c r="E31" i="175" s="1"/>
  <c r="E4" i="175" s="1"/>
  <c r="F5" i="104"/>
  <c r="Y120" i="96" s="1"/>
  <c r="I20" i="103"/>
  <c r="I22" i="103"/>
  <c r="I13" i="100"/>
  <c r="H13" i="100"/>
  <c r="H7" i="97"/>
  <c r="H28" i="97" s="1"/>
  <c r="A308" i="96"/>
  <c r="A309" i="96" s="1"/>
  <c r="A310" i="96" s="1"/>
  <c r="A311" i="96" s="1"/>
  <c r="A312" i="96" s="1"/>
  <c r="A313" i="96" s="1"/>
  <c r="A314" i="96" s="1"/>
  <c r="A315" i="96" s="1"/>
  <c r="A316" i="96" s="1"/>
  <c r="A317" i="96" s="1"/>
  <c r="A318" i="96" s="1"/>
  <c r="A319" i="96" s="1"/>
  <c r="A320" i="96" s="1"/>
  <c r="D291" i="96"/>
  <c r="D292" i="96"/>
  <c r="D293" i="96"/>
  <c r="D295" i="96"/>
  <c r="D296" i="96"/>
  <c r="D297" i="96"/>
  <c r="D298" i="96"/>
  <c r="D299" i="96"/>
  <c r="D300" i="96"/>
  <c r="D302" i="96"/>
  <c r="D303" i="96"/>
  <c r="B304" i="96"/>
  <c r="B321" i="96" s="1"/>
  <c r="B338" i="96" s="1"/>
  <c r="A291" i="96"/>
  <c r="A292" i="96" s="1"/>
  <c r="A293" i="96" s="1"/>
  <c r="A294" i="96" s="1"/>
  <c r="A295" i="96" s="1"/>
  <c r="A296" i="96" s="1"/>
  <c r="A297" i="96" s="1"/>
  <c r="A298" i="96" s="1"/>
  <c r="A299" i="96" s="1"/>
  <c r="A300" i="96" s="1"/>
  <c r="A301" i="96" s="1"/>
  <c r="A302" i="96" s="1"/>
  <c r="A303" i="96" s="1"/>
  <c r="C286" i="96"/>
  <c r="C285" i="96"/>
  <c r="C284" i="96"/>
  <c r="C283" i="96"/>
  <c r="C282" i="96"/>
  <c r="C281" i="96"/>
  <c r="C280" i="96"/>
  <c r="C279" i="96"/>
  <c r="C278" i="96"/>
  <c r="C277" i="96"/>
  <c r="C276" i="96"/>
  <c r="C275" i="96"/>
  <c r="C274" i="96"/>
  <c r="C273" i="96"/>
  <c r="A274" i="96"/>
  <c r="A275" i="96" s="1"/>
  <c r="A276" i="96" s="1"/>
  <c r="A277" i="96" s="1"/>
  <c r="A278" i="96" s="1"/>
  <c r="A279" i="96" s="1"/>
  <c r="A280" i="96" s="1"/>
  <c r="A281" i="96" s="1"/>
  <c r="A282" i="96" s="1"/>
  <c r="A283" i="96" s="1"/>
  <c r="A284" i="96" s="1"/>
  <c r="A285" i="96" s="1"/>
  <c r="A286" i="96" s="1"/>
  <c r="C269" i="96"/>
  <c r="C268" i="96"/>
  <c r="C267" i="96"/>
  <c r="C266" i="96"/>
  <c r="C265" i="96"/>
  <c r="C264" i="96"/>
  <c r="C263" i="96"/>
  <c r="C262" i="96"/>
  <c r="C261" i="96"/>
  <c r="C260" i="96"/>
  <c r="C259" i="96"/>
  <c r="C258" i="96"/>
  <c r="C257" i="96"/>
  <c r="C256" i="96"/>
  <c r="A257" i="96"/>
  <c r="A258" i="96" s="1"/>
  <c r="A259" i="96" s="1"/>
  <c r="A260" i="96" s="1"/>
  <c r="A261" i="96" s="1"/>
  <c r="A262" i="96" s="1"/>
  <c r="A263" i="96" s="1"/>
  <c r="A264" i="96" s="1"/>
  <c r="A265" i="96" s="1"/>
  <c r="A266" i="96" s="1"/>
  <c r="A267" i="96" s="1"/>
  <c r="A268" i="96" s="1"/>
  <c r="A269" i="96" s="1"/>
  <c r="A223" i="96"/>
  <c r="A224" i="96" s="1"/>
  <c r="A225" i="96" s="1"/>
  <c r="A226" i="96" s="1"/>
  <c r="A227" i="96" s="1"/>
  <c r="A228" i="96" s="1"/>
  <c r="A229" i="96" s="1"/>
  <c r="A230" i="96" s="1"/>
  <c r="A231" i="96" s="1"/>
  <c r="A232" i="96" s="1"/>
  <c r="A233" i="96" s="1"/>
  <c r="A234" i="96" s="1"/>
  <c r="A235" i="96" s="1"/>
  <c r="D205" i="96"/>
  <c r="D206" i="96"/>
  <c r="G206" i="96"/>
  <c r="J206" i="96"/>
  <c r="D207" i="96"/>
  <c r="G207" i="96"/>
  <c r="J207" i="96"/>
  <c r="K207" i="96"/>
  <c r="L207" i="96"/>
  <c r="M207" i="96"/>
  <c r="D208" i="96"/>
  <c r="G208" i="96"/>
  <c r="K208" i="96"/>
  <c r="L208" i="96"/>
  <c r="M208" i="96"/>
  <c r="D209" i="96"/>
  <c r="H209" i="96"/>
  <c r="J209" i="96"/>
  <c r="D210" i="96"/>
  <c r="H210" i="96"/>
  <c r="M210" i="96"/>
  <c r="D211" i="96"/>
  <c r="G211" i="96"/>
  <c r="H211" i="96"/>
  <c r="D212" i="96"/>
  <c r="G212" i="96"/>
  <c r="H212" i="96"/>
  <c r="L212" i="96"/>
  <c r="M212" i="96"/>
  <c r="D213" i="96"/>
  <c r="G213" i="96"/>
  <c r="D214" i="96"/>
  <c r="H214" i="96"/>
  <c r="I214" i="96"/>
  <c r="D215" i="96"/>
  <c r="G215" i="96"/>
  <c r="H215" i="96"/>
  <c r="D216" i="96"/>
  <c r="H216" i="96"/>
  <c r="I216" i="96"/>
  <c r="D217" i="96"/>
  <c r="H217" i="96"/>
  <c r="I217" i="96"/>
  <c r="M217" i="96"/>
  <c r="D218" i="96"/>
  <c r="G218" i="96"/>
  <c r="I218" i="96"/>
  <c r="A206" i="96"/>
  <c r="A207" i="96" s="1"/>
  <c r="A208" i="96" s="1"/>
  <c r="A209" i="96" s="1"/>
  <c r="A210" i="96" s="1"/>
  <c r="A211" i="96" s="1"/>
  <c r="A212" i="96" s="1"/>
  <c r="A213" i="96" s="1"/>
  <c r="A214" i="96" s="1"/>
  <c r="A215" i="96" s="1"/>
  <c r="A216" i="96" s="1"/>
  <c r="A217" i="96" s="1"/>
  <c r="A218" i="96" s="1"/>
  <c r="C201" i="96"/>
  <c r="C200" i="96"/>
  <c r="C199" i="96"/>
  <c r="C198" i="96"/>
  <c r="C197" i="96"/>
  <c r="C196" i="96"/>
  <c r="C195" i="96"/>
  <c r="C194" i="96"/>
  <c r="C193" i="96"/>
  <c r="C192" i="96"/>
  <c r="C191" i="96"/>
  <c r="C190" i="96"/>
  <c r="C189" i="96"/>
  <c r="C188" i="96"/>
  <c r="A189" i="96"/>
  <c r="A190" i="96" s="1"/>
  <c r="A191" i="96" s="1"/>
  <c r="A192" i="96" s="1"/>
  <c r="A193" i="96" s="1"/>
  <c r="A194" i="96" s="1"/>
  <c r="A195" i="96" s="1"/>
  <c r="A196" i="96" s="1"/>
  <c r="A197" i="96" s="1"/>
  <c r="A198" i="96" s="1"/>
  <c r="A199" i="96" s="1"/>
  <c r="A200" i="96" s="1"/>
  <c r="A201" i="96" s="1"/>
  <c r="A155" i="96"/>
  <c r="A156" i="96" s="1"/>
  <c r="A157" i="96" s="1"/>
  <c r="A158" i="96" s="1"/>
  <c r="A159" i="96" s="1"/>
  <c r="A160" i="96" s="1"/>
  <c r="A161" i="96" s="1"/>
  <c r="A162" i="96" s="1"/>
  <c r="A163" i="96" s="1"/>
  <c r="A164" i="96" s="1"/>
  <c r="A165" i="96" s="1"/>
  <c r="A166" i="96" s="1"/>
  <c r="A167" i="96" s="1"/>
  <c r="A103" i="96"/>
  <c r="A137" i="96"/>
  <c r="A138" i="96" s="1"/>
  <c r="A139" i="96" s="1"/>
  <c r="A140" i="96" s="1"/>
  <c r="A141" i="96" s="1"/>
  <c r="A142" i="96" s="1"/>
  <c r="A143" i="96" s="1"/>
  <c r="A144" i="96" s="1"/>
  <c r="A145" i="96" s="1"/>
  <c r="A146" i="96" s="1"/>
  <c r="A147" i="96" s="1"/>
  <c r="A148" i="96" s="1"/>
  <c r="A149" i="96" s="1"/>
  <c r="A150" i="96" s="1"/>
  <c r="A121" i="96"/>
  <c r="A122" i="96" s="1"/>
  <c r="A123" i="96" s="1"/>
  <c r="A124" i="96" s="1"/>
  <c r="A125" i="96" s="1"/>
  <c r="A126" i="96" s="1"/>
  <c r="A127" i="96" s="1"/>
  <c r="A128" i="96" s="1"/>
  <c r="A129" i="96" s="1"/>
  <c r="A130" i="96" s="1"/>
  <c r="A131" i="96" s="1"/>
  <c r="A132" i="96" s="1"/>
  <c r="A133" i="96" s="1"/>
  <c r="C119" i="96"/>
  <c r="C85" i="96"/>
  <c r="A87" i="96"/>
  <c r="A88" i="96" s="1"/>
  <c r="A5" i="104"/>
  <c r="C54" i="159"/>
  <c r="L54" i="159"/>
  <c r="C115" i="159"/>
  <c r="E96" i="159"/>
  <c r="D96" i="159"/>
  <c r="C71" i="159"/>
  <c r="C58" i="159"/>
  <c r="C51" i="159"/>
  <c r="C49" i="159"/>
  <c r="C56" i="159"/>
  <c r="C62" i="159"/>
  <c r="C69" i="159"/>
  <c r="C74" i="159"/>
  <c r="C82" i="159"/>
  <c r="C36" i="159"/>
  <c r="G22" i="159"/>
  <c r="H22" i="159"/>
  <c r="I22" i="159"/>
  <c r="J22" i="159"/>
  <c r="K22" i="159"/>
  <c r="L22" i="159"/>
  <c r="M22" i="159"/>
  <c r="N22" i="159"/>
  <c r="O22" i="159"/>
  <c r="P22" i="159"/>
  <c r="Q22" i="159"/>
  <c r="D22" i="159"/>
  <c r="G21" i="159"/>
  <c r="H21" i="159"/>
  <c r="F21" i="159"/>
  <c r="E21" i="159"/>
  <c r="D21" i="159"/>
  <c r="D18" i="159"/>
  <c r="E18" i="159"/>
  <c r="F18" i="159"/>
  <c r="G18" i="159"/>
  <c r="H18" i="159"/>
  <c r="I18" i="159"/>
  <c r="J18" i="159"/>
  <c r="K18" i="159"/>
  <c r="L18" i="159"/>
  <c r="M18" i="159"/>
  <c r="N18" i="159"/>
  <c r="O18" i="159"/>
  <c r="P18" i="159"/>
  <c r="Q18" i="159"/>
  <c r="D17" i="159"/>
  <c r="D16" i="159"/>
  <c r="E16" i="159" s="1"/>
  <c r="D46" i="159"/>
  <c r="J20" i="159"/>
  <c r="S11" i="121"/>
  <c r="D46" i="121"/>
  <c r="S11" i="119"/>
  <c r="D46" i="119"/>
  <c r="C115" i="121"/>
  <c r="E96" i="121"/>
  <c r="D96" i="121"/>
  <c r="C71" i="121"/>
  <c r="C58" i="121"/>
  <c r="C51" i="121"/>
  <c r="C49" i="121"/>
  <c r="C56" i="121"/>
  <c r="C62" i="121"/>
  <c r="C69" i="121"/>
  <c r="C74" i="121"/>
  <c r="C82" i="121"/>
  <c r="D44" i="121"/>
  <c r="C36" i="121"/>
  <c r="G22" i="121"/>
  <c r="H22" i="121"/>
  <c r="I22" i="121"/>
  <c r="J22" i="121"/>
  <c r="K22" i="121"/>
  <c r="L22" i="121"/>
  <c r="M22" i="121"/>
  <c r="N22" i="121"/>
  <c r="O22" i="121"/>
  <c r="P22" i="121"/>
  <c r="Q22" i="121"/>
  <c r="D22" i="121"/>
  <c r="G21" i="121"/>
  <c r="H21" i="121"/>
  <c r="F21" i="121"/>
  <c r="E21" i="121"/>
  <c r="D21" i="121"/>
  <c r="D18" i="121"/>
  <c r="E18" i="121"/>
  <c r="F18" i="121"/>
  <c r="G18" i="121"/>
  <c r="H18" i="121"/>
  <c r="I18" i="121"/>
  <c r="J18" i="121"/>
  <c r="K18" i="121"/>
  <c r="L18" i="121"/>
  <c r="M18" i="121"/>
  <c r="N18" i="121"/>
  <c r="O18" i="121"/>
  <c r="P18" i="121"/>
  <c r="Q18" i="121"/>
  <c r="D17" i="121"/>
  <c r="E17" i="121"/>
  <c r="D16" i="121"/>
  <c r="E16" i="121"/>
  <c r="F16" i="121" s="1"/>
  <c r="K20" i="121"/>
  <c r="C54" i="121"/>
  <c r="L54" i="121"/>
  <c r="C115" i="119"/>
  <c r="E96" i="119"/>
  <c r="D96" i="119"/>
  <c r="C71" i="119"/>
  <c r="C58" i="119"/>
  <c r="C51" i="119"/>
  <c r="C49" i="119"/>
  <c r="C56" i="119"/>
  <c r="C62" i="119"/>
  <c r="C69" i="119"/>
  <c r="C74" i="119"/>
  <c r="C82" i="119"/>
  <c r="D44" i="119"/>
  <c r="C36" i="119"/>
  <c r="G22" i="119"/>
  <c r="H22" i="119"/>
  <c r="I22" i="119"/>
  <c r="J22" i="119"/>
  <c r="K22" i="119"/>
  <c r="L22" i="119"/>
  <c r="M22" i="119"/>
  <c r="N22" i="119"/>
  <c r="O22" i="119"/>
  <c r="P22" i="119"/>
  <c r="Q22" i="119"/>
  <c r="D22" i="119"/>
  <c r="G21" i="119"/>
  <c r="H21" i="119"/>
  <c r="I21" i="119"/>
  <c r="F21" i="119"/>
  <c r="E21" i="119"/>
  <c r="D21" i="119"/>
  <c r="D18" i="119"/>
  <c r="E18" i="119"/>
  <c r="F18" i="119"/>
  <c r="G18" i="119"/>
  <c r="H18" i="119"/>
  <c r="I18" i="119"/>
  <c r="J18" i="119"/>
  <c r="K18" i="119"/>
  <c r="L18" i="119"/>
  <c r="M18" i="119"/>
  <c r="N18" i="119"/>
  <c r="O18" i="119"/>
  <c r="P18" i="119"/>
  <c r="Q18" i="119"/>
  <c r="D17" i="119"/>
  <c r="E17" i="119"/>
  <c r="F17" i="119"/>
  <c r="G17" i="119"/>
  <c r="H17" i="119"/>
  <c r="I17" i="119"/>
  <c r="J17" i="119"/>
  <c r="K17" i="119"/>
  <c r="L17" i="119"/>
  <c r="M17" i="119"/>
  <c r="N17" i="119"/>
  <c r="O17" i="119"/>
  <c r="P17" i="119"/>
  <c r="Q17" i="119"/>
  <c r="D16" i="119"/>
  <c r="C54" i="117"/>
  <c r="D46" i="117"/>
  <c r="H21" i="117"/>
  <c r="I21" i="117"/>
  <c r="C70" i="117"/>
  <c r="J75" i="117"/>
  <c r="C49" i="117"/>
  <c r="C56" i="117"/>
  <c r="C62" i="117"/>
  <c r="C69" i="117"/>
  <c r="C74" i="117"/>
  <c r="C82" i="117"/>
  <c r="D34" i="117"/>
  <c r="D49" i="117"/>
  <c r="D56" i="117"/>
  <c r="D62" i="117"/>
  <c r="D69" i="117"/>
  <c r="D74" i="117"/>
  <c r="Q20" i="117"/>
  <c r="P20" i="117"/>
  <c r="O20" i="117"/>
  <c r="N20" i="117"/>
  <c r="M20" i="117"/>
  <c r="L20" i="117"/>
  <c r="K20" i="117"/>
  <c r="J20" i="117"/>
  <c r="I20" i="117"/>
  <c r="H20" i="117"/>
  <c r="G20" i="117"/>
  <c r="F20" i="117"/>
  <c r="E20" i="117"/>
  <c r="D20" i="117"/>
  <c r="E18" i="117"/>
  <c r="F18" i="117"/>
  <c r="G18" i="117"/>
  <c r="H18" i="117"/>
  <c r="I18" i="117"/>
  <c r="J18" i="117"/>
  <c r="K18" i="117"/>
  <c r="L18" i="117"/>
  <c r="M18" i="117"/>
  <c r="N18" i="117"/>
  <c r="O18" i="117"/>
  <c r="P18" i="117"/>
  <c r="Q18" i="117"/>
  <c r="E17" i="117"/>
  <c r="D19" i="117"/>
  <c r="E16" i="117"/>
  <c r="F16" i="117" s="1"/>
  <c r="D15" i="117"/>
  <c r="E15" i="117" s="1"/>
  <c r="F15" i="117" s="1"/>
  <c r="G15" i="117" s="1"/>
  <c r="H15" i="117" s="1"/>
  <c r="I15" i="117" s="1"/>
  <c r="J15" i="117" s="1"/>
  <c r="K15" i="117" s="1"/>
  <c r="L15" i="117" s="1"/>
  <c r="M15" i="117" s="1"/>
  <c r="N15" i="117" s="1"/>
  <c r="O15" i="117" s="1"/>
  <c r="P15" i="117" s="1"/>
  <c r="Q15" i="117" s="1"/>
  <c r="R15" i="117" s="1"/>
  <c r="S15" i="117" s="1"/>
  <c r="T15" i="117" s="1"/>
  <c r="U15" i="117" s="1"/>
  <c r="V15" i="117" s="1"/>
  <c r="W15" i="117" s="1"/>
  <c r="X15" i="117" s="1"/>
  <c r="C54" i="119"/>
  <c r="C59" i="119"/>
  <c r="D301" i="96"/>
  <c r="D294" i="96"/>
  <c r="C116" i="116"/>
  <c r="K101" i="116"/>
  <c r="J101" i="116"/>
  <c r="I101" i="116"/>
  <c r="K100" i="116"/>
  <c r="J100" i="116"/>
  <c r="I100" i="116"/>
  <c r="C73" i="116"/>
  <c r="C72" i="116"/>
  <c r="C102" i="116"/>
  <c r="D68" i="116"/>
  <c r="C61" i="116"/>
  <c r="K56" i="116"/>
  <c r="J56" i="116"/>
  <c r="I56" i="116"/>
  <c r="H56" i="116"/>
  <c r="G56" i="116"/>
  <c r="F56" i="116"/>
  <c r="E56" i="116"/>
  <c r="D55" i="116"/>
  <c r="D53" i="116"/>
  <c r="C54" i="116"/>
  <c r="D35" i="116"/>
  <c r="D52" i="116"/>
  <c r="D59" i="116"/>
  <c r="D64" i="116"/>
  <c r="D71" i="116"/>
  <c r="D76" i="116"/>
  <c r="C52" i="116"/>
  <c r="C59" i="116"/>
  <c r="C64" i="116"/>
  <c r="C71" i="116"/>
  <c r="C76" i="116"/>
  <c r="C84" i="116"/>
  <c r="D49" i="116"/>
  <c r="D44" i="116"/>
  <c r="C39" i="116"/>
  <c r="C37" i="116"/>
  <c r="E33" i="116"/>
  <c r="E32" i="116"/>
  <c r="E31" i="116"/>
  <c r="E30" i="116"/>
  <c r="E29" i="116"/>
  <c r="H21" i="116"/>
  <c r="I21" i="116"/>
  <c r="J21" i="116"/>
  <c r="K21" i="116"/>
  <c r="L21" i="116"/>
  <c r="M21" i="116"/>
  <c r="N21" i="116"/>
  <c r="O21" i="116"/>
  <c r="P21" i="116"/>
  <c r="Q21" i="116"/>
  <c r="E21" i="116"/>
  <c r="F21" i="116"/>
  <c r="H20" i="116"/>
  <c r="I20" i="116"/>
  <c r="J20" i="116"/>
  <c r="K20" i="116"/>
  <c r="L20" i="116"/>
  <c r="M20" i="116"/>
  <c r="N20" i="116"/>
  <c r="O20" i="116"/>
  <c r="P20" i="116"/>
  <c r="Q20" i="116"/>
  <c r="G20" i="116"/>
  <c r="F20" i="116"/>
  <c r="D20" i="116"/>
  <c r="Q19" i="116"/>
  <c r="P19" i="116"/>
  <c r="O19" i="116"/>
  <c r="N19" i="116"/>
  <c r="M19" i="116"/>
  <c r="L19" i="116"/>
  <c r="K19" i="116"/>
  <c r="J19" i="116"/>
  <c r="I19" i="116"/>
  <c r="H19" i="116"/>
  <c r="G19" i="116"/>
  <c r="F19" i="116"/>
  <c r="E19" i="116"/>
  <c r="D19" i="116"/>
  <c r="D17" i="116"/>
  <c r="E17" i="116"/>
  <c r="F17" i="116"/>
  <c r="G17" i="116"/>
  <c r="H17" i="116"/>
  <c r="I17" i="116"/>
  <c r="J17" i="116"/>
  <c r="K17" i="116"/>
  <c r="L17" i="116"/>
  <c r="M17" i="116"/>
  <c r="N17" i="116"/>
  <c r="O17" i="116"/>
  <c r="P17" i="116"/>
  <c r="Q17" i="116"/>
  <c r="D16" i="116"/>
  <c r="E16" i="116"/>
  <c r="D15" i="116"/>
  <c r="E15" i="116"/>
  <c r="F15" i="116"/>
  <c r="G15" i="116"/>
  <c r="H15" i="116"/>
  <c r="I15" i="116"/>
  <c r="J15" i="116"/>
  <c r="K15" i="116"/>
  <c r="L15" i="116"/>
  <c r="M15" i="116"/>
  <c r="N15" i="116"/>
  <c r="O15" i="116"/>
  <c r="P15" i="116"/>
  <c r="Q15" i="116"/>
  <c r="D14" i="116"/>
  <c r="E14" i="116"/>
  <c r="F14" i="116"/>
  <c r="G14" i="116"/>
  <c r="H14" i="116"/>
  <c r="I14" i="116"/>
  <c r="J14" i="116"/>
  <c r="K14" i="116"/>
  <c r="L14" i="116"/>
  <c r="M14" i="116"/>
  <c r="N14" i="116"/>
  <c r="O14" i="116"/>
  <c r="P14" i="116"/>
  <c r="Q14" i="116"/>
  <c r="E13" i="116"/>
  <c r="F13" i="116"/>
  <c r="D8" i="116"/>
  <c r="AB13" i="95"/>
  <c r="I11" i="103"/>
  <c r="C47" i="68"/>
  <c r="D14" i="68"/>
  <c r="D15" i="68" s="1"/>
  <c r="C14" i="68"/>
  <c r="C15" i="68" s="1"/>
  <c r="D5" i="68"/>
  <c r="C5" i="68"/>
  <c r="I22" i="6"/>
  <c r="H21" i="6"/>
  <c r="Q16" i="31" s="1"/>
  <c r="H24" i="6"/>
  <c r="D31" i="68" s="1"/>
  <c r="H22" i="6"/>
  <c r="M21" i="112"/>
  <c r="K22" i="112"/>
  <c r="A6" i="112"/>
  <c r="A7" i="112"/>
  <c r="A8" i="112"/>
  <c r="A9" i="112"/>
  <c r="A10" i="112"/>
  <c r="A11" i="112"/>
  <c r="A12" i="112"/>
  <c r="A13" i="112"/>
  <c r="A14" i="112"/>
  <c r="A15" i="112"/>
  <c r="A16" i="112"/>
  <c r="C36" i="112"/>
  <c r="C34" i="112"/>
  <c r="J21" i="112"/>
  <c r="E20" i="112"/>
  <c r="M22" i="112"/>
  <c r="D16" i="112"/>
  <c r="D15" i="112"/>
  <c r="D14" i="112"/>
  <c r="D13" i="112"/>
  <c r="D12" i="112"/>
  <c r="D11" i="112"/>
  <c r="D10" i="112"/>
  <c r="D9" i="112"/>
  <c r="D8" i="112"/>
  <c r="D7" i="112"/>
  <c r="D6" i="112"/>
  <c r="D5" i="112"/>
  <c r="D107" i="110"/>
  <c r="E107" i="110"/>
  <c r="F107" i="110"/>
  <c r="G107" i="110"/>
  <c r="D100" i="110"/>
  <c r="E100" i="110"/>
  <c r="C120" i="110"/>
  <c r="J104" i="110"/>
  <c r="I104" i="110"/>
  <c r="J103" i="110"/>
  <c r="I103" i="110"/>
  <c r="C73" i="110"/>
  <c r="C72" i="110"/>
  <c r="E72" i="110"/>
  <c r="E105" i="110"/>
  <c r="D68" i="110"/>
  <c r="C61" i="110"/>
  <c r="J56" i="110"/>
  <c r="I56" i="110"/>
  <c r="H56" i="110"/>
  <c r="G56" i="110"/>
  <c r="F56" i="110"/>
  <c r="E56" i="110"/>
  <c r="D55" i="110"/>
  <c r="D53" i="110"/>
  <c r="C54" i="110"/>
  <c r="C52" i="110"/>
  <c r="C59" i="110"/>
  <c r="C64" i="110"/>
  <c r="C71" i="110"/>
  <c r="C76" i="110"/>
  <c r="C84" i="110"/>
  <c r="D49" i="110"/>
  <c r="D44" i="110"/>
  <c r="C39" i="110"/>
  <c r="C37" i="110"/>
  <c r="D35" i="110"/>
  <c r="D52" i="110"/>
  <c r="D59" i="110"/>
  <c r="D64" i="110"/>
  <c r="D71" i="110"/>
  <c r="D76" i="110"/>
  <c r="E33" i="110"/>
  <c r="E32" i="110"/>
  <c r="E31" i="110"/>
  <c r="E30" i="110"/>
  <c r="E29" i="110"/>
  <c r="H21" i="110"/>
  <c r="I21" i="110"/>
  <c r="J21" i="110"/>
  <c r="K21" i="110"/>
  <c r="L21" i="110"/>
  <c r="M21" i="110"/>
  <c r="N21" i="110"/>
  <c r="O21" i="110"/>
  <c r="P21" i="110"/>
  <c r="Q21" i="110"/>
  <c r="E21" i="110"/>
  <c r="F21" i="110"/>
  <c r="H20" i="110"/>
  <c r="I20" i="110"/>
  <c r="J20" i="110"/>
  <c r="K20" i="110"/>
  <c r="L20" i="110"/>
  <c r="M20" i="110"/>
  <c r="N20" i="110"/>
  <c r="O20" i="110"/>
  <c r="P20" i="110"/>
  <c r="Q20" i="110"/>
  <c r="G20" i="110"/>
  <c r="F20" i="110"/>
  <c r="D20" i="110"/>
  <c r="Q19" i="110"/>
  <c r="P19" i="110"/>
  <c r="O19" i="110"/>
  <c r="N19" i="110"/>
  <c r="M19" i="110"/>
  <c r="L19" i="110"/>
  <c r="K19" i="110"/>
  <c r="J19" i="110"/>
  <c r="I19" i="110"/>
  <c r="H19" i="110"/>
  <c r="G19" i="110"/>
  <c r="F19" i="110"/>
  <c r="E19" i="110"/>
  <c r="D19" i="110"/>
  <c r="E17" i="110"/>
  <c r="F17" i="110"/>
  <c r="G17" i="110"/>
  <c r="H17" i="110"/>
  <c r="I17" i="110"/>
  <c r="J17" i="110"/>
  <c r="K17" i="110"/>
  <c r="L17" i="110"/>
  <c r="M17" i="110"/>
  <c r="N17" i="110"/>
  <c r="O17" i="110"/>
  <c r="P17" i="110"/>
  <c r="Q17" i="110"/>
  <c r="D16" i="110"/>
  <c r="E16" i="110"/>
  <c r="F16" i="110"/>
  <c r="D15" i="110"/>
  <c r="E15" i="110"/>
  <c r="D14" i="110"/>
  <c r="E14" i="110"/>
  <c r="F14" i="110"/>
  <c r="G14" i="110"/>
  <c r="H14" i="110"/>
  <c r="I14" i="110"/>
  <c r="J14" i="110"/>
  <c r="K14" i="110"/>
  <c r="L14" i="110"/>
  <c r="M14" i="110"/>
  <c r="N14" i="110"/>
  <c r="O14" i="110"/>
  <c r="P14" i="110"/>
  <c r="Q14" i="110"/>
  <c r="E13" i="110"/>
  <c r="E35" i="110"/>
  <c r="E52" i="110"/>
  <c r="E59" i="110"/>
  <c r="E64" i="110"/>
  <c r="E71" i="110"/>
  <c r="E76" i="110"/>
  <c r="E20" i="116"/>
  <c r="E20" i="110"/>
  <c r="E15" i="112"/>
  <c r="G15" i="112"/>
  <c r="E16" i="112"/>
  <c r="G16" i="112"/>
  <c r="D49" i="90"/>
  <c r="H60" i="98"/>
  <c r="F5" i="102"/>
  <c r="F5" i="101"/>
  <c r="K23" i="100"/>
  <c r="I25" i="70"/>
  <c r="I26" i="70"/>
  <c r="I13" i="103"/>
  <c r="I14" i="103"/>
  <c r="C39" i="112"/>
  <c r="C41" i="112"/>
  <c r="K22" i="100"/>
  <c r="J25" i="70"/>
  <c r="J26" i="70"/>
  <c r="D6" i="70"/>
  <c r="J8" i="70" s="1"/>
  <c r="J9" i="70" s="1"/>
  <c r="F5" i="99"/>
  <c r="F5" i="98"/>
  <c r="F5" i="97"/>
  <c r="B40" i="97"/>
  <c r="C18" i="97"/>
  <c r="C31" i="97" s="1"/>
  <c r="C37" i="97"/>
  <c r="C36" i="97"/>
  <c r="C35" i="97"/>
  <c r="C34" i="97"/>
  <c r="Q7" i="32"/>
  <c r="R7" i="32"/>
  <c r="P7" i="32"/>
  <c r="H32" i="98"/>
  <c r="H36" i="98"/>
  <c r="E126" i="68"/>
  <c r="E124" i="68"/>
  <c r="F124" i="68"/>
  <c r="D7" i="70"/>
  <c r="J40" i="70" s="1"/>
  <c r="H19" i="97"/>
  <c r="H14" i="97"/>
  <c r="C30" i="97"/>
  <c r="E128" i="68"/>
  <c r="E127" i="68"/>
  <c r="F127" i="68" s="1"/>
  <c r="E130" i="68"/>
  <c r="F130" i="68"/>
  <c r="I36" i="97"/>
  <c r="I37" i="97"/>
  <c r="C43" i="68"/>
  <c r="H34" i="6"/>
  <c r="I26" i="4"/>
  <c r="I24" i="4"/>
  <c r="I27" i="4"/>
  <c r="I1" i="4"/>
  <c r="I4" i="4"/>
  <c r="I2" i="4"/>
  <c r="H4" i="4"/>
  <c r="I10" i="103"/>
  <c r="I9" i="103"/>
  <c r="D46" i="90"/>
  <c r="D55" i="90"/>
  <c r="D53" i="90"/>
  <c r="D65" i="90"/>
  <c r="C116" i="90"/>
  <c r="C73" i="90"/>
  <c r="C72" i="90"/>
  <c r="C102" i="90"/>
  <c r="D68" i="90"/>
  <c r="C61" i="90"/>
  <c r="H56" i="90"/>
  <c r="G56" i="90"/>
  <c r="F56" i="90"/>
  <c r="E56" i="90"/>
  <c r="C54" i="90"/>
  <c r="C52" i="90"/>
  <c r="C59" i="90"/>
  <c r="C64" i="90"/>
  <c r="C71" i="90"/>
  <c r="C76" i="90"/>
  <c r="C84" i="90"/>
  <c r="D44" i="90"/>
  <c r="C39" i="90"/>
  <c r="E33" i="90"/>
  <c r="E32" i="90"/>
  <c r="E31" i="90"/>
  <c r="E30" i="90"/>
  <c r="E29" i="90"/>
  <c r="H21" i="90"/>
  <c r="I21" i="90"/>
  <c r="J21" i="90"/>
  <c r="K21" i="90"/>
  <c r="L21" i="90"/>
  <c r="M21" i="90"/>
  <c r="N21" i="90"/>
  <c r="O21" i="90"/>
  <c r="P21" i="90"/>
  <c r="Q21" i="90"/>
  <c r="E21" i="90"/>
  <c r="F21" i="90"/>
  <c r="E20" i="90"/>
  <c r="F20" i="90"/>
  <c r="G20" i="90"/>
  <c r="H20" i="90"/>
  <c r="I20" i="90"/>
  <c r="J20" i="90"/>
  <c r="K20" i="90"/>
  <c r="L20" i="90"/>
  <c r="M20" i="90"/>
  <c r="N20" i="90"/>
  <c r="O20" i="90"/>
  <c r="P20" i="90"/>
  <c r="Q20" i="90"/>
  <c r="Q19" i="90"/>
  <c r="P19" i="90"/>
  <c r="O19" i="90"/>
  <c r="N19" i="90"/>
  <c r="M19" i="90"/>
  <c r="L19" i="90"/>
  <c r="K19" i="90"/>
  <c r="J19" i="90"/>
  <c r="I19" i="90"/>
  <c r="H19" i="90"/>
  <c r="G19" i="90"/>
  <c r="F19" i="90"/>
  <c r="E19" i="90"/>
  <c r="D19" i="90"/>
  <c r="D18" i="90"/>
  <c r="E17" i="90"/>
  <c r="F17" i="90"/>
  <c r="G17" i="90"/>
  <c r="H17" i="90"/>
  <c r="I17" i="90"/>
  <c r="J17" i="90"/>
  <c r="K17" i="90"/>
  <c r="L17" i="90"/>
  <c r="M17" i="90"/>
  <c r="N17" i="90"/>
  <c r="O17" i="90"/>
  <c r="P17" i="90"/>
  <c r="Q17" i="90"/>
  <c r="E16" i="90"/>
  <c r="E15" i="90"/>
  <c r="F15" i="90"/>
  <c r="D14" i="90"/>
  <c r="E14" i="90"/>
  <c r="D13" i="90"/>
  <c r="E13" i="90"/>
  <c r="E81" i="87"/>
  <c r="K54" i="87"/>
  <c r="C54" i="87"/>
  <c r="F56" i="87"/>
  <c r="G56" i="87"/>
  <c r="H56" i="87"/>
  <c r="I56" i="87"/>
  <c r="J56" i="87"/>
  <c r="K56" i="87"/>
  <c r="E56" i="87"/>
  <c r="D55" i="87"/>
  <c r="D53" i="87"/>
  <c r="C53" i="87"/>
  <c r="C60" i="87"/>
  <c r="F61" i="87"/>
  <c r="D48" i="87"/>
  <c r="H39" i="87"/>
  <c r="I39" i="87"/>
  <c r="E31" i="87"/>
  <c r="D43" i="87"/>
  <c r="C72" i="87"/>
  <c r="D68" i="87"/>
  <c r="C52" i="87"/>
  <c r="C59" i="87"/>
  <c r="C64" i="87"/>
  <c r="C71" i="87"/>
  <c r="E33" i="87"/>
  <c r="E32" i="87"/>
  <c r="E30" i="87"/>
  <c r="E29" i="87"/>
  <c r="F21" i="87"/>
  <c r="G21" i="87"/>
  <c r="H21" i="87"/>
  <c r="I21" i="87"/>
  <c r="J21" i="87"/>
  <c r="K21" i="87"/>
  <c r="L21" i="87"/>
  <c r="M21" i="87"/>
  <c r="N21" i="87"/>
  <c r="O21" i="87"/>
  <c r="P21" i="87"/>
  <c r="Q21" i="87"/>
  <c r="E20" i="87"/>
  <c r="F20" i="87"/>
  <c r="G20" i="87"/>
  <c r="H20" i="87"/>
  <c r="I20" i="87"/>
  <c r="J20" i="87"/>
  <c r="K20" i="87"/>
  <c r="L20" i="87"/>
  <c r="M20" i="87"/>
  <c r="N20" i="87"/>
  <c r="O20" i="87"/>
  <c r="P20" i="87"/>
  <c r="Q20" i="87"/>
  <c r="Q19" i="87"/>
  <c r="P19" i="87"/>
  <c r="O19" i="87"/>
  <c r="N19" i="87"/>
  <c r="M19" i="87"/>
  <c r="L19" i="87"/>
  <c r="K19" i="87"/>
  <c r="J19" i="87"/>
  <c r="I19" i="87"/>
  <c r="H19" i="87"/>
  <c r="G19" i="87"/>
  <c r="F19" i="87"/>
  <c r="E19" i="87"/>
  <c r="D19" i="87"/>
  <c r="D18" i="87"/>
  <c r="E17" i="87"/>
  <c r="F17" i="87"/>
  <c r="G17" i="87"/>
  <c r="H17" i="87"/>
  <c r="I17" i="87"/>
  <c r="J17" i="87"/>
  <c r="K17" i="87"/>
  <c r="L17" i="87"/>
  <c r="M17" i="87"/>
  <c r="N17" i="87"/>
  <c r="O17" i="87"/>
  <c r="P17" i="87"/>
  <c r="Q17" i="87"/>
  <c r="E16" i="87"/>
  <c r="F16" i="87"/>
  <c r="E15" i="87"/>
  <c r="F15" i="87"/>
  <c r="G15" i="87"/>
  <c r="H15" i="87"/>
  <c r="I15" i="87"/>
  <c r="J15" i="87"/>
  <c r="K15" i="87"/>
  <c r="L15" i="87"/>
  <c r="M15" i="87"/>
  <c r="N15" i="87"/>
  <c r="O15" i="87"/>
  <c r="P15" i="87"/>
  <c r="Q15" i="87"/>
  <c r="D14" i="87"/>
  <c r="E14" i="87"/>
  <c r="D13" i="87"/>
  <c r="D35" i="87"/>
  <c r="D52" i="87"/>
  <c r="D59" i="87"/>
  <c r="D64" i="87"/>
  <c r="D71" i="87"/>
  <c r="H29" i="6"/>
  <c r="Q23" i="31" s="1"/>
  <c r="N28" i="13" s="1"/>
  <c r="D81" i="87"/>
  <c r="C117" i="90"/>
  <c r="C119" i="90"/>
  <c r="C120" i="90"/>
  <c r="K111" i="90"/>
  <c r="J111" i="90"/>
  <c r="L111" i="90"/>
  <c r="M111" i="90"/>
  <c r="I11" i="87"/>
  <c r="H23" i="6"/>
  <c r="D29" i="68" s="1"/>
  <c r="D76" i="68" s="1"/>
  <c r="D77" i="68" s="1"/>
  <c r="D30" i="68" s="1"/>
  <c r="I60" i="98"/>
  <c r="E18" i="112"/>
  <c r="M19" i="112"/>
  <c r="F45" i="76"/>
  <c r="C18" i="72"/>
  <c r="I34" i="80"/>
  <c r="G34" i="80"/>
  <c r="C242" i="58"/>
  <c r="C243" i="58"/>
  <c r="C244" i="58"/>
  <c r="C245" i="58"/>
  <c r="C246" i="58"/>
  <c r="C247" i="58"/>
  <c r="C248" i="58"/>
  <c r="C249" i="58"/>
  <c r="C250" i="58"/>
  <c r="C241" i="58"/>
  <c r="T26" i="46"/>
  <c r="V20" i="46"/>
  <c r="T20" i="46"/>
  <c r="F304" i="58"/>
  <c r="T8" i="46"/>
  <c r="F56" i="76"/>
  <c r="G56" i="76"/>
  <c r="H56" i="76"/>
  <c r="T31" i="33"/>
  <c r="Q159" i="33"/>
  <c r="Q155" i="33"/>
  <c r="Q152" i="33"/>
  <c r="Q150" i="33"/>
  <c r="Q149" i="33"/>
  <c r="Q147" i="33"/>
  <c r="Q146" i="33"/>
  <c r="Q142" i="33"/>
  <c r="Q141" i="33"/>
  <c r="Q137" i="33"/>
  <c r="Q136" i="33"/>
  <c r="Q93" i="33"/>
  <c r="Q57" i="33"/>
  <c r="Q59" i="33"/>
  <c r="Q48" i="33"/>
  <c r="Q49" i="33"/>
  <c r="Q51" i="33"/>
  <c r="Q52" i="33"/>
  <c r="Q41" i="33"/>
  <c r="Q38" i="33"/>
  <c r="Q37" i="33"/>
  <c r="Q35" i="33"/>
  <c r="Q33" i="33"/>
  <c r="Q99" i="63"/>
  <c r="P3" i="31"/>
  <c r="P4" i="31"/>
  <c r="P26" i="31"/>
  <c r="P10" i="31"/>
  <c r="P11" i="31"/>
  <c r="P174" i="31"/>
  <c r="P12" i="31"/>
  <c r="P13" i="31"/>
  <c r="P176" i="31"/>
  <c r="P14" i="31"/>
  <c r="P16" i="31"/>
  <c r="P179" i="31"/>
  <c r="P17" i="31"/>
  <c r="P180" i="31"/>
  <c r="P19" i="31"/>
  <c r="P182" i="31"/>
  <c r="P20" i="31"/>
  <c r="P21" i="31"/>
  <c r="P184" i="31"/>
  <c r="P22" i="31"/>
  <c r="P23" i="31"/>
  <c r="P186" i="31"/>
  <c r="P24" i="31"/>
  <c r="P239" i="31"/>
  <c r="P27" i="31"/>
  <c r="P28" i="31"/>
  <c r="P190" i="31"/>
  <c r="P33" i="31"/>
  <c r="P34" i="31"/>
  <c r="P35" i="31"/>
  <c r="P227" i="31"/>
  <c r="P232" i="31" s="1"/>
  <c r="P36" i="31"/>
  <c r="P37" i="31"/>
  <c r="P229" i="31"/>
  <c r="P38" i="31"/>
  <c r="P39" i="31"/>
  <c r="P40" i="31"/>
  <c r="P41" i="31"/>
  <c r="P42" i="31"/>
  <c r="P43" i="31"/>
  <c r="P44" i="31"/>
  <c r="P45" i="31"/>
  <c r="P207" i="31"/>
  <c r="P46" i="31"/>
  <c r="P47" i="31"/>
  <c r="P48" i="31"/>
  <c r="P49" i="31"/>
  <c r="P211" i="31"/>
  <c r="P50" i="31"/>
  <c r="P51" i="31"/>
  <c r="P52" i="31"/>
  <c r="P53" i="31"/>
  <c r="P54" i="31"/>
  <c r="P55" i="31"/>
  <c r="P56" i="31"/>
  <c r="P57" i="31"/>
  <c r="P58" i="31"/>
  <c r="P30" i="31"/>
  <c r="P96" i="31"/>
  <c r="P59" i="31"/>
  <c r="P60" i="31"/>
  <c r="P61" i="31"/>
  <c r="P223" i="31"/>
  <c r="P62" i="31"/>
  <c r="P66" i="31"/>
  <c r="P67" i="31"/>
  <c r="P68" i="31"/>
  <c r="P69" i="31"/>
  <c r="P70" i="31"/>
  <c r="P71" i="31"/>
  <c r="P72" i="31"/>
  <c r="P73" i="31"/>
  <c r="P150" i="31"/>
  <c r="P76" i="31"/>
  <c r="P77" i="31"/>
  <c r="P78" i="31"/>
  <c r="P82" i="31"/>
  <c r="P84" i="31"/>
  <c r="P85" i="31"/>
  <c r="P86" i="31"/>
  <c r="P87" i="31"/>
  <c r="W16" i="31"/>
  <c r="X16" i="31"/>
  <c r="Y16" i="31"/>
  <c r="W17" i="31"/>
  <c r="X17" i="31"/>
  <c r="Y17" i="31"/>
  <c r="W19" i="31"/>
  <c r="X19" i="31"/>
  <c r="Y19" i="31"/>
  <c r="K76" i="63"/>
  <c r="J76" i="63"/>
  <c r="J94" i="63"/>
  <c r="J75" i="63"/>
  <c r="J133" i="63"/>
  <c r="J132" i="63"/>
  <c r="K75" i="63"/>
  <c r="J74" i="63"/>
  <c r="L76" i="63"/>
  <c r="L75" i="63"/>
  <c r="J174" i="63"/>
  <c r="J95" i="63"/>
  <c r="M76" i="63"/>
  <c r="M114" i="63"/>
  <c r="J131" i="63"/>
  <c r="J93" i="63"/>
  <c r="K74" i="63"/>
  <c r="J173" i="63"/>
  <c r="L74" i="63"/>
  <c r="J172" i="63"/>
  <c r="O75" i="63"/>
  <c r="N75" i="63"/>
  <c r="O76" i="63"/>
  <c r="P76" i="63"/>
  <c r="K133" i="63"/>
  <c r="P75" i="63"/>
  <c r="M75" i="63"/>
  <c r="O74" i="63"/>
  <c r="N76" i="63"/>
  <c r="N74" i="63"/>
  <c r="N112" i="63"/>
  <c r="M74" i="63"/>
  <c r="K132" i="63"/>
  <c r="K131" i="63"/>
  <c r="P74" i="63"/>
  <c r="P133" i="63"/>
  <c r="P132" i="63"/>
  <c r="O133" i="63"/>
  <c r="L132" i="63"/>
  <c r="M132" i="63"/>
  <c r="O132" i="63"/>
  <c r="N132" i="63"/>
  <c r="L133" i="63"/>
  <c r="P131" i="63"/>
  <c r="N133" i="63"/>
  <c r="M133" i="63"/>
  <c r="N131" i="63"/>
  <c r="O131" i="63"/>
  <c r="L131" i="63"/>
  <c r="M131" i="63"/>
  <c r="K93" i="63"/>
  <c r="L172" i="63"/>
  <c r="L93" i="63"/>
  <c r="K172" i="63"/>
  <c r="K95" i="63"/>
  <c r="L174" i="63"/>
  <c r="L95" i="63"/>
  <c r="M174" i="63"/>
  <c r="M95" i="63"/>
  <c r="P174" i="63"/>
  <c r="P95" i="63"/>
  <c r="N174" i="63"/>
  <c r="N95" i="63"/>
  <c r="O174" i="63"/>
  <c r="O95" i="63"/>
  <c r="M93" i="63"/>
  <c r="K174" i="63"/>
  <c r="P93" i="63"/>
  <c r="O93" i="63"/>
  <c r="O112" i="63"/>
  <c r="N172" i="63"/>
  <c r="N93" i="63"/>
  <c r="O172" i="63"/>
  <c r="P172" i="63"/>
  <c r="T14" i="46"/>
  <c r="M172" i="63"/>
  <c r="T12" i="46"/>
  <c r="K230" i="76"/>
  <c r="L230" i="76"/>
  <c r="J230" i="76"/>
  <c r="J239" i="76"/>
  <c r="I230" i="76"/>
  <c r="I239" i="76"/>
  <c r="H230" i="76"/>
  <c r="H239" i="76"/>
  <c r="G230" i="76"/>
  <c r="G239" i="76"/>
  <c r="F230" i="76"/>
  <c r="F239" i="76"/>
  <c r="E230" i="76"/>
  <c r="E239" i="76"/>
  <c r="D230" i="76"/>
  <c r="D239" i="76"/>
  <c r="R223" i="76"/>
  <c r="Q223" i="76"/>
  <c r="P223" i="76"/>
  <c r="O223" i="76"/>
  <c r="N223" i="76"/>
  <c r="M223" i="76"/>
  <c r="L223" i="76"/>
  <c r="K223" i="76"/>
  <c r="G223" i="76"/>
  <c r="H223" i="76"/>
  <c r="F223" i="76"/>
  <c r="E223" i="76"/>
  <c r="D223" i="76"/>
  <c r="C221" i="76"/>
  <c r="O224" i="76"/>
  <c r="E214" i="76"/>
  <c r="D211" i="76"/>
  <c r="C211" i="76"/>
  <c r="D210" i="76"/>
  <c r="D209" i="76"/>
  <c r="E208" i="76"/>
  <c r="G207" i="76"/>
  <c r="F207" i="76"/>
  <c r="E207" i="76"/>
  <c r="F203" i="76"/>
  <c r="E203" i="76"/>
  <c r="R187" i="76"/>
  <c r="Q187" i="76"/>
  <c r="P187" i="76"/>
  <c r="O187" i="76"/>
  <c r="N187" i="76"/>
  <c r="M187" i="76"/>
  <c r="L187" i="76"/>
  <c r="K187" i="76"/>
  <c r="J187" i="76"/>
  <c r="E187" i="76"/>
  <c r="D187" i="76"/>
  <c r="R186" i="76"/>
  <c r="R206" i="76"/>
  <c r="Q186" i="76"/>
  <c r="Q206" i="76"/>
  <c r="P186" i="76"/>
  <c r="P206" i="76"/>
  <c r="O186" i="76"/>
  <c r="O206" i="76"/>
  <c r="N186" i="76"/>
  <c r="N206" i="76"/>
  <c r="M186" i="76"/>
  <c r="M206" i="76"/>
  <c r="L186" i="76"/>
  <c r="L206" i="76"/>
  <c r="K186" i="76"/>
  <c r="K206" i="76"/>
  <c r="J186" i="76"/>
  <c r="J206" i="76"/>
  <c r="I186" i="76"/>
  <c r="I206" i="76"/>
  <c r="H186" i="76"/>
  <c r="H206" i="76"/>
  <c r="E186" i="76"/>
  <c r="D186" i="76"/>
  <c r="R185" i="76"/>
  <c r="R205" i="76"/>
  <c r="Q185" i="76"/>
  <c r="Q205" i="76"/>
  <c r="P185" i="76"/>
  <c r="P205" i="76"/>
  <c r="O185" i="76"/>
  <c r="O205" i="76"/>
  <c r="N185" i="76"/>
  <c r="N205" i="76"/>
  <c r="M185" i="76"/>
  <c r="M205" i="76"/>
  <c r="L185" i="76"/>
  <c r="L205" i="76"/>
  <c r="K185" i="76"/>
  <c r="K205" i="76"/>
  <c r="J185" i="76"/>
  <c r="J205" i="76"/>
  <c r="I185" i="76"/>
  <c r="I205" i="76"/>
  <c r="H185" i="76"/>
  <c r="H205" i="76"/>
  <c r="G185" i="76"/>
  <c r="G205" i="76"/>
  <c r="E185" i="76"/>
  <c r="E205" i="76"/>
  <c r="R183" i="76"/>
  <c r="Q183" i="76"/>
  <c r="P183" i="76"/>
  <c r="O183" i="76"/>
  <c r="N183" i="76"/>
  <c r="M183" i="76"/>
  <c r="L183" i="76"/>
  <c r="K183" i="76"/>
  <c r="E183" i="76"/>
  <c r="D183" i="76"/>
  <c r="R178" i="76"/>
  <c r="Q178" i="76"/>
  <c r="Q162" i="76"/>
  <c r="D142" i="76"/>
  <c r="D143" i="76"/>
  <c r="Q154" i="76"/>
  <c r="D114" i="76"/>
  <c r="F125" i="76"/>
  <c r="G125" i="76"/>
  <c r="H125" i="76"/>
  <c r="I125" i="76"/>
  <c r="H126" i="76"/>
  <c r="I126" i="76"/>
  <c r="J126" i="76"/>
  <c r="K126" i="76"/>
  <c r="L126" i="76"/>
  <c r="M126" i="76"/>
  <c r="N126" i="76"/>
  <c r="O126" i="76"/>
  <c r="P126" i="76"/>
  <c r="Q126" i="76"/>
  <c r="R126" i="76"/>
  <c r="I127" i="76"/>
  <c r="J127" i="76"/>
  <c r="K127" i="76"/>
  <c r="L127" i="76"/>
  <c r="M127" i="76"/>
  <c r="N127" i="76"/>
  <c r="O127" i="76"/>
  <c r="P127" i="76"/>
  <c r="Q127" i="76"/>
  <c r="R127" i="76"/>
  <c r="D113" i="76"/>
  <c r="D88" i="76"/>
  <c r="F97" i="76"/>
  <c r="G97" i="76"/>
  <c r="H97" i="76"/>
  <c r="I97" i="76"/>
  <c r="G98" i="76"/>
  <c r="H98" i="76"/>
  <c r="I98" i="76"/>
  <c r="J98" i="76"/>
  <c r="K98" i="76"/>
  <c r="L98" i="76"/>
  <c r="M98" i="76"/>
  <c r="N98" i="76"/>
  <c r="O98" i="76"/>
  <c r="P98" i="76"/>
  <c r="Q98" i="76"/>
  <c r="D87" i="76"/>
  <c r="K99" i="76"/>
  <c r="L99" i="76"/>
  <c r="M99" i="76"/>
  <c r="N99" i="76"/>
  <c r="O99" i="76"/>
  <c r="P99" i="76"/>
  <c r="Q99" i="76"/>
  <c r="R99" i="76"/>
  <c r="E29" i="76"/>
  <c r="E30" i="76"/>
  <c r="E31" i="76"/>
  <c r="E32" i="76"/>
  <c r="E33" i="76"/>
  <c r="F49" i="76"/>
  <c r="D49" i="76"/>
  <c r="C70" i="76"/>
  <c r="F36" i="76"/>
  <c r="C36" i="76"/>
  <c r="C72" i="76"/>
  <c r="D224" i="76"/>
  <c r="D225" i="76"/>
  <c r="E224" i="76"/>
  <c r="F224" i="76"/>
  <c r="F20" i="76"/>
  <c r="G224" i="76"/>
  <c r="G20" i="76"/>
  <c r="H20" i="76"/>
  <c r="I20" i="76"/>
  <c r="J20" i="76"/>
  <c r="K20" i="76"/>
  <c r="L20" i="76"/>
  <c r="M20" i="76"/>
  <c r="N20" i="76"/>
  <c r="O20" i="76"/>
  <c r="P20" i="76"/>
  <c r="Q20" i="76"/>
  <c r="R20" i="76"/>
  <c r="H224" i="76"/>
  <c r="I224" i="76"/>
  <c r="J224" i="76"/>
  <c r="K224" i="76"/>
  <c r="L224" i="76"/>
  <c r="M224" i="76"/>
  <c r="N224" i="76"/>
  <c r="P224" i="76"/>
  <c r="Q224" i="76"/>
  <c r="R224" i="76"/>
  <c r="E3" i="76"/>
  <c r="Q81" i="76"/>
  <c r="Q164" i="76"/>
  <c r="Q80" i="76"/>
  <c r="Q165" i="76"/>
  <c r="Q176" i="76"/>
  <c r="Q157" i="76"/>
  <c r="Q132" i="76"/>
  <c r="Q102" i="76"/>
  <c r="P178" i="76"/>
  <c r="O178" i="76"/>
  <c r="N178" i="76"/>
  <c r="N179" i="76" s="1"/>
  <c r="M178" i="76"/>
  <c r="L178" i="76"/>
  <c r="K178" i="76"/>
  <c r="J178" i="76"/>
  <c r="I178" i="76"/>
  <c r="I179" i="76" s="1"/>
  <c r="N171" i="63" s="1"/>
  <c r="D46" i="76"/>
  <c r="D55" i="76"/>
  <c r="D53" i="76"/>
  <c r="I154" i="76"/>
  <c r="I165" i="76"/>
  <c r="H178" i="76"/>
  <c r="D169" i="76"/>
  <c r="R167" i="76"/>
  <c r="Q167" i="76"/>
  <c r="P167" i="76"/>
  <c r="O167" i="76"/>
  <c r="N167" i="76"/>
  <c r="M167" i="76"/>
  <c r="L167" i="76"/>
  <c r="K167" i="76"/>
  <c r="J167" i="76"/>
  <c r="I167" i="76"/>
  <c r="H167" i="76"/>
  <c r="H168" i="76" s="1"/>
  <c r="H165" i="76"/>
  <c r="G165" i="76"/>
  <c r="G176" i="76"/>
  <c r="F165" i="76"/>
  <c r="F176" i="76"/>
  <c r="E165" i="76"/>
  <c r="E176" i="76"/>
  <c r="E163" i="76"/>
  <c r="E174" i="76"/>
  <c r="J92" i="63"/>
  <c r="R162" i="76"/>
  <c r="P162" i="76"/>
  <c r="O162" i="76"/>
  <c r="N162" i="76"/>
  <c r="M162" i="76"/>
  <c r="L162" i="76"/>
  <c r="K162" i="76"/>
  <c r="J162" i="76"/>
  <c r="G162" i="76"/>
  <c r="F162" i="76"/>
  <c r="F173" i="76"/>
  <c r="K73" i="63"/>
  <c r="E162" i="76"/>
  <c r="E173" i="76"/>
  <c r="J73" i="63"/>
  <c r="E161" i="76"/>
  <c r="D161" i="76"/>
  <c r="C161" i="76"/>
  <c r="G158" i="76"/>
  <c r="F158" i="76"/>
  <c r="R157" i="76"/>
  <c r="C153" i="76"/>
  <c r="C172" i="76"/>
  <c r="C182" i="76"/>
  <c r="C202" i="76"/>
  <c r="H134" i="76"/>
  <c r="I134" i="76"/>
  <c r="J134" i="76"/>
  <c r="K134" i="76"/>
  <c r="L134" i="76"/>
  <c r="M134" i="76"/>
  <c r="N134" i="76"/>
  <c r="O134" i="76"/>
  <c r="P134" i="76"/>
  <c r="Q134" i="76"/>
  <c r="R134" i="76"/>
  <c r="R132" i="76"/>
  <c r="F131" i="76"/>
  <c r="F130" i="76"/>
  <c r="E124" i="76"/>
  <c r="D124" i="76"/>
  <c r="H106" i="76"/>
  <c r="I106" i="76"/>
  <c r="J106" i="76"/>
  <c r="K106" i="76"/>
  <c r="L106" i="76"/>
  <c r="M106" i="76"/>
  <c r="N106" i="76"/>
  <c r="O106" i="76"/>
  <c r="P106" i="76"/>
  <c r="Q106" i="76"/>
  <c r="R106" i="76"/>
  <c r="F104" i="76"/>
  <c r="F103" i="76"/>
  <c r="R102" i="76"/>
  <c r="R98" i="76"/>
  <c r="F98" i="76"/>
  <c r="D96" i="76"/>
  <c r="D153" i="76"/>
  <c r="D172" i="76"/>
  <c r="D182" i="76"/>
  <c r="D202" i="76"/>
  <c r="R81" i="76"/>
  <c r="R188" i="76"/>
  <c r="P81" i="76"/>
  <c r="O81" i="76"/>
  <c r="O164" i="76"/>
  <c r="N81" i="76"/>
  <c r="N188" i="76"/>
  <c r="M81" i="76"/>
  <c r="M164" i="76"/>
  <c r="L81" i="76"/>
  <c r="L164" i="76"/>
  <c r="K81" i="76"/>
  <c r="K164" i="76"/>
  <c r="E81" i="76"/>
  <c r="E164" i="76"/>
  <c r="E175" i="76"/>
  <c r="D81" i="76"/>
  <c r="D188" i="76"/>
  <c r="R80" i="76"/>
  <c r="R165" i="76"/>
  <c r="H73" i="76"/>
  <c r="E73" i="76"/>
  <c r="D73" i="76"/>
  <c r="H72" i="76"/>
  <c r="G72" i="76"/>
  <c r="E72" i="76"/>
  <c r="E74" i="76"/>
  <c r="R65" i="76"/>
  <c r="Q65" i="76"/>
  <c r="P65" i="76"/>
  <c r="O65" i="76"/>
  <c r="N65" i="76"/>
  <c r="M65" i="76"/>
  <c r="L65" i="76"/>
  <c r="C59" i="76"/>
  <c r="C54" i="76"/>
  <c r="E52" i="76"/>
  <c r="E96" i="76"/>
  <c r="E153" i="76"/>
  <c r="E172" i="76"/>
  <c r="E182" i="76"/>
  <c r="E202" i="76"/>
  <c r="D44" i="76"/>
  <c r="F35" i="76"/>
  <c r="F124" i="76"/>
  <c r="F72" i="76"/>
  <c r="E22" i="76"/>
  <c r="F19" i="76"/>
  <c r="E19" i="76"/>
  <c r="F15" i="76"/>
  <c r="F18" i="76"/>
  <c r="G14" i="76"/>
  <c r="G19" i="76"/>
  <c r="E13" i="76"/>
  <c r="J91" i="63"/>
  <c r="J72" i="63"/>
  <c r="F22" i="76"/>
  <c r="D72" i="76"/>
  <c r="L72" i="63"/>
  <c r="J129" i="63"/>
  <c r="K72" i="63"/>
  <c r="D39" i="76"/>
  <c r="D185" i="76"/>
  <c r="J170" i="63"/>
  <c r="O72" i="63"/>
  <c r="J90" i="63"/>
  <c r="M72" i="63"/>
  <c r="N72" i="63"/>
  <c r="P72" i="63"/>
  <c r="K129" i="63"/>
  <c r="J71" i="63"/>
  <c r="P129" i="63"/>
  <c r="O129" i="63"/>
  <c r="M129" i="63"/>
  <c r="L129" i="63"/>
  <c r="K71" i="63"/>
  <c r="J128" i="63"/>
  <c r="M71" i="63"/>
  <c r="N129" i="63"/>
  <c r="L71" i="63"/>
  <c r="N71" i="63"/>
  <c r="L128" i="63"/>
  <c r="O71" i="63"/>
  <c r="J169" i="63"/>
  <c r="K128" i="63"/>
  <c r="N128" i="63"/>
  <c r="P71" i="63"/>
  <c r="P128" i="63"/>
  <c r="O128" i="63"/>
  <c r="M128" i="63"/>
  <c r="K91" i="63"/>
  <c r="L170" i="63"/>
  <c r="L91" i="63"/>
  <c r="K170" i="63"/>
  <c r="K90" i="63"/>
  <c r="L169" i="63"/>
  <c r="L90" i="63"/>
  <c r="K169" i="63"/>
  <c r="M91" i="63"/>
  <c r="N85" i="60"/>
  <c r="N87" i="60"/>
  <c r="N91" i="63"/>
  <c r="O170" i="63"/>
  <c r="O91" i="63"/>
  <c r="P170" i="63"/>
  <c r="P91" i="63"/>
  <c r="N170" i="63"/>
  <c r="M170" i="63"/>
  <c r="T10" i="46"/>
  <c r="M90" i="63"/>
  <c r="C11" i="73"/>
  <c r="C5" i="73"/>
  <c r="C9" i="73"/>
  <c r="C2" i="73"/>
  <c r="O90" i="63"/>
  <c r="N169" i="63"/>
  <c r="N90" i="63"/>
  <c r="P90" i="63"/>
  <c r="L87" i="60"/>
  <c r="M87" i="60"/>
  <c r="O87" i="60"/>
  <c r="K87" i="60"/>
  <c r="I87" i="60"/>
  <c r="J87" i="60"/>
  <c r="G87" i="60"/>
  <c r="F87" i="60"/>
  <c r="O169" i="63"/>
  <c r="P169" i="63"/>
  <c r="M169" i="63"/>
  <c r="K55" i="63"/>
  <c r="L55" i="63"/>
  <c r="M55" i="63"/>
  <c r="N55" i="63"/>
  <c r="O55" i="63"/>
  <c r="P55" i="63"/>
  <c r="Y64" i="63"/>
  <c r="D81" i="68"/>
  <c r="Q12" i="33"/>
  <c r="Q101" i="33"/>
  <c r="Q21" i="33"/>
  <c r="Q157" i="33"/>
  <c r="Q17" i="33"/>
  <c r="Q153" i="33"/>
  <c r="T9" i="46"/>
  <c r="D16" i="72"/>
  <c r="B47" i="72"/>
  <c r="C47" i="72"/>
  <c r="B48" i="72"/>
  <c r="C48" i="72"/>
  <c r="C46" i="72"/>
  <c r="B46" i="72"/>
  <c r="C43" i="72"/>
  <c r="B43" i="72"/>
  <c r="D32" i="72"/>
  <c r="D31" i="72"/>
  <c r="D30" i="72"/>
  <c r="C33" i="72"/>
  <c r="C36" i="72"/>
  <c r="B33" i="72"/>
  <c r="B35" i="72"/>
  <c r="D27" i="72"/>
  <c r="D12" i="72"/>
  <c r="D10" i="72"/>
  <c r="C25" i="72"/>
  <c r="B25" i="72"/>
  <c r="C24" i="72"/>
  <c r="B24" i="72"/>
  <c r="B18" i="72"/>
  <c r="B4" i="72"/>
  <c r="B6" i="72"/>
  <c r="C4" i="72"/>
  <c r="C6" i="72"/>
  <c r="C35" i="72"/>
  <c r="P88" i="33"/>
  <c r="P136" i="33"/>
  <c r="P137" i="33"/>
  <c r="P9" i="33"/>
  <c r="O90" i="31"/>
  <c r="I22" i="70"/>
  <c r="J11" i="63"/>
  <c r="J15" i="63"/>
  <c r="G25" i="60"/>
  <c r="L5" i="63"/>
  <c r="M5" i="63"/>
  <c r="N5" i="63"/>
  <c r="O5" i="63"/>
  <c r="P5" i="63"/>
  <c r="J23" i="67"/>
  <c r="I23" i="67"/>
  <c r="K23" i="67"/>
  <c r="H42" i="68"/>
  <c r="H48" i="68"/>
  <c r="H25" i="70"/>
  <c r="G25" i="70"/>
  <c r="F25" i="70"/>
  <c r="E25" i="70"/>
  <c r="D25" i="70"/>
  <c r="J21" i="70"/>
  <c r="E26" i="70" s="1"/>
  <c r="J20" i="70"/>
  <c r="D12" i="70"/>
  <c r="E12" i="70"/>
  <c r="F12" i="70"/>
  <c r="G12" i="70"/>
  <c r="H12" i="70"/>
  <c r="I12" i="70"/>
  <c r="J12" i="70"/>
  <c r="K12" i="70"/>
  <c r="C32" i="68"/>
  <c r="C31" i="68"/>
  <c r="C29" i="68"/>
  <c r="C76" i="68"/>
  <c r="C77" i="68"/>
  <c r="C30" i="68"/>
  <c r="C28" i="68"/>
  <c r="V16" i="31"/>
  <c r="F21" i="6"/>
  <c r="E21" i="6"/>
  <c r="D21" i="6"/>
  <c r="C21" i="6"/>
  <c r="M10" i="67"/>
  <c r="K10" i="67"/>
  <c r="I10" i="67"/>
  <c r="I19" i="64"/>
  <c r="I20" i="64"/>
  <c r="H19" i="64"/>
  <c r="D19" i="64"/>
  <c r="J18" i="64"/>
  <c r="E18" i="64"/>
  <c r="J17" i="64"/>
  <c r="J15" i="64"/>
  <c r="E15" i="64"/>
  <c r="J14" i="64"/>
  <c r="E14" i="64"/>
  <c r="J13" i="64"/>
  <c r="E13" i="64"/>
  <c r="J12" i="64"/>
  <c r="E12" i="64"/>
  <c r="J11" i="64"/>
  <c r="E11" i="64"/>
  <c r="J9" i="64"/>
  <c r="E9" i="64"/>
  <c r="J8" i="64"/>
  <c r="E8" i="64"/>
  <c r="J6" i="64"/>
  <c r="E6" i="64"/>
  <c r="I5" i="64"/>
  <c r="I7" i="64"/>
  <c r="I10" i="64"/>
  <c r="H5" i="64"/>
  <c r="H7" i="64"/>
  <c r="D5" i="64"/>
  <c r="D7" i="64"/>
  <c r="D10" i="64"/>
  <c r="C5" i="64"/>
  <c r="C7" i="64"/>
  <c r="C10" i="64"/>
  <c r="C16" i="64"/>
  <c r="C17" i="64"/>
  <c r="J4" i="64"/>
  <c r="E4" i="64"/>
  <c r="L3" i="64"/>
  <c r="J3" i="64"/>
  <c r="E3" i="64"/>
  <c r="E32" i="62"/>
  <c r="N5" i="62"/>
  <c r="M5" i="62"/>
  <c r="L5" i="62"/>
  <c r="O4" i="62"/>
  <c r="H279" i="58"/>
  <c r="G279" i="58"/>
  <c r="H278" i="58"/>
  <c r="G278" i="58"/>
  <c r="H275" i="58"/>
  <c r="G275" i="58"/>
  <c r="F275" i="58"/>
  <c r="H274" i="58"/>
  <c r="G274" i="58"/>
  <c r="F274" i="58"/>
  <c r="E274" i="58"/>
  <c r="D274" i="58"/>
  <c r="C274" i="58"/>
  <c r="H273" i="58"/>
  <c r="G273" i="58"/>
  <c r="F273" i="58"/>
  <c r="E273" i="58"/>
  <c r="D273" i="58"/>
  <c r="C273" i="58"/>
  <c r="F270" i="58"/>
  <c r="E270" i="58"/>
  <c r="D270" i="58"/>
  <c r="C270" i="58"/>
  <c r="G269" i="58"/>
  <c r="G268" i="58"/>
  <c r="G267" i="58"/>
  <c r="C220" i="58"/>
  <c r="D219" i="58"/>
  <c r="E209" i="58"/>
  <c r="E208" i="58"/>
  <c r="E207" i="58"/>
  <c r="E206" i="58"/>
  <c r="E205" i="58"/>
  <c r="E204" i="58"/>
  <c r="E203" i="58"/>
  <c r="E202" i="58"/>
  <c r="E201" i="58"/>
  <c r="E200" i="58"/>
  <c r="E199" i="58"/>
  <c r="E198" i="58"/>
  <c r="E197" i="58"/>
  <c r="E196" i="58"/>
  <c r="E195" i="58"/>
  <c r="E194" i="58"/>
  <c r="E193" i="58"/>
  <c r="E192" i="58"/>
  <c r="E179" i="58"/>
  <c r="C179" i="58"/>
  <c r="D174" i="58"/>
  <c r="D178" i="58"/>
  <c r="D177" i="58"/>
  <c r="D175" i="58"/>
  <c r="C157" i="58"/>
  <c r="C155" i="58"/>
  <c r="C151" i="58"/>
  <c r="E150" i="58"/>
  <c r="F121" i="58"/>
  <c r="I119" i="58"/>
  <c r="K119" i="58"/>
  <c r="K122" i="58"/>
  <c r="J117" i="58"/>
  <c r="L94" i="58"/>
  <c r="L93" i="58"/>
  <c r="C79" i="58"/>
  <c r="D77" i="58"/>
  <c r="C36" i="54"/>
  <c r="D36" i="54"/>
  <c r="C35" i="54"/>
  <c r="D35" i="54"/>
  <c r="C34" i="54"/>
  <c r="D28" i="54"/>
  <c r="D29" i="54"/>
  <c r="D24" i="54"/>
  <c r="D25" i="54"/>
  <c r="D26" i="54"/>
  <c r="D23" i="54"/>
  <c r="B24" i="54"/>
  <c r="B23" i="54"/>
  <c r="L20" i="54"/>
  <c r="B20" i="54"/>
  <c r="C19" i="54"/>
  <c r="K18" i="54"/>
  <c r="B19" i="54"/>
  <c r="D18" i="54"/>
  <c r="C18" i="54"/>
  <c r="B18" i="54"/>
  <c r="C17" i="54"/>
  <c r="B17" i="54"/>
  <c r="C16" i="54"/>
  <c r="K16" i="54"/>
  <c r="B16" i="54"/>
  <c r="C15" i="54"/>
  <c r="D9" i="54"/>
  <c r="D8" i="54"/>
  <c r="C8" i="54"/>
  <c r="D17" i="53"/>
  <c r="D16" i="53"/>
  <c r="E16" i="53"/>
  <c r="D5" i="52"/>
  <c r="D6" i="52"/>
  <c r="D7" i="52"/>
  <c r="C5" i="52"/>
  <c r="C6" i="52"/>
  <c r="C7" i="52"/>
  <c r="B5" i="52"/>
  <c r="B6" i="52"/>
  <c r="B7" i="52"/>
  <c r="H4" i="52"/>
  <c r="I4" i="52"/>
  <c r="G4" i="52"/>
  <c r="F4" i="52"/>
  <c r="E4" i="52"/>
  <c r="D4" i="52"/>
  <c r="C4" i="52"/>
  <c r="B4" i="52"/>
  <c r="I2" i="52"/>
  <c r="H217" i="65"/>
  <c r="I217" i="65"/>
  <c r="J217" i="65"/>
  <c r="G217" i="65"/>
  <c r="G226" i="65"/>
  <c r="F217" i="65"/>
  <c r="F226" i="65"/>
  <c r="E217" i="65"/>
  <c r="E226" i="65"/>
  <c r="D217" i="65"/>
  <c r="D226" i="65"/>
  <c r="K210" i="65"/>
  <c r="J210" i="65"/>
  <c r="I210" i="65"/>
  <c r="G210" i="65"/>
  <c r="F210" i="65"/>
  <c r="E210" i="65"/>
  <c r="D210" i="65"/>
  <c r="H210" i="65"/>
  <c r="D198" i="65"/>
  <c r="C198" i="65"/>
  <c r="D197" i="65"/>
  <c r="D196" i="65"/>
  <c r="E195" i="65"/>
  <c r="G194" i="65"/>
  <c r="F194" i="65"/>
  <c r="E194" i="65"/>
  <c r="F190" i="65"/>
  <c r="E190" i="65"/>
  <c r="D182" i="65"/>
  <c r="R179" i="65"/>
  <c r="Q179" i="65"/>
  <c r="P179" i="65"/>
  <c r="O179" i="65"/>
  <c r="N179" i="65"/>
  <c r="M179" i="65"/>
  <c r="L179" i="65"/>
  <c r="K179" i="65"/>
  <c r="J179" i="65"/>
  <c r="R178" i="65"/>
  <c r="R193" i="65"/>
  <c r="Q178" i="65"/>
  <c r="Q193" i="65"/>
  <c r="P178" i="65"/>
  <c r="P193" i="65"/>
  <c r="O178" i="65"/>
  <c r="O193" i="65"/>
  <c r="N178" i="65"/>
  <c r="N193" i="65"/>
  <c r="M178" i="65"/>
  <c r="M193" i="65"/>
  <c r="L178" i="65"/>
  <c r="L193" i="65"/>
  <c r="K178" i="65"/>
  <c r="K193" i="65"/>
  <c r="J178" i="65"/>
  <c r="J193" i="65"/>
  <c r="R177" i="65"/>
  <c r="R192" i="65"/>
  <c r="Q177" i="65"/>
  <c r="Q192" i="65"/>
  <c r="P177" i="65"/>
  <c r="P192" i="65"/>
  <c r="O177" i="65"/>
  <c r="O192" i="65"/>
  <c r="N177" i="65"/>
  <c r="N192" i="65"/>
  <c r="M177" i="65"/>
  <c r="M192" i="65"/>
  <c r="L177" i="65"/>
  <c r="L192" i="65"/>
  <c r="K177" i="65"/>
  <c r="K192" i="65"/>
  <c r="J177" i="65"/>
  <c r="J192" i="65"/>
  <c r="I177" i="65"/>
  <c r="I192" i="65"/>
  <c r="H177" i="65"/>
  <c r="H192" i="65"/>
  <c r="G177" i="65"/>
  <c r="G192" i="65"/>
  <c r="F177" i="65"/>
  <c r="F192" i="65"/>
  <c r="E177" i="65"/>
  <c r="E192" i="65"/>
  <c r="R170" i="65"/>
  <c r="R171" i="65" s="1"/>
  <c r="Q170" i="65"/>
  <c r="Q171" i="65" s="1"/>
  <c r="P170" i="65"/>
  <c r="P171" i="65" s="1"/>
  <c r="O170" i="65"/>
  <c r="D47" i="65"/>
  <c r="E55" i="65"/>
  <c r="D57" i="65"/>
  <c r="E57" i="65"/>
  <c r="F57" i="65"/>
  <c r="J58" i="65"/>
  <c r="K58" i="65"/>
  <c r="N61" i="65"/>
  <c r="M61" i="65"/>
  <c r="O61" i="65"/>
  <c r="P61" i="65"/>
  <c r="Q61" i="65"/>
  <c r="R61" i="65"/>
  <c r="D134" i="65"/>
  <c r="D136" i="65"/>
  <c r="O147" i="65"/>
  <c r="D135" i="65"/>
  <c r="D106" i="65"/>
  <c r="F117" i="65"/>
  <c r="G117" i="65"/>
  <c r="H117" i="65"/>
  <c r="I117" i="65"/>
  <c r="J117" i="65"/>
  <c r="K117" i="65"/>
  <c r="H118" i="65"/>
  <c r="I118" i="65"/>
  <c r="J118" i="65"/>
  <c r="K118" i="65"/>
  <c r="L118" i="65"/>
  <c r="M118" i="65"/>
  <c r="N118" i="65"/>
  <c r="O118" i="65"/>
  <c r="P118" i="65"/>
  <c r="Q118" i="65"/>
  <c r="R118" i="65"/>
  <c r="I119" i="65"/>
  <c r="J119" i="65"/>
  <c r="K119" i="65"/>
  <c r="L119" i="65"/>
  <c r="M119" i="65"/>
  <c r="N119" i="65"/>
  <c r="O119" i="65"/>
  <c r="P119" i="65"/>
  <c r="Q119" i="65"/>
  <c r="R119" i="65"/>
  <c r="D105" i="65"/>
  <c r="D80" i="65"/>
  <c r="F89" i="65"/>
  <c r="G89" i="65"/>
  <c r="H89" i="65"/>
  <c r="I89" i="65"/>
  <c r="J89" i="65"/>
  <c r="K89" i="65"/>
  <c r="G90" i="65"/>
  <c r="H90" i="65"/>
  <c r="I90" i="65"/>
  <c r="J90" i="65"/>
  <c r="K90" i="65"/>
  <c r="L90" i="65"/>
  <c r="M90" i="65"/>
  <c r="N90" i="65"/>
  <c r="O90" i="65"/>
  <c r="D79" i="65"/>
  <c r="K91" i="65"/>
  <c r="L91" i="65"/>
  <c r="M91" i="65"/>
  <c r="N91" i="65"/>
  <c r="O91" i="65"/>
  <c r="C67" i="65"/>
  <c r="E29" i="65"/>
  <c r="E4" i="65"/>
  <c r="E30" i="65"/>
  <c r="E28" i="65"/>
  <c r="E3" i="65"/>
  <c r="E5" i="65"/>
  <c r="B218" i="65"/>
  <c r="D218" i="65"/>
  <c r="D227" i="65"/>
  <c r="B219" i="65"/>
  <c r="D219" i="65"/>
  <c r="D228" i="65"/>
  <c r="B220" i="65"/>
  <c r="D220" i="65"/>
  <c r="D229" i="65"/>
  <c r="B221" i="65"/>
  <c r="D221" i="65"/>
  <c r="D230" i="65"/>
  <c r="B222" i="65"/>
  <c r="D222" i="65"/>
  <c r="D231" i="65"/>
  <c r="B223" i="65"/>
  <c r="D223" i="65"/>
  <c r="D232" i="65"/>
  <c r="B224" i="65"/>
  <c r="E224" i="65"/>
  <c r="D224" i="65"/>
  <c r="D233" i="65"/>
  <c r="E218" i="65"/>
  <c r="E227" i="65"/>
  <c r="E220" i="65"/>
  <c r="E229" i="65"/>
  <c r="E221" i="65"/>
  <c r="E230" i="65"/>
  <c r="E222" i="65"/>
  <c r="E231" i="65"/>
  <c r="E233" i="65"/>
  <c r="F218" i="65"/>
  <c r="F227" i="65"/>
  <c r="F219" i="65"/>
  <c r="F228" i="65"/>
  <c r="F220" i="65"/>
  <c r="F229" i="65"/>
  <c r="F221" i="65"/>
  <c r="F230" i="65"/>
  <c r="F222" i="65"/>
  <c r="F231" i="65"/>
  <c r="F224" i="65"/>
  <c r="F233" i="65"/>
  <c r="G20" i="65"/>
  <c r="G218" i="65"/>
  <c r="G227" i="65"/>
  <c r="G219" i="65"/>
  <c r="G228" i="65"/>
  <c r="G220" i="65"/>
  <c r="G229" i="65"/>
  <c r="G221" i="65"/>
  <c r="G230" i="65"/>
  <c r="G222" i="65"/>
  <c r="G231" i="65"/>
  <c r="G223" i="65"/>
  <c r="G232" i="65"/>
  <c r="G224" i="65"/>
  <c r="G233" i="65"/>
  <c r="H20" i="65"/>
  <c r="I20" i="65"/>
  <c r="J20" i="65"/>
  <c r="K20" i="65"/>
  <c r="L20" i="65"/>
  <c r="M20" i="65"/>
  <c r="N20" i="65"/>
  <c r="O20" i="65"/>
  <c r="P20" i="65"/>
  <c r="Q20" i="65"/>
  <c r="R20" i="65"/>
  <c r="B226" i="65"/>
  <c r="H218" i="65"/>
  <c r="H227" i="65"/>
  <c r="H219" i="65"/>
  <c r="H228" i="65"/>
  <c r="H220" i="65"/>
  <c r="H229" i="65"/>
  <c r="H221" i="65"/>
  <c r="H230" i="65"/>
  <c r="H222" i="65"/>
  <c r="H231" i="65"/>
  <c r="H223" i="65"/>
  <c r="H232" i="65"/>
  <c r="H224" i="65"/>
  <c r="H233" i="65"/>
  <c r="I218" i="65"/>
  <c r="I227" i="65"/>
  <c r="I219" i="65"/>
  <c r="I228" i="65"/>
  <c r="I220" i="65"/>
  <c r="I229" i="65"/>
  <c r="I221" i="65"/>
  <c r="I230" i="65"/>
  <c r="I222" i="65"/>
  <c r="I231" i="65"/>
  <c r="I223" i="65"/>
  <c r="I232" i="65"/>
  <c r="I224" i="65"/>
  <c r="I233" i="65"/>
  <c r="J218" i="65"/>
  <c r="J227" i="65"/>
  <c r="J219" i="65"/>
  <c r="J228" i="65"/>
  <c r="J220" i="65"/>
  <c r="J229" i="65"/>
  <c r="J221" i="65"/>
  <c r="J230" i="65"/>
  <c r="J222" i="65"/>
  <c r="J231" i="65"/>
  <c r="J223" i="65"/>
  <c r="J232" i="65"/>
  <c r="J224" i="65"/>
  <c r="J233" i="65"/>
  <c r="K218" i="65"/>
  <c r="K227" i="65"/>
  <c r="K219" i="65"/>
  <c r="K228" i="65"/>
  <c r="K220" i="65"/>
  <c r="K229" i="65"/>
  <c r="K221" i="65"/>
  <c r="K230" i="65"/>
  <c r="K222" i="65"/>
  <c r="K231" i="65"/>
  <c r="K223" i="65"/>
  <c r="K232" i="65"/>
  <c r="K224" i="65"/>
  <c r="K233" i="65"/>
  <c r="L218" i="65"/>
  <c r="L227" i="65"/>
  <c r="L219" i="65"/>
  <c r="L228" i="65"/>
  <c r="L220" i="65"/>
  <c r="L229" i="65"/>
  <c r="L221" i="65"/>
  <c r="L230" i="65"/>
  <c r="L222" i="65"/>
  <c r="L231" i="65"/>
  <c r="L223" i="65"/>
  <c r="L232" i="65"/>
  <c r="L224" i="65"/>
  <c r="L233" i="65"/>
  <c r="M218" i="65"/>
  <c r="M227" i="65"/>
  <c r="M219" i="65"/>
  <c r="M228" i="65"/>
  <c r="M220" i="65"/>
  <c r="M229" i="65"/>
  <c r="M221" i="65"/>
  <c r="M230" i="65"/>
  <c r="M222" i="65"/>
  <c r="M231" i="65"/>
  <c r="M223" i="65"/>
  <c r="M232" i="65"/>
  <c r="M224" i="65"/>
  <c r="M233" i="65"/>
  <c r="N218" i="65"/>
  <c r="N227" i="65"/>
  <c r="N219" i="65"/>
  <c r="N228" i="65"/>
  <c r="N220" i="65"/>
  <c r="N229" i="65"/>
  <c r="N221" i="65"/>
  <c r="N230" i="65"/>
  <c r="N222" i="65"/>
  <c r="N231" i="65"/>
  <c r="N223" i="65"/>
  <c r="N232" i="65"/>
  <c r="N224" i="65"/>
  <c r="N233" i="65"/>
  <c r="O218" i="65"/>
  <c r="O227" i="65"/>
  <c r="O219" i="65"/>
  <c r="O228" i="65"/>
  <c r="O220" i="65"/>
  <c r="O229" i="65"/>
  <c r="O221" i="65"/>
  <c r="O230" i="65"/>
  <c r="O222" i="65"/>
  <c r="O231" i="65"/>
  <c r="O223" i="65"/>
  <c r="O232" i="65"/>
  <c r="O224" i="65"/>
  <c r="O233" i="65"/>
  <c r="P218" i="65"/>
  <c r="P227" i="65"/>
  <c r="P219" i="65"/>
  <c r="P228" i="65"/>
  <c r="P220" i="65"/>
  <c r="P229" i="65"/>
  <c r="P221" i="65"/>
  <c r="P230" i="65"/>
  <c r="P222" i="65"/>
  <c r="P231" i="65"/>
  <c r="P223" i="65"/>
  <c r="P232" i="65"/>
  <c r="P224" i="65"/>
  <c r="P233" i="65"/>
  <c r="Q218" i="65"/>
  <c r="Q227" i="65"/>
  <c r="Q219" i="65"/>
  <c r="Q228" i="65"/>
  <c r="Q220" i="65"/>
  <c r="Q229" i="65"/>
  <c r="Q221" i="65"/>
  <c r="Q230" i="65"/>
  <c r="Q222" i="65"/>
  <c r="Q231" i="65"/>
  <c r="Q223" i="65"/>
  <c r="Q232" i="65"/>
  <c r="Q224" i="65"/>
  <c r="Q233" i="65"/>
  <c r="O73" i="65"/>
  <c r="O156" i="65"/>
  <c r="N170" i="65"/>
  <c r="M170" i="65"/>
  <c r="L170" i="65"/>
  <c r="K170" i="65"/>
  <c r="K147" i="65"/>
  <c r="J170" i="65"/>
  <c r="I170" i="65"/>
  <c r="H170" i="65"/>
  <c r="R159" i="65"/>
  <c r="R181" i="65" s="1"/>
  <c r="R176" i="65" s="1"/>
  <c r="R182" i="65" s="1"/>
  <c r="R184" i="65" s="1"/>
  <c r="R73" i="65"/>
  <c r="R156" i="65"/>
  <c r="R72" i="65"/>
  <c r="R157" i="65"/>
  <c r="Q159" i="65"/>
  <c r="P159" i="65"/>
  <c r="O159" i="65"/>
  <c r="N159" i="65"/>
  <c r="N73" i="65"/>
  <c r="N156" i="65"/>
  <c r="M159" i="65"/>
  <c r="L159" i="65"/>
  <c r="K159" i="65"/>
  <c r="J159" i="65"/>
  <c r="I159" i="65"/>
  <c r="H159" i="65"/>
  <c r="H160" i="65" s="1"/>
  <c r="F157" i="65"/>
  <c r="F168" i="65"/>
  <c r="E157" i="65"/>
  <c r="E168" i="65"/>
  <c r="E155" i="65"/>
  <c r="E166" i="65"/>
  <c r="J68" i="40"/>
  <c r="E154" i="65"/>
  <c r="E165" i="65"/>
  <c r="J54" i="40"/>
  <c r="C8" i="58"/>
  <c r="E153" i="65"/>
  <c r="D153" i="65"/>
  <c r="C153" i="65"/>
  <c r="G150" i="65"/>
  <c r="F150" i="65"/>
  <c r="R149" i="65"/>
  <c r="Q149" i="65"/>
  <c r="C145" i="65"/>
  <c r="C164" i="65"/>
  <c r="C174" i="65"/>
  <c r="C189" i="65"/>
  <c r="H126" i="65"/>
  <c r="I126" i="65"/>
  <c r="J126" i="65"/>
  <c r="K126" i="65"/>
  <c r="L126" i="65"/>
  <c r="M126" i="65"/>
  <c r="N126" i="65"/>
  <c r="O126" i="65"/>
  <c r="P126" i="65"/>
  <c r="Q126" i="65"/>
  <c r="R126" i="65"/>
  <c r="R124" i="65"/>
  <c r="Q124" i="65"/>
  <c r="F123" i="65"/>
  <c r="F122" i="65"/>
  <c r="E116" i="65"/>
  <c r="D116" i="65"/>
  <c r="H98" i="65"/>
  <c r="I98" i="65"/>
  <c r="J98" i="65"/>
  <c r="K98" i="65"/>
  <c r="L98" i="65"/>
  <c r="M98" i="65"/>
  <c r="N98" i="65"/>
  <c r="O98" i="65"/>
  <c r="P98" i="65"/>
  <c r="Q98" i="65"/>
  <c r="R98" i="65"/>
  <c r="F96" i="65"/>
  <c r="F95" i="65"/>
  <c r="R94" i="65"/>
  <c r="Q94" i="65"/>
  <c r="R90" i="65"/>
  <c r="Q90" i="65"/>
  <c r="P90" i="65"/>
  <c r="F90" i="65"/>
  <c r="D88" i="65"/>
  <c r="D145" i="65"/>
  <c r="D164" i="65"/>
  <c r="D174" i="65"/>
  <c r="D189" i="65"/>
  <c r="D73" i="65"/>
  <c r="Q72" i="65"/>
  <c r="Q157" i="65"/>
  <c r="I67" i="65"/>
  <c r="I179" i="65"/>
  <c r="R64" i="65"/>
  <c r="Q64" i="65"/>
  <c r="P64" i="65"/>
  <c r="O64" i="65"/>
  <c r="N64" i="65"/>
  <c r="R175" i="65"/>
  <c r="P73" i="65"/>
  <c r="L58" i="65"/>
  <c r="M58" i="65"/>
  <c r="N58" i="65"/>
  <c r="O58" i="65"/>
  <c r="P58" i="65"/>
  <c r="Q58" i="65"/>
  <c r="R58" i="65"/>
  <c r="C56" i="65"/>
  <c r="E54" i="65"/>
  <c r="E88" i="65"/>
  <c r="E145" i="65"/>
  <c r="E164" i="65"/>
  <c r="E174" i="65"/>
  <c r="E189" i="65"/>
  <c r="I40" i="65"/>
  <c r="I41" i="65"/>
  <c r="H40" i="65"/>
  <c r="H41" i="65"/>
  <c r="G40" i="65"/>
  <c r="G41" i="65"/>
  <c r="F40" i="65"/>
  <c r="F41" i="65"/>
  <c r="I34" i="65"/>
  <c r="I193" i="65"/>
  <c r="I178" i="65"/>
  <c r="E34" i="65"/>
  <c r="E178" i="65"/>
  <c r="F32" i="65"/>
  <c r="G32" i="65"/>
  <c r="D27" i="65"/>
  <c r="G19" i="65"/>
  <c r="H19" i="65"/>
  <c r="F18" i="65"/>
  <c r="E18" i="65"/>
  <c r="G15" i="65"/>
  <c r="H15" i="65"/>
  <c r="F14" i="65"/>
  <c r="E14" i="65"/>
  <c r="F13" i="65"/>
  <c r="G13" i="65"/>
  <c r="H13" i="65"/>
  <c r="I13" i="65"/>
  <c r="J13" i="65"/>
  <c r="K13" i="65"/>
  <c r="L13" i="65"/>
  <c r="M13" i="65"/>
  <c r="N13" i="65"/>
  <c r="O13" i="65"/>
  <c r="P13" i="65"/>
  <c r="Q13" i="65"/>
  <c r="R13" i="65"/>
  <c r="C9" i="65"/>
  <c r="H217" i="66"/>
  <c r="I217" i="66"/>
  <c r="J217" i="66"/>
  <c r="G217" i="66"/>
  <c r="G226" i="66"/>
  <c r="F217" i="66"/>
  <c r="F226" i="66"/>
  <c r="E217" i="66"/>
  <c r="E226" i="66"/>
  <c r="D217" i="66"/>
  <c r="D226" i="66"/>
  <c r="K210" i="66"/>
  <c r="J210" i="66"/>
  <c r="I210" i="66"/>
  <c r="G210" i="66"/>
  <c r="H210" i="66"/>
  <c r="F210" i="66"/>
  <c r="E210" i="66"/>
  <c r="D210" i="66"/>
  <c r="B221" i="66"/>
  <c r="D198" i="66"/>
  <c r="C198" i="66"/>
  <c r="D197" i="66"/>
  <c r="D196" i="66"/>
  <c r="E195" i="66"/>
  <c r="G194" i="66"/>
  <c r="F194" i="66"/>
  <c r="E194" i="66"/>
  <c r="F190" i="66"/>
  <c r="E190" i="66"/>
  <c r="D182" i="66"/>
  <c r="R179" i="66"/>
  <c r="Q179" i="66"/>
  <c r="P179" i="66"/>
  <c r="O179" i="66"/>
  <c r="N179" i="66"/>
  <c r="M179" i="66"/>
  <c r="L179" i="66"/>
  <c r="K179" i="66"/>
  <c r="J179" i="66"/>
  <c r="R178" i="66"/>
  <c r="R193" i="66"/>
  <c r="Q178" i="66"/>
  <c r="Q193" i="66"/>
  <c r="P178" i="66"/>
  <c r="P193" i="66"/>
  <c r="O178" i="66"/>
  <c r="O193" i="66"/>
  <c r="N178" i="66"/>
  <c r="N193" i="66"/>
  <c r="M178" i="66"/>
  <c r="M193" i="66"/>
  <c r="L178" i="66"/>
  <c r="L193" i="66"/>
  <c r="K178" i="66"/>
  <c r="K193" i="66"/>
  <c r="J178" i="66"/>
  <c r="J193" i="66"/>
  <c r="R177" i="66"/>
  <c r="R192" i="66"/>
  <c r="Q177" i="66"/>
  <c r="Q192" i="66"/>
  <c r="P177" i="66"/>
  <c r="P192" i="66"/>
  <c r="O177" i="66"/>
  <c r="O192" i="66"/>
  <c r="N177" i="66"/>
  <c r="N192" i="66"/>
  <c r="M177" i="66"/>
  <c r="M192" i="66"/>
  <c r="L177" i="66"/>
  <c r="L192" i="66"/>
  <c r="K177" i="66"/>
  <c r="K192" i="66"/>
  <c r="J177" i="66"/>
  <c r="J192" i="66"/>
  <c r="I177" i="66"/>
  <c r="I192" i="66"/>
  <c r="H177" i="66"/>
  <c r="H192" i="66"/>
  <c r="G177" i="66"/>
  <c r="G192" i="66"/>
  <c r="F177" i="66"/>
  <c r="F192" i="66"/>
  <c r="E177" i="66"/>
  <c r="E192" i="66"/>
  <c r="R170" i="66"/>
  <c r="Q170" i="66"/>
  <c r="P170" i="66"/>
  <c r="O170" i="66"/>
  <c r="D47" i="66"/>
  <c r="D57" i="66"/>
  <c r="E57" i="66"/>
  <c r="J58" i="66"/>
  <c r="K58" i="66"/>
  <c r="L58" i="66"/>
  <c r="M58" i="66"/>
  <c r="N58" i="66"/>
  <c r="O58" i="66"/>
  <c r="P58" i="66"/>
  <c r="Q58" i="66"/>
  <c r="R58" i="66"/>
  <c r="N61" i="66"/>
  <c r="N73" i="66"/>
  <c r="N156" i="66"/>
  <c r="M61" i="66"/>
  <c r="O61" i="66"/>
  <c r="P61" i="66"/>
  <c r="Q61" i="66"/>
  <c r="Q73" i="66"/>
  <c r="Q156" i="66"/>
  <c r="R61" i="66"/>
  <c r="D134" i="66"/>
  <c r="D136" i="66"/>
  <c r="D106" i="66"/>
  <c r="F117" i="66"/>
  <c r="G117" i="66"/>
  <c r="H117" i="66"/>
  <c r="I117" i="66"/>
  <c r="J117" i="66"/>
  <c r="K117" i="66"/>
  <c r="H118" i="66"/>
  <c r="I118" i="66"/>
  <c r="J118" i="66"/>
  <c r="K118" i="66"/>
  <c r="L118" i="66"/>
  <c r="M118" i="66"/>
  <c r="N118" i="66"/>
  <c r="O118" i="66"/>
  <c r="P118" i="66"/>
  <c r="Q118" i="66"/>
  <c r="R118" i="66"/>
  <c r="I119" i="66"/>
  <c r="J119" i="66"/>
  <c r="K119" i="66"/>
  <c r="L119" i="66"/>
  <c r="M119" i="66"/>
  <c r="N119" i="66"/>
  <c r="O119" i="66"/>
  <c r="P119" i="66"/>
  <c r="Q119" i="66"/>
  <c r="R119" i="66"/>
  <c r="D105" i="66"/>
  <c r="D80" i="66"/>
  <c r="F89" i="66"/>
  <c r="G89" i="66"/>
  <c r="H89" i="66"/>
  <c r="I89" i="66"/>
  <c r="J89" i="66"/>
  <c r="K89" i="66"/>
  <c r="G90" i="66"/>
  <c r="H90" i="66"/>
  <c r="I90" i="66"/>
  <c r="J90" i="66"/>
  <c r="K90" i="66"/>
  <c r="L90" i="66"/>
  <c r="M90" i="66"/>
  <c r="N90" i="66"/>
  <c r="O90" i="66"/>
  <c r="D79" i="66"/>
  <c r="K91" i="66"/>
  <c r="L91" i="66"/>
  <c r="M91" i="66"/>
  <c r="N91" i="66"/>
  <c r="O91" i="66"/>
  <c r="P91" i="66"/>
  <c r="Q91" i="66"/>
  <c r="R91" i="66"/>
  <c r="C67" i="66"/>
  <c r="E29" i="66"/>
  <c r="E4" i="66"/>
  <c r="E30" i="66"/>
  <c r="E28" i="66"/>
  <c r="E3" i="66"/>
  <c r="E5" i="66"/>
  <c r="G20" i="66"/>
  <c r="H20" i="66"/>
  <c r="I20" i="66"/>
  <c r="J20" i="66"/>
  <c r="K20" i="66"/>
  <c r="L20" i="66"/>
  <c r="M20" i="66"/>
  <c r="N20" i="66"/>
  <c r="O20" i="66"/>
  <c r="P20" i="66"/>
  <c r="Q20" i="66"/>
  <c r="R20" i="66"/>
  <c r="O73" i="66"/>
  <c r="O156" i="66"/>
  <c r="N170" i="66"/>
  <c r="M170" i="66"/>
  <c r="L170" i="66"/>
  <c r="K170" i="66"/>
  <c r="J170" i="66"/>
  <c r="I170" i="66"/>
  <c r="H170" i="66"/>
  <c r="R159" i="66"/>
  <c r="R160" i="66" s="1"/>
  <c r="R73" i="66"/>
  <c r="R156" i="66"/>
  <c r="R72" i="66"/>
  <c r="R157" i="66"/>
  <c r="Q159" i="66"/>
  <c r="P159" i="66"/>
  <c r="P160" i="66" s="1"/>
  <c r="O159" i="66"/>
  <c r="N159" i="66"/>
  <c r="M159" i="66"/>
  <c r="L159" i="66"/>
  <c r="K159" i="66"/>
  <c r="J159" i="66"/>
  <c r="I159" i="66"/>
  <c r="H159" i="66"/>
  <c r="F157" i="66"/>
  <c r="F168" i="66"/>
  <c r="E157" i="66"/>
  <c r="E168" i="66"/>
  <c r="E155" i="66"/>
  <c r="E166" i="66"/>
  <c r="J69" i="40"/>
  <c r="E154" i="66"/>
  <c r="E165" i="66"/>
  <c r="J55" i="40"/>
  <c r="C9" i="58"/>
  <c r="E153" i="66"/>
  <c r="D153" i="66"/>
  <c r="C153" i="66"/>
  <c r="G150" i="66"/>
  <c r="F150" i="66"/>
  <c r="R149" i="66"/>
  <c r="Q149" i="66"/>
  <c r="C145" i="66"/>
  <c r="C164" i="66"/>
  <c r="C174" i="66"/>
  <c r="C189" i="66"/>
  <c r="H126" i="66"/>
  <c r="I126" i="66"/>
  <c r="J126" i="66"/>
  <c r="K126" i="66"/>
  <c r="L126" i="66"/>
  <c r="M126" i="66"/>
  <c r="N126" i="66"/>
  <c r="O126" i="66"/>
  <c r="P126" i="66"/>
  <c r="Q126" i="66"/>
  <c r="R126" i="66"/>
  <c r="R124" i="66"/>
  <c r="Q124" i="66"/>
  <c r="F123" i="66"/>
  <c r="F122" i="66"/>
  <c r="E116" i="66"/>
  <c r="D116" i="66"/>
  <c r="H98" i="66"/>
  <c r="I98" i="66"/>
  <c r="J98" i="66"/>
  <c r="K98" i="66"/>
  <c r="L98" i="66"/>
  <c r="M98" i="66"/>
  <c r="N98" i="66"/>
  <c r="O98" i="66"/>
  <c r="P98" i="66"/>
  <c r="Q98" i="66"/>
  <c r="R98" i="66"/>
  <c r="F96" i="66"/>
  <c r="F95" i="66"/>
  <c r="R94" i="66"/>
  <c r="Q94" i="66"/>
  <c r="R90" i="66"/>
  <c r="Q90" i="66"/>
  <c r="P90" i="66"/>
  <c r="F90" i="66"/>
  <c r="D88" i="66"/>
  <c r="D145" i="66"/>
  <c r="D164" i="66"/>
  <c r="D174" i="66"/>
  <c r="D189" i="66"/>
  <c r="D73" i="66"/>
  <c r="Q72" i="66"/>
  <c r="Q157" i="66"/>
  <c r="F67" i="66"/>
  <c r="F179" i="66"/>
  <c r="R64" i="66"/>
  <c r="Q64" i="66"/>
  <c r="P64" i="66"/>
  <c r="O64" i="66"/>
  <c r="N64" i="66"/>
  <c r="P175" i="66"/>
  <c r="M73" i="66"/>
  <c r="C56" i="66"/>
  <c r="E54" i="66"/>
  <c r="E88" i="66"/>
  <c r="E145" i="66"/>
  <c r="E164" i="66"/>
  <c r="E174" i="66"/>
  <c r="E189" i="66"/>
  <c r="I40" i="66"/>
  <c r="I41" i="66"/>
  <c r="H40" i="66"/>
  <c r="H41" i="66"/>
  <c r="G40" i="66"/>
  <c r="G41" i="66"/>
  <c r="F40" i="66"/>
  <c r="F41" i="66"/>
  <c r="I34" i="66"/>
  <c r="E34" i="66"/>
  <c r="E178" i="66"/>
  <c r="F32" i="66"/>
  <c r="F153" i="66"/>
  <c r="D27" i="66"/>
  <c r="G19" i="66"/>
  <c r="H19" i="66"/>
  <c r="I19" i="66"/>
  <c r="F18" i="66"/>
  <c r="E18" i="66"/>
  <c r="G15" i="66"/>
  <c r="G18" i="66"/>
  <c r="F14" i="66"/>
  <c r="E14" i="66"/>
  <c r="F13" i="66"/>
  <c r="G13" i="66"/>
  <c r="H13" i="66"/>
  <c r="I13" i="66"/>
  <c r="J13" i="66"/>
  <c r="K13" i="66"/>
  <c r="L13" i="66"/>
  <c r="M13" i="66"/>
  <c r="N13" i="66"/>
  <c r="O13" i="66"/>
  <c r="P13" i="66"/>
  <c r="Q13" i="66"/>
  <c r="R13" i="66"/>
  <c r="P55" i="46"/>
  <c r="Q55" i="46"/>
  <c r="K11" i="63"/>
  <c r="H236" i="48"/>
  <c r="I236" i="48"/>
  <c r="J236" i="48"/>
  <c r="K236" i="48"/>
  <c r="G236" i="48"/>
  <c r="G245" i="48"/>
  <c r="F236" i="48"/>
  <c r="F245" i="48"/>
  <c r="E236" i="48"/>
  <c r="E245" i="48"/>
  <c r="D236" i="48"/>
  <c r="D245" i="48"/>
  <c r="P229" i="48"/>
  <c r="O229" i="48"/>
  <c r="N229" i="48"/>
  <c r="M229" i="48"/>
  <c r="L229" i="48"/>
  <c r="F229" i="48"/>
  <c r="G229" i="48"/>
  <c r="B245" i="48"/>
  <c r="E229" i="48"/>
  <c r="D229" i="48"/>
  <c r="F218" i="48"/>
  <c r="D215" i="48"/>
  <c r="C215" i="48"/>
  <c r="R210" i="48"/>
  <c r="R206" i="48"/>
  <c r="Q206" i="48"/>
  <c r="Q216" i="48"/>
  <c r="P206" i="48"/>
  <c r="P216" i="48"/>
  <c r="O206" i="48"/>
  <c r="O216" i="48"/>
  <c r="N206" i="48"/>
  <c r="N216" i="48"/>
  <c r="M206" i="48"/>
  <c r="M216" i="48"/>
  <c r="L206" i="48"/>
  <c r="L216" i="48"/>
  <c r="K206" i="48"/>
  <c r="K216" i="48"/>
  <c r="J206" i="48"/>
  <c r="J216" i="48"/>
  <c r="I206" i="48"/>
  <c r="I216" i="48"/>
  <c r="H206" i="48"/>
  <c r="H216" i="48"/>
  <c r="G206" i="48"/>
  <c r="G216" i="48"/>
  <c r="F206" i="48"/>
  <c r="F216" i="48"/>
  <c r="E206" i="48"/>
  <c r="E215" i="48"/>
  <c r="D196" i="48"/>
  <c r="Q193" i="48"/>
  <c r="Q210" i="48"/>
  <c r="P193" i="48"/>
  <c r="P210" i="48"/>
  <c r="O193" i="48"/>
  <c r="O210" i="48"/>
  <c r="N193" i="48"/>
  <c r="N210" i="48"/>
  <c r="M193" i="48"/>
  <c r="M210" i="48"/>
  <c r="R192" i="48"/>
  <c r="R209" i="48"/>
  <c r="Q192" i="48"/>
  <c r="Q209" i="48"/>
  <c r="P192" i="48"/>
  <c r="P209" i="48"/>
  <c r="O192" i="48"/>
  <c r="O209" i="48"/>
  <c r="N192" i="48"/>
  <c r="N209" i="48"/>
  <c r="M192" i="48"/>
  <c r="M209" i="48"/>
  <c r="L192" i="48"/>
  <c r="L209" i="48"/>
  <c r="E192" i="48"/>
  <c r="E190" i="48"/>
  <c r="R179" i="48"/>
  <c r="Q179" i="48"/>
  <c r="P179" i="48"/>
  <c r="O179" i="48"/>
  <c r="N179" i="48"/>
  <c r="F179" i="48"/>
  <c r="E179" i="48"/>
  <c r="D179" i="48"/>
  <c r="R174" i="48"/>
  <c r="R169" i="48"/>
  <c r="D44" i="48"/>
  <c r="C66" i="48"/>
  <c r="E66" i="48"/>
  <c r="E29" i="48"/>
  <c r="E4" i="48"/>
  <c r="R68" i="48"/>
  <c r="E30" i="48"/>
  <c r="D39" i="48"/>
  <c r="E5" i="48"/>
  <c r="E27" i="48"/>
  <c r="E28" i="48"/>
  <c r="E3" i="48"/>
  <c r="G20" i="48"/>
  <c r="H20" i="48"/>
  <c r="I20" i="48"/>
  <c r="J20" i="48"/>
  <c r="K20" i="48"/>
  <c r="L20" i="48"/>
  <c r="M20" i="48"/>
  <c r="N20" i="48"/>
  <c r="O20" i="48"/>
  <c r="P20" i="48"/>
  <c r="Q20" i="48"/>
  <c r="R20" i="48"/>
  <c r="R58" i="48"/>
  <c r="R72" i="48"/>
  <c r="R171" i="48"/>
  <c r="R71" i="48"/>
  <c r="R172" i="48"/>
  <c r="Q174" i="48"/>
  <c r="P174" i="48"/>
  <c r="P195" i="48" s="1"/>
  <c r="O174" i="48"/>
  <c r="O175" i="48" s="1"/>
  <c r="N174" i="48"/>
  <c r="N169" i="48"/>
  <c r="C52" i="48"/>
  <c r="M52" i="48"/>
  <c r="N58" i="48"/>
  <c r="N72" i="48"/>
  <c r="N171" i="48"/>
  <c r="M174" i="48"/>
  <c r="L174" i="48"/>
  <c r="K174" i="48"/>
  <c r="J174" i="48"/>
  <c r="C69" i="48"/>
  <c r="J69" i="48"/>
  <c r="I174" i="48"/>
  <c r="H174" i="48"/>
  <c r="G174" i="48"/>
  <c r="E172" i="48"/>
  <c r="Q169" i="48"/>
  <c r="P169" i="48"/>
  <c r="O169" i="48"/>
  <c r="F169" i="48"/>
  <c r="E169" i="48"/>
  <c r="D168" i="48"/>
  <c r="C168" i="48"/>
  <c r="C160" i="48"/>
  <c r="C178" i="48"/>
  <c r="C189" i="48"/>
  <c r="C206" i="48"/>
  <c r="D149" i="48"/>
  <c r="D151" i="48"/>
  <c r="R137" i="48"/>
  <c r="Q137" i="48"/>
  <c r="P137" i="48"/>
  <c r="O137" i="48"/>
  <c r="N137" i="48"/>
  <c r="M137" i="48"/>
  <c r="L137" i="48"/>
  <c r="K137" i="48"/>
  <c r="J137" i="48"/>
  <c r="I137" i="48"/>
  <c r="H137" i="48"/>
  <c r="G137" i="48"/>
  <c r="D127" i="48"/>
  <c r="F136" i="48"/>
  <c r="D126" i="48"/>
  <c r="H115" i="48"/>
  <c r="I115" i="48"/>
  <c r="J115" i="48"/>
  <c r="R114" i="48"/>
  <c r="Q114" i="48"/>
  <c r="P114" i="48"/>
  <c r="O114" i="48"/>
  <c r="N114" i="48"/>
  <c r="M114" i="48"/>
  <c r="L114" i="48"/>
  <c r="K114" i="48"/>
  <c r="J114" i="48"/>
  <c r="I114" i="48"/>
  <c r="H114" i="48"/>
  <c r="G114" i="48"/>
  <c r="D110" i="48"/>
  <c r="D104" i="48"/>
  <c r="F113" i="48"/>
  <c r="G113" i="48"/>
  <c r="H113" i="48"/>
  <c r="D103" i="48"/>
  <c r="E90" i="48"/>
  <c r="F90" i="48"/>
  <c r="G90" i="48"/>
  <c r="H90" i="48"/>
  <c r="I90" i="48"/>
  <c r="R89" i="48"/>
  <c r="Q89" i="48"/>
  <c r="P89" i="48"/>
  <c r="O89" i="48"/>
  <c r="M89" i="48"/>
  <c r="L89" i="48"/>
  <c r="J89" i="48"/>
  <c r="I89" i="48"/>
  <c r="G89" i="48"/>
  <c r="E89" i="48"/>
  <c r="E88" i="48"/>
  <c r="F88" i="48"/>
  <c r="D87" i="48"/>
  <c r="D112" i="48"/>
  <c r="D135" i="48"/>
  <c r="D79" i="48"/>
  <c r="D77" i="48"/>
  <c r="E72" i="48"/>
  <c r="E171" i="48"/>
  <c r="D72" i="48"/>
  <c r="D181" i="48"/>
  <c r="R190" i="48"/>
  <c r="Q58" i="48"/>
  <c r="P58" i="48"/>
  <c r="P190" i="48"/>
  <c r="O58" i="48"/>
  <c r="O72" i="48"/>
  <c r="F54" i="48"/>
  <c r="G54" i="48"/>
  <c r="H54" i="48"/>
  <c r="I54" i="48"/>
  <c r="J54" i="48"/>
  <c r="K54" i="48"/>
  <c r="L54" i="48"/>
  <c r="M54" i="48"/>
  <c r="N54" i="48"/>
  <c r="O54" i="48"/>
  <c r="P54" i="48"/>
  <c r="Q54" i="48"/>
  <c r="R54" i="48"/>
  <c r="D53" i="48"/>
  <c r="C53" i="48"/>
  <c r="F57" i="48"/>
  <c r="E32" i="48"/>
  <c r="F32" i="48" s="1"/>
  <c r="F19" i="48"/>
  <c r="G19" i="48"/>
  <c r="H19" i="48"/>
  <c r="F18" i="48"/>
  <c r="E18" i="48"/>
  <c r="E197" i="48"/>
  <c r="E218" i="48"/>
  <c r="G15" i="48"/>
  <c r="H15" i="48"/>
  <c r="H18" i="48"/>
  <c r="E14" i="48"/>
  <c r="R24" i="59"/>
  <c r="T23" i="59"/>
  <c r="S23" i="59"/>
  <c r="T22" i="59"/>
  <c r="P22" i="59"/>
  <c r="S22" i="59"/>
  <c r="S24" i="59"/>
  <c r="S19" i="59"/>
  <c r="U14" i="59"/>
  <c r="H9" i="59"/>
  <c r="S6" i="59"/>
  <c r="N5" i="59"/>
  <c r="M5" i="59"/>
  <c r="O5" i="59"/>
  <c r="P5" i="59"/>
  <c r="P4" i="59"/>
  <c r="M4" i="59"/>
  <c r="L4" i="59"/>
  <c r="P3" i="59"/>
  <c r="O3" i="59"/>
  <c r="N3" i="59"/>
  <c r="M3" i="59"/>
  <c r="M10" i="59"/>
  <c r="M13" i="59"/>
  <c r="L3" i="59"/>
  <c r="R24" i="45"/>
  <c r="S26" i="45"/>
  <c r="T23" i="45"/>
  <c r="S23" i="45"/>
  <c r="T22" i="45"/>
  <c r="P22" i="45"/>
  <c r="S22" i="45"/>
  <c r="U14" i="45"/>
  <c r="H9" i="45"/>
  <c r="S6" i="45"/>
  <c r="N5" i="45"/>
  <c r="M5" i="45"/>
  <c r="P5" i="45"/>
  <c r="O5" i="45"/>
  <c r="P4" i="45"/>
  <c r="M4" i="45"/>
  <c r="L4" i="45"/>
  <c r="P3" i="45"/>
  <c r="O3" i="45"/>
  <c r="N3" i="45"/>
  <c r="M3" i="45"/>
  <c r="M10" i="45"/>
  <c r="M13" i="45"/>
  <c r="L3" i="45"/>
  <c r="O67" i="46"/>
  <c r="O66" i="46"/>
  <c r="S65" i="46"/>
  <c r="R65" i="46"/>
  <c r="P65" i="46"/>
  <c r="O65" i="46"/>
  <c r="O64" i="46"/>
  <c r="O63" i="46"/>
  <c r="S62" i="46"/>
  <c r="S68" i="46"/>
  <c r="R62" i="46"/>
  <c r="R68" i="46"/>
  <c r="Q62" i="46"/>
  <c r="Q68" i="46"/>
  <c r="P62" i="46"/>
  <c r="P68" i="46"/>
  <c r="O62" i="46"/>
  <c r="O52" i="46"/>
  <c r="O56" i="46"/>
  <c r="O55" i="46"/>
  <c r="T44" i="46"/>
  <c r="Q44" i="46"/>
  <c r="P47" i="46"/>
  <c r="V41" i="46"/>
  <c r="U41" i="46"/>
  <c r="S31" i="46"/>
  <c r="U30" i="46"/>
  <c r="T30" i="46"/>
  <c r="U29" i="46"/>
  <c r="Q29" i="46"/>
  <c r="T29" i="46"/>
  <c r="T31" i="46"/>
  <c r="U31" i="46"/>
  <c r="H15" i="46"/>
  <c r="N6" i="46"/>
  <c r="N4" i="46"/>
  <c r="N8" i="46"/>
  <c r="O3" i="46"/>
  <c r="M3" i="46"/>
  <c r="P3" i="46"/>
  <c r="Q3" i="46"/>
  <c r="Q7" i="46"/>
  <c r="M7" i="46"/>
  <c r="M16" i="46"/>
  <c r="M19" i="46"/>
  <c r="L7" i="46"/>
  <c r="Q5" i="46"/>
  <c r="P5" i="46"/>
  <c r="O5" i="46"/>
  <c r="L5" i="46"/>
  <c r="N5" i="46"/>
  <c r="N3" i="46"/>
  <c r="I36" i="43"/>
  <c r="G35" i="43"/>
  <c r="G30" i="43"/>
  <c r="J29" i="43"/>
  <c r="G27" i="43"/>
  <c r="F18" i="43"/>
  <c r="G17" i="43"/>
  <c r="G18" i="43"/>
  <c r="T22" i="44"/>
  <c r="R22" i="44"/>
  <c r="S22" i="44"/>
  <c r="T21" i="44"/>
  <c r="P21" i="44"/>
  <c r="S21" i="44"/>
  <c r="U13" i="44"/>
  <c r="S9" i="44"/>
  <c r="H9" i="44"/>
  <c r="S6" i="44"/>
  <c r="N5" i="44"/>
  <c r="M5" i="44"/>
  <c r="O5" i="44"/>
  <c r="P4" i="44"/>
  <c r="M4" i="44"/>
  <c r="L4" i="44"/>
  <c r="P3" i="44"/>
  <c r="O3" i="44"/>
  <c r="N3" i="44"/>
  <c r="M3" i="44"/>
  <c r="M10" i="44"/>
  <c r="M12" i="44"/>
  <c r="L3" i="44"/>
  <c r="U13" i="42"/>
  <c r="U15" i="42"/>
  <c r="U17" i="42"/>
  <c r="U20" i="42"/>
  <c r="T13" i="42"/>
  <c r="J35" i="43"/>
  <c r="H39" i="43"/>
  <c r="T9" i="42"/>
  <c r="H9" i="42"/>
  <c r="N8" i="42"/>
  <c r="N7" i="42"/>
  <c r="T6" i="42"/>
  <c r="Q23" i="42"/>
  <c r="N6" i="42"/>
  <c r="O5" i="42"/>
  <c r="M5" i="42"/>
  <c r="P5" i="42"/>
  <c r="Q5" i="42"/>
  <c r="Q4" i="42"/>
  <c r="M4" i="42"/>
  <c r="L4" i="42"/>
  <c r="Q3" i="42"/>
  <c r="P3" i="42"/>
  <c r="O3" i="42"/>
  <c r="M3" i="42"/>
  <c r="M10" i="42"/>
  <c r="M13" i="42"/>
  <c r="L3" i="42"/>
  <c r="B29" i="39"/>
  <c r="B22" i="39"/>
  <c r="C7" i="39"/>
  <c r="B7" i="39"/>
  <c r="D6" i="39"/>
  <c r="D5" i="39"/>
  <c r="D4" i="39"/>
  <c r="D3" i="39"/>
  <c r="J68" i="68"/>
  <c r="I68" i="68"/>
  <c r="J62" i="68"/>
  <c r="J59" i="68"/>
  <c r="I59" i="68"/>
  <c r="D14" i="57"/>
  <c r="D4" i="57"/>
  <c r="E6" i="57"/>
  <c r="H44" i="61"/>
  <c r="G44" i="61"/>
  <c r="H43" i="61"/>
  <c r="G43" i="61"/>
  <c r="K40" i="61"/>
  <c r="K43" i="61"/>
  <c r="E50" i="61"/>
  <c r="F50" i="61"/>
  <c r="G50" i="61"/>
  <c r="H50" i="61"/>
  <c r="C27" i="61"/>
  <c r="C26" i="61"/>
  <c r="F26" i="61"/>
  <c r="C25" i="61"/>
  <c r="C24" i="61"/>
  <c r="F24" i="61"/>
  <c r="C23" i="61"/>
  <c r="C22" i="61"/>
  <c r="C21" i="61"/>
  <c r="C20" i="61"/>
  <c r="D20" i="61"/>
  <c r="C19" i="61"/>
  <c r="C18" i="61"/>
  <c r="F18" i="61"/>
  <c r="F43" i="61"/>
  <c r="C17" i="61"/>
  <c r="C16" i="61"/>
  <c r="E16" i="61"/>
  <c r="C15" i="61"/>
  <c r="C14" i="61"/>
  <c r="E14" i="61"/>
  <c r="C13" i="61"/>
  <c r="C12" i="61"/>
  <c r="F12" i="61"/>
  <c r="C11" i="61"/>
  <c r="C10" i="61"/>
  <c r="F10" i="61"/>
  <c r="D9" i="61"/>
  <c r="C8" i="61"/>
  <c r="F8" i="61"/>
  <c r="C7" i="61"/>
  <c r="C6" i="61"/>
  <c r="D6" i="61"/>
  <c r="H4" i="61"/>
  <c r="G4" i="61"/>
  <c r="N50" i="60"/>
  <c r="N51" i="60"/>
  <c r="J50" i="60"/>
  <c r="J51" i="60"/>
  <c r="I50" i="60"/>
  <c r="I51" i="60"/>
  <c r="H50" i="60"/>
  <c r="H51" i="60"/>
  <c r="G50" i="60"/>
  <c r="G51" i="60"/>
  <c r="F50" i="60"/>
  <c r="F51" i="60"/>
  <c r="E50" i="60"/>
  <c r="E51" i="60"/>
  <c r="D50" i="60"/>
  <c r="C50" i="60"/>
  <c r="C51" i="60"/>
  <c r="B50" i="60"/>
  <c r="B51" i="60"/>
  <c r="G41" i="60"/>
  <c r="G40" i="60"/>
  <c r="G39" i="60"/>
  <c r="G38" i="60"/>
  <c r="G37" i="60"/>
  <c r="G36" i="60"/>
  <c r="G35" i="60"/>
  <c r="G33" i="60"/>
  <c r="G32" i="60"/>
  <c r="G30" i="60"/>
  <c r="G29" i="60"/>
  <c r="G28" i="60"/>
  <c r="G27" i="60"/>
  <c r="G26" i="60"/>
  <c r="Q25" i="60"/>
  <c r="P25" i="60"/>
  <c r="O25" i="60"/>
  <c r="N25" i="60"/>
  <c r="M25" i="60"/>
  <c r="L25" i="60"/>
  <c r="J17" i="60"/>
  <c r="I17" i="60"/>
  <c r="L15" i="60"/>
  <c r="J15" i="60"/>
  <c r="I15" i="60"/>
  <c r="H14" i="60"/>
  <c r="I14" i="60"/>
  <c r="N14" i="60"/>
  <c r="J12" i="60"/>
  <c r="I12" i="60"/>
  <c r="J11" i="60"/>
  <c r="I11" i="60"/>
  <c r="N11" i="60"/>
  <c r="O11" i="60"/>
  <c r="J10" i="60"/>
  <c r="I10" i="60"/>
  <c r="J9" i="60"/>
  <c r="I9" i="60"/>
  <c r="N9" i="60"/>
  <c r="J7" i="60"/>
  <c r="I7" i="60"/>
  <c r="J6" i="60"/>
  <c r="I6" i="60"/>
  <c r="J5" i="60"/>
  <c r="I5" i="60"/>
  <c r="N5" i="60"/>
  <c r="O5" i="60"/>
  <c r="J4" i="60"/>
  <c r="I4" i="60"/>
  <c r="N4" i="60"/>
  <c r="O4" i="60"/>
  <c r="K42" i="6"/>
  <c r="J121" i="40"/>
  <c r="J122" i="40"/>
  <c r="J118" i="40"/>
  <c r="J117" i="40"/>
  <c r="J116" i="40"/>
  <c r="Y113" i="40"/>
  <c r="X113" i="40"/>
  <c r="W113" i="40"/>
  <c r="V113" i="40"/>
  <c r="U113" i="40"/>
  <c r="T113" i="40"/>
  <c r="S113" i="40"/>
  <c r="I111" i="40"/>
  <c r="H111" i="40"/>
  <c r="G111" i="40"/>
  <c r="F111" i="40"/>
  <c r="E111" i="40"/>
  <c r="D111" i="40"/>
  <c r="C111" i="40"/>
  <c r="J108" i="40"/>
  <c r="K108" i="40"/>
  <c r="L108" i="40"/>
  <c r="M108" i="40"/>
  <c r="N108" i="40"/>
  <c r="O108" i="40"/>
  <c r="P108" i="40"/>
  <c r="J107" i="40"/>
  <c r="K107" i="40"/>
  <c r="I106" i="40"/>
  <c r="H106" i="40"/>
  <c r="G106" i="40"/>
  <c r="F106" i="40"/>
  <c r="E106" i="40"/>
  <c r="D106" i="40"/>
  <c r="C106" i="40"/>
  <c r="I104" i="40"/>
  <c r="H104" i="40"/>
  <c r="G104" i="40"/>
  <c r="F104" i="40"/>
  <c r="E104" i="40"/>
  <c r="D104" i="40"/>
  <c r="C104" i="40"/>
  <c r="P96" i="40"/>
  <c r="O96" i="40"/>
  <c r="N96" i="40"/>
  <c r="M96" i="40"/>
  <c r="L96" i="40"/>
  <c r="K96" i="40"/>
  <c r="J96" i="40"/>
  <c r="I96" i="40"/>
  <c r="H96" i="40"/>
  <c r="G96" i="40"/>
  <c r="F96" i="40"/>
  <c r="E96" i="40"/>
  <c r="D96" i="40"/>
  <c r="C96" i="40"/>
  <c r="I87" i="40"/>
  <c r="H87" i="40"/>
  <c r="G87" i="40"/>
  <c r="F87" i="40"/>
  <c r="E87" i="40"/>
  <c r="D87" i="40"/>
  <c r="C87" i="40"/>
  <c r="I86" i="40"/>
  <c r="H86" i="40"/>
  <c r="G86" i="40"/>
  <c r="F86" i="40"/>
  <c r="E86" i="40"/>
  <c r="D86" i="40"/>
  <c r="C86" i="40"/>
  <c r="K83" i="40"/>
  <c r="K82" i="40"/>
  <c r="J81" i="40"/>
  <c r="K80" i="40"/>
  <c r="J80" i="40"/>
  <c r="J79" i="40"/>
  <c r="P78" i="40"/>
  <c r="Y74" i="40"/>
  <c r="O78" i="40"/>
  <c r="X74" i="40"/>
  <c r="N78" i="40"/>
  <c r="W74" i="40"/>
  <c r="M78" i="40"/>
  <c r="V74" i="40"/>
  <c r="L78" i="40"/>
  <c r="U74" i="40"/>
  <c r="K78" i="40"/>
  <c r="T74" i="40"/>
  <c r="J78" i="40"/>
  <c r="S74" i="40"/>
  <c r="K76" i="40"/>
  <c r="L76" i="40"/>
  <c r="M76" i="40"/>
  <c r="J74" i="40"/>
  <c r="K74" i="40"/>
  <c r="I72" i="40"/>
  <c r="H72" i="40"/>
  <c r="G72" i="40"/>
  <c r="F72" i="40"/>
  <c r="E72" i="40"/>
  <c r="D72" i="40"/>
  <c r="C72" i="40"/>
  <c r="J67" i="40"/>
  <c r="P66" i="40"/>
  <c r="O66" i="40"/>
  <c r="N66" i="40"/>
  <c r="M66" i="40"/>
  <c r="L66" i="40"/>
  <c r="K66" i="40"/>
  <c r="J66" i="40"/>
  <c r="J65" i="40"/>
  <c r="J64" i="40"/>
  <c r="J60" i="40"/>
  <c r="S61" i="40"/>
  <c r="I58" i="40"/>
  <c r="H58" i="40"/>
  <c r="G58" i="40"/>
  <c r="F58" i="40"/>
  <c r="E58" i="40"/>
  <c r="D58" i="40"/>
  <c r="C58" i="40"/>
  <c r="J52" i="40"/>
  <c r="C7" i="58"/>
  <c r="K51" i="40"/>
  <c r="D6" i="58"/>
  <c r="J51" i="40"/>
  <c r="C6" i="58"/>
  <c r="J50" i="40"/>
  <c r="C5" i="58"/>
  <c r="P49" i="40"/>
  <c r="Y47" i="40"/>
  <c r="O49" i="40"/>
  <c r="X47" i="40"/>
  <c r="N49" i="40"/>
  <c r="W47" i="40"/>
  <c r="M49" i="40"/>
  <c r="F4" i="58"/>
  <c r="L49" i="40"/>
  <c r="U47" i="40"/>
  <c r="K49" i="40"/>
  <c r="D4" i="58"/>
  <c r="D10" i="58"/>
  <c r="J49" i="40"/>
  <c r="C4" i="58"/>
  <c r="C10" i="58"/>
  <c r="S48" i="40"/>
  <c r="E4" i="58"/>
  <c r="E10" i="58"/>
  <c r="J47" i="40"/>
  <c r="J75" i="40"/>
  <c r="S75" i="40"/>
  <c r="I45" i="40"/>
  <c r="H45" i="40"/>
  <c r="G45" i="40"/>
  <c r="F45" i="40"/>
  <c r="E45" i="40"/>
  <c r="D45" i="40"/>
  <c r="C45" i="40"/>
  <c r="I41" i="40"/>
  <c r="K40" i="40"/>
  <c r="L40" i="40"/>
  <c r="L41" i="40"/>
  <c r="J38" i="40"/>
  <c r="K14" i="40"/>
  <c r="L14" i="40"/>
  <c r="M14" i="40"/>
  <c r="K11" i="40"/>
  <c r="J11" i="40"/>
  <c r="J15" i="40"/>
  <c r="U10" i="40"/>
  <c r="K8" i="40"/>
  <c r="L8" i="40"/>
  <c r="E6" i="40"/>
  <c r="E7" i="40"/>
  <c r="E8" i="40"/>
  <c r="E9" i="40"/>
  <c r="D6" i="40"/>
  <c r="D7" i="40"/>
  <c r="D8" i="40"/>
  <c r="C6" i="40"/>
  <c r="C7" i="40"/>
  <c r="C8" i="40"/>
  <c r="I5" i="40"/>
  <c r="R5" i="40"/>
  <c r="H5" i="40"/>
  <c r="G5" i="40"/>
  <c r="F5" i="40"/>
  <c r="E5" i="40"/>
  <c r="D5" i="40"/>
  <c r="C5" i="40"/>
  <c r="R3" i="40"/>
  <c r="J3" i="40"/>
  <c r="S46" i="40"/>
  <c r="I1" i="40"/>
  <c r="H1" i="40"/>
  <c r="G1" i="40"/>
  <c r="G226" i="63"/>
  <c r="F226" i="63"/>
  <c r="E226" i="63"/>
  <c r="D226" i="63"/>
  <c r="D225" i="63"/>
  <c r="R221" i="63"/>
  <c r="Q221" i="63"/>
  <c r="O221" i="63"/>
  <c r="N221" i="63"/>
  <c r="M221" i="63"/>
  <c r="L221" i="63"/>
  <c r="R220" i="63"/>
  <c r="P219" i="63"/>
  <c r="P220" i="63"/>
  <c r="L216" i="63"/>
  <c r="D216" i="63"/>
  <c r="D221" i="63"/>
  <c r="L205" i="63"/>
  <c r="D215" i="63"/>
  <c r="D220" i="63"/>
  <c r="M203" i="63"/>
  <c r="P214" i="63"/>
  <c r="N213" i="63"/>
  <c r="P213" i="63"/>
  <c r="F213" i="63"/>
  <c r="E213" i="63"/>
  <c r="D213" i="63"/>
  <c r="P212" i="63"/>
  <c r="O211" i="63"/>
  <c r="O220" i="63"/>
  <c r="M211" i="63"/>
  <c r="M220" i="63"/>
  <c r="L211" i="63"/>
  <c r="L220" i="63"/>
  <c r="D211" i="63"/>
  <c r="Q208" i="63"/>
  <c r="Q207" i="63"/>
  <c r="L201" i="63"/>
  <c r="L199" i="63"/>
  <c r="D187" i="63"/>
  <c r="L200" i="63"/>
  <c r="J178" i="63"/>
  <c r="J179" i="63"/>
  <c r="J167" i="63"/>
  <c r="J166" i="63"/>
  <c r="Y162" i="63"/>
  <c r="X162" i="63"/>
  <c r="W162" i="63"/>
  <c r="V162" i="63"/>
  <c r="U162" i="63"/>
  <c r="T162" i="63"/>
  <c r="S162" i="63"/>
  <c r="I160" i="63"/>
  <c r="H160" i="63"/>
  <c r="G160" i="63"/>
  <c r="F160" i="63"/>
  <c r="E160" i="63"/>
  <c r="D160" i="63"/>
  <c r="C160" i="63"/>
  <c r="J157" i="63"/>
  <c r="K157" i="63"/>
  <c r="L157" i="63"/>
  <c r="M157" i="63"/>
  <c r="N157" i="63"/>
  <c r="O157" i="63"/>
  <c r="P157" i="63"/>
  <c r="J156" i="63"/>
  <c r="K156" i="63"/>
  <c r="K155" i="63"/>
  <c r="I155" i="63"/>
  <c r="H155" i="63"/>
  <c r="G155" i="63"/>
  <c r="F155" i="63"/>
  <c r="E155" i="63"/>
  <c r="D155" i="63"/>
  <c r="C155" i="63"/>
  <c r="I153" i="63"/>
  <c r="H153" i="63"/>
  <c r="G153" i="63"/>
  <c r="F153" i="63"/>
  <c r="E153" i="63"/>
  <c r="D153" i="63"/>
  <c r="C153" i="63"/>
  <c r="D32" i="68"/>
  <c r="P145" i="63"/>
  <c r="O145" i="63"/>
  <c r="N145" i="63"/>
  <c r="M145" i="63"/>
  <c r="L145" i="63"/>
  <c r="K145" i="63"/>
  <c r="J145" i="63"/>
  <c r="I145" i="63"/>
  <c r="H145" i="63"/>
  <c r="G145" i="63"/>
  <c r="F145" i="63"/>
  <c r="E145" i="63"/>
  <c r="D145" i="63"/>
  <c r="C145" i="63"/>
  <c r="K138" i="63"/>
  <c r="L138" i="63"/>
  <c r="M138" i="63"/>
  <c r="N138" i="63"/>
  <c r="O138" i="63"/>
  <c r="P138" i="63"/>
  <c r="I137" i="63"/>
  <c r="I150" i="63"/>
  <c r="H137" i="63"/>
  <c r="H150" i="63"/>
  <c r="G137" i="63"/>
  <c r="F137" i="63"/>
  <c r="F150" i="63"/>
  <c r="E137" i="63"/>
  <c r="E150" i="63"/>
  <c r="D137" i="63"/>
  <c r="D150" i="63"/>
  <c r="C137" i="63"/>
  <c r="I136" i="63"/>
  <c r="H136" i="63"/>
  <c r="G136" i="63"/>
  <c r="F136" i="63"/>
  <c r="E136" i="63"/>
  <c r="D136" i="63"/>
  <c r="C136" i="63"/>
  <c r="J126" i="63"/>
  <c r="K125" i="63"/>
  <c r="J125" i="63"/>
  <c r="J124" i="63"/>
  <c r="P123" i="63"/>
  <c r="Y119" i="63"/>
  <c r="O123" i="63"/>
  <c r="X119" i="63"/>
  <c r="N123" i="63"/>
  <c r="W119" i="63"/>
  <c r="M123" i="63"/>
  <c r="V119" i="63"/>
  <c r="L123" i="63"/>
  <c r="U119" i="63"/>
  <c r="K123" i="63"/>
  <c r="T119" i="63"/>
  <c r="J123" i="63"/>
  <c r="S119" i="63"/>
  <c r="K121" i="63"/>
  <c r="L121" i="63"/>
  <c r="M121" i="63"/>
  <c r="L119" i="63"/>
  <c r="M119" i="63"/>
  <c r="N119" i="63"/>
  <c r="O119" i="63"/>
  <c r="P119" i="63"/>
  <c r="J119" i="63"/>
  <c r="I117" i="63"/>
  <c r="H117" i="63"/>
  <c r="G117" i="63"/>
  <c r="F117" i="63"/>
  <c r="E117" i="63"/>
  <c r="D117" i="63"/>
  <c r="C117" i="63"/>
  <c r="P107" i="63"/>
  <c r="O107" i="63"/>
  <c r="N107" i="63"/>
  <c r="M107" i="63"/>
  <c r="L107" i="63"/>
  <c r="K107" i="63"/>
  <c r="I98" i="63"/>
  <c r="H98" i="63"/>
  <c r="G98" i="63"/>
  <c r="F98" i="63"/>
  <c r="E98" i="63"/>
  <c r="D98" i="63"/>
  <c r="C98" i="63"/>
  <c r="J88" i="63"/>
  <c r="F118" i="58"/>
  <c r="F122" i="58"/>
  <c r="G116" i="58"/>
  <c r="G122" i="58"/>
  <c r="H116" i="58"/>
  <c r="H122" i="58"/>
  <c r="I116" i="58"/>
  <c r="I122" i="58"/>
  <c r="J116" i="58"/>
  <c r="P87" i="63"/>
  <c r="O87" i="63"/>
  <c r="N87" i="63"/>
  <c r="M87" i="63"/>
  <c r="L87" i="63"/>
  <c r="K87" i="63"/>
  <c r="C201" i="63"/>
  <c r="J87" i="63"/>
  <c r="J86" i="63"/>
  <c r="J85" i="63"/>
  <c r="C229" i="63"/>
  <c r="E229" i="63"/>
  <c r="F229" i="63"/>
  <c r="C225" i="63"/>
  <c r="F225" i="63"/>
  <c r="J81" i="63"/>
  <c r="S82" i="63"/>
  <c r="I79" i="63"/>
  <c r="H79" i="63"/>
  <c r="G79" i="63"/>
  <c r="F79" i="63"/>
  <c r="E79" i="63"/>
  <c r="D79" i="63"/>
  <c r="C79" i="63"/>
  <c r="J68" i="63"/>
  <c r="K67" i="63"/>
  <c r="D7" i="73"/>
  <c r="J67" i="63"/>
  <c r="J66" i="63"/>
  <c r="AA65" i="63"/>
  <c r="AA67" i="63"/>
  <c r="G213" i="63"/>
  <c r="P65" i="63"/>
  <c r="Y63" i="63"/>
  <c r="O65" i="63"/>
  <c r="X63" i="63"/>
  <c r="X66" i="63"/>
  <c r="N65" i="63"/>
  <c r="W63" i="63"/>
  <c r="W66" i="63"/>
  <c r="M65" i="63"/>
  <c r="F5" i="73"/>
  <c r="F9" i="73"/>
  <c r="L65" i="63"/>
  <c r="E5" i="73"/>
  <c r="E9" i="73"/>
  <c r="K65" i="63"/>
  <c r="C188" i="63"/>
  <c r="J65" i="63"/>
  <c r="S63" i="63"/>
  <c r="AB64" i="63"/>
  <c r="S64" i="63"/>
  <c r="S101" i="63"/>
  <c r="S106" i="63"/>
  <c r="AB63" i="63"/>
  <c r="J63" i="63"/>
  <c r="J120" i="63"/>
  <c r="S120" i="63"/>
  <c r="AB62" i="63"/>
  <c r="I61" i="63"/>
  <c r="H61" i="63"/>
  <c r="G61" i="63"/>
  <c r="F61" i="63"/>
  <c r="E61" i="63"/>
  <c r="D61" i="63"/>
  <c r="C61" i="63"/>
  <c r="J56" i="63"/>
  <c r="J162" i="63"/>
  <c r="I56" i="63"/>
  <c r="B32" i="63"/>
  <c r="M201" i="63"/>
  <c r="K14" i="63"/>
  <c r="Y9" i="63"/>
  <c r="Z9" i="63"/>
  <c r="AA9" i="63"/>
  <c r="AB9" i="63"/>
  <c r="AC9" i="63"/>
  <c r="AD9" i="63"/>
  <c r="AE9" i="63"/>
  <c r="AF9" i="63"/>
  <c r="AG9" i="63"/>
  <c r="V9" i="63"/>
  <c r="W9" i="63"/>
  <c r="V8" i="63"/>
  <c r="W8" i="63"/>
  <c r="K8" i="63"/>
  <c r="L8" i="63"/>
  <c r="M8" i="63"/>
  <c r="N8" i="63"/>
  <c r="O8" i="63"/>
  <c r="U7" i="63"/>
  <c r="E6" i="63"/>
  <c r="E7" i="63"/>
  <c r="E8" i="63"/>
  <c r="E9" i="63"/>
  <c r="D6" i="63"/>
  <c r="D7" i="63"/>
  <c r="D8" i="63"/>
  <c r="C6" i="63"/>
  <c r="C7" i="63"/>
  <c r="C8" i="63"/>
  <c r="I5" i="63"/>
  <c r="R5" i="63"/>
  <c r="H5" i="63"/>
  <c r="G5" i="63"/>
  <c r="F5" i="63"/>
  <c r="E5" i="63"/>
  <c r="D5" i="63"/>
  <c r="C5" i="63"/>
  <c r="V4" i="63"/>
  <c r="V7" i="63"/>
  <c r="U3" i="63"/>
  <c r="U10" i="63"/>
  <c r="R3" i="63"/>
  <c r="J3" i="63"/>
  <c r="K3" i="63"/>
  <c r="V2" i="63"/>
  <c r="W2" i="63"/>
  <c r="X2" i="63"/>
  <c r="Y2" i="63"/>
  <c r="Z2" i="63"/>
  <c r="AA2" i="63"/>
  <c r="AB2" i="63"/>
  <c r="AC2" i="63"/>
  <c r="AD2" i="63"/>
  <c r="AE2" i="63"/>
  <c r="AF2" i="63"/>
  <c r="AG2" i="63"/>
  <c r="I1" i="63"/>
  <c r="H1" i="63"/>
  <c r="G1" i="63"/>
  <c r="M199" i="63"/>
  <c r="K49" i="60"/>
  <c r="D51" i="60"/>
  <c r="D24" i="4"/>
  <c r="C24" i="4"/>
  <c r="D10" i="4"/>
  <c r="G4" i="4"/>
  <c r="J2" i="4"/>
  <c r="J1" i="4"/>
  <c r="K1" i="4"/>
  <c r="H32" i="5"/>
  <c r="I32" i="5"/>
  <c r="J32" i="5"/>
  <c r="K32" i="5"/>
  <c r="L32" i="5"/>
  <c r="M32" i="5"/>
  <c r="N32" i="5"/>
  <c r="O32" i="5"/>
  <c r="P32" i="5"/>
  <c r="P28" i="5"/>
  <c r="O28" i="5"/>
  <c r="N28" i="5"/>
  <c r="M28" i="5"/>
  <c r="L28" i="5"/>
  <c r="K28" i="5"/>
  <c r="J28" i="5"/>
  <c r="I28" i="5"/>
  <c r="H28" i="5"/>
  <c r="G28" i="5"/>
  <c r="H27" i="5"/>
  <c r="I27" i="5"/>
  <c r="J27" i="5"/>
  <c r="K27" i="5"/>
  <c r="L27" i="5"/>
  <c r="M27" i="5"/>
  <c r="N27" i="5"/>
  <c r="O27" i="5"/>
  <c r="P27" i="5"/>
  <c r="H22" i="5"/>
  <c r="I22" i="5"/>
  <c r="J22" i="5"/>
  <c r="K22" i="5"/>
  <c r="L22" i="5"/>
  <c r="M22" i="5"/>
  <c r="N22" i="5"/>
  <c r="O22" i="5"/>
  <c r="P22" i="5"/>
  <c r="I19" i="5"/>
  <c r="J19" i="5"/>
  <c r="K19" i="5"/>
  <c r="L19" i="5"/>
  <c r="M19" i="5"/>
  <c r="N19" i="5"/>
  <c r="O19" i="5"/>
  <c r="P19" i="5"/>
  <c r="H18" i="5"/>
  <c r="I18" i="5"/>
  <c r="J18" i="5"/>
  <c r="K18" i="5"/>
  <c r="L18" i="5"/>
  <c r="M18" i="5"/>
  <c r="N18" i="5"/>
  <c r="G18" i="30"/>
  <c r="H18" i="30"/>
  <c r="G17" i="30"/>
  <c r="H17" i="30"/>
  <c r="H382" i="23"/>
  <c r="G382" i="23"/>
  <c r="H381" i="23"/>
  <c r="G381" i="23"/>
  <c r="H380" i="23"/>
  <c r="G380" i="23"/>
  <c r="H379" i="23"/>
  <c r="G379" i="23"/>
  <c r="H378" i="23"/>
  <c r="G378" i="23"/>
  <c r="H377" i="23"/>
  <c r="G377" i="23"/>
  <c r="H376" i="23"/>
  <c r="G376" i="23"/>
  <c r="H375" i="23"/>
  <c r="G375" i="23"/>
  <c r="H374" i="23"/>
  <c r="G374" i="23"/>
  <c r="H373" i="23"/>
  <c r="G373" i="23"/>
  <c r="H372" i="23"/>
  <c r="G372" i="23"/>
  <c r="H371" i="23"/>
  <c r="G371" i="23"/>
  <c r="H370" i="23"/>
  <c r="G370" i="23"/>
  <c r="H369" i="23"/>
  <c r="G369" i="23"/>
  <c r="H368" i="23"/>
  <c r="G368" i="23"/>
  <c r="H367" i="23"/>
  <c r="G367" i="23"/>
  <c r="H366" i="23"/>
  <c r="G366" i="23"/>
  <c r="H365" i="23"/>
  <c r="G365" i="23"/>
  <c r="H364" i="23"/>
  <c r="G364" i="23"/>
  <c r="H363" i="23"/>
  <c r="G363" i="23"/>
  <c r="H362" i="23"/>
  <c r="G362" i="23"/>
  <c r="H361" i="23"/>
  <c r="G361" i="23"/>
  <c r="H360" i="23"/>
  <c r="G360" i="23"/>
  <c r="H359" i="23"/>
  <c r="G359" i="23"/>
  <c r="H358" i="23"/>
  <c r="G358" i="23"/>
  <c r="H357" i="23"/>
  <c r="G357" i="23"/>
  <c r="H356" i="23"/>
  <c r="G356" i="23"/>
  <c r="H355" i="23"/>
  <c r="G355" i="23"/>
  <c r="H354" i="23"/>
  <c r="G354" i="23"/>
  <c r="H353" i="23"/>
  <c r="G353" i="23"/>
  <c r="H352" i="23"/>
  <c r="G352" i="23"/>
  <c r="H351" i="23"/>
  <c r="G351" i="23"/>
  <c r="H350" i="23"/>
  <c r="G350" i="23"/>
  <c r="H349" i="23"/>
  <c r="G349" i="23"/>
  <c r="H348" i="23"/>
  <c r="G348" i="23"/>
  <c r="H347" i="23"/>
  <c r="G347" i="23"/>
  <c r="H346" i="23"/>
  <c r="G346" i="23"/>
  <c r="H345" i="23"/>
  <c r="G345" i="23"/>
  <c r="H344" i="23"/>
  <c r="G344" i="23"/>
  <c r="H343" i="23"/>
  <c r="G343" i="23"/>
  <c r="H342" i="23"/>
  <c r="G342" i="23"/>
  <c r="H341" i="23"/>
  <c r="G341" i="23"/>
  <c r="H340" i="23"/>
  <c r="G340" i="23"/>
  <c r="H339" i="23"/>
  <c r="G339" i="23"/>
  <c r="H338" i="23"/>
  <c r="G338" i="23"/>
  <c r="H337" i="23"/>
  <c r="G337" i="23"/>
  <c r="H336" i="23"/>
  <c r="G336" i="23"/>
  <c r="H335" i="23"/>
  <c r="G335" i="23"/>
  <c r="H334" i="23"/>
  <c r="G334" i="23"/>
  <c r="H333" i="23"/>
  <c r="G333" i="23"/>
  <c r="H332" i="23"/>
  <c r="G332" i="23"/>
  <c r="H331" i="23"/>
  <c r="G331" i="23"/>
  <c r="H330" i="23"/>
  <c r="G330" i="23"/>
  <c r="H329" i="23"/>
  <c r="G329" i="23"/>
  <c r="H328" i="23"/>
  <c r="G328" i="23"/>
  <c r="H327" i="23"/>
  <c r="G327" i="23"/>
  <c r="H326" i="23"/>
  <c r="G326" i="23"/>
  <c r="H325" i="23"/>
  <c r="G325" i="23"/>
  <c r="H324" i="23"/>
  <c r="G324" i="23"/>
  <c r="H323" i="23"/>
  <c r="G323" i="23"/>
  <c r="H322" i="23"/>
  <c r="G322" i="23"/>
  <c r="H321" i="23"/>
  <c r="G321" i="23"/>
  <c r="H320" i="23"/>
  <c r="G320" i="23"/>
  <c r="H319" i="23"/>
  <c r="G319" i="23"/>
  <c r="H318" i="23"/>
  <c r="G318" i="23"/>
  <c r="H317" i="23"/>
  <c r="G317" i="23"/>
  <c r="H316" i="23"/>
  <c r="G316" i="23"/>
  <c r="H315" i="23"/>
  <c r="G315" i="23"/>
  <c r="H314" i="23"/>
  <c r="G314" i="23"/>
  <c r="H313" i="23"/>
  <c r="G313" i="23"/>
  <c r="H312" i="23"/>
  <c r="G312" i="23"/>
  <c r="H311" i="23"/>
  <c r="G311" i="23"/>
  <c r="H310" i="23"/>
  <c r="G310" i="23"/>
  <c r="H309" i="23"/>
  <c r="G309" i="23"/>
  <c r="H308" i="23"/>
  <c r="G308" i="23"/>
  <c r="H307" i="23"/>
  <c r="G307" i="23"/>
  <c r="H306" i="23"/>
  <c r="G306" i="23"/>
  <c r="H305" i="23"/>
  <c r="G305" i="23"/>
  <c r="H304" i="23"/>
  <c r="G304" i="23"/>
  <c r="H303" i="23"/>
  <c r="G303" i="23"/>
  <c r="H302" i="23"/>
  <c r="G302" i="23"/>
  <c r="H301" i="23"/>
  <c r="G301" i="23"/>
  <c r="H300" i="23"/>
  <c r="G300" i="23"/>
  <c r="H299" i="23"/>
  <c r="G299" i="23"/>
  <c r="H298" i="23"/>
  <c r="G298" i="23"/>
  <c r="H297" i="23"/>
  <c r="G297" i="23"/>
  <c r="H296" i="23"/>
  <c r="G296" i="23"/>
  <c r="H295" i="23"/>
  <c r="G295" i="23"/>
  <c r="H294" i="23"/>
  <c r="G294" i="23"/>
  <c r="H293" i="23"/>
  <c r="G293" i="23"/>
  <c r="H292" i="23"/>
  <c r="G292" i="23"/>
  <c r="H291" i="23"/>
  <c r="G291" i="23"/>
  <c r="H290" i="23"/>
  <c r="G290" i="23"/>
  <c r="H289" i="23"/>
  <c r="G289" i="23"/>
  <c r="H288" i="23"/>
  <c r="G288" i="23"/>
  <c r="H287" i="23"/>
  <c r="G287" i="23"/>
  <c r="H286" i="23"/>
  <c r="G286" i="23"/>
  <c r="H285" i="23"/>
  <c r="G285" i="23"/>
  <c r="H284" i="23"/>
  <c r="G284" i="23"/>
  <c r="H283" i="23"/>
  <c r="G283" i="23"/>
  <c r="H282" i="23"/>
  <c r="G282" i="23"/>
  <c r="H281" i="23"/>
  <c r="G281" i="23"/>
  <c r="H280" i="23"/>
  <c r="G280" i="23"/>
  <c r="H279" i="23"/>
  <c r="G279" i="23"/>
  <c r="H278" i="23"/>
  <c r="G278" i="23"/>
  <c r="H277" i="23"/>
  <c r="G277" i="23"/>
  <c r="H276" i="23"/>
  <c r="G276" i="23"/>
  <c r="H275" i="23"/>
  <c r="G275" i="23"/>
  <c r="H274" i="23"/>
  <c r="G274" i="23"/>
  <c r="H273" i="23"/>
  <c r="G273" i="23"/>
  <c r="H272" i="23"/>
  <c r="G272" i="23"/>
  <c r="H271" i="23"/>
  <c r="G271" i="23"/>
  <c r="H270" i="23"/>
  <c r="G270" i="23"/>
  <c r="H269" i="23"/>
  <c r="G269" i="23"/>
  <c r="H268" i="23"/>
  <c r="G268" i="23"/>
  <c r="H267" i="23"/>
  <c r="G267" i="23"/>
  <c r="H266" i="23"/>
  <c r="G266" i="23"/>
  <c r="H265" i="23"/>
  <c r="G265" i="23"/>
  <c r="H264" i="23"/>
  <c r="G264" i="23"/>
  <c r="H263" i="23"/>
  <c r="G263" i="23"/>
  <c r="H262" i="23"/>
  <c r="G262" i="23"/>
  <c r="H261" i="23"/>
  <c r="G261" i="23"/>
  <c r="H260" i="23"/>
  <c r="G260" i="23"/>
  <c r="H259" i="23"/>
  <c r="G259" i="23"/>
  <c r="H258" i="23"/>
  <c r="G258" i="23"/>
  <c r="H257" i="23"/>
  <c r="G257" i="23"/>
  <c r="H256" i="23"/>
  <c r="G256" i="23"/>
  <c r="H255" i="23"/>
  <c r="G255" i="23"/>
  <c r="H254" i="23"/>
  <c r="G254" i="23"/>
  <c r="H253" i="23"/>
  <c r="G253" i="23"/>
  <c r="H252" i="23"/>
  <c r="G252" i="23"/>
  <c r="H251" i="23"/>
  <c r="G251" i="23"/>
  <c r="H250" i="23"/>
  <c r="G250" i="23"/>
  <c r="H249" i="23"/>
  <c r="G249" i="23"/>
  <c r="H248" i="23"/>
  <c r="G248" i="23"/>
  <c r="H247" i="23"/>
  <c r="G247" i="23"/>
  <c r="H246" i="23"/>
  <c r="G246" i="23"/>
  <c r="H245" i="23"/>
  <c r="G245" i="23"/>
  <c r="H244" i="23"/>
  <c r="G244" i="23"/>
  <c r="H243" i="23"/>
  <c r="G243" i="23"/>
  <c r="H242" i="23"/>
  <c r="G242" i="23"/>
  <c r="H241" i="23"/>
  <c r="G241" i="23"/>
  <c r="H240" i="23"/>
  <c r="G240" i="23"/>
  <c r="H239" i="23"/>
  <c r="G239" i="23"/>
  <c r="H238" i="23"/>
  <c r="G238" i="23"/>
  <c r="H237" i="23"/>
  <c r="G237" i="23"/>
  <c r="H236" i="23"/>
  <c r="G236" i="23"/>
  <c r="H235" i="23"/>
  <c r="G235" i="23"/>
  <c r="H234" i="23"/>
  <c r="G234" i="23"/>
  <c r="H233" i="23"/>
  <c r="G233" i="23"/>
  <c r="H232" i="23"/>
  <c r="G232" i="23"/>
  <c r="H231" i="23"/>
  <c r="G231" i="23"/>
  <c r="H230" i="23"/>
  <c r="G230" i="23"/>
  <c r="H229" i="23"/>
  <c r="G229" i="23"/>
  <c r="H228" i="23"/>
  <c r="G228" i="23"/>
  <c r="H227" i="23"/>
  <c r="G227" i="23"/>
  <c r="H226" i="23"/>
  <c r="G226" i="23"/>
  <c r="H225" i="23"/>
  <c r="G225" i="23"/>
  <c r="H224" i="23"/>
  <c r="G224" i="23"/>
  <c r="H223" i="23"/>
  <c r="G223" i="23"/>
  <c r="H222" i="23"/>
  <c r="G222" i="23"/>
  <c r="H221" i="23"/>
  <c r="G221" i="23"/>
  <c r="H220" i="23"/>
  <c r="G220" i="23"/>
  <c r="H219" i="23"/>
  <c r="G219" i="23"/>
  <c r="H218" i="23"/>
  <c r="G218" i="23"/>
  <c r="H217" i="23"/>
  <c r="G217" i="23"/>
  <c r="H216" i="23"/>
  <c r="G216" i="23"/>
  <c r="H215" i="23"/>
  <c r="G215" i="23"/>
  <c r="H214" i="23"/>
  <c r="G214" i="23"/>
  <c r="H213" i="23"/>
  <c r="G213" i="23"/>
  <c r="H212" i="23"/>
  <c r="G212" i="23"/>
  <c r="H211" i="23"/>
  <c r="G211" i="23"/>
  <c r="H210" i="23"/>
  <c r="G210" i="23"/>
  <c r="H209" i="23"/>
  <c r="G209" i="23"/>
  <c r="H208" i="23"/>
  <c r="G208" i="23"/>
  <c r="H207" i="23"/>
  <c r="G207" i="23"/>
  <c r="H206" i="23"/>
  <c r="G206" i="23"/>
  <c r="H205" i="23"/>
  <c r="G205" i="23"/>
  <c r="H204" i="23"/>
  <c r="G204" i="23"/>
  <c r="H203" i="23"/>
  <c r="G203" i="23"/>
  <c r="H202" i="23"/>
  <c r="G202" i="23"/>
  <c r="H201" i="23"/>
  <c r="G201" i="23"/>
  <c r="H200" i="23"/>
  <c r="G200" i="23"/>
  <c r="H199" i="23"/>
  <c r="G199" i="23"/>
  <c r="H198" i="23"/>
  <c r="G198" i="23"/>
  <c r="H197" i="23"/>
  <c r="G197" i="23"/>
  <c r="H196" i="23"/>
  <c r="G196" i="23"/>
  <c r="H195" i="23"/>
  <c r="G195" i="23"/>
  <c r="H194" i="23"/>
  <c r="G194" i="23"/>
  <c r="H193" i="23"/>
  <c r="G193" i="23"/>
  <c r="H192" i="23"/>
  <c r="G192" i="23"/>
  <c r="H191" i="23"/>
  <c r="G191" i="23"/>
  <c r="H190" i="23"/>
  <c r="G190" i="23"/>
  <c r="H189" i="23"/>
  <c r="G189" i="23"/>
  <c r="H188" i="23"/>
  <c r="G188" i="23"/>
  <c r="H187" i="23"/>
  <c r="G187" i="23"/>
  <c r="H186" i="23"/>
  <c r="G186" i="23"/>
  <c r="H185" i="23"/>
  <c r="G185" i="23"/>
  <c r="H184" i="23"/>
  <c r="G184" i="23"/>
  <c r="H183" i="23"/>
  <c r="G183" i="23"/>
  <c r="H182" i="23"/>
  <c r="G182" i="23"/>
  <c r="H181" i="23"/>
  <c r="G181" i="23"/>
  <c r="H180" i="23"/>
  <c r="G180" i="23"/>
  <c r="H179" i="23"/>
  <c r="G179" i="23"/>
  <c r="H178" i="23"/>
  <c r="G178" i="23"/>
  <c r="H177" i="23"/>
  <c r="G177" i="23"/>
  <c r="H176" i="23"/>
  <c r="G176" i="23"/>
  <c r="H175" i="23"/>
  <c r="G175" i="23"/>
  <c r="H174" i="23"/>
  <c r="G174" i="23"/>
  <c r="H173" i="23"/>
  <c r="G173" i="23"/>
  <c r="H172" i="23"/>
  <c r="G172" i="23"/>
  <c r="H171" i="23"/>
  <c r="G171" i="23"/>
  <c r="H170" i="23"/>
  <c r="G170" i="23"/>
  <c r="H169" i="23"/>
  <c r="G169" i="23"/>
  <c r="H168" i="23"/>
  <c r="G168" i="23"/>
  <c r="H167" i="23"/>
  <c r="G167" i="23"/>
  <c r="H166" i="23"/>
  <c r="G166" i="23"/>
  <c r="H165" i="23"/>
  <c r="G165" i="23"/>
  <c r="H164" i="23"/>
  <c r="G164" i="23"/>
  <c r="H163" i="23"/>
  <c r="G163" i="23"/>
  <c r="H162" i="23"/>
  <c r="G162" i="23"/>
  <c r="H161" i="23"/>
  <c r="G161" i="23"/>
  <c r="H160" i="23"/>
  <c r="G160" i="23"/>
  <c r="H159" i="23"/>
  <c r="G159" i="23"/>
  <c r="H158" i="23"/>
  <c r="G158" i="23"/>
  <c r="H157" i="23"/>
  <c r="G157" i="23"/>
  <c r="H156" i="23"/>
  <c r="G156" i="23"/>
  <c r="H155" i="23"/>
  <c r="G155" i="23"/>
  <c r="H154" i="23"/>
  <c r="G154" i="23"/>
  <c r="H153" i="23"/>
  <c r="G153" i="23"/>
  <c r="H152" i="23"/>
  <c r="G152" i="23"/>
  <c r="H151" i="23"/>
  <c r="G151" i="23"/>
  <c r="H150" i="23"/>
  <c r="G150" i="23"/>
  <c r="H149" i="23"/>
  <c r="G149" i="23"/>
  <c r="H148" i="23"/>
  <c r="G148" i="23"/>
  <c r="H147" i="23"/>
  <c r="G147" i="23"/>
  <c r="H146" i="23"/>
  <c r="G146" i="23"/>
  <c r="H145" i="23"/>
  <c r="G145" i="23"/>
  <c r="H144" i="23"/>
  <c r="G144" i="23"/>
  <c r="H143" i="23"/>
  <c r="G143" i="23"/>
  <c r="H142" i="23"/>
  <c r="G142" i="23"/>
  <c r="H141" i="23"/>
  <c r="G141" i="23"/>
  <c r="H140" i="23"/>
  <c r="G140" i="23"/>
  <c r="H139" i="23"/>
  <c r="G139" i="23"/>
  <c r="H138" i="23"/>
  <c r="G138" i="23"/>
  <c r="H137" i="23"/>
  <c r="G137" i="23"/>
  <c r="H136" i="23"/>
  <c r="G136" i="23"/>
  <c r="H135" i="23"/>
  <c r="G135" i="23"/>
  <c r="H134" i="23"/>
  <c r="G134" i="23"/>
  <c r="H133" i="23"/>
  <c r="G133" i="23"/>
  <c r="H132" i="23"/>
  <c r="G132" i="23"/>
  <c r="H131" i="23"/>
  <c r="G131" i="23"/>
  <c r="H130" i="23"/>
  <c r="G130" i="23"/>
  <c r="H129" i="23"/>
  <c r="G129" i="23"/>
  <c r="H128" i="23"/>
  <c r="G128" i="23"/>
  <c r="H127" i="23"/>
  <c r="G127" i="23"/>
  <c r="H126" i="23"/>
  <c r="G126" i="23"/>
  <c r="H125" i="23"/>
  <c r="G125" i="23"/>
  <c r="H124" i="23"/>
  <c r="G124" i="23"/>
  <c r="H123" i="23"/>
  <c r="G123" i="23"/>
  <c r="H122" i="23"/>
  <c r="G122" i="23"/>
  <c r="H121" i="23"/>
  <c r="G121" i="23"/>
  <c r="H120" i="23"/>
  <c r="G120" i="23"/>
  <c r="H119" i="23"/>
  <c r="G119" i="23"/>
  <c r="H118" i="23"/>
  <c r="G118" i="23"/>
  <c r="H117" i="23"/>
  <c r="G117" i="23"/>
  <c r="H116" i="23"/>
  <c r="G116" i="23"/>
  <c r="H115" i="23"/>
  <c r="G115" i="23"/>
  <c r="H114" i="23"/>
  <c r="G114" i="23"/>
  <c r="H113" i="23"/>
  <c r="G113" i="23"/>
  <c r="H112" i="23"/>
  <c r="G112" i="23"/>
  <c r="H111" i="23"/>
  <c r="G111" i="23"/>
  <c r="H110" i="23"/>
  <c r="G110" i="23"/>
  <c r="H109" i="23"/>
  <c r="G109" i="23"/>
  <c r="H108" i="23"/>
  <c r="G108" i="23"/>
  <c r="H107" i="23"/>
  <c r="G107" i="23"/>
  <c r="H106" i="23"/>
  <c r="G106" i="23"/>
  <c r="H105" i="23"/>
  <c r="G105" i="23"/>
  <c r="H104" i="23"/>
  <c r="G104" i="23"/>
  <c r="H103" i="23"/>
  <c r="G103" i="23"/>
  <c r="H102" i="23"/>
  <c r="G102" i="23"/>
  <c r="H101" i="23"/>
  <c r="G101" i="23"/>
  <c r="H100" i="23"/>
  <c r="G100" i="23"/>
  <c r="H99" i="23"/>
  <c r="G99" i="23"/>
  <c r="H98" i="23"/>
  <c r="G98" i="23"/>
  <c r="H97" i="23"/>
  <c r="G97" i="23"/>
  <c r="H96" i="23"/>
  <c r="G96" i="23"/>
  <c r="H95" i="23"/>
  <c r="G95" i="23"/>
  <c r="H94" i="23"/>
  <c r="G94" i="23"/>
  <c r="H93" i="23"/>
  <c r="G93" i="23"/>
  <c r="H92" i="23"/>
  <c r="G92" i="23"/>
  <c r="H91" i="23"/>
  <c r="G91" i="23"/>
  <c r="H90" i="23"/>
  <c r="G90" i="23"/>
  <c r="H89" i="23"/>
  <c r="G89" i="23"/>
  <c r="H88" i="23"/>
  <c r="G88" i="23"/>
  <c r="H87" i="23"/>
  <c r="G87" i="23"/>
  <c r="H86" i="23"/>
  <c r="G86" i="23"/>
  <c r="H85" i="23"/>
  <c r="G85" i="23"/>
  <c r="H84" i="23"/>
  <c r="G84" i="23"/>
  <c r="H83" i="23"/>
  <c r="G83" i="23"/>
  <c r="H82" i="23"/>
  <c r="G82" i="23"/>
  <c r="H81" i="23"/>
  <c r="G81" i="23"/>
  <c r="H80" i="23"/>
  <c r="G80" i="23"/>
  <c r="H79" i="23"/>
  <c r="G79" i="23"/>
  <c r="H78" i="23"/>
  <c r="G78" i="23"/>
  <c r="H77" i="23"/>
  <c r="G77" i="23"/>
  <c r="H76" i="23"/>
  <c r="G76" i="23"/>
  <c r="H75" i="23"/>
  <c r="G75" i="23"/>
  <c r="H74" i="23"/>
  <c r="G74" i="23"/>
  <c r="H73" i="23"/>
  <c r="G73" i="23"/>
  <c r="H72" i="23"/>
  <c r="G72" i="23"/>
  <c r="H71" i="23"/>
  <c r="G71" i="23"/>
  <c r="H70" i="23"/>
  <c r="G70" i="23"/>
  <c r="H69" i="23"/>
  <c r="G69" i="23"/>
  <c r="H68" i="23"/>
  <c r="G68" i="23"/>
  <c r="H67" i="23"/>
  <c r="G67" i="23"/>
  <c r="H66" i="23"/>
  <c r="G66" i="23"/>
  <c r="H65" i="23"/>
  <c r="G65" i="23"/>
  <c r="H64" i="23"/>
  <c r="G64" i="23"/>
  <c r="H63" i="23"/>
  <c r="G63" i="23"/>
  <c r="H62" i="23"/>
  <c r="G62" i="23"/>
  <c r="H61" i="23"/>
  <c r="G61" i="23"/>
  <c r="H60" i="23"/>
  <c r="G60" i="23"/>
  <c r="H59" i="23"/>
  <c r="G59" i="23"/>
  <c r="H58" i="23"/>
  <c r="G58" i="23"/>
  <c r="H57" i="23"/>
  <c r="G57" i="23"/>
  <c r="H56" i="23"/>
  <c r="G56" i="23"/>
  <c r="H55" i="23"/>
  <c r="G55" i="23"/>
  <c r="H54" i="23"/>
  <c r="G54" i="23"/>
  <c r="H53" i="23"/>
  <c r="G53" i="23"/>
  <c r="H52" i="23"/>
  <c r="G52" i="23"/>
  <c r="H51" i="23"/>
  <c r="G51" i="23"/>
  <c r="H50" i="23"/>
  <c r="G50" i="23"/>
  <c r="H49" i="23"/>
  <c r="G49" i="23"/>
  <c r="H48" i="23"/>
  <c r="G48" i="23"/>
  <c r="H47" i="23"/>
  <c r="G47" i="23"/>
  <c r="H46" i="23"/>
  <c r="G46" i="23"/>
  <c r="H45" i="23"/>
  <c r="G45" i="23"/>
  <c r="H44" i="23"/>
  <c r="G44" i="23"/>
  <c r="H43" i="23"/>
  <c r="G43" i="23"/>
  <c r="H42" i="23"/>
  <c r="G42" i="23"/>
  <c r="H41" i="23"/>
  <c r="G41" i="23"/>
  <c r="H40" i="23"/>
  <c r="G40" i="23"/>
  <c r="H39" i="23"/>
  <c r="G39" i="23"/>
  <c r="H38" i="23"/>
  <c r="G38" i="23"/>
  <c r="H37" i="23"/>
  <c r="G37" i="23"/>
  <c r="H36" i="23"/>
  <c r="G36" i="23"/>
  <c r="H35" i="23"/>
  <c r="G35" i="23"/>
  <c r="H34" i="23"/>
  <c r="G34" i="23"/>
  <c r="H33" i="23"/>
  <c r="G33" i="23"/>
  <c r="H32" i="23"/>
  <c r="G32" i="23"/>
  <c r="H31" i="23"/>
  <c r="G31" i="23"/>
  <c r="H30" i="23"/>
  <c r="G30" i="23"/>
  <c r="H29" i="23"/>
  <c r="G29" i="23"/>
  <c r="H28" i="23"/>
  <c r="G28" i="23"/>
  <c r="H27" i="23"/>
  <c r="G27" i="23"/>
  <c r="H26" i="23"/>
  <c r="G26" i="23"/>
  <c r="H25" i="23"/>
  <c r="G25" i="23"/>
  <c r="H24" i="23"/>
  <c r="G24" i="23"/>
  <c r="H23" i="23"/>
  <c r="G23" i="23"/>
  <c r="H22" i="23"/>
  <c r="G22" i="23"/>
  <c r="H21" i="23"/>
  <c r="G21" i="23"/>
  <c r="H20" i="23"/>
  <c r="G20" i="23"/>
  <c r="H19" i="23"/>
  <c r="G19" i="23"/>
  <c r="H18" i="23"/>
  <c r="G18" i="23"/>
  <c r="H17" i="23"/>
  <c r="G17" i="23"/>
  <c r="I11" i="23"/>
  <c r="F44" i="13"/>
  <c r="H11" i="23"/>
  <c r="E44" i="13"/>
  <c r="G11" i="23"/>
  <c r="D44" i="13"/>
  <c r="I10" i="23"/>
  <c r="H10" i="23"/>
  <c r="G10" i="23"/>
  <c r="C9" i="23"/>
  <c r="K16" i="23" s="1"/>
  <c r="S36" i="29"/>
  <c r="S25" i="29"/>
  <c r="S21" i="29"/>
  <c r="S19" i="29"/>
  <c r="O137" i="33"/>
  <c r="N137" i="33"/>
  <c r="M137" i="33"/>
  <c r="L137" i="33"/>
  <c r="K137" i="33"/>
  <c r="J137" i="33"/>
  <c r="I137" i="33"/>
  <c r="H137" i="33"/>
  <c r="G137" i="33"/>
  <c r="F137" i="33"/>
  <c r="E137" i="33"/>
  <c r="D137" i="33"/>
  <c r="O136" i="33"/>
  <c r="N136" i="33"/>
  <c r="M136" i="33"/>
  <c r="L136" i="33"/>
  <c r="K136" i="33"/>
  <c r="J136" i="33"/>
  <c r="I136" i="33"/>
  <c r="H136" i="33"/>
  <c r="G136" i="33"/>
  <c r="F136" i="33"/>
  <c r="E136" i="33"/>
  <c r="D136" i="33"/>
  <c r="O88" i="33"/>
  <c r="N88" i="33"/>
  <c r="M88" i="33"/>
  <c r="L88" i="33"/>
  <c r="K88" i="33"/>
  <c r="J88" i="33"/>
  <c r="I88" i="33"/>
  <c r="H88" i="33"/>
  <c r="G88" i="33"/>
  <c r="F88" i="33"/>
  <c r="E88" i="33"/>
  <c r="D88" i="33"/>
  <c r="D64" i="33"/>
  <c r="D72" i="29"/>
  <c r="O9" i="33"/>
  <c r="N9" i="33"/>
  <c r="M9" i="33"/>
  <c r="L9" i="33"/>
  <c r="K9" i="33"/>
  <c r="J9" i="33"/>
  <c r="I9" i="33"/>
  <c r="H9" i="33"/>
  <c r="G9" i="33"/>
  <c r="F9" i="33"/>
  <c r="E9" i="33"/>
  <c r="D9" i="33"/>
  <c r="O145" i="31"/>
  <c r="N145" i="31"/>
  <c r="F29" i="5"/>
  <c r="G29" i="5"/>
  <c r="H29" i="5"/>
  <c r="I29" i="5"/>
  <c r="J29" i="5"/>
  <c r="K29" i="5"/>
  <c r="L29" i="5"/>
  <c r="M29" i="5"/>
  <c r="N29" i="5"/>
  <c r="O29" i="5"/>
  <c r="P29" i="5"/>
  <c r="M145" i="31"/>
  <c r="E29" i="5"/>
  <c r="L145" i="31"/>
  <c r="D29" i="5"/>
  <c r="K145" i="31"/>
  <c r="C29" i="5"/>
  <c r="J145" i="31"/>
  <c r="I145" i="31"/>
  <c r="H145" i="31"/>
  <c r="G145" i="31"/>
  <c r="F145" i="31"/>
  <c r="E145" i="31"/>
  <c r="D145" i="31"/>
  <c r="O144" i="31"/>
  <c r="N144" i="31"/>
  <c r="M144" i="31"/>
  <c r="L144" i="31"/>
  <c r="K144" i="31"/>
  <c r="J144" i="31"/>
  <c r="I144" i="31"/>
  <c r="H144" i="31"/>
  <c r="G144" i="31"/>
  <c r="F144" i="31"/>
  <c r="E144" i="31"/>
  <c r="D144" i="31"/>
  <c r="L96" i="31"/>
  <c r="K96" i="31"/>
  <c r="N90" i="31"/>
  <c r="M90" i="31"/>
  <c r="L90" i="31"/>
  <c r="K90" i="31"/>
  <c r="J90" i="31"/>
  <c r="I90" i="31"/>
  <c r="H90" i="31"/>
  <c r="G90" i="31"/>
  <c r="F90" i="31"/>
  <c r="E90" i="31"/>
  <c r="D90" i="31"/>
  <c r="Y84" i="31"/>
  <c r="X84" i="31"/>
  <c r="W84" i="31"/>
  <c r="V84" i="31"/>
  <c r="U84" i="31"/>
  <c r="T84" i="31"/>
  <c r="S84" i="31"/>
  <c r="R84" i="31"/>
  <c r="V64" i="13"/>
  <c r="Q84" i="31"/>
  <c r="U64" i="13"/>
  <c r="Y76" i="31"/>
  <c r="X76" i="31"/>
  <c r="W76" i="31"/>
  <c r="V76" i="31"/>
  <c r="U76" i="31"/>
  <c r="T76" i="31"/>
  <c r="S76" i="31"/>
  <c r="R76" i="31"/>
  <c r="V58" i="13"/>
  <c r="Q76" i="31"/>
  <c r="U58" i="13"/>
  <c r="Y72" i="31"/>
  <c r="X72" i="31"/>
  <c r="W72" i="31"/>
  <c r="V72" i="31"/>
  <c r="U72" i="31"/>
  <c r="T72" i="31"/>
  <c r="S72" i="31"/>
  <c r="R72" i="31"/>
  <c r="V55" i="13"/>
  <c r="Q72" i="31"/>
  <c r="U55" i="13"/>
  <c r="Y69" i="31"/>
  <c r="X69" i="31"/>
  <c r="W69" i="31"/>
  <c r="V69" i="31"/>
  <c r="U69" i="31"/>
  <c r="T69" i="31"/>
  <c r="S69" i="31"/>
  <c r="R69" i="31"/>
  <c r="V52" i="13"/>
  <c r="Q69" i="31"/>
  <c r="U52" i="13"/>
  <c r="D66" i="31"/>
  <c r="Y47" i="31"/>
  <c r="X47" i="31"/>
  <c r="W47" i="31"/>
  <c r="V47" i="31"/>
  <c r="U47" i="31"/>
  <c r="T47" i="31"/>
  <c r="S47" i="31"/>
  <c r="R47" i="31"/>
  <c r="Q47" i="31"/>
  <c r="Y46" i="31"/>
  <c r="X46" i="31"/>
  <c r="W46" i="31"/>
  <c r="V46" i="31"/>
  <c r="U46" i="31"/>
  <c r="T46" i="31"/>
  <c r="S46" i="31"/>
  <c r="R46" i="31"/>
  <c r="Q46" i="31"/>
  <c r="N2" i="31"/>
  <c r="N4" i="31"/>
  <c r="M2" i="31"/>
  <c r="M4" i="31"/>
  <c r="M5" i="31"/>
  <c r="L2" i="31"/>
  <c r="L4" i="31"/>
  <c r="L5" i="31"/>
  <c r="V63" i="13"/>
  <c r="U63" i="13"/>
  <c r="V61" i="13"/>
  <c r="U61" i="13"/>
  <c r="V57" i="13"/>
  <c r="U57" i="13"/>
  <c r="G12" i="4"/>
  <c r="G17" i="4"/>
  <c r="G24" i="4"/>
  <c r="G30" i="4"/>
  <c r="C44" i="13"/>
  <c r="F25" i="13"/>
  <c r="F24" i="13"/>
  <c r="F23" i="13"/>
  <c r="F21" i="13"/>
  <c r="J13" i="13"/>
  <c r="Q68" i="13"/>
  <c r="C11" i="13"/>
  <c r="E29" i="13" s="1"/>
  <c r="C10" i="13"/>
  <c r="L16" i="29" s="1"/>
  <c r="L8" i="29" s="1"/>
  <c r="R8" i="29" s="1"/>
  <c r="R16" i="29" s="1"/>
  <c r="A10" i="13"/>
  <c r="H15" i="23"/>
  <c r="E9" i="13"/>
  <c r="P36" i="33"/>
  <c r="C8" i="13"/>
  <c r="B7" i="4"/>
  <c r="H11" i="69"/>
  <c r="H12" i="69"/>
  <c r="I5" i="69"/>
  <c r="J5" i="69"/>
  <c r="J11" i="69"/>
  <c r="Q60" i="13"/>
  <c r="E18" i="69"/>
  <c r="H26" i="68"/>
  <c r="H38" i="68"/>
  <c r="H25" i="68"/>
  <c r="H28" i="68"/>
  <c r="H40" i="68"/>
  <c r="H31" i="68"/>
  <c r="D18" i="69"/>
  <c r="D19" i="69"/>
  <c r="H29" i="68"/>
  <c r="H24" i="68"/>
  <c r="H59" i="68"/>
  <c r="H27" i="68"/>
  <c r="H39" i="68"/>
  <c r="L244" i="31"/>
  <c r="H65" i="68"/>
  <c r="H68" i="68"/>
  <c r="H23" i="68"/>
  <c r="H35" i="68"/>
  <c r="C5" i="69"/>
  <c r="D5" i="69"/>
  <c r="C18" i="69"/>
  <c r="C19" i="69"/>
  <c r="H64" i="68"/>
  <c r="H69" i="68"/>
  <c r="H30" i="68"/>
  <c r="H41" i="68"/>
  <c r="H33" i="68"/>
  <c r="H58" i="68"/>
  <c r="H32" i="68"/>
  <c r="H62" i="68"/>
  <c r="F5" i="69"/>
  <c r="I65" i="68"/>
  <c r="H45" i="68"/>
  <c r="E19" i="69"/>
  <c r="E5" i="69"/>
  <c r="C16" i="4"/>
  <c r="D16" i="4"/>
  <c r="C70" i="68"/>
  <c r="C21" i="4"/>
  <c r="D21" i="4"/>
  <c r="F19" i="69"/>
  <c r="N242" i="31"/>
  <c r="M242" i="31"/>
  <c r="H47" i="68"/>
  <c r="H38" i="70"/>
  <c r="G19" i="69"/>
  <c r="H44" i="68"/>
  <c r="G27" i="4"/>
  <c r="G15" i="4"/>
  <c r="F18" i="69"/>
  <c r="H55" i="68"/>
  <c r="M240" i="31"/>
  <c r="C17" i="4"/>
  <c r="N240" i="31"/>
  <c r="H57" i="68"/>
  <c r="H37" i="70"/>
  <c r="G18" i="69"/>
  <c r="H66" i="68"/>
  <c r="H61" i="68"/>
  <c r="H63" i="68"/>
  <c r="H67" i="68"/>
  <c r="C71" i="68"/>
  <c r="H43" i="68"/>
  <c r="C13" i="57"/>
  <c r="C15" i="57"/>
  <c r="G5" i="69"/>
  <c r="H22" i="68"/>
  <c r="I55" i="68"/>
  <c r="I19" i="69"/>
  <c r="P240" i="31"/>
  <c r="P242" i="31"/>
  <c r="I44" i="68"/>
  <c r="Q57" i="31"/>
  <c r="U40" i="13"/>
  <c r="I26" i="68"/>
  <c r="I40" i="68"/>
  <c r="I23" i="68"/>
  <c r="Q53" i="31"/>
  <c r="U36" i="13"/>
  <c r="H19" i="69"/>
  <c r="Q37" i="31"/>
  <c r="G36" i="5"/>
  <c r="G35" i="5"/>
  <c r="H36" i="5"/>
  <c r="Q34" i="31"/>
  <c r="U17" i="13"/>
  <c r="I47" i="68"/>
  <c r="Q60" i="31"/>
  <c r="U43" i="13"/>
  <c r="I38" i="70"/>
  <c r="H16" i="4"/>
  <c r="H28" i="4"/>
  <c r="Q56" i="31"/>
  <c r="U39" i="13"/>
  <c r="G29" i="4"/>
  <c r="S27" i="29"/>
  <c r="C230" i="63"/>
  <c r="F230" i="63"/>
  <c r="I12" i="4"/>
  <c r="I17" i="4"/>
  <c r="I30" i="4"/>
  <c r="O12" i="4"/>
  <c r="O17" i="4"/>
  <c r="P12" i="4"/>
  <c r="P17" i="4"/>
  <c r="Q12" i="4"/>
  <c r="Q17" i="4"/>
  <c r="I15" i="6"/>
  <c r="I17" i="6"/>
  <c r="H17" i="6"/>
  <c r="S18" i="29"/>
  <c r="H14" i="5"/>
  <c r="O242" i="31"/>
  <c r="G14" i="5"/>
  <c r="S22" i="29"/>
  <c r="O240" i="31"/>
  <c r="S20" i="29"/>
  <c r="I14" i="5"/>
  <c r="H14" i="4"/>
  <c r="S35" i="29"/>
  <c r="H26" i="4"/>
  <c r="H15" i="4"/>
  <c r="H27" i="4"/>
  <c r="S24" i="29"/>
  <c r="J14" i="5"/>
  <c r="S23" i="29"/>
  <c r="H12" i="4"/>
  <c r="H17" i="4"/>
  <c r="S26" i="29"/>
  <c r="K14" i="5"/>
  <c r="L14" i="5"/>
  <c r="H24" i="4"/>
  <c r="S28" i="29"/>
  <c r="S34" i="29"/>
  <c r="S29" i="29"/>
  <c r="M14" i="5"/>
  <c r="N14" i="5"/>
  <c r="S30" i="29"/>
  <c r="S31" i="29"/>
  <c r="O14" i="5"/>
  <c r="P14" i="5"/>
  <c r="S32" i="29"/>
  <c r="I3" i="58"/>
  <c r="S33" i="29"/>
  <c r="H18" i="69"/>
  <c r="H29" i="4"/>
  <c r="J24" i="4"/>
  <c r="J30" i="4"/>
  <c r="J31" i="4" s="1"/>
  <c r="J12" i="4"/>
  <c r="J17" i="4"/>
  <c r="M244" i="31"/>
  <c r="K12" i="4"/>
  <c r="K17" i="4"/>
  <c r="K24" i="4"/>
  <c r="K30" i="4"/>
  <c r="L12" i="4"/>
  <c r="L17" i="4"/>
  <c r="L24" i="4"/>
  <c r="L30" i="4"/>
  <c r="L31" i="4" s="1"/>
  <c r="M12" i="4"/>
  <c r="M17" i="4"/>
  <c r="M24" i="4"/>
  <c r="M30" i="4"/>
  <c r="M31" i="4" s="1"/>
  <c r="N24" i="4"/>
  <c r="N30" i="4"/>
  <c r="N12" i="4"/>
  <c r="N17" i="4"/>
  <c r="Q24" i="4"/>
  <c r="Q30" i="4"/>
  <c r="P24" i="4"/>
  <c r="P30" i="4"/>
  <c r="O24" i="4"/>
  <c r="O30" i="4"/>
  <c r="G16" i="4"/>
  <c r="G28" i="4"/>
  <c r="J47" i="68"/>
  <c r="J23" i="68"/>
  <c r="I42" i="68"/>
  <c r="I48" i="68"/>
  <c r="J40" i="68"/>
  <c r="J26" i="68"/>
  <c r="J44" i="68"/>
  <c r="J38" i="70"/>
  <c r="R60" i="31"/>
  <c r="V43" i="13"/>
  <c r="J19" i="69"/>
  <c r="R56" i="31"/>
  <c r="V39" i="13"/>
  <c r="I36" i="5"/>
  <c r="R34" i="31"/>
  <c r="V17" i="13"/>
  <c r="R37" i="31"/>
  <c r="V20" i="13"/>
  <c r="R53" i="31"/>
  <c r="V36" i="13"/>
  <c r="R57" i="31"/>
  <c r="V40" i="13"/>
  <c r="K38" i="70"/>
  <c r="J42" i="68"/>
  <c r="J48" i="68"/>
  <c r="J49" i="68"/>
  <c r="S37" i="31"/>
  <c r="S229" i="31"/>
  <c r="S53" i="31"/>
  <c r="S56" i="31"/>
  <c r="S60" i="31"/>
  <c r="J36" i="5"/>
  <c r="S34" i="31"/>
  <c r="S57" i="31"/>
  <c r="T37" i="31"/>
  <c r="T229" i="31"/>
  <c r="T57" i="31"/>
  <c r="T34" i="31"/>
  <c r="K36" i="5"/>
  <c r="T56" i="31"/>
  <c r="T53" i="31"/>
  <c r="T60" i="31"/>
  <c r="L36" i="5"/>
  <c r="U34" i="31"/>
  <c r="U57" i="31"/>
  <c r="U60" i="31"/>
  <c r="U53" i="31"/>
  <c r="U56" i="31"/>
  <c r="U37" i="31"/>
  <c r="U229" i="31"/>
  <c r="V43" i="31"/>
  <c r="V42" i="31"/>
  <c r="V37" i="31"/>
  <c r="V229" i="31"/>
  <c r="V60" i="31"/>
  <c r="M36" i="5"/>
  <c r="M35" i="5"/>
  <c r="V34" i="31"/>
  <c r="V56" i="31"/>
  <c r="V53" i="31"/>
  <c r="V58" i="31"/>
  <c r="V30" i="31"/>
  <c r="I13" i="57"/>
  <c r="I15" i="57"/>
  <c r="V57" i="31"/>
  <c r="W58" i="31"/>
  <c r="N36" i="5"/>
  <c r="W34" i="31"/>
  <c r="W37" i="31"/>
  <c r="W229" i="31"/>
  <c r="W57" i="31"/>
  <c r="W53" i="31"/>
  <c r="W43" i="31"/>
  <c r="W56" i="31"/>
  <c r="W60" i="31"/>
  <c r="W42" i="31"/>
  <c r="X60" i="31"/>
  <c r="Y60" i="31"/>
  <c r="X43" i="31"/>
  <c r="Y43" i="31"/>
  <c r="X57" i="31"/>
  <c r="Y57" i="31"/>
  <c r="Y58" i="31"/>
  <c r="X58" i="31"/>
  <c r="X56" i="31"/>
  <c r="O36" i="5"/>
  <c r="X34" i="31"/>
  <c r="X42" i="31"/>
  <c r="Y42" i="31"/>
  <c r="Y53" i="31"/>
  <c r="X53" i="31"/>
  <c r="Y37" i="31"/>
  <c r="Y229" i="31"/>
  <c r="X37" i="31"/>
  <c r="X229" i="31"/>
  <c r="Y56" i="31"/>
  <c r="P36" i="5"/>
  <c r="Y34" i="31"/>
  <c r="I36" i="68"/>
  <c r="I67" i="68"/>
  <c r="Q82" i="31"/>
  <c r="U62" i="13"/>
  <c r="Q49" i="31"/>
  <c r="Q231" i="31"/>
  <c r="E32" i="68"/>
  <c r="J165" i="63"/>
  <c r="O54" i="46"/>
  <c r="L79" i="40"/>
  <c r="M79" i="40"/>
  <c r="L124" i="63"/>
  <c r="M124" i="63"/>
  <c r="O50" i="40"/>
  <c r="K124" i="63"/>
  <c r="K79" i="40"/>
  <c r="O79" i="40"/>
  <c r="N79" i="40"/>
  <c r="N124" i="63"/>
  <c r="O66" i="63"/>
  <c r="S64" i="46"/>
  <c r="O124" i="63"/>
  <c r="P64" i="46"/>
  <c r="N50" i="40"/>
  <c r="N66" i="63"/>
  <c r="Q64" i="46"/>
  <c r="R64" i="46"/>
  <c r="P79" i="40"/>
  <c r="P124" i="63"/>
  <c r="L50" i="40"/>
  <c r="E5" i="58"/>
  <c r="L66" i="63"/>
  <c r="L104" i="63"/>
  <c r="M50" i="40"/>
  <c r="F5" i="58"/>
  <c r="M66" i="63"/>
  <c r="P66" i="63"/>
  <c r="P50" i="40"/>
  <c r="K66" i="63"/>
  <c r="D6" i="73"/>
  <c r="K50" i="40"/>
  <c r="D5" i="58"/>
  <c r="E187" i="63"/>
  <c r="E185" i="63"/>
  <c r="M198" i="63"/>
  <c r="M85" i="63"/>
  <c r="M64" i="40"/>
  <c r="P85" i="63"/>
  <c r="P64" i="40"/>
  <c r="L85" i="63"/>
  <c r="L64" i="40"/>
  <c r="O85" i="63"/>
  <c r="O64" i="40"/>
  <c r="N85" i="63"/>
  <c r="N64" i="40"/>
  <c r="K85" i="63"/>
  <c r="C200" i="63"/>
  <c r="K64" i="40"/>
  <c r="M165" i="63"/>
  <c r="M116" i="40"/>
  <c r="P165" i="63"/>
  <c r="P116" i="40"/>
  <c r="N165" i="63"/>
  <c r="N116" i="40"/>
  <c r="O116" i="40"/>
  <c r="O165" i="63"/>
  <c r="L165" i="63"/>
  <c r="L116" i="40"/>
  <c r="K116" i="40"/>
  <c r="K165" i="63"/>
  <c r="S5" i="59"/>
  <c r="T3" i="46"/>
  <c r="T16" i="46"/>
  <c r="T22" i="46" s="1"/>
  <c r="T24" i="46" s="1"/>
  <c r="U27" i="46" s="1"/>
  <c r="S5" i="45"/>
  <c r="S5" i="44"/>
  <c r="T5" i="42"/>
  <c r="L11" i="40"/>
  <c r="L11" i="63"/>
  <c r="L67" i="63"/>
  <c r="L105" i="63"/>
  <c r="M11" i="63"/>
  <c r="M11" i="40"/>
  <c r="L51" i="40"/>
  <c r="E6" i="58"/>
  <c r="M51" i="40"/>
  <c r="F6" i="58"/>
  <c r="M67" i="63"/>
  <c r="F7" i="73"/>
  <c r="N11" i="63"/>
  <c r="N11" i="40"/>
  <c r="M80" i="40"/>
  <c r="M125" i="63"/>
  <c r="N51" i="40"/>
  <c r="N67" i="63"/>
  <c r="N80" i="40"/>
  <c r="N125" i="63"/>
  <c r="L80" i="40"/>
  <c r="L125" i="63"/>
  <c r="F3" i="57"/>
  <c r="G3" i="57"/>
  <c r="O11" i="40"/>
  <c r="O11" i="63"/>
  <c r="H3" i="57"/>
  <c r="I3" i="57"/>
  <c r="O51" i="40"/>
  <c r="O67" i="63"/>
  <c r="P11" i="40"/>
  <c r="Q11" i="40"/>
  <c r="P11" i="63"/>
  <c r="Q11" i="63"/>
  <c r="P51" i="40"/>
  <c r="P67" i="63"/>
  <c r="O80" i="40"/>
  <c r="O125" i="63"/>
  <c r="P86" i="63"/>
  <c r="L65" i="40"/>
  <c r="L86" i="63"/>
  <c r="M65" i="40"/>
  <c r="M86" i="63"/>
  <c r="N65" i="40"/>
  <c r="N86" i="63"/>
  <c r="K86" i="63"/>
  <c r="K65" i="40"/>
  <c r="O65" i="40"/>
  <c r="O86" i="63"/>
  <c r="O117" i="40"/>
  <c r="L117" i="40"/>
  <c r="L166" i="63"/>
  <c r="K117" i="40"/>
  <c r="K166" i="63"/>
  <c r="M166" i="63"/>
  <c r="N117" i="40"/>
  <c r="P65" i="40"/>
  <c r="P80" i="40"/>
  <c r="P125" i="63"/>
  <c r="O166" i="63"/>
  <c r="M117" i="40"/>
  <c r="P166" i="63"/>
  <c r="P117" i="40"/>
  <c r="N166" i="63"/>
  <c r="T4" i="46"/>
  <c r="T7" i="42"/>
  <c r="S7" i="45"/>
  <c r="S7" i="59"/>
  <c r="S7" i="44"/>
  <c r="M94" i="63"/>
  <c r="M113" i="63"/>
  <c r="K94" i="63"/>
  <c r="L94" i="63"/>
  <c r="L113" i="63"/>
  <c r="N94" i="63"/>
  <c r="O94" i="63"/>
  <c r="P94" i="63"/>
  <c r="P113" i="63"/>
  <c r="M173" i="63"/>
  <c r="L173" i="63"/>
  <c r="P173" i="63"/>
  <c r="N173" i="63"/>
  <c r="O173" i="63"/>
  <c r="K173" i="63"/>
  <c r="T13" i="46"/>
  <c r="D47" i="68"/>
  <c r="E5" i="68"/>
  <c r="E4" i="68"/>
  <c r="H10" i="6"/>
  <c r="I81" i="68" s="1"/>
  <c r="I42" i="95"/>
  <c r="I34" i="97"/>
  <c r="I40" i="97" s="1"/>
  <c r="I38" i="97"/>
  <c r="I111" i="90"/>
  <c r="H111" i="90"/>
  <c r="B115" i="87"/>
  <c r="I10" i="87"/>
  <c r="E111" i="90"/>
  <c r="F111" i="90"/>
  <c r="D111" i="90"/>
  <c r="C90" i="90"/>
  <c r="C104" i="90"/>
  <c r="C91" i="90"/>
  <c r="G111" i="90"/>
  <c r="I43" i="68"/>
  <c r="D13" i="57"/>
  <c r="Q58" i="31"/>
  <c r="Q30" i="31"/>
  <c r="K126" i="63"/>
  <c r="J113" i="40"/>
  <c r="K81" i="40"/>
  <c r="P66" i="46"/>
  <c r="P56" i="46"/>
  <c r="C3" i="57"/>
  <c r="C7" i="57"/>
  <c r="D2" i="57"/>
  <c r="D7" i="57"/>
  <c r="E2" i="57"/>
  <c r="E7" i="57"/>
  <c r="F2" i="57"/>
  <c r="F7" i="57"/>
  <c r="G2" i="57"/>
  <c r="G7" i="57"/>
  <c r="H2" i="57"/>
  <c r="H7" i="57"/>
  <c r="I2" i="57"/>
  <c r="I7" i="57"/>
  <c r="E3" i="57"/>
  <c r="K68" i="63"/>
  <c r="K52" i="40"/>
  <c r="D7" i="58"/>
  <c r="D3" i="57"/>
  <c r="K167" i="63"/>
  <c r="K118" i="40"/>
  <c r="W67" i="31"/>
  <c r="W78" i="31"/>
  <c r="Y78" i="31"/>
  <c r="Y67" i="31"/>
  <c r="X78" i="31"/>
  <c r="X67" i="31"/>
  <c r="M126" i="63"/>
  <c r="M81" i="40"/>
  <c r="L126" i="63"/>
  <c r="L81" i="40"/>
  <c r="N126" i="63"/>
  <c r="N81" i="40"/>
  <c r="O84" i="63"/>
  <c r="X81" i="63"/>
  <c r="H5" i="57"/>
  <c r="O63" i="40"/>
  <c r="X60" i="40"/>
  <c r="K84" i="63"/>
  <c r="C199" i="63"/>
  <c r="D5" i="57"/>
  <c r="K63" i="40"/>
  <c r="T60" i="40"/>
  <c r="G5" i="57"/>
  <c r="N84" i="63"/>
  <c r="N63" i="40"/>
  <c r="W60" i="40"/>
  <c r="L84" i="63"/>
  <c r="U81" i="63"/>
  <c r="E5" i="57"/>
  <c r="L63" i="40"/>
  <c r="U60" i="40"/>
  <c r="C5" i="57"/>
  <c r="J84" i="63"/>
  <c r="J103" i="63"/>
  <c r="J63" i="40"/>
  <c r="S60" i="40"/>
  <c r="F5" i="57"/>
  <c r="M84" i="63"/>
  <c r="M63" i="40"/>
  <c r="V60" i="40"/>
  <c r="O126" i="63"/>
  <c r="O81" i="40"/>
  <c r="P84" i="63"/>
  <c r="Y81" i="63"/>
  <c r="Y100" i="63"/>
  <c r="Y105" i="63"/>
  <c r="I5" i="57"/>
  <c r="P63" i="40"/>
  <c r="Y60" i="40"/>
  <c r="Q242" i="31"/>
  <c r="Q73" i="31"/>
  <c r="U56" i="13"/>
  <c r="I61" i="68"/>
  <c r="I63" i="68"/>
  <c r="I15" i="4"/>
  <c r="I24" i="68"/>
  <c r="Q35" i="31"/>
  <c r="Q227" i="31"/>
  <c r="Q232" i="31"/>
  <c r="Q240" i="31"/>
  <c r="Q39" i="31"/>
  <c r="U22" i="13"/>
  <c r="I28" i="68"/>
  <c r="Q68" i="31"/>
  <c r="U51" i="13"/>
  <c r="I57" i="68"/>
  <c r="J163" i="63"/>
  <c r="J114" i="40"/>
  <c r="L163" i="63"/>
  <c r="L114" i="40"/>
  <c r="Q66" i="46"/>
  <c r="M163" i="63"/>
  <c r="M114" i="40"/>
  <c r="R66" i="46"/>
  <c r="O68" i="63"/>
  <c r="O52" i="40"/>
  <c r="P68" i="63"/>
  <c r="P52" i="40"/>
  <c r="K163" i="63"/>
  <c r="K114" i="40"/>
  <c r="V11" i="31"/>
  <c r="S66" i="46"/>
  <c r="I29" i="68"/>
  <c r="Q40" i="31"/>
  <c r="U23" i="13"/>
  <c r="N163" i="63"/>
  <c r="N114" i="40"/>
  <c r="T48" i="31"/>
  <c r="T230" i="31"/>
  <c r="V48" i="31"/>
  <c r="V230" i="31"/>
  <c r="P126" i="63"/>
  <c r="P81" i="40"/>
  <c r="O167" i="63"/>
  <c r="O118" i="40"/>
  <c r="L68" i="63"/>
  <c r="L52" i="40"/>
  <c r="E7" i="58"/>
  <c r="M68" i="63"/>
  <c r="M52" i="40"/>
  <c r="F7" i="58"/>
  <c r="N68" i="63"/>
  <c r="N52" i="40"/>
  <c r="U48" i="31"/>
  <c r="U230" i="31"/>
  <c r="I30" i="68"/>
  <c r="Q41" i="31"/>
  <c r="U24" i="13"/>
  <c r="O163" i="63"/>
  <c r="O114" i="40"/>
  <c r="P167" i="63"/>
  <c r="P118" i="40"/>
  <c r="I35" i="68"/>
  <c r="Q48" i="31"/>
  <c r="U31" i="13"/>
  <c r="M167" i="63"/>
  <c r="M118" i="40"/>
  <c r="N167" i="63"/>
  <c r="N118" i="40"/>
  <c r="L167" i="63"/>
  <c r="L118" i="40"/>
  <c r="P163" i="63"/>
  <c r="P114" i="40"/>
  <c r="V23" i="31"/>
  <c r="V10" i="31"/>
  <c r="V155" i="31"/>
  <c r="V77" i="31"/>
  <c r="V73" i="31"/>
  <c r="N15" i="4"/>
  <c r="N27" i="4"/>
  <c r="V68" i="31"/>
  <c r="N14" i="4"/>
  <c r="N26" i="4"/>
  <c r="V28" i="31"/>
  <c r="V13" i="31"/>
  <c r="V14" i="31"/>
  <c r="U77" i="31"/>
  <c r="U73" i="31"/>
  <c r="M15" i="4"/>
  <c r="M27" i="4"/>
  <c r="V35" i="31"/>
  <c r="V227" i="31"/>
  <c r="V232" i="31"/>
  <c r="U68" i="31"/>
  <c r="V12" i="31"/>
  <c r="S77" i="31"/>
  <c r="S73" i="31"/>
  <c r="K27" i="4"/>
  <c r="K15" i="4"/>
  <c r="T68" i="31"/>
  <c r="V27" i="31"/>
  <c r="R240" i="31"/>
  <c r="T77" i="31"/>
  <c r="T73" i="31"/>
  <c r="L15" i="4"/>
  <c r="L27" i="4"/>
  <c r="W68" i="31"/>
  <c r="R242" i="31"/>
  <c r="R77" i="31"/>
  <c r="V59" i="13"/>
  <c r="R73" i="31"/>
  <c r="V56" i="13"/>
  <c r="J15" i="4"/>
  <c r="J61" i="68"/>
  <c r="J63" i="68"/>
  <c r="J27" i="4"/>
  <c r="S68" i="31"/>
  <c r="W35" i="31"/>
  <c r="W227" i="31"/>
  <c r="W232" i="31"/>
  <c r="O15" i="4"/>
  <c r="W73" i="31"/>
  <c r="O27" i="4"/>
  <c r="W77" i="31"/>
  <c r="T6" i="46"/>
  <c r="S8" i="45"/>
  <c r="S8" i="44"/>
  <c r="S8" i="59"/>
  <c r="T8" i="42"/>
  <c r="J57" i="68"/>
  <c r="R68" i="31"/>
  <c r="V51" i="13"/>
  <c r="P15" i="4"/>
  <c r="P27" i="4"/>
  <c r="X73" i="31"/>
  <c r="X77" i="31"/>
  <c r="R39" i="31"/>
  <c r="V22" i="13"/>
  <c r="J28" i="68"/>
  <c r="Y35" i="31"/>
  <c r="Y227" i="31"/>
  <c r="Y232" i="31"/>
  <c r="X35" i="31"/>
  <c r="X227" i="31"/>
  <c r="X232" i="31"/>
  <c r="W50" i="31"/>
  <c r="W36" i="31"/>
  <c r="X106" i="31"/>
  <c r="S39" i="31"/>
  <c r="R41" i="31"/>
  <c r="V24" i="13"/>
  <c r="J30" i="68"/>
  <c r="X68" i="31"/>
  <c r="W48" i="31"/>
  <c r="W230" i="31"/>
  <c r="J29" i="68"/>
  <c r="R40" i="31"/>
  <c r="V23" i="13"/>
  <c r="Q27" i="4"/>
  <c r="Y77" i="31"/>
  <c r="Y73" i="31"/>
  <c r="Q15" i="4"/>
  <c r="Y68" i="31"/>
  <c r="S40" i="31"/>
  <c r="X36" i="31"/>
  <c r="Y106" i="31"/>
  <c r="X48" i="31"/>
  <c r="X230" i="31"/>
  <c r="T39" i="31"/>
  <c r="U39" i="31"/>
  <c r="Y36" i="31"/>
  <c r="Y228" i="31"/>
  <c r="S41" i="31"/>
  <c r="X50" i="31"/>
  <c r="T41" i="31"/>
  <c r="T40" i="31"/>
  <c r="Y48" i="31"/>
  <c r="Y230" i="31"/>
  <c r="U41" i="31"/>
  <c r="Y50" i="31"/>
  <c r="P16" i="4"/>
  <c r="P28" i="4"/>
  <c r="V39" i="31"/>
  <c r="S3" i="59"/>
  <c r="S10" i="59"/>
  <c r="S16" i="59" s="1"/>
  <c r="S18" i="59" s="1"/>
  <c r="S20" i="59" s="1"/>
  <c r="T3" i="42"/>
  <c r="T10" i="42"/>
  <c r="T15" i="42" s="1"/>
  <c r="S3" i="45"/>
  <c r="S10" i="45"/>
  <c r="S3" i="44"/>
  <c r="S10" i="44"/>
  <c r="C34" i="43" s="1"/>
  <c r="C36" i="43" s="1"/>
  <c r="T5" i="46"/>
  <c r="U40" i="31"/>
  <c r="V40" i="31"/>
  <c r="X70" i="31"/>
  <c r="Q16" i="4"/>
  <c r="Q28" i="4"/>
  <c r="W39" i="31"/>
  <c r="V41" i="31"/>
  <c r="V44" i="31"/>
  <c r="X39" i="31"/>
  <c r="X71" i="31"/>
  <c r="W40" i="31"/>
  <c r="W44" i="31"/>
  <c r="W41" i="31"/>
  <c r="Y70" i="31"/>
  <c r="Y71" i="31"/>
  <c r="Y40" i="31"/>
  <c r="X40" i="31"/>
  <c r="Y39" i="31"/>
  <c r="V17" i="31"/>
  <c r="X41" i="31"/>
  <c r="X44" i="31"/>
  <c r="Y44" i="31"/>
  <c r="Y41" i="31"/>
  <c r="R49" i="31"/>
  <c r="R231" i="31"/>
  <c r="J36" i="68"/>
  <c r="S49" i="31"/>
  <c r="S231" i="31"/>
  <c r="T54" i="31"/>
  <c r="T52" i="31"/>
  <c r="T49" i="31"/>
  <c r="T231" i="31"/>
  <c r="U54" i="31"/>
  <c r="U52" i="31"/>
  <c r="U49" i="31"/>
  <c r="V36" i="31"/>
  <c r="W106" i="31"/>
  <c r="V50" i="31"/>
  <c r="O16" i="4"/>
  <c r="O28" i="4"/>
  <c r="V70" i="31"/>
  <c r="N16" i="4"/>
  <c r="N28" i="4"/>
  <c r="W70" i="31"/>
  <c r="V19" i="31"/>
  <c r="V21" i="31"/>
  <c r="V66" i="31"/>
  <c r="W71" i="31"/>
  <c r="V22" i="31"/>
  <c r="V24" i="31"/>
  <c r="V67" i="31"/>
  <c r="V78" i="31"/>
  <c r="V71" i="31"/>
  <c r="V59" i="31"/>
  <c r="W59" i="31"/>
  <c r="V61" i="31"/>
  <c r="W105" i="31"/>
  <c r="X59" i="31"/>
  <c r="V52" i="31"/>
  <c r="V54" i="31"/>
  <c r="W61" i="31"/>
  <c r="X105" i="31"/>
  <c r="X61" i="31"/>
  <c r="Y105" i="31"/>
  <c r="W52" i="31"/>
  <c r="W54" i="31"/>
  <c r="Y59" i="31"/>
  <c r="Y61" i="31"/>
  <c r="X54" i="31"/>
  <c r="X52" i="31"/>
  <c r="V49" i="31"/>
  <c r="N29" i="4"/>
  <c r="V82" i="31"/>
  <c r="Y54" i="31"/>
  <c r="Y52" i="31"/>
  <c r="V85" i="31"/>
  <c r="V51" i="31"/>
  <c r="V55" i="31"/>
  <c r="V62" i="31"/>
  <c r="V86" i="31"/>
  <c r="V87" i="31"/>
  <c r="V33" i="31"/>
  <c r="W66" i="31"/>
  <c r="V38" i="31"/>
  <c r="V45" i="31"/>
  <c r="I39" i="68"/>
  <c r="Q52" i="31"/>
  <c r="Q54" i="31"/>
  <c r="U37" i="13"/>
  <c r="I29" i="4"/>
  <c r="I66" i="68"/>
  <c r="J39" i="68"/>
  <c r="R52" i="31"/>
  <c r="R54" i="31"/>
  <c r="V37" i="13"/>
  <c r="J66" i="68"/>
  <c r="S54" i="31"/>
  <c r="S52" i="31"/>
  <c r="H11" i="6"/>
  <c r="Q11" i="31" s="1"/>
  <c r="S48" i="31"/>
  <c r="S230" i="31"/>
  <c r="I39" i="97"/>
  <c r="I19" i="97"/>
  <c r="R48" i="31"/>
  <c r="R230" i="31"/>
  <c r="J35" i="68"/>
  <c r="I32" i="98"/>
  <c r="I36" i="98" s="1"/>
  <c r="E13" i="112"/>
  <c r="G13" i="112"/>
  <c r="E10" i="112"/>
  <c r="G10" i="112"/>
  <c r="E11" i="112"/>
  <c r="G11" i="112"/>
  <c r="H27" i="6"/>
  <c r="C234" i="63" s="1"/>
  <c r="I37" i="68"/>
  <c r="Q50" i="31"/>
  <c r="U33" i="13"/>
  <c r="E12" i="112"/>
  <c r="G12" i="112"/>
  <c r="Q51" i="31"/>
  <c r="U34" i="13"/>
  <c r="I38" i="68"/>
  <c r="E5" i="112"/>
  <c r="G5" i="112"/>
  <c r="Q55" i="31"/>
  <c r="U38" i="13"/>
  <c r="I41" i="68"/>
  <c r="E14" i="68"/>
  <c r="E15" i="68" s="1"/>
  <c r="Q59" i="31"/>
  <c r="U42" i="13"/>
  <c r="Q67" i="31"/>
  <c r="U50" i="13"/>
  <c r="D43" i="68"/>
  <c r="I18" i="69"/>
  <c r="I45" i="68"/>
  <c r="Q62" i="31"/>
  <c r="U45" i="13"/>
  <c r="Q61" i="31"/>
  <c r="U44" i="13"/>
  <c r="I37" i="70"/>
  <c r="D71" i="68"/>
  <c r="J43" i="68"/>
  <c r="E13" i="57"/>
  <c r="E15" i="57"/>
  <c r="R58" i="31"/>
  <c r="Q78" i="31"/>
  <c r="I64" i="68"/>
  <c r="I69" i="68"/>
  <c r="E9" i="112"/>
  <c r="G9" i="112"/>
  <c r="W49" i="31"/>
  <c r="W231" i="31"/>
  <c r="W82" i="31"/>
  <c r="O29" i="4"/>
  <c r="W85" i="31"/>
  <c r="W51" i="31"/>
  <c r="W86" i="31"/>
  <c r="W62" i="31"/>
  <c r="W55" i="31"/>
  <c r="W87" i="31"/>
  <c r="W33" i="31"/>
  <c r="X66" i="31"/>
  <c r="W38" i="31"/>
  <c r="W45" i="31"/>
  <c r="P29" i="4"/>
  <c r="X49" i="31"/>
  <c r="X85" i="31"/>
  <c r="X82" i="31"/>
  <c r="X51" i="31"/>
  <c r="X55" i="31"/>
  <c r="X62" i="31"/>
  <c r="X86" i="31"/>
  <c r="X87" i="31"/>
  <c r="X33" i="31"/>
  <c r="Y66" i="31"/>
  <c r="X38" i="31"/>
  <c r="X45" i="31"/>
  <c r="E8" i="112"/>
  <c r="G8" i="112"/>
  <c r="Y49" i="31"/>
  <c r="Q29" i="4"/>
  <c r="Y82" i="31"/>
  <c r="Y51" i="31"/>
  <c r="Y85" i="31"/>
  <c r="I14" i="97"/>
  <c r="I35" i="97"/>
  <c r="Y86" i="31"/>
  <c r="Y62" i="31"/>
  <c r="Y55" i="31"/>
  <c r="Y87" i="31"/>
  <c r="I25" i="68"/>
  <c r="Q36" i="31"/>
  <c r="Q228" i="31"/>
  <c r="I16" i="4"/>
  <c r="I28" i="4"/>
  <c r="Y33" i="31"/>
  <c r="R36" i="31"/>
  <c r="R228" i="31"/>
  <c r="J25" i="68"/>
  <c r="I58" i="68"/>
  <c r="Q70" i="31"/>
  <c r="U53" i="13"/>
  <c r="Y38" i="31"/>
  <c r="Q66" i="31"/>
  <c r="U49" i="13"/>
  <c r="Q71" i="31"/>
  <c r="U54" i="13"/>
  <c r="Y45" i="31"/>
  <c r="S36" i="31"/>
  <c r="S228" i="31"/>
  <c r="T36" i="31"/>
  <c r="T228" i="31"/>
  <c r="E7" i="112"/>
  <c r="G7" i="112"/>
  <c r="U36" i="31"/>
  <c r="U228" i="31"/>
  <c r="E6" i="112"/>
  <c r="G6" i="112"/>
  <c r="E14" i="112"/>
  <c r="G14" i="112"/>
  <c r="J24" i="68"/>
  <c r="R35" i="31"/>
  <c r="V18" i="13"/>
  <c r="S35" i="31"/>
  <c r="S227" i="31"/>
  <c r="S232" i="31"/>
  <c r="J37" i="68"/>
  <c r="R50" i="31"/>
  <c r="V33" i="13"/>
  <c r="T35" i="31"/>
  <c r="T227" i="31"/>
  <c r="T232" i="31"/>
  <c r="U35" i="31"/>
  <c r="J38" i="68"/>
  <c r="R51" i="31"/>
  <c r="V34" i="13"/>
  <c r="J16" i="4"/>
  <c r="J28" i="4"/>
  <c r="J41" i="68"/>
  <c r="R55" i="31"/>
  <c r="V38" i="13"/>
  <c r="R70" i="31"/>
  <c r="V53" i="13"/>
  <c r="J58" i="68"/>
  <c r="S50" i="31"/>
  <c r="S55" i="31"/>
  <c r="S51" i="31"/>
  <c r="T50" i="31"/>
  <c r="K16" i="4"/>
  <c r="K28" i="4"/>
  <c r="L16" i="4"/>
  <c r="L28" i="4"/>
  <c r="S70" i="31"/>
  <c r="U50" i="31"/>
  <c r="T55" i="31"/>
  <c r="T51" i="31"/>
  <c r="U51" i="31"/>
  <c r="U55" i="31"/>
  <c r="M16" i="4"/>
  <c r="M28" i="4"/>
  <c r="T70" i="31"/>
  <c r="U70" i="31"/>
  <c r="J67" i="68"/>
  <c r="R82" i="31"/>
  <c r="V62" i="13"/>
  <c r="J29" i="4"/>
  <c r="K29" i="4"/>
  <c r="S82" i="31"/>
  <c r="L29" i="4"/>
  <c r="T82" i="31"/>
  <c r="U82" i="31"/>
  <c r="M29" i="4"/>
  <c r="I62" i="68"/>
  <c r="I32" i="68"/>
  <c r="Q43" i="31"/>
  <c r="U26" i="13"/>
  <c r="Q77" i="31"/>
  <c r="U59" i="13"/>
  <c r="J32" i="68"/>
  <c r="I31" i="68"/>
  <c r="Q42" i="31"/>
  <c r="U25" i="13"/>
  <c r="R43" i="31"/>
  <c r="V26" i="13"/>
  <c r="S43" i="31"/>
  <c r="T43" i="31"/>
  <c r="Q85" i="31"/>
  <c r="U65" i="13"/>
  <c r="Q33" i="31"/>
  <c r="I22" i="68"/>
  <c r="J55" i="68"/>
  <c r="R42" i="31"/>
  <c r="V25" i="13"/>
  <c r="J31" i="68"/>
  <c r="Q44" i="31"/>
  <c r="U27" i="13"/>
  <c r="I33" i="68"/>
  <c r="Q86" i="31"/>
  <c r="U66" i="13"/>
  <c r="Q38" i="31"/>
  <c r="N244" i="31"/>
  <c r="I27" i="68"/>
  <c r="U43" i="31"/>
  <c r="J33" i="68"/>
  <c r="R44" i="31"/>
  <c r="V27" i="13"/>
  <c r="S42" i="31"/>
  <c r="S44" i="31"/>
  <c r="T42" i="31"/>
  <c r="T44" i="31"/>
  <c r="D70" i="68"/>
  <c r="Q45" i="31"/>
  <c r="U42" i="31"/>
  <c r="U44" i="31"/>
  <c r="Q87" i="31"/>
  <c r="U67" i="13"/>
  <c r="R66" i="31"/>
  <c r="V49" i="13"/>
  <c r="S62" i="31"/>
  <c r="R62" i="31"/>
  <c r="T62" i="31"/>
  <c r="U62" i="31"/>
  <c r="J64" i="68"/>
  <c r="J69" i="68"/>
  <c r="R78" i="31"/>
  <c r="V60" i="13"/>
  <c r="J65" i="68"/>
  <c r="J37" i="70"/>
  <c r="K37" i="70"/>
  <c r="K5" i="69"/>
  <c r="K11" i="69"/>
  <c r="L5" i="69"/>
  <c r="L11" i="69"/>
  <c r="J18" i="69"/>
  <c r="J22" i="68"/>
  <c r="J27" i="68"/>
  <c r="J45" i="68"/>
  <c r="E70" i="68"/>
  <c r="E71" i="68"/>
  <c r="R33" i="31"/>
  <c r="V16" i="13"/>
  <c r="S33" i="31"/>
  <c r="T33" i="31"/>
  <c r="U33" i="31"/>
  <c r="R38" i="31"/>
  <c r="S38" i="31"/>
  <c r="T38" i="31"/>
  <c r="U38" i="31"/>
  <c r="R45" i="31"/>
  <c r="S104" i="31"/>
  <c r="S45" i="31"/>
  <c r="T45" i="31"/>
  <c r="U45" i="31"/>
  <c r="V104" i="31"/>
  <c r="V117" i="31"/>
  <c r="S58" i="31"/>
  <c r="S30" i="31"/>
  <c r="T58" i="31"/>
  <c r="U58" i="31"/>
  <c r="U30" i="31"/>
  <c r="U96" i="31"/>
  <c r="U99" i="31"/>
  <c r="R59" i="31"/>
  <c r="V42" i="13"/>
  <c r="S59" i="31"/>
  <c r="T59" i="31"/>
  <c r="U59" i="31"/>
  <c r="R61" i="31"/>
  <c r="S105" i="31"/>
  <c r="S61" i="31"/>
  <c r="T61" i="31"/>
  <c r="U61" i="31"/>
  <c r="O244" i="31"/>
  <c r="P244" i="31"/>
  <c r="Q244" i="31"/>
  <c r="R244" i="31"/>
  <c r="F13" i="57"/>
  <c r="F15" i="57"/>
  <c r="G13" i="57"/>
  <c r="G15" i="57"/>
  <c r="H13" i="57"/>
  <c r="H15" i="57"/>
  <c r="S66" i="31"/>
  <c r="T66" i="31"/>
  <c r="U66" i="31"/>
  <c r="R67" i="31"/>
  <c r="V50" i="13"/>
  <c r="S67" i="31"/>
  <c r="T67" i="31"/>
  <c r="U67" i="31"/>
  <c r="R71" i="31"/>
  <c r="S71" i="31"/>
  <c r="T71" i="31"/>
  <c r="U71" i="31"/>
  <c r="S78" i="31"/>
  <c r="T78" i="31"/>
  <c r="U78" i="31"/>
  <c r="R85" i="31"/>
  <c r="V65" i="13"/>
  <c r="S85" i="31"/>
  <c r="T85" i="31"/>
  <c r="U85" i="31"/>
  <c r="R86" i="31"/>
  <c r="V66" i="13"/>
  <c r="S86" i="31"/>
  <c r="T86" i="31"/>
  <c r="U86" i="31"/>
  <c r="R87" i="31"/>
  <c r="S87" i="31"/>
  <c r="T87" i="31"/>
  <c r="U87" i="31"/>
  <c r="K25" i="70"/>
  <c r="K26" i="70"/>
  <c r="E43" i="68"/>
  <c r="I205" i="96"/>
  <c r="J205" i="96"/>
  <c r="K205" i="96"/>
  <c r="H205" i="96"/>
  <c r="I206" i="96"/>
  <c r="K206" i="96"/>
  <c r="H207" i="96"/>
  <c r="H208" i="96"/>
  <c r="J208" i="96"/>
  <c r="G209" i="96"/>
  <c r="G210" i="96"/>
  <c r="I211" i="96"/>
  <c r="I212" i="96"/>
  <c r="H213" i="96"/>
  <c r="I213" i="96"/>
  <c r="G214" i="96"/>
  <c r="I215" i="96"/>
  <c r="G216" i="96"/>
  <c r="J216" i="96"/>
  <c r="G217" i="96"/>
  <c r="H218" i="96"/>
  <c r="J60" i="98"/>
  <c r="I23" i="6"/>
  <c r="E29" i="68" s="1"/>
  <c r="E76" i="68" s="1"/>
  <c r="E77" i="68" s="1"/>
  <c r="E30" i="68" s="1"/>
  <c r="J19" i="95"/>
  <c r="J217" i="96"/>
  <c r="G36" i="98"/>
  <c r="F185" i="76"/>
  <c r="F205" i="76"/>
  <c r="E34" i="119"/>
  <c r="E49" i="119"/>
  <c r="E56" i="119"/>
  <c r="E62" i="119"/>
  <c r="E69" i="119"/>
  <c r="E74" i="119"/>
  <c r="E14" i="176"/>
  <c r="E34" i="176"/>
  <c r="E49" i="176"/>
  <c r="E56" i="176"/>
  <c r="E62" i="176"/>
  <c r="E69" i="176"/>
  <c r="E74" i="176"/>
  <c r="E82" i="176"/>
  <c r="E95" i="176"/>
  <c r="D14" i="161"/>
  <c r="D34" i="161" s="1"/>
  <c r="D49" i="161" s="1"/>
  <c r="D56" i="161" s="1"/>
  <c r="D62" i="161" s="1"/>
  <c r="D70" i="161" s="1"/>
  <c r="D75" i="161" s="1"/>
  <c r="D14" i="176"/>
  <c r="D34" i="176"/>
  <c r="D49" i="176"/>
  <c r="D56" i="176"/>
  <c r="D62" i="176"/>
  <c r="D69" i="176"/>
  <c r="D74" i="176"/>
  <c r="E22" i="161"/>
  <c r="E22" i="176"/>
  <c r="J70" i="95"/>
  <c r="K51" i="95"/>
  <c r="N125" i="175"/>
  <c r="O128" i="175" s="1"/>
  <c r="C12" i="68"/>
  <c r="H14" i="76"/>
  <c r="H19" i="76"/>
  <c r="L10" i="102"/>
  <c r="M63" i="63"/>
  <c r="N63" i="63"/>
  <c r="E149" i="58"/>
  <c r="G18" i="48"/>
  <c r="Q104" i="31"/>
  <c r="Q105" i="31"/>
  <c r="T48" i="40"/>
  <c r="J42" i="40"/>
  <c r="F14" i="48"/>
  <c r="F21" i="48"/>
  <c r="D12" i="68"/>
  <c r="Y179" i="31"/>
  <c r="D26" i="61"/>
  <c r="J23" i="6"/>
  <c r="S19" i="31" s="1"/>
  <c r="E21" i="66"/>
  <c r="Y180" i="31"/>
  <c r="Q175" i="66"/>
  <c r="G72" i="90"/>
  <c r="K19" i="95"/>
  <c r="W179" i="31"/>
  <c r="K23" i="6"/>
  <c r="T19" i="31" s="1"/>
  <c r="K60" i="98"/>
  <c r="O113" i="63"/>
  <c r="F21" i="66"/>
  <c r="E183" i="66"/>
  <c r="G14" i="66"/>
  <c r="G21" i="66"/>
  <c r="M106" i="63"/>
  <c r="E4" i="57"/>
  <c r="F6" i="57"/>
  <c r="Y135" i="31"/>
  <c r="F54" i="66"/>
  <c r="F88" i="66"/>
  <c r="F145" i="66"/>
  <c r="F164" i="66"/>
  <c r="F174" i="66"/>
  <c r="F189" i="66"/>
  <c r="F199" i="66"/>
  <c r="D218" i="58"/>
  <c r="P81" i="63"/>
  <c r="Y82" i="63"/>
  <c r="Y101" i="63"/>
  <c r="Y106" i="63"/>
  <c r="L63" i="63"/>
  <c r="L120" i="63"/>
  <c r="U120" i="63"/>
  <c r="K15" i="63"/>
  <c r="F16" i="61"/>
  <c r="G32" i="66"/>
  <c r="G54" i="66"/>
  <c r="G88" i="66"/>
  <c r="G145" i="66"/>
  <c r="G164" i="66"/>
  <c r="G174" i="66"/>
  <c r="G189" i="66"/>
  <c r="G199" i="66"/>
  <c r="E147" i="58"/>
  <c r="E19" i="31"/>
  <c r="F182" i="31" s="1"/>
  <c r="O9" i="60"/>
  <c r="Q28" i="13"/>
  <c r="L50" i="31"/>
  <c r="J24" i="6"/>
  <c r="Q15" i="13"/>
  <c r="P106" i="63"/>
  <c r="H37" i="31"/>
  <c r="P175" i="65"/>
  <c r="D215" i="58"/>
  <c r="Q219" i="31"/>
  <c r="V47" i="40"/>
  <c r="J29" i="13"/>
  <c r="Q67" i="13"/>
  <c r="H13" i="31"/>
  <c r="M36" i="31"/>
  <c r="D45" i="31"/>
  <c r="H12" i="23"/>
  <c r="E45" i="13"/>
  <c r="D14" i="61"/>
  <c r="V42" i="46"/>
  <c r="V43" i="46"/>
  <c r="F116" i="66"/>
  <c r="M175" i="66"/>
  <c r="I24" i="6"/>
  <c r="E31" i="68" s="1"/>
  <c r="W199" i="31"/>
  <c r="J25" i="13"/>
  <c r="J52" i="13"/>
  <c r="G16" i="31"/>
  <c r="G33" i="31"/>
  <c r="M48" i="31"/>
  <c r="J67" i="31"/>
  <c r="E8" i="61"/>
  <c r="R147" i="66"/>
  <c r="Q44" i="13"/>
  <c r="E11" i="31"/>
  <c r="G28" i="31"/>
  <c r="E39" i="31"/>
  <c r="E201" i="31" s="1"/>
  <c r="E45" i="31"/>
  <c r="E207" i="31" s="1"/>
  <c r="I58" i="31"/>
  <c r="J29" i="31" s="1"/>
  <c r="L40" i="172"/>
  <c r="L41" i="172" s="1"/>
  <c r="L42" i="172" s="1"/>
  <c r="K42" i="31"/>
  <c r="I45" i="31"/>
  <c r="U41" i="13"/>
  <c r="E10" i="61"/>
  <c r="D81" i="90"/>
  <c r="E54" i="31"/>
  <c r="D16" i="61"/>
  <c r="D41" i="61"/>
  <c r="E188" i="76"/>
  <c r="H15" i="66"/>
  <c r="H18" i="66"/>
  <c r="H67" i="65"/>
  <c r="H179" i="65"/>
  <c r="F67" i="65"/>
  <c r="F179" i="65"/>
  <c r="D214" i="58"/>
  <c r="J10" i="102"/>
  <c r="E30" i="159"/>
  <c r="F54" i="31"/>
  <c r="C34" i="65"/>
  <c r="F97" i="65"/>
  <c r="F99" i="65"/>
  <c r="D217" i="58"/>
  <c r="D216" i="58"/>
  <c r="N113" i="63"/>
  <c r="C70" i="133"/>
  <c r="R75" i="133" s="1"/>
  <c r="S6" i="133"/>
  <c r="S24" i="45"/>
  <c r="U15" i="45"/>
  <c r="T19" i="45"/>
  <c r="D67" i="65"/>
  <c r="G67" i="65"/>
  <c r="G179" i="65"/>
  <c r="E67" i="65"/>
  <c r="E179" i="65"/>
  <c r="C59" i="121"/>
  <c r="L59" i="121"/>
  <c r="V63" i="63"/>
  <c r="V66" i="63"/>
  <c r="E123" i="68"/>
  <c r="G56" i="48"/>
  <c r="G179" i="48"/>
  <c r="C33" i="54"/>
  <c r="C37" i="54"/>
  <c r="N164" i="76"/>
  <c r="X179" i="31"/>
  <c r="K10" i="102"/>
  <c r="E145" i="68"/>
  <c r="K21" i="101"/>
  <c r="L20" i="137"/>
  <c r="S6" i="121"/>
  <c r="V204" i="31"/>
  <c r="K105" i="63"/>
  <c r="D57" i="48"/>
  <c r="P109" i="63"/>
  <c r="R164" i="76"/>
  <c r="E22" i="119"/>
  <c r="E20" i="137"/>
  <c r="Q20" i="161"/>
  <c r="AA18" i="95"/>
  <c r="L106" i="63"/>
  <c r="J104" i="63"/>
  <c r="N20" i="137"/>
  <c r="O106" i="63"/>
  <c r="K106" i="63"/>
  <c r="G120" i="65"/>
  <c r="G122" i="65"/>
  <c r="L15" i="40"/>
  <c r="P63" i="63"/>
  <c r="O56" i="63"/>
  <c r="O162" i="63"/>
  <c r="W64" i="63"/>
  <c r="M56" i="63"/>
  <c r="M162" i="63"/>
  <c r="V64" i="63"/>
  <c r="W4" i="63"/>
  <c r="X4" i="63"/>
  <c r="Y4" i="63"/>
  <c r="Y7" i="63"/>
  <c r="F128" i="68"/>
  <c r="Q14" i="13"/>
  <c r="J31" i="13"/>
  <c r="J24" i="13"/>
  <c r="J38" i="13"/>
  <c r="J50" i="13"/>
  <c r="Q56" i="13"/>
  <c r="Q61" i="13"/>
  <c r="D11" i="31"/>
  <c r="M13" i="31"/>
  <c r="M19" i="31"/>
  <c r="M241" i="31" s="1"/>
  <c r="J19" i="31"/>
  <c r="L23" i="31"/>
  <c r="N33" i="31"/>
  <c r="S16" i="13"/>
  <c r="F34" i="31"/>
  <c r="E41" i="31"/>
  <c r="F36" i="31"/>
  <c r="K40" i="31"/>
  <c r="J45" i="31"/>
  <c r="J207" i="31"/>
  <c r="K45" i="31"/>
  <c r="G43" i="31"/>
  <c r="G42" i="31"/>
  <c r="D54" i="31"/>
  <c r="I57" i="31"/>
  <c r="H54" i="31"/>
  <c r="K71" i="31"/>
  <c r="L78" i="31"/>
  <c r="K63" i="63"/>
  <c r="C192" i="63"/>
  <c r="F192" i="63"/>
  <c r="N201" i="63"/>
  <c r="J155" i="63"/>
  <c r="K15" i="40"/>
  <c r="E55" i="90"/>
  <c r="F55" i="90"/>
  <c r="G55" i="90"/>
  <c r="G53" i="90"/>
  <c r="Q28" i="31"/>
  <c r="P56" i="63"/>
  <c r="Q56" i="63"/>
  <c r="Q57" i="63"/>
  <c r="O63" i="63"/>
  <c r="N81" i="63"/>
  <c r="W82" i="63"/>
  <c r="N56" i="63"/>
  <c r="N162" i="63"/>
  <c r="L56" i="63"/>
  <c r="L162" i="63"/>
  <c r="F126" i="68"/>
  <c r="Q30" i="13"/>
  <c r="Q18" i="13"/>
  <c r="J43" i="13"/>
  <c r="J48" i="13"/>
  <c r="J58" i="13"/>
  <c r="J64" i="13"/>
  <c r="G10" i="31"/>
  <c r="G155" i="31"/>
  <c r="D21" i="31"/>
  <c r="D184" i="31"/>
  <c r="G14" i="31"/>
  <c r="L14" i="31"/>
  <c r="G23" i="31"/>
  <c r="G168" i="31" s="1"/>
  <c r="N34" i="31"/>
  <c r="L33" i="31"/>
  <c r="M66" i="31" s="1"/>
  <c r="K39" i="31"/>
  <c r="K201" i="31" s="1"/>
  <c r="I36" i="31"/>
  <c r="K36" i="31"/>
  <c r="E44" i="31"/>
  <c r="I42" i="31"/>
  <c r="M42" i="31"/>
  <c r="R25" i="13" s="1"/>
  <c r="J51" i="31"/>
  <c r="J213" i="31" s="1"/>
  <c r="D52" i="31"/>
  <c r="D57" i="31"/>
  <c r="F57" i="31"/>
  <c r="H60" i="31"/>
  <c r="E74" i="31"/>
  <c r="I42" i="100"/>
  <c r="U63" i="63"/>
  <c r="U66" i="63"/>
  <c r="D16" i="54"/>
  <c r="D20" i="54"/>
  <c r="D22" i="54"/>
  <c r="O81" i="63"/>
  <c r="X82" i="63"/>
  <c r="X64" i="63"/>
  <c r="M81" i="63"/>
  <c r="V82" i="63"/>
  <c r="U64" i="63"/>
  <c r="L54" i="63"/>
  <c r="L81" i="63"/>
  <c r="U82" i="63"/>
  <c r="J19" i="13"/>
  <c r="Q35" i="13"/>
  <c r="J39" i="13"/>
  <c r="J40" i="13"/>
  <c r="Q53" i="13"/>
  <c r="Q59" i="13"/>
  <c r="M10" i="31"/>
  <c r="K15" i="13"/>
  <c r="N11" i="31"/>
  <c r="F11" i="6"/>
  <c r="E21" i="31"/>
  <c r="G13" i="31"/>
  <c r="K17" i="31"/>
  <c r="J28" i="31"/>
  <c r="I28" i="31"/>
  <c r="I35" i="31"/>
  <c r="L36" i="31"/>
  <c r="M40" i="31"/>
  <c r="R23" i="13"/>
  <c r="J40" i="31"/>
  <c r="L51" i="31"/>
  <c r="F52" i="31"/>
  <c r="K48" i="31"/>
  <c r="J50" i="31"/>
  <c r="J55" i="31"/>
  <c r="L55" i="31"/>
  <c r="H61" i="31"/>
  <c r="H142" i="31" s="1"/>
  <c r="H139" i="31" s="1"/>
  <c r="L76" i="31"/>
  <c r="X180" i="31"/>
  <c r="D7" i="87"/>
  <c r="L77" i="87"/>
  <c r="D22" i="90"/>
  <c r="I9" i="90"/>
  <c r="D14" i="156"/>
  <c r="D34" i="156"/>
  <c r="D49" i="156"/>
  <c r="D56" i="156"/>
  <c r="D62" i="156"/>
  <c r="D69" i="156"/>
  <c r="D74" i="156"/>
  <c r="D82" i="156"/>
  <c r="D95" i="156"/>
  <c r="C67" i="68"/>
  <c r="L75" i="31"/>
  <c r="H34" i="68"/>
  <c r="C68" i="68"/>
  <c r="C18" i="15"/>
  <c r="W228" i="31"/>
  <c r="J17" i="13"/>
  <c r="J30" i="13"/>
  <c r="Q22" i="13"/>
  <c r="J36" i="13"/>
  <c r="Q32" i="13"/>
  <c r="Q31" i="13"/>
  <c r="J21" i="13"/>
  <c r="Q19" i="13"/>
  <c r="Q26" i="13"/>
  <c r="Q33" i="13"/>
  <c r="Q42" i="13"/>
  <c r="Q38" i="13"/>
  <c r="Q41" i="13"/>
  <c r="Q36" i="13"/>
  <c r="J44" i="13"/>
  <c r="J51" i="13"/>
  <c r="Q48" i="13"/>
  <c r="J53" i="13"/>
  <c r="Q51" i="13"/>
  <c r="J56" i="13"/>
  <c r="Q57" i="13"/>
  <c r="J62" i="13"/>
  <c r="Q65" i="13"/>
  <c r="Q66" i="13"/>
  <c r="J63" i="13"/>
  <c r="J68" i="13"/>
  <c r="J13" i="103"/>
  <c r="M243" i="31"/>
  <c r="J16" i="13"/>
  <c r="Q16" i="13"/>
  <c r="J18" i="13"/>
  <c r="Q25" i="13"/>
  <c r="Q24" i="13"/>
  <c r="J27" i="13"/>
  <c r="Q34" i="13"/>
  <c r="Q21" i="13"/>
  <c r="Q23" i="13"/>
  <c r="J28" i="13"/>
  <c r="J35" i="13"/>
  <c r="J41" i="13"/>
  <c r="Q37" i="13"/>
  <c r="Q43" i="13"/>
  <c r="Q39" i="13"/>
  <c r="Q45" i="13"/>
  <c r="Q49" i="13"/>
  <c r="J49" i="13"/>
  <c r="J55" i="13"/>
  <c r="Q52" i="13"/>
  <c r="Q55" i="13"/>
  <c r="Q58" i="13"/>
  <c r="J66" i="13"/>
  <c r="Q62" i="13"/>
  <c r="J59" i="13"/>
  <c r="J67" i="13"/>
  <c r="J14" i="13"/>
  <c r="Q17" i="13"/>
  <c r="J21" i="101"/>
  <c r="L21" i="101"/>
  <c r="J15" i="13"/>
  <c r="J33" i="13"/>
  <c r="J23" i="13"/>
  <c r="Q20" i="13"/>
  <c r="J26" i="13"/>
  <c r="J32" i="13"/>
  <c r="J20" i="13"/>
  <c r="J22" i="13"/>
  <c r="Q27" i="13"/>
  <c r="J34" i="13"/>
  <c r="Q40" i="13"/>
  <c r="J45" i="13"/>
  <c r="J42" i="13"/>
  <c r="J37" i="13"/>
  <c r="Q50" i="13"/>
  <c r="J46" i="13"/>
  <c r="J47" i="13"/>
  <c r="J54" i="13"/>
  <c r="Q54" i="13"/>
  <c r="J57" i="13"/>
  <c r="J60" i="13"/>
  <c r="Q64" i="13"/>
  <c r="J61" i="13"/>
  <c r="Q63" i="13"/>
  <c r="J65" i="13"/>
  <c r="N175" i="65"/>
  <c r="I21" i="101"/>
  <c r="J61" i="31"/>
  <c r="J223" i="31" s="1"/>
  <c r="I61" i="31"/>
  <c r="J105" i="31"/>
  <c r="F69" i="31"/>
  <c r="G67" i="31"/>
  <c r="L67" i="31"/>
  <c r="E59" i="31"/>
  <c r="E221" i="31" s="1"/>
  <c r="M61" i="31"/>
  <c r="M73" i="31"/>
  <c r="D68" i="31"/>
  <c r="D72" i="31"/>
  <c r="L56" i="31"/>
  <c r="H59" i="31"/>
  <c r="M58" i="31"/>
  <c r="M60" i="31"/>
  <c r="I72" i="31"/>
  <c r="N72" i="31"/>
  <c r="S55" i="13"/>
  <c r="I70" i="31"/>
  <c r="D71" i="31"/>
  <c r="E78" i="31"/>
  <c r="J78" i="31"/>
  <c r="J58" i="31"/>
  <c r="D74" i="31"/>
  <c r="G74" i="31"/>
  <c r="L70" i="31"/>
  <c r="M75" i="31"/>
  <c r="O103" i="63"/>
  <c r="E69" i="31"/>
  <c r="N77" i="31"/>
  <c r="S59" i="13" s="1"/>
  <c r="T201" i="31"/>
  <c r="P173" i="31"/>
  <c r="P155" i="31"/>
  <c r="F26" i="174"/>
  <c r="C9" i="61"/>
  <c r="D8" i="61"/>
  <c r="D40" i="48"/>
  <c r="O4" i="45"/>
  <c r="R93" i="48"/>
  <c r="N4" i="59"/>
  <c r="N4" i="44"/>
  <c r="O4" i="42"/>
  <c r="Q188" i="76"/>
  <c r="L20" i="102"/>
  <c r="K20" i="102"/>
  <c r="J20" i="102"/>
  <c r="I20" i="102"/>
  <c r="I20" i="160"/>
  <c r="O20" i="160"/>
  <c r="P20" i="160"/>
  <c r="V166" i="31"/>
  <c r="T63" i="63"/>
  <c r="T66" i="63"/>
  <c r="P183" i="31"/>
  <c r="P165" i="31"/>
  <c r="P159" i="31"/>
  <c r="P177" i="31"/>
  <c r="P20" i="119"/>
  <c r="K20" i="119"/>
  <c r="V169" i="31"/>
  <c r="L47" i="40"/>
  <c r="L75" i="40"/>
  <c r="U75" i="40"/>
  <c r="T204" i="31"/>
  <c r="L10" i="31"/>
  <c r="M14" i="31"/>
  <c r="L17" i="31"/>
  <c r="K14" i="31"/>
  <c r="F17" i="31"/>
  <c r="M23" i="31"/>
  <c r="L28" i="31"/>
  <c r="H35" i="31"/>
  <c r="F35" i="31"/>
  <c r="F227" i="31" s="1"/>
  <c r="F38" i="31"/>
  <c r="H39" i="31"/>
  <c r="K37" i="31"/>
  <c r="F39" i="31"/>
  <c r="F45" i="31"/>
  <c r="L42" i="31"/>
  <c r="L204" i="31" s="1"/>
  <c r="G50" i="31"/>
  <c r="G49" i="31"/>
  <c r="G45" i="31"/>
  <c r="E50" i="31"/>
  <c r="E49" i="31"/>
  <c r="J56" i="31"/>
  <c r="J218" i="31" s="1"/>
  <c r="J54" i="31"/>
  <c r="G54" i="31"/>
  <c r="G57" i="31"/>
  <c r="J60" i="31"/>
  <c r="N58" i="31"/>
  <c r="N62" i="31"/>
  <c r="G69" i="31"/>
  <c r="G75" i="31"/>
  <c r="H70" i="31"/>
  <c r="E77" i="31"/>
  <c r="I62" i="31"/>
  <c r="N71" i="31"/>
  <c r="S54" i="13" s="1"/>
  <c r="F68" i="31"/>
  <c r="P187" i="31"/>
  <c r="P169" i="31"/>
  <c r="O77" i="31"/>
  <c r="O76" i="31"/>
  <c r="T58" i="13" s="1"/>
  <c r="G79" i="31"/>
  <c r="M74" i="31"/>
  <c r="R57" i="13" s="1"/>
  <c r="L72" i="31"/>
  <c r="N68" i="31"/>
  <c r="S51" i="13" s="1"/>
  <c r="G78" i="31"/>
  <c r="J76" i="31"/>
  <c r="H74" i="31"/>
  <c r="G72" i="31"/>
  <c r="M70" i="31"/>
  <c r="R53" i="13"/>
  <c r="I69" i="31"/>
  <c r="E68" i="31"/>
  <c r="M62" i="31"/>
  <c r="I71" i="31"/>
  <c r="L68" i="31"/>
  <c r="N78" i="31"/>
  <c r="I77" i="31"/>
  <c r="E76" i="31"/>
  <c r="K74" i="31"/>
  <c r="F73" i="31"/>
  <c r="E71" i="31"/>
  <c r="H68" i="31"/>
  <c r="I78" i="31"/>
  <c r="D77" i="31"/>
  <c r="K75" i="31"/>
  <c r="F74" i="31"/>
  <c r="M72" i="31"/>
  <c r="R55" i="13" s="1"/>
  <c r="H71" i="31"/>
  <c r="H77" i="31"/>
  <c r="H78" i="31"/>
  <c r="H79" i="31"/>
  <c r="H80" i="31"/>
  <c r="K69" i="31"/>
  <c r="N67" i="31"/>
  <c r="S50" i="13"/>
  <c r="G62" i="31"/>
  <c r="J69" i="31"/>
  <c r="I67" i="31"/>
  <c r="N61" i="31"/>
  <c r="G58" i="31"/>
  <c r="L60" i="31"/>
  <c r="L61" i="31"/>
  <c r="L142" i="31"/>
  <c r="L139" i="31" s="1"/>
  <c r="G59" i="31"/>
  <c r="J59" i="31"/>
  <c r="F59" i="31"/>
  <c r="N60" i="31"/>
  <c r="I59" i="31"/>
  <c r="D58" i="31"/>
  <c r="E60" i="31"/>
  <c r="K57" i="31"/>
  <c r="E55" i="31"/>
  <c r="J57" i="31"/>
  <c r="E56" i="31"/>
  <c r="K54" i="31"/>
  <c r="K216" i="31" s="1"/>
  <c r="F53" i="31"/>
  <c r="N54" i="31"/>
  <c r="M57" i="31"/>
  <c r="R40" i="13"/>
  <c r="K55" i="31"/>
  <c r="H57" i="31"/>
  <c r="N55" i="31"/>
  <c r="I54" i="31"/>
  <c r="I216" i="31" s="1"/>
  <c r="D53" i="31"/>
  <c r="L54" i="31"/>
  <c r="H52" i="31"/>
  <c r="N50" i="31"/>
  <c r="I49" i="31"/>
  <c r="D48" i="31"/>
  <c r="D43" i="31"/>
  <c r="N51" i="31"/>
  <c r="I50" i="31"/>
  <c r="I152" i="31" s="1"/>
  <c r="D49" i="31"/>
  <c r="H45" i="31"/>
  <c r="H205" i="31" s="1"/>
  <c r="K43" i="31"/>
  <c r="K205" i="31" s="1"/>
  <c r="F42" i="31"/>
  <c r="J43" i="31"/>
  <c r="J205" i="31" s="1"/>
  <c r="J52" i="31"/>
  <c r="E51" i="31"/>
  <c r="K49" i="31"/>
  <c r="F48" i="31"/>
  <c r="F43" i="31"/>
  <c r="E52" i="31"/>
  <c r="K50" i="31"/>
  <c r="F49" i="31"/>
  <c r="N45" i="31"/>
  <c r="I44" i="31"/>
  <c r="I206" i="31" s="1"/>
  <c r="E43" i="31"/>
  <c r="M45" i="31"/>
  <c r="H43" i="31"/>
  <c r="D41" i="31"/>
  <c r="D203" i="31" s="1"/>
  <c r="J39" i="31"/>
  <c r="J201" i="31" s="1"/>
  <c r="L37" i="31"/>
  <c r="N40" i="31"/>
  <c r="I39" i="31"/>
  <c r="I201" i="31" s="1"/>
  <c r="D38" i="31"/>
  <c r="J36" i="31"/>
  <c r="J198" i="31" s="1"/>
  <c r="F37" i="31"/>
  <c r="F41" i="31"/>
  <c r="F203" i="31" s="1"/>
  <c r="L39" i="31"/>
  <c r="J37" i="31"/>
  <c r="I41" i="31"/>
  <c r="D40" i="31"/>
  <c r="J38" i="31"/>
  <c r="E37" i="31"/>
  <c r="E199" i="31" s="1"/>
  <c r="I38" i="31"/>
  <c r="K35" i="31"/>
  <c r="J35" i="31"/>
  <c r="E34" i="31"/>
  <c r="M35" i="31"/>
  <c r="D34" i="31"/>
  <c r="L35" i="31"/>
  <c r="G34" i="31"/>
  <c r="G35" i="31"/>
  <c r="I33" i="31"/>
  <c r="E28" i="31"/>
  <c r="K28" i="31"/>
  <c r="E23" i="31"/>
  <c r="K23" i="31"/>
  <c r="K10" i="31"/>
  <c r="F23" i="31"/>
  <c r="K19" i="31"/>
  <c r="I14" i="31"/>
  <c r="N19" i="31"/>
  <c r="N164" i="31" s="1"/>
  <c r="J17" i="31"/>
  <c r="E16" i="31"/>
  <c r="F179" i="31" s="1"/>
  <c r="K13" i="31"/>
  <c r="I19" i="31"/>
  <c r="H16" i="31"/>
  <c r="N21" i="31"/>
  <c r="D16" i="31"/>
  <c r="D179" i="31"/>
  <c r="I21" i="31"/>
  <c r="D19" i="31"/>
  <c r="D182" i="31" s="1"/>
  <c r="K16" i="31"/>
  <c r="F14" i="31"/>
  <c r="H21" i="31"/>
  <c r="J16" i="31"/>
  <c r="D13" i="31"/>
  <c r="D176" i="31" s="1"/>
  <c r="I11" i="31"/>
  <c r="H11" i="31"/>
  <c r="I10" i="31"/>
  <c r="F10" i="31"/>
  <c r="I80" i="31"/>
  <c r="J75" i="31"/>
  <c r="D73" i="31"/>
  <c r="D150" i="31" s="1"/>
  <c r="J70" i="31"/>
  <c r="K78" i="31"/>
  <c r="N76" i="31"/>
  <c r="S58" i="13"/>
  <c r="E75" i="31"/>
  <c r="K72" i="31"/>
  <c r="F71" i="31"/>
  <c r="M69" i="31"/>
  <c r="R52" i="13" s="1"/>
  <c r="I68" i="31"/>
  <c r="D67" i="31"/>
  <c r="F72" i="31"/>
  <c r="H69" i="31"/>
  <c r="H62" i="31"/>
  <c r="M77" i="31"/>
  <c r="R59" i="13"/>
  <c r="I76" i="31"/>
  <c r="D75" i="31"/>
  <c r="J73" i="31"/>
  <c r="M71" i="31"/>
  <c r="R54" i="13" s="1"/>
  <c r="D69" i="31"/>
  <c r="M78" i="31"/>
  <c r="R60" i="13"/>
  <c r="D76" i="31"/>
  <c r="J74" i="31"/>
  <c r="E73" i="31"/>
  <c r="L71" i="31"/>
  <c r="G70" i="31"/>
  <c r="G68" i="31"/>
  <c r="K62" i="31"/>
  <c r="F70" i="31"/>
  <c r="M67" i="31"/>
  <c r="R50" i="13"/>
  <c r="D62" i="31"/>
  <c r="D59" i="31"/>
  <c r="E61" i="31"/>
  <c r="K59" i="31"/>
  <c r="F58" i="31"/>
  <c r="N59" i="31"/>
  <c r="G60" i="31"/>
  <c r="G61" i="31"/>
  <c r="M59" i="31"/>
  <c r="R42" i="13" s="1"/>
  <c r="H58" i="31"/>
  <c r="I60" i="31"/>
  <c r="E58" i="31"/>
  <c r="F29" i="31" s="1"/>
  <c r="F56" i="31"/>
  <c r="N57" i="31"/>
  <c r="I56" i="31"/>
  <c r="D55" i="31"/>
  <c r="J53" i="31"/>
  <c r="G55" i="31"/>
  <c r="E53" i="31"/>
  <c r="E215" i="31"/>
  <c r="H56" i="31"/>
  <c r="H218" i="31"/>
  <c r="L57" i="31"/>
  <c r="G56" i="31"/>
  <c r="M54" i="31"/>
  <c r="H53" i="31"/>
  <c r="I55" i="31"/>
  <c r="L52" i="31"/>
  <c r="G51" i="31"/>
  <c r="M49" i="31"/>
  <c r="R32" i="13"/>
  <c r="H48" i="31"/>
  <c r="G48" i="31"/>
  <c r="H230" i="31"/>
  <c r="L43" i="31"/>
  <c r="L205" i="31" s="1"/>
  <c r="G52" i="31"/>
  <c r="M50" i="31"/>
  <c r="R33" i="13" s="1"/>
  <c r="H49" i="31"/>
  <c r="L45" i="31"/>
  <c r="G44" i="31"/>
  <c r="J42" i="31"/>
  <c r="F44" i="31"/>
  <c r="F206" i="31" s="1"/>
  <c r="N52" i="31"/>
  <c r="I51" i="31"/>
  <c r="D50" i="31"/>
  <c r="J48" i="31"/>
  <c r="N43" i="31"/>
  <c r="S26" i="13"/>
  <c r="I52" i="31"/>
  <c r="D51" i="31"/>
  <c r="D128" i="31" s="1"/>
  <c r="J49" i="31"/>
  <c r="E48" i="31"/>
  <c r="M44" i="31"/>
  <c r="M206" i="31" s="1"/>
  <c r="I43" i="31"/>
  <c r="D42" i="31"/>
  <c r="D44" i="31"/>
  <c r="H41" i="31"/>
  <c r="H203" i="31" s="1"/>
  <c r="N39" i="31"/>
  <c r="E38" i="31"/>
  <c r="G41" i="31"/>
  <c r="M39" i="31"/>
  <c r="R22" i="13"/>
  <c r="H38" i="31"/>
  <c r="N36" i="31"/>
  <c r="N37" i="31"/>
  <c r="J41" i="31"/>
  <c r="E40" i="31"/>
  <c r="G38" i="31"/>
  <c r="M41" i="31"/>
  <c r="H40" i="31"/>
  <c r="H202" i="31" s="1"/>
  <c r="N38" i="31"/>
  <c r="S21" i="13"/>
  <c r="I37" i="31"/>
  <c r="I229" i="31"/>
  <c r="D36" i="31"/>
  <c r="G36" i="31"/>
  <c r="N35" i="31"/>
  <c r="N227" i="31"/>
  <c r="I34" i="31"/>
  <c r="D33" i="31"/>
  <c r="H34" i="31"/>
  <c r="K33" i="31"/>
  <c r="L66" i="31" s="1"/>
  <c r="K34" i="31"/>
  <c r="F33" i="31"/>
  <c r="M33" i="31"/>
  <c r="H28" i="31"/>
  <c r="F28" i="31"/>
  <c r="F190" i="31"/>
  <c r="D23" i="31"/>
  <c r="J23" i="31"/>
  <c r="L21" i="31"/>
  <c r="D27" i="6"/>
  <c r="F16" i="31"/>
  <c r="G21" i="31"/>
  <c r="G184" i="31" s="1"/>
  <c r="N17" i="31"/>
  <c r="L22" i="13"/>
  <c r="I16" i="31"/>
  <c r="D14" i="31"/>
  <c r="D177" i="31"/>
  <c r="F21" i="31"/>
  <c r="L16" i="31"/>
  <c r="F13" i="31"/>
  <c r="E17" i="31"/>
  <c r="M21" i="31"/>
  <c r="K26" i="13" s="1"/>
  <c r="H19" i="31"/>
  <c r="G19" i="31"/>
  <c r="H182" i="31"/>
  <c r="D17" i="31"/>
  <c r="D180" i="31"/>
  <c r="J14" i="31"/>
  <c r="E13" i="31"/>
  <c r="E176" i="31" s="1"/>
  <c r="G17" i="31"/>
  <c r="L13" i="31"/>
  <c r="D14" i="6"/>
  <c r="F11" i="31"/>
  <c r="L11" i="31"/>
  <c r="G11" i="31"/>
  <c r="D10" i="31"/>
  <c r="J10" i="31"/>
  <c r="J155" i="31" s="1"/>
  <c r="N86" i="31"/>
  <c r="S66" i="13"/>
  <c r="G76" i="31"/>
  <c r="H73" i="31"/>
  <c r="G71" i="31"/>
  <c r="E67" i="31"/>
  <c r="F77" i="31"/>
  <c r="I75" i="31"/>
  <c r="K73" i="31"/>
  <c r="J71" i="31"/>
  <c r="E70" i="31"/>
  <c r="M68" i="31"/>
  <c r="R51" i="13" s="1"/>
  <c r="H67" i="31"/>
  <c r="E62" i="31"/>
  <c r="D70" i="31"/>
  <c r="K67" i="31"/>
  <c r="F78" i="31"/>
  <c r="M76" i="31"/>
  <c r="R58" i="13"/>
  <c r="H75" i="31"/>
  <c r="N73" i="31"/>
  <c r="S56" i="13" s="1"/>
  <c r="J72" i="31"/>
  <c r="L69" i="31"/>
  <c r="L62" i="31"/>
  <c r="L77" i="31"/>
  <c r="H76" i="31"/>
  <c r="N74" i="31"/>
  <c r="S57" i="13"/>
  <c r="I73" i="31"/>
  <c r="E72" i="31"/>
  <c r="K70" i="31"/>
  <c r="K68" i="31"/>
  <c r="F67" i="31"/>
  <c r="N70" i="31"/>
  <c r="S53" i="13" s="1"/>
  <c r="J68" i="31"/>
  <c r="F62" i="31"/>
  <c r="L59" i="31"/>
  <c r="D60" i="31"/>
  <c r="D222" i="31"/>
  <c r="K60" i="31"/>
  <c r="D61" i="31"/>
  <c r="K61" i="31"/>
  <c r="F60" i="31"/>
  <c r="L58" i="31"/>
  <c r="F61" i="31"/>
  <c r="F142" i="31"/>
  <c r="F139" i="31" s="1"/>
  <c r="K58" i="31"/>
  <c r="N56" i="31"/>
  <c r="S39" i="13" s="1"/>
  <c r="K53" i="31"/>
  <c r="M56" i="31"/>
  <c r="H55" i="31"/>
  <c r="N53" i="31"/>
  <c r="S36" i="13"/>
  <c r="D56" i="31"/>
  <c r="D218" i="31"/>
  <c r="I53" i="31"/>
  <c r="E57" i="31"/>
  <c r="M53" i="31"/>
  <c r="R36" i="13" s="1"/>
  <c r="K56" i="31"/>
  <c r="K218" i="31"/>
  <c r="F55" i="31"/>
  <c r="L53" i="31"/>
  <c r="L215" i="31" s="1"/>
  <c r="M55" i="31"/>
  <c r="R38" i="13" s="1"/>
  <c r="G53" i="31"/>
  <c r="K51" i="31"/>
  <c r="F50" i="31"/>
  <c r="F212" i="31" s="1"/>
  <c r="L48" i="31"/>
  <c r="H44" i="31"/>
  <c r="H206" i="31" s="1"/>
  <c r="K52" i="31"/>
  <c r="F51" i="31"/>
  <c r="L49" i="31"/>
  <c r="K44" i="31"/>
  <c r="N42" i="31"/>
  <c r="N44" i="31"/>
  <c r="E42" i="31"/>
  <c r="M51" i="31"/>
  <c r="R34" i="13" s="1"/>
  <c r="H50" i="31"/>
  <c r="H212" i="31"/>
  <c r="N48" i="31"/>
  <c r="J44" i="31"/>
  <c r="M52" i="31"/>
  <c r="R35" i="13"/>
  <c r="H51" i="31"/>
  <c r="N49" i="31"/>
  <c r="S32" i="13"/>
  <c r="I48" i="31"/>
  <c r="M43" i="31"/>
  <c r="M205" i="31" s="1"/>
  <c r="H42" i="31"/>
  <c r="L44" i="31"/>
  <c r="L41" i="31"/>
  <c r="L203" i="31" s="1"/>
  <c r="G40" i="31"/>
  <c r="M38" i="31"/>
  <c r="M200" i="31" s="1"/>
  <c r="K41" i="31"/>
  <c r="F40" i="31"/>
  <c r="L38" i="31"/>
  <c r="L200" i="31" s="1"/>
  <c r="G37" i="31"/>
  <c r="K38" i="31"/>
  <c r="K128" i="31" s="1"/>
  <c r="N41" i="31"/>
  <c r="I40" i="31"/>
  <c r="D39" i="31"/>
  <c r="E36" i="31"/>
  <c r="L40" i="31"/>
  <c r="G39" i="31"/>
  <c r="M37" i="31"/>
  <c r="M199" i="31"/>
  <c r="H36" i="31"/>
  <c r="D37" i="31"/>
  <c r="E33" i="31"/>
  <c r="F66" i="31" s="1"/>
  <c r="F87" i="31" s="1"/>
  <c r="M34" i="31"/>
  <c r="R17" i="13"/>
  <c r="H33" i="31"/>
  <c r="H99" i="31" s="1"/>
  <c r="E35" i="31"/>
  <c r="L34" i="31"/>
  <c r="L196" i="31" s="1"/>
  <c r="D35" i="31"/>
  <c r="J33" i="31"/>
  <c r="J34" i="31"/>
  <c r="M28" i="31"/>
  <c r="E34" i="6"/>
  <c r="D28" i="31"/>
  <c r="E190" i="31"/>
  <c r="N28" i="31"/>
  <c r="L32" i="13"/>
  <c r="H23" i="31"/>
  <c r="N23" i="31"/>
  <c r="F29" i="6"/>
  <c r="I23" i="31"/>
  <c r="I186" i="31" s="1"/>
  <c r="N16" i="31"/>
  <c r="K21" i="31"/>
  <c r="C27" i="6" s="1"/>
  <c r="F19" i="31"/>
  <c r="M16" i="31"/>
  <c r="H14" i="31"/>
  <c r="I177" i="31" s="1"/>
  <c r="J21" i="31"/>
  <c r="I17" i="31"/>
  <c r="N13" i="31"/>
  <c r="N158" i="31" s="1"/>
  <c r="M17" i="31"/>
  <c r="J13" i="31"/>
  <c r="L19" i="31"/>
  <c r="M182" i="31" s="1"/>
  <c r="H17" i="31"/>
  <c r="N14" i="31"/>
  <c r="F16" i="6" s="1"/>
  <c r="I13" i="31"/>
  <c r="E14" i="31"/>
  <c r="J11" i="31"/>
  <c r="M11" i="31"/>
  <c r="K11" i="31"/>
  <c r="C15" i="30"/>
  <c r="H10" i="31"/>
  <c r="N10" i="31"/>
  <c r="E10" i="31"/>
  <c r="E31" i="119"/>
  <c r="E30" i="119"/>
  <c r="E31" i="137"/>
  <c r="E30" i="137"/>
  <c r="E14" i="161"/>
  <c r="E34" i="161" s="1"/>
  <c r="E49" i="161" s="1"/>
  <c r="E56" i="161" s="1"/>
  <c r="E62" i="161" s="1"/>
  <c r="E70" i="161" s="1"/>
  <c r="E75" i="161" s="1"/>
  <c r="E14" i="135"/>
  <c r="E34" i="135"/>
  <c r="E49" i="135"/>
  <c r="E56" i="135"/>
  <c r="E62" i="135"/>
  <c r="E69" i="135"/>
  <c r="E74" i="135"/>
  <c r="E82" i="135"/>
  <c r="E95" i="135"/>
  <c r="E108" i="135"/>
  <c r="J31" i="98"/>
  <c r="O243" i="31"/>
  <c r="V162" i="31"/>
  <c r="N106" i="63"/>
  <c r="O7" i="46"/>
  <c r="N4" i="45"/>
  <c r="D17" i="171"/>
  <c r="E5" i="64"/>
  <c r="P110" i="31"/>
  <c r="P148" i="31"/>
  <c r="D18" i="72"/>
  <c r="P108" i="31"/>
  <c r="F101" i="40"/>
  <c r="P145" i="31"/>
  <c r="I74" i="31"/>
  <c r="K77" i="31"/>
  <c r="J84" i="31"/>
  <c r="L32" i="33"/>
  <c r="L41" i="29"/>
  <c r="K79" i="31"/>
  <c r="D17" i="33"/>
  <c r="D25" i="29"/>
  <c r="J20" i="161"/>
  <c r="D60" i="33"/>
  <c r="D69" i="29"/>
  <c r="G77" i="31"/>
  <c r="G80" i="31"/>
  <c r="G86" i="31"/>
  <c r="H39" i="33"/>
  <c r="H48" i="29"/>
  <c r="F125" i="65"/>
  <c r="F127" i="65"/>
  <c r="I12" i="23"/>
  <c r="F45" i="13"/>
  <c r="F27" i="13"/>
  <c r="F28" i="13" s="1"/>
  <c r="L85" i="31"/>
  <c r="H13" i="33"/>
  <c r="H21" i="29"/>
  <c r="H43" i="33"/>
  <c r="F125" i="66"/>
  <c r="F127" i="66"/>
  <c r="S102" i="31"/>
  <c r="T103" i="31"/>
  <c r="R128" i="31"/>
  <c r="O56" i="13"/>
  <c r="J105" i="63"/>
  <c r="E18" i="61"/>
  <c r="E43" i="61"/>
  <c r="J16" i="70"/>
  <c r="P164" i="31"/>
  <c r="P200" i="31"/>
  <c r="E22" i="160"/>
  <c r="E14" i="134"/>
  <c r="E34" i="134"/>
  <c r="E49" i="134"/>
  <c r="E56" i="134"/>
  <c r="E62" i="134"/>
  <c r="E69" i="134"/>
  <c r="E74" i="134"/>
  <c r="E82" i="134"/>
  <c r="E95" i="134"/>
  <c r="E22" i="133"/>
  <c r="E14" i="132"/>
  <c r="E34" i="132"/>
  <c r="E49" i="132"/>
  <c r="E56" i="132"/>
  <c r="E62" i="132"/>
  <c r="E69" i="132"/>
  <c r="E74" i="132"/>
  <c r="E82" i="132"/>
  <c r="E95" i="132"/>
  <c r="E14" i="157"/>
  <c r="E34" i="157"/>
  <c r="E49" i="157"/>
  <c r="E56" i="157" s="1"/>
  <c r="E62" i="157" s="1"/>
  <c r="E69" i="157" s="1"/>
  <c r="E74" i="157" s="1"/>
  <c r="K28" i="43"/>
  <c r="K30" i="43"/>
  <c r="D35" i="43"/>
  <c r="Q142" i="31"/>
  <c r="Q143" i="31"/>
  <c r="F79" i="31"/>
  <c r="E84" i="31"/>
  <c r="I86" i="31"/>
  <c r="H31" i="33"/>
  <c r="H122" i="33" s="1"/>
  <c r="H57" i="33"/>
  <c r="T64" i="63"/>
  <c r="H269" i="58"/>
  <c r="J106" i="40"/>
  <c r="D18" i="61"/>
  <c r="D43" i="61"/>
  <c r="D10" i="61"/>
  <c r="F6" i="61"/>
  <c r="E14" i="121"/>
  <c r="E34" i="121"/>
  <c r="E49" i="121"/>
  <c r="E56" i="121"/>
  <c r="E62" i="121"/>
  <c r="E69" i="121"/>
  <c r="E74" i="121"/>
  <c r="E82" i="121"/>
  <c r="E95" i="121"/>
  <c r="E123" i="121"/>
  <c r="E34" i="117"/>
  <c r="E49" i="117"/>
  <c r="E56" i="117"/>
  <c r="E62" i="117"/>
  <c r="E69" i="117"/>
  <c r="E74" i="117"/>
  <c r="E78" i="117"/>
  <c r="E87" i="117" s="1"/>
  <c r="E22" i="159"/>
  <c r="E20" i="156"/>
  <c r="P20" i="156"/>
  <c r="E14" i="156"/>
  <c r="E34" i="156"/>
  <c r="E49" i="156"/>
  <c r="E56" i="156"/>
  <c r="E62" i="156"/>
  <c r="E69" i="156"/>
  <c r="E74" i="156"/>
  <c r="E82" i="156"/>
  <c r="E95" i="156"/>
  <c r="E22" i="134"/>
  <c r="E14" i="133"/>
  <c r="E34" i="133"/>
  <c r="E49" i="133"/>
  <c r="E56" i="133"/>
  <c r="E62" i="133"/>
  <c r="E69" i="133"/>
  <c r="E74" i="133"/>
  <c r="E82" i="133"/>
  <c r="E95" i="133"/>
  <c r="K56" i="63"/>
  <c r="K81" i="63"/>
  <c r="E6" i="61"/>
  <c r="H119" i="48"/>
  <c r="D67" i="66"/>
  <c r="D19" i="54"/>
  <c r="E19" i="54"/>
  <c r="E22" i="121"/>
  <c r="E22" i="156"/>
  <c r="N20" i="156"/>
  <c r="E14" i="160"/>
  <c r="E34" i="160"/>
  <c r="E49" i="160"/>
  <c r="E56" i="160"/>
  <c r="E62" i="160"/>
  <c r="E69" i="160"/>
  <c r="E74" i="160"/>
  <c r="E78" i="160"/>
  <c r="E87" i="160" s="1"/>
  <c r="E14" i="137"/>
  <c r="E34" i="137"/>
  <c r="E49" i="137"/>
  <c r="E56" i="137"/>
  <c r="E62" i="137"/>
  <c r="E69" i="137"/>
  <c r="E74" i="137"/>
  <c r="E78" i="137"/>
  <c r="E87" i="137" s="1"/>
  <c r="I14" i="66"/>
  <c r="J19" i="66"/>
  <c r="K19" i="66"/>
  <c r="D11" i="33"/>
  <c r="L21" i="33"/>
  <c r="L29" i="29"/>
  <c r="D38" i="33"/>
  <c r="D47" i="29"/>
  <c r="L50" i="33"/>
  <c r="L59" i="29" s="1"/>
  <c r="E39" i="33"/>
  <c r="E48" i="29"/>
  <c r="K56" i="48"/>
  <c r="L56" i="48"/>
  <c r="L179" i="48"/>
  <c r="E18" i="54"/>
  <c r="N75" i="31"/>
  <c r="D78" i="31"/>
  <c r="N79" i="31"/>
  <c r="S61" i="13"/>
  <c r="M79" i="31"/>
  <c r="R61" i="13"/>
  <c r="N85" i="31"/>
  <c r="S65" i="13"/>
  <c r="K16" i="33"/>
  <c r="K24" i="29" s="1"/>
  <c r="H19" i="33"/>
  <c r="H27" i="29"/>
  <c r="U27" i="29" s="1"/>
  <c r="L36" i="33"/>
  <c r="L45" i="29"/>
  <c r="H49" i="33"/>
  <c r="H58" i="29"/>
  <c r="E31" i="33"/>
  <c r="R143" i="48"/>
  <c r="E181" i="48"/>
  <c r="E213" i="48"/>
  <c r="F52" i="48"/>
  <c r="O175" i="66"/>
  <c r="G12" i="23"/>
  <c r="D45" i="13"/>
  <c r="H52" i="48"/>
  <c r="C34" i="66"/>
  <c r="F34" i="66"/>
  <c r="F178" i="66"/>
  <c r="F97" i="66"/>
  <c r="F99" i="66"/>
  <c r="D56" i="33"/>
  <c r="M23" i="33"/>
  <c r="M31" i="29" s="1"/>
  <c r="M47" i="33"/>
  <c r="M56" i="29"/>
  <c r="R120" i="48"/>
  <c r="P73" i="66"/>
  <c r="P180" i="66"/>
  <c r="E67" i="68"/>
  <c r="D34" i="33"/>
  <c r="D42" i="33"/>
  <c r="D51" i="29" s="1"/>
  <c r="D52" i="33"/>
  <c r="D61" i="29"/>
  <c r="I21" i="33"/>
  <c r="I29" i="29"/>
  <c r="I40" i="33"/>
  <c r="I49" i="29"/>
  <c r="E211" i="48"/>
  <c r="R165" i="48"/>
  <c r="I54" i="33"/>
  <c r="I63" i="29"/>
  <c r="E68" i="68"/>
  <c r="U29" i="31"/>
  <c r="U191" i="31"/>
  <c r="S204" i="31"/>
  <c r="S127" i="31"/>
  <c r="S129" i="31"/>
  <c r="V122" i="31"/>
  <c r="X204" i="31"/>
  <c r="S81" i="63"/>
  <c r="S100" i="63"/>
  <c r="S105" i="63"/>
  <c r="O104" i="63"/>
  <c r="L46" i="33"/>
  <c r="L55" i="29" s="1"/>
  <c r="L54" i="33"/>
  <c r="L63" i="29"/>
  <c r="E11" i="33"/>
  <c r="I36" i="33"/>
  <c r="I45" i="29" s="1"/>
  <c r="M51" i="33"/>
  <c r="M60" i="29" s="1"/>
  <c r="P72" i="48"/>
  <c r="P199" i="31"/>
  <c r="Q129" i="31"/>
  <c r="N57" i="13"/>
  <c r="Y81" i="31"/>
  <c r="X182" i="31"/>
  <c r="M59" i="33"/>
  <c r="M68" i="29" s="1"/>
  <c r="M14" i="33"/>
  <c r="M22" i="29"/>
  <c r="M33" i="33"/>
  <c r="I46" i="33"/>
  <c r="I55" i="29" s="1"/>
  <c r="I58" i="33"/>
  <c r="I67" i="29" s="1"/>
  <c r="F195" i="65"/>
  <c r="P195" i="31"/>
  <c r="I69" i="66"/>
  <c r="P147" i="65"/>
  <c r="M147" i="65"/>
  <c r="J31" i="33"/>
  <c r="G69" i="66"/>
  <c r="F195" i="66"/>
  <c r="F21" i="65"/>
  <c r="E183" i="65"/>
  <c r="E201" i="65"/>
  <c r="E169" i="76"/>
  <c r="M188" i="76"/>
  <c r="P168" i="31"/>
  <c r="P88" i="31"/>
  <c r="D127" i="119"/>
  <c r="K54" i="121"/>
  <c r="E35" i="33"/>
  <c r="E44" i="29"/>
  <c r="M41" i="33"/>
  <c r="M50" i="29"/>
  <c r="E53" i="33"/>
  <c r="E62" i="29"/>
  <c r="N14" i="33"/>
  <c r="J106" i="63"/>
  <c r="I35" i="43"/>
  <c r="G28" i="43"/>
  <c r="G32" i="43"/>
  <c r="C29" i="43"/>
  <c r="H67" i="66"/>
  <c r="H179" i="66"/>
  <c r="G67" i="66"/>
  <c r="G179" i="66"/>
  <c r="E67" i="66"/>
  <c r="E179" i="66"/>
  <c r="I67" i="66"/>
  <c r="I179" i="66"/>
  <c r="Q168" i="65"/>
  <c r="L146" i="65"/>
  <c r="D164" i="76"/>
  <c r="D166" i="76"/>
  <c r="D189" i="76"/>
  <c r="D184" i="76"/>
  <c r="D190" i="76"/>
  <c r="D197" i="76"/>
  <c r="P196" i="31"/>
  <c r="C38" i="90"/>
  <c r="E38" i="90"/>
  <c r="D127" i="121"/>
  <c r="H54" i="159"/>
  <c r="L28" i="43"/>
  <c r="L30" i="43"/>
  <c r="E35" i="43"/>
  <c r="R168" i="66"/>
  <c r="P63" i="31"/>
  <c r="P158" i="31"/>
  <c r="P134" i="31"/>
  <c r="P241" i="31"/>
  <c r="P221" i="31"/>
  <c r="P217" i="31"/>
  <c r="P213" i="31"/>
  <c r="N20" i="119"/>
  <c r="M54" i="159"/>
  <c r="E49" i="33"/>
  <c r="E58" i="29" s="1"/>
  <c r="E57" i="33"/>
  <c r="E66" i="29"/>
  <c r="F17" i="33"/>
  <c r="F25" i="29"/>
  <c r="N40" i="33"/>
  <c r="N49" i="29"/>
  <c r="F11" i="33"/>
  <c r="N32" i="33"/>
  <c r="N41" i="29"/>
  <c r="J34" i="68"/>
  <c r="N50" i="33"/>
  <c r="N59" i="29"/>
  <c r="M13" i="33"/>
  <c r="M21" i="29"/>
  <c r="F27" i="33"/>
  <c r="F35" i="29" s="1"/>
  <c r="F42" i="33"/>
  <c r="F51" i="29"/>
  <c r="N58" i="33"/>
  <c r="N67" i="29"/>
  <c r="I17" i="33"/>
  <c r="I25" i="29"/>
  <c r="J19" i="33"/>
  <c r="J27" i="29" s="1"/>
  <c r="F38" i="33"/>
  <c r="F47" i="29"/>
  <c r="J53" i="33"/>
  <c r="J62" i="29"/>
  <c r="E148" i="58"/>
  <c r="G21" i="33"/>
  <c r="G29" i="29" s="1"/>
  <c r="J35" i="33"/>
  <c r="J44" i="29"/>
  <c r="J49" i="33"/>
  <c r="F60" i="33"/>
  <c r="F69" i="29"/>
  <c r="O38" i="33"/>
  <c r="O47" i="29"/>
  <c r="N36" i="33"/>
  <c r="N45" i="29" s="1"/>
  <c r="J43" i="33"/>
  <c r="F56" i="33"/>
  <c r="F65" i="29" s="1"/>
  <c r="K23" i="33"/>
  <c r="G50" i="33"/>
  <c r="G59" i="29"/>
  <c r="F48" i="33"/>
  <c r="F57" i="29" s="1"/>
  <c r="N54" i="33"/>
  <c r="O17" i="33"/>
  <c r="G40" i="33"/>
  <c r="G49" i="29" s="1"/>
  <c r="G58" i="33"/>
  <c r="G67" i="29" s="1"/>
  <c r="K11" i="33"/>
  <c r="K19" i="29"/>
  <c r="O34" i="33"/>
  <c r="O43" i="29" s="1"/>
  <c r="K51" i="33"/>
  <c r="K60" i="29" s="1"/>
  <c r="V29" i="31"/>
  <c r="V25" i="31"/>
  <c r="V188" i="31"/>
  <c r="T218" i="31"/>
  <c r="T210" i="31"/>
  <c r="D67" i="33"/>
  <c r="D75" i="29"/>
  <c r="G32" i="33"/>
  <c r="G41" i="29"/>
  <c r="K47" i="33"/>
  <c r="K56" i="29" s="1"/>
  <c r="O60" i="33"/>
  <c r="O69" i="29"/>
  <c r="H76" i="33"/>
  <c r="H84" i="29"/>
  <c r="K33" i="33"/>
  <c r="K42" i="29"/>
  <c r="O42" i="33"/>
  <c r="O51" i="29" s="1"/>
  <c r="O56" i="33"/>
  <c r="O65" i="29"/>
  <c r="H72" i="33"/>
  <c r="H80" i="29"/>
  <c r="M74" i="33"/>
  <c r="M82" i="29"/>
  <c r="T88" i="31"/>
  <c r="T216" i="31"/>
  <c r="K37" i="33"/>
  <c r="K46" i="29"/>
  <c r="G46" i="33"/>
  <c r="G55" i="29"/>
  <c r="O52" i="33"/>
  <c r="O61" i="29"/>
  <c r="L65" i="33"/>
  <c r="L73" i="29" s="1"/>
  <c r="E68" i="33"/>
  <c r="E76" i="29"/>
  <c r="T222" i="31"/>
  <c r="J65" i="33"/>
  <c r="J73" i="29" s="1"/>
  <c r="K55" i="33"/>
  <c r="K64" i="29" s="1"/>
  <c r="G66" i="33"/>
  <c r="G74" i="29"/>
  <c r="L73" i="33"/>
  <c r="L81" i="29" s="1"/>
  <c r="E83" i="33"/>
  <c r="E91" i="29" s="1"/>
  <c r="L84" i="33"/>
  <c r="L92" i="29" s="1"/>
  <c r="M66" i="33"/>
  <c r="M74" i="29"/>
  <c r="Q36" i="33"/>
  <c r="Q121" i="33"/>
  <c r="T128" i="31"/>
  <c r="T212" i="31"/>
  <c r="J84" i="33"/>
  <c r="J92" i="29" s="1"/>
  <c r="H68" i="33"/>
  <c r="H76" i="29"/>
  <c r="D82" i="33"/>
  <c r="D90" i="29" s="1"/>
  <c r="E76" i="33"/>
  <c r="E84" i="29" s="1"/>
  <c r="N66" i="33"/>
  <c r="N74" i="29" s="1"/>
  <c r="T104" i="31"/>
  <c r="E17" i="112"/>
  <c r="F8" i="112"/>
  <c r="W133" i="31"/>
  <c r="O68" i="33"/>
  <c r="O76" i="29" s="1"/>
  <c r="D71" i="33"/>
  <c r="D79" i="29" s="1"/>
  <c r="L77" i="33"/>
  <c r="L85" i="29"/>
  <c r="E71" i="33"/>
  <c r="E79" i="29" s="1"/>
  <c r="I84" i="33"/>
  <c r="I92" i="29" s="1"/>
  <c r="N70" i="33"/>
  <c r="N78" i="29" s="1"/>
  <c r="G19" i="43"/>
  <c r="T30" i="31"/>
  <c r="T96" i="31"/>
  <c r="T99" i="31"/>
  <c r="J119" i="48"/>
  <c r="I77" i="33"/>
  <c r="I85" i="29"/>
  <c r="I71" i="33"/>
  <c r="I79" i="29" s="1"/>
  <c r="F76" i="33"/>
  <c r="F84" i="29"/>
  <c r="O77" i="33"/>
  <c r="O85" i="29"/>
  <c r="J69" i="33"/>
  <c r="J77" i="29"/>
  <c r="O73" i="33"/>
  <c r="O81" i="29" s="1"/>
  <c r="O70" i="31"/>
  <c r="T53" i="13"/>
  <c r="J77" i="33"/>
  <c r="J85" i="29"/>
  <c r="O78" i="31"/>
  <c r="T60" i="13"/>
  <c r="P203" i="31"/>
  <c r="R220" i="31"/>
  <c r="S26" i="59"/>
  <c r="N104" i="63"/>
  <c r="H30" i="43"/>
  <c r="J114" i="63"/>
  <c r="P131" i="31"/>
  <c r="P204" i="31"/>
  <c r="P224" i="31"/>
  <c r="D44" i="87"/>
  <c r="G54" i="117"/>
  <c r="P205" i="31"/>
  <c r="P201" i="31"/>
  <c r="U18" i="13"/>
  <c r="M105" i="63"/>
  <c r="P104" i="63"/>
  <c r="N74" i="33"/>
  <c r="N82" i="29" s="1"/>
  <c r="G67" i="33"/>
  <c r="G75" i="29"/>
  <c r="P47" i="33"/>
  <c r="Q222" i="33"/>
  <c r="V30" i="46"/>
  <c r="T196" i="31"/>
  <c r="T198" i="31"/>
  <c r="S197" i="31"/>
  <c r="X104" i="31"/>
  <c r="X118" i="31"/>
  <c r="K20" i="160"/>
  <c r="F54" i="134"/>
  <c r="U88" i="31"/>
  <c r="R196" i="31"/>
  <c r="U223" i="31"/>
  <c r="U221" i="31"/>
  <c r="T127" i="31"/>
  <c r="T129" i="31"/>
  <c r="E8" i="73"/>
  <c r="C69" i="68"/>
  <c r="F72" i="33"/>
  <c r="F80" i="29"/>
  <c r="F83" i="33"/>
  <c r="F91" i="29" s="1"/>
  <c r="G75" i="33"/>
  <c r="G83" i="29"/>
  <c r="P14" i="33"/>
  <c r="Q168" i="33"/>
  <c r="R224" i="65"/>
  <c r="R233" i="65"/>
  <c r="P218" i="31"/>
  <c r="E143" i="68"/>
  <c r="P54" i="46"/>
  <c r="Q54" i="46"/>
  <c r="R54" i="46"/>
  <c r="S54" i="46"/>
  <c r="D54" i="134"/>
  <c r="G54" i="134"/>
  <c r="J4" i="40"/>
  <c r="R81" i="31"/>
  <c r="R202" i="31"/>
  <c r="V21" i="13"/>
  <c r="R105" i="31"/>
  <c r="Y102" i="31"/>
  <c r="T47" i="40"/>
  <c r="D15" i="57"/>
  <c r="Y182" i="31"/>
  <c r="K83" i="33"/>
  <c r="K91" i="29"/>
  <c r="P68" i="33"/>
  <c r="E101" i="40"/>
  <c r="I101" i="40"/>
  <c r="O68" i="46"/>
  <c r="T33" i="46"/>
  <c r="P127" i="31"/>
  <c r="E72" i="90"/>
  <c r="Q20" i="119"/>
  <c r="F20" i="119"/>
  <c r="G20" i="119"/>
  <c r="J54" i="121"/>
  <c r="D54" i="121"/>
  <c r="C70" i="121"/>
  <c r="E75" i="121"/>
  <c r="H54" i="134"/>
  <c r="T105" i="31"/>
  <c r="R215" i="31"/>
  <c r="Q128" i="31"/>
  <c r="N56" i="13"/>
  <c r="R29" i="31"/>
  <c r="R191" i="31"/>
  <c r="Q168" i="66"/>
  <c r="F66" i="48"/>
  <c r="D28" i="68"/>
  <c r="J100" i="63"/>
  <c r="K3" i="40"/>
  <c r="J7" i="40"/>
  <c r="J10" i="40"/>
  <c r="J112" i="40"/>
  <c r="J119" i="40"/>
  <c r="J19" i="64"/>
  <c r="F72" i="90"/>
  <c r="H72" i="90"/>
  <c r="D20" i="119"/>
  <c r="E20" i="119"/>
  <c r="I54" i="121"/>
  <c r="G54" i="121"/>
  <c r="J1" i="40"/>
  <c r="R207" i="31"/>
  <c r="R135" i="31"/>
  <c r="O62" i="13"/>
  <c r="V228" i="31"/>
  <c r="R168" i="65"/>
  <c r="K113" i="63"/>
  <c r="L188" i="76"/>
  <c r="P156" i="31"/>
  <c r="P166" i="31"/>
  <c r="C38" i="87"/>
  <c r="F38" i="87"/>
  <c r="D8" i="90"/>
  <c r="D72" i="90"/>
  <c r="L20" i="119"/>
  <c r="I20" i="119"/>
  <c r="D15" i="119"/>
  <c r="E15" i="119" s="1"/>
  <c r="E54" i="121"/>
  <c r="H54" i="121"/>
  <c r="R229" i="31"/>
  <c r="Q180" i="66"/>
  <c r="F20" i="156"/>
  <c r="Q20" i="156"/>
  <c r="M20" i="160"/>
  <c r="J54" i="134"/>
  <c r="O57" i="31"/>
  <c r="T40" i="13" s="1"/>
  <c r="T220" i="31"/>
  <c r="O75" i="31"/>
  <c r="P37" i="33"/>
  <c r="U23" i="45"/>
  <c r="P206" i="31"/>
  <c r="D10" i="54"/>
  <c r="D11" i="54"/>
  <c r="P202" i="31"/>
  <c r="E55" i="110"/>
  <c r="E53" i="110"/>
  <c r="E65" i="110"/>
  <c r="E98" i="110"/>
  <c r="E97" i="110"/>
  <c r="K54" i="134"/>
  <c r="N3" i="42"/>
  <c r="N10" i="42"/>
  <c r="R243" i="31"/>
  <c r="U211" i="31"/>
  <c r="T219" i="31"/>
  <c r="I49" i="68"/>
  <c r="P17" i="33"/>
  <c r="D22" i="87"/>
  <c r="I9" i="87"/>
  <c r="E55" i="87"/>
  <c r="E53" i="87"/>
  <c r="T205" i="31"/>
  <c r="W201" i="31"/>
  <c r="T202" i="31"/>
  <c r="V159" i="31"/>
  <c r="N20" i="4"/>
  <c r="K72" i="33"/>
  <c r="K80" i="29" s="1"/>
  <c r="G82" i="33"/>
  <c r="G90" i="29"/>
  <c r="O41" i="31"/>
  <c r="T24" i="13"/>
  <c r="O44" i="31"/>
  <c r="T27" i="13"/>
  <c r="E21" i="65"/>
  <c r="S132" i="31"/>
  <c r="K36" i="4"/>
  <c r="R198" i="31"/>
  <c r="R205" i="31"/>
  <c r="R212" i="31"/>
  <c r="R217" i="31"/>
  <c r="R223" i="31"/>
  <c r="R129" i="31"/>
  <c r="O57" i="13"/>
  <c r="R195" i="31"/>
  <c r="U133" i="31"/>
  <c r="T131" i="31"/>
  <c r="N243" i="31"/>
  <c r="X81" i="31"/>
  <c r="R88" i="31"/>
  <c r="S29" i="31"/>
  <c r="S191" i="31"/>
  <c r="Q243" i="31"/>
  <c r="R197" i="31"/>
  <c r="R203" i="31"/>
  <c r="R211" i="31"/>
  <c r="R216" i="31"/>
  <c r="R221" i="31"/>
  <c r="U102" i="31"/>
  <c r="V103" i="31"/>
  <c r="V119" i="31"/>
  <c r="N40" i="4"/>
  <c r="U127" i="31"/>
  <c r="Q100" i="31"/>
  <c r="R101" i="31"/>
  <c r="N33" i="4"/>
  <c r="V108" i="31"/>
  <c r="H33" i="4"/>
  <c r="H34" i="4"/>
  <c r="H49" i="68"/>
  <c r="S133" i="31"/>
  <c r="R201" i="31"/>
  <c r="R206" i="31"/>
  <c r="R213" i="31"/>
  <c r="R219" i="31"/>
  <c r="R224" i="31"/>
  <c r="R131" i="31"/>
  <c r="O58" i="13"/>
  <c r="T102" i="31"/>
  <c r="U103" i="31"/>
  <c r="W104" i="31"/>
  <c r="W118" i="31"/>
  <c r="D8" i="73"/>
  <c r="F22" i="61"/>
  <c r="G45" i="61"/>
  <c r="C4" i="61"/>
  <c r="E13" i="48"/>
  <c r="Q190" i="48"/>
  <c r="Q72" i="48"/>
  <c r="R175" i="66"/>
  <c r="F16" i="90"/>
  <c r="G16" i="90"/>
  <c r="H16" i="90"/>
  <c r="E18" i="90"/>
  <c r="E22" i="90"/>
  <c r="C59" i="156"/>
  <c r="P59" i="156" s="1"/>
  <c r="J59" i="156"/>
  <c r="I54" i="156"/>
  <c r="D54" i="156"/>
  <c r="J54" i="156"/>
  <c r="E54" i="156"/>
  <c r="H54" i="156"/>
  <c r="D15" i="135"/>
  <c r="E15" i="135" s="1"/>
  <c r="F15" i="135" s="1"/>
  <c r="P20" i="135"/>
  <c r="Q20" i="135"/>
  <c r="F20" i="135"/>
  <c r="I20" i="135"/>
  <c r="O20" i="135"/>
  <c r="L110" i="63"/>
  <c r="P162" i="31"/>
  <c r="G153" i="65"/>
  <c r="G116" i="65"/>
  <c r="F116" i="65"/>
  <c r="F54" i="65"/>
  <c r="F88" i="65"/>
  <c r="F145" i="65"/>
  <c r="F164" i="65"/>
  <c r="F174" i="65"/>
  <c r="F189" i="65"/>
  <c r="F199" i="65"/>
  <c r="F153" i="65"/>
  <c r="M73" i="65"/>
  <c r="M156" i="65"/>
  <c r="M175" i="65"/>
  <c r="Q73" i="65"/>
  <c r="Q180" i="65"/>
  <c r="Q175" i="65"/>
  <c r="E19" i="117"/>
  <c r="F17" i="117"/>
  <c r="G17" i="117"/>
  <c r="H17" i="117"/>
  <c r="I17" i="117"/>
  <c r="J17" i="117"/>
  <c r="K17" i="117"/>
  <c r="L17" i="117"/>
  <c r="M17" i="117"/>
  <c r="N17" i="117"/>
  <c r="O17" i="117"/>
  <c r="P17" i="117"/>
  <c r="Q17" i="117"/>
  <c r="F20" i="121"/>
  <c r="M20" i="121"/>
  <c r="D15" i="121"/>
  <c r="E15" i="121" s="1"/>
  <c r="I20" i="121"/>
  <c r="L20" i="121"/>
  <c r="J20" i="121"/>
  <c r="D20" i="121"/>
  <c r="G20" i="121"/>
  <c r="E85" i="96"/>
  <c r="E102" i="96" s="1"/>
  <c r="E119" i="96" s="1"/>
  <c r="E17" i="134"/>
  <c r="F17" i="134"/>
  <c r="D19" i="134"/>
  <c r="F35" i="172"/>
  <c r="F16" i="172" s="1"/>
  <c r="E51" i="172"/>
  <c r="M75" i="172"/>
  <c r="J64" i="95" s="1"/>
  <c r="R55" i="46"/>
  <c r="S55" i="46"/>
  <c r="P31" i="33"/>
  <c r="O13" i="31"/>
  <c r="P50" i="33"/>
  <c r="P74" i="33"/>
  <c r="O69" i="31"/>
  <c r="T52" i="13" s="1"/>
  <c r="O49" i="31"/>
  <c r="O35" i="31"/>
  <c r="O17" i="31"/>
  <c r="P75" i="33"/>
  <c r="O58" i="31"/>
  <c r="P38" i="33"/>
  <c r="P56" i="33"/>
  <c r="P76" i="33"/>
  <c r="O67" i="31"/>
  <c r="T50" i="13" s="1"/>
  <c r="O86" i="31"/>
  <c r="O33" i="31"/>
  <c r="O14" i="31"/>
  <c r="P71" i="33"/>
  <c r="O40" i="31"/>
  <c r="G84" i="33"/>
  <c r="G92" i="29"/>
  <c r="O82" i="33"/>
  <c r="O90" i="29" s="1"/>
  <c r="K78" i="33"/>
  <c r="K86" i="29"/>
  <c r="G77" i="33"/>
  <c r="G85" i="29"/>
  <c r="O75" i="33"/>
  <c r="O83" i="29"/>
  <c r="K74" i="33"/>
  <c r="K82" i="29" s="1"/>
  <c r="G73" i="33"/>
  <c r="G81" i="29"/>
  <c r="K71" i="33"/>
  <c r="K68" i="33"/>
  <c r="K76" i="29" s="1"/>
  <c r="K65" i="33"/>
  <c r="K73" i="29" s="1"/>
  <c r="N83" i="33"/>
  <c r="N91" i="29"/>
  <c r="J82" i="33"/>
  <c r="J90" i="29" s="1"/>
  <c r="F78" i="33"/>
  <c r="F86" i="29" s="1"/>
  <c r="N76" i="33"/>
  <c r="N84" i="29" s="1"/>
  <c r="J75" i="33"/>
  <c r="J83" i="29"/>
  <c r="F74" i="33"/>
  <c r="F82" i="29" s="1"/>
  <c r="N72" i="33"/>
  <c r="N80" i="29" s="1"/>
  <c r="J71" i="33"/>
  <c r="J79" i="29" s="1"/>
  <c r="F70" i="33"/>
  <c r="F78" i="29"/>
  <c r="N68" i="33"/>
  <c r="N76" i="29" s="1"/>
  <c r="J67" i="33"/>
  <c r="J75" i="29" s="1"/>
  <c r="F66" i="33"/>
  <c r="F74" i="29" s="1"/>
  <c r="E73" i="33"/>
  <c r="E81" i="29"/>
  <c r="E70" i="33"/>
  <c r="E78" i="29" s="1"/>
  <c r="M67" i="33"/>
  <c r="M75" i="29" s="1"/>
  <c r="I65" i="33"/>
  <c r="I73" i="29" s="1"/>
  <c r="M83" i="33"/>
  <c r="M91" i="29"/>
  <c r="I82" i="33"/>
  <c r="I90" i="29" s="1"/>
  <c r="E78" i="33"/>
  <c r="E86" i="29" s="1"/>
  <c r="M76" i="33"/>
  <c r="M84" i="29" s="1"/>
  <c r="I75" i="33"/>
  <c r="I83" i="29"/>
  <c r="E74" i="33"/>
  <c r="E82" i="29" s="1"/>
  <c r="E72" i="33"/>
  <c r="E80" i="29" s="1"/>
  <c r="I69" i="33"/>
  <c r="I66" i="33"/>
  <c r="I74" i="29" s="1"/>
  <c r="D84" i="33"/>
  <c r="L82" i="33"/>
  <c r="L90" i="29" s="1"/>
  <c r="H78" i="33"/>
  <c r="H86" i="29" s="1"/>
  <c r="D77" i="33"/>
  <c r="D85" i="29" s="1"/>
  <c r="L75" i="33"/>
  <c r="L83" i="29"/>
  <c r="H74" i="33"/>
  <c r="H82" i="29" s="1"/>
  <c r="D73" i="33"/>
  <c r="D81" i="29" s="1"/>
  <c r="L71" i="33"/>
  <c r="H70" i="33"/>
  <c r="H78" i="29" s="1"/>
  <c r="D69" i="33"/>
  <c r="L67" i="33"/>
  <c r="L75" i="29" s="1"/>
  <c r="H66" i="33"/>
  <c r="H74" i="29" s="1"/>
  <c r="D65" i="33"/>
  <c r="D73" i="29" s="1"/>
  <c r="O69" i="33"/>
  <c r="K67" i="33"/>
  <c r="K75" i="29"/>
  <c r="G65" i="33"/>
  <c r="G73" i="29"/>
  <c r="G60" i="33"/>
  <c r="O58" i="33"/>
  <c r="K57" i="33"/>
  <c r="G56" i="33"/>
  <c r="O54" i="33"/>
  <c r="K53" i="33"/>
  <c r="G52" i="33"/>
  <c r="O50" i="33"/>
  <c r="K49" i="33"/>
  <c r="G48" i="33"/>
  <c r="O46" i="33"/>
  <c r="K43" i="33"/>
  <c r="G42" i="33"/>
  <c r="O40" i="33"/>
  <c r="K39" i="33"/>
  <c r="G38" i="33"/>
  <c r="O36" i="33"/>
  <c r="K35" i="33"/>
  <c r="G34" i="33"/>
  <c r="O32" i="33"/>
  <c r="K31" i="33"/>
  <c r="G27" i="33"/>
  <c r="O21" i="33"/>
  <c r="K19" i="33"/>
  <c r="G17" i="33"/>
  <c r="O13" i="33"/>
  <c r="N60" i="33"/>
  <c r="J59" i="33"/>
  <c r="F58" i="33"/>
  <c r="N56" i="33"/>
  <c r="J55" i="33"/>
  <c r="F54" i="33"/>
  <c r="N52" i="33"/>
  <c r="J51" i="33"/>
  <c r="F50" i="33"/>
  <c r="N48" i="33"/>
  <c r="J47" i="33"/>
  <c r="F46" i="33"/>
  <c r="N42" i="33"/>
  <c r="J41" i="33"/>
  <c r="F40" i="33"/>
  <c r="N38" i="33"/>
  <c r="J37" i="33"/>
  <c r="F36" i="33"/>
  <c r="N34" i="33"/>
  <c r="J33" i="33"/>
  <c r="F32" i="33"/>
  <c r="N27" i="33"/>
  <c r="J23" i="33"/>
  <c r="F21" i="33"/>
  <c r="N17" i="33"/>
  <c r="J16" i="33"/>
  <c r="F14" i="33"/>
  <c r="N11" i="33"/>
  <c r="J10" i="33"/>
  <c r="E16" i="33"/>
  <c r="I11" i="33"/>
  <c r="I60" i="33"/>
  <c r="E59" i="33"/>
  <c r="M57" i="33"/>
  <c r="I56" i="33"/>
  <c r="E55" i="33"/>
  <c r="M53" i="33"/>
  <c r="I52" i="33"/>
  <c r="E51" i="33"/>
  <c r="M49" i="33"/>
  <c r="I48" i="33"/>
  <c r="E47" i="33"/>
  <c r="M43" i="33"/>
  <c r="I42" i="33"/>
  <c r="E41" i="33"/>
  <c r="M39" i="33"/>
  <c r="I38" i="33"/>
  <c r="E37" i="33"/>
  <c r="M35" i="33"/>
  <c r="I34" i="33"/>
  <c r="E33" i="33"/>
  <c r="M31" i="33"/>
  <c r="I27" i="33"/>
  <c r="E23" i="33"/>
  <c r="M19" i="33"/>
  <c r="E17" i="33"/>
  <c r="I13" i="33"/>
  <c r="L60" i="33"/>
  <c r="H59" i="33"/>
  <c r="D58" i="33"/>
  <c r="L56" i="33"/>
  <c r="H55" i="33"/>
  <c r="D54" i="33"/>
  <c r="L52" i="33"/>
  <c r="H51" i="33"/>
  <c r="D50" i="33"/>
  <c r="L48" i="33"/>
  <c r="H47" i="33"/>
  <c r="D46" i="33"/>
  <c r="L42" i="33"/>
  <c r="H41" i="33"/>
  <c r="D40" i="33"/>
  <c r="L38" i="33"/>
  <c r="H37" i="33"/>
  <c r="D36" i="33"/>
  <c r="L34" i="33"/>
  <c r="H33" i="33"/>
  <c r="D32" i="33"/>
  <c r="L27" i="33"/>
  <c r="H23" i="33"/>
  <c r="D21" i="33"/>
  <c r="L17" i="33"/>
  <c r="H16" i="33"/>
  <c r="D14" i="33"/>
  <c r="L11" i="33"/>
  <c r="H10" i="33"/>
  <c r="G14" i="33"/>
  <c r="O10" i="33"/>
  <c r="F86" i="31"/>
  <c r="L86" i="31"/>
  <c r="D86" i="31"/>
  <c r="D87" i="31"/>
  <c r="I85" i="31"/>
  <c r="F85" i="31"/>
  <c r="M85" i="31"/>
  <c r="R65" i="13"/>
  <c r="D85" i="31"/>
  <c r="G84" i="31"/>
  <c r="J80" i="31"/>
  <c r="E79" i="31"/>
  <c r="L79" i="31"/>
  <c r="O23" i="31"/>
  <c r="P46" i="33"/>
  <c r="P70" i="33"/>
  <c r="P27" i="33"/>
  <c r="O84" i="31"/>
  <c r="T64" i="13"/>
  <c r="O61" i="31"/>
  <c r="O11" i="31"/>
  <c r="P55" i="33"/>
  <c r="O85" i="31"/>
  <c r="T65" i="13"/>
  <c r="P34" i="33"/>
  <c r="P52" i="33"/>
  <c r="P72" i="33"/>
  <c r="P21" i="33"/>
  <c r="O79" i="31"/>
  <c r="T61" i="13"/>
  <c r="O59" i="31"/>
  <c r="O45" i="31"/>
  <c r="P51" i="33"/>
  <c r="O54" i="31"/>
  <c r="K84" i="33"/>
  <c r="G83" i="33"/>
  <c r="G91" i="29" s="1"/>
  <c r="O78" i="33"/>
  <c r="O86" i="29" s="1"/>
  <c r="K77" i="33"/>
  <c r="K85" i="29" s="1"/>
  <c r="G76" i="33"/>
  <c r="G84" i="29"/>
  <c r="O74" i="33"/>
  <c r="O82" i="29" s="1"/>
  <c r="K73" i="33"/>
  <c r="K81" i="29" s="1"/>
  <c r="O71" i="33"/>
  <c r="K69" i="33"/>
  <c r="K66" i="33"/>
  <c r="K74" i="29"/>
  <c r="F84" i="33"/>
  <c r="F92" i="29" s="1"/>
  <c r="N82" i="33"/>
  <c r="N90" i="29" s="1"/>
  <c r="J78" i="33"/>
  <c r="J86" i="29" s="1"/>
  <c r="F77" i="33"/>
  <c r="F85" i="29"/>
  <c r="N75" i="33"/>
  <c r="N83" i="29" s="1"/>
  <c r="J74" i="33"/>
  <c r="J82" i="29" s="1"/>
  <c r="F73" i="33"/>
  <c r="F81" i="29" s="1"/>
  <c r="N71" i="33"/>
  <c r="J70" i="33"/>
  <c r="J78" i="29"/>
  <c r="F69" i="33"/>
  <c r="F77" i="29"/>
  <c r="N67" i="33"/>
  <c r="N75" i="29"/>
  <c r="J66" i="33"/>
  <c r="J74" i="29" s="1"/>
  <c r="F65" i="33"/>
  <c r="F73" i="29"/>
  <c r="M70" i="33"/>
  <c r="M78" i="29"/>
  <c r="I68" i="33"/>
  <c r="I76" i="29"/>
  <c r="E66" i="33"/>
  <c r="E74" i="29" s="1"/>
  <c r="E84" i="33"/>
  <c r="E92" i="29"/>
  <c r="M82" i="33"/>
  <c r="M90" i="29"/>
  <c r="I78" i="33"/>
  <c r="I86" i="29"/>
  <c r="E77" i="33"/>
  <c r="E85" i="29" s="1"/>
  <c r="M75" i="33"/>
  <c r="M83" i="29"/>
  <c r="I74" i="33"/>
  <c r="I82" i="29"/>
  <c r="M72" i="33"/>
  <c r="M80" i="29"/>
  <c r="I70" i="33"/>
  <c r="I78" i="29" s="1"/>
  <c r="E67" i="33"/>
  <c r="E75" i="29"/>
  <c r="H84" i="33"/>
  <c r="H92" i="29"/>
  <c r="D83" i="33"/>
  <c r="D91" i="29"/>
  <c r="L78" i="33"/>
  <c r="L86" i="29" s="1"/>
  <c r="H77" i="33"/>
  <c r="H85" i="29"/>
  <c r="D76" i="33"/>
  <c r="D84" i="29"/>
  <c r="L74" i="33"/>
  <c r="L82" i="29"/>
  <c r="H73" i="33"/>
  <c r="H81" i="29" s="1"/>
  <c r="D72" i="33"/>
  <c r="D80" i="29"/>
  <c r="L70" i="33"/>
  <c r="L78" i="29"/>
  <c r="H69" i="33"/>
  <c r="H77" i="29"/>
  <c r="D68" i="33"/>
  <c r="D76" i="29" s="1"/>
  <c r="L66" i="33"/>
  <c r="L74" i="29"/>
  <c r="H65" i="33"/>
  <c r="H73" i="29"/>
  <c r="K70" i="33"/>
  <c r="K78" i="29"/>
  <c r="G68" i="33"/>
  <c r="G76" i="29" s="1"/>
  <c r="O65" i="33"/>
  <c r="O73" i="29"/>
  <c r="K60" i="33"/>
  <c r="G59" i="33"/>
  <c r="O57" i="33"/>
  <c r="K56" i="33"/>
  <c r="G55" i="33"/>
  <c r="O53" i="33"/>
  <c r="K52" i="33"/>
  <c r="G51" i="33"/>
  <c r="O49" i="33"/>
  <c r="K48" i="33"/>
  <c r="G47" i="33"/>
  <c r="O43" i="33"/>
  <c r="K42" i="33"/>
  <c r="G41" i="33"/>
  <c r="O39" i="33"/>
  <c r="K38" i="33"/>
  <c r="G37" i="33"/>
  <c r="O35" i="33"/>
  <c r="K34" i="33"/>
  <c r="G33" i="33"/>
  <c r="O31" i="33"/>
  <c r="K27" i="33"/>
  <c r="G23" i="33"/>
  <c r="O19" i="33"/>
  <c r="K17" i="33"/>
  <c r="K14" i="33"/>
  <c r="K10" i="33"/>
  <c r="N59" i="33"/>
  <c r="J58" i="33"/>
  <c r="F57" i="33"/>
  <c r="N55" i="33"/>
  <c r="J54" i="33"/>
  <c r="J209" i="33" s="1"/>
  <c r="F53" i="33"/>
  <c r="N51" i="33"/>
  <c r="J50" i="33"/>
  <c r="F49" i="33"/>
  <c r="N47" i="33"/>
  <c r="J46" i="33"/>
  <c r="F43" i="33"/>
  <c r="N41" i="33"/>
  <c r="N50" i="29" s="1"/>
  <c r="J40" i="33"/>
  <c r="F39" i="33"/>
  <c r="N37" i="33"/>
  <c r="J36" i="33"/>
  <c r="F35" i="33"/>
  <c r="N33" i="33"/>
  <c r="J32" i="33"/>
  <c r="F31" i="33"/>
  <c r="N23" i="33"/>
  <c r="J21" i="33"/>
  <c r="F19" i="33"/>
  <c r="N16" i="33"/>
  <c r="J14" i="33"/>
  <c r="F13" i="33"/>
  <c r="N10" i="33"/>
  <c r="M16" i="33"/>
  <c r="E13" i="33"/>
  <c r="M60" i="33"/>
  <c r="I59" i="33"/>
  <c r="E58" i="33"/>
  <c r="M56" i="33"/>
  <c r="I55" i="33"/>
  <c r="E54" i="33"/>
  <c r="M52" i="33"/>
  <c r="M207" i="33" s="1"/>
  <c r="I51" i="33"/>
  <c r="E50" i="33"/>
  <c r="M48" i="33"/>
  <c r="I47" i="33"/>
  <c r="E46" i="33"/>
  <c r="M42" i="33"/>
  <c r="I41" i="33"/>
  <c r="E40" i="33"/>
  <c r="M38" i="33"/>
  <c r="I37" i="33"/>
  <c r="E36" i="33"/>
  <c r="M34" i="33"/>
  <c r="I33" i="33"/>
  <c r="E32" i="33"/>
  <c r="M27" i="33"/>
  <c r="I23" i="33"/>
  <c r="I31" i="29" s="1"/>
  <c r="E21" i="33"/>
  <c r="M17" i="33"/>
  <c r="E14" i="33"/>
  <c r="E10" i="33"/>
  <c r="L59" i="33"/>
  <c r="H58" i="33"/>
  <c r="D57" i="33"/>
  <c r="L55" i="33"/>
  <c r="L64" i="29" s="1"/>
  <c r="H54" i="33"/>
  <c r="D53" i="33"/>
  <c r="L51" i="33"/>
  <c r="H50" i="33"/>
  <c r="D49" i="33"/>
  <c r="L47" i="33"/>
  <c r="H46" i="33"/>
  <c r="D43" i="33"/>
  <c r="L41" i="33"/>
  <c r="H40" i="33"/>
  <c r="D39" i="33"/>
  <c r="L37" i="33"/>
  <c r="H36" i="33"/>
  <c r="D35" i="33"/>
  <c r="L33" i="33"/>
  <c r="H32" i="33"/>
  <c r="H41" i="29" s="1"/>
  <c r="D31" i="33"/>
  <c r="L23" i="33"/>
  <c r="H21" i="33"/>
  <c r="D19" i="33"/>
  <c r="L16" i="33"/>
  <c r="H14" i="33"/>
  <c r="D13" i="33"/>
  <c r="L10" i="33"/>
  <c r="O14" i="33"/>
  <c r="G11" i="33"/>
  <c r="J86" i="31"/>
  <c r="E86" i="31"/>
  <c r="H86" i="31"/>
  <c r="K84" i="31"/>
  <c r="J85" i="31"/>
  <c r="F84" i="31"/>
  <c r="H85" i="31"/>
  <c r="D84" i="31"/>
  <c r="N80" i="31"/>
  <c r="I79" i="31"/>
  <c r="E80" i="31"/>
  <c r="L80" i="31"/>
  <c r="K80" i="31"/>
  <c r="P65" i="33"/>
  <c r="P32" i="33"/>
  <c r="P54" i="33"/>
  <c r="P11" i="33"/>
  <c r="O73" i="31"/>
  <c r="T56" i="13" s="1"/>
  <c r="O53" i="31"/>
  <c r="O39" i="31"/>
  <c r="O28" i="31"/>
  <c r="P19" i="33"/>
  <c r="O36" i="31"/>
  <c r="P42" i="33"/>
  <c r="P60" i="33"/>
  <c r="P83" i="33"/>
  <c r="O71" i="31"/>
  <c r="O51" i="31"/>
  <c r="O37" i="31"/>
  <c r="O21" i="31"/>
  <c r="P13" i="33"/>
  <c r="O19" i="31"/>
  <c r="O83" i="33"/>
  <c r="O91" i="29" s="1"/>
  <c r="K82" i="33"/>
  <c r="K90" i="29"/>
  <c r="G78" i="33"/>
  <c r="G86" i="29" s="1"/>
  <c r="O76" i="33"/>
  <c r="O84" i="29" s="1"/>
  <c r="K75" i="33"/>
  <c r="K83" i="29" s="1"/>
  <c r="G74" i="33"/>
  <c r="G82" i="29"/>
  <c r="O72" i="33"/>
  <c r="O80" i="29" s="1"/>
  <c r="O70" i="33"/>
  <c r="O78" i="29" s="1"/>
  <c r="O67" i="33"/>
  <c r="O75" i="29" s="1"/>
  <c r="N84" i="33"/>
  <c r="N92" i="29"/>
  <c r="J83" i="33"/>
  <c r="J91" i="29" s="1"/>
  <c r="F82" i="33"/>
  <c r="F90" i="29" s="1"/>
  <c r="N77" i="33"/>
  <c r="N85" i="29" s="1"/>
  <c r="J76" i="33"/>
  <c r="J84" i="29"/>
  <c r="F75" i="33"/>
  <c r="F83" i="29" s="1"/>
  <c r="N73" i="33"/>
  <c r="N81" i="29" s="1"/>
  <c r="J72" i="33"/>
  <c r="J80" i="29" s="1"/>
  <c r="F71" i="33"/>
  <c r="N69" i="33"/>
  <c r="J68" i="33"/>
  <c r="J76" i="29" s="1"/>
  <c r="F67" i="33"/>
  <c r="F75" i="29" s="1"/>
  <c r="N65" i="33"/>
  <c r="N73" i="29" s="1"/>
  <c r="I72" i="33"/>
  <c r="I80" i="29"/>
  <c r="M69" i="33"/>
  <c r="I67" i="33"/>
  <c r="I75" i="29"/>
  <c r="M84" i="33"/>
  <c r="M92" i="29"/>
  <c r="I83" i="33"/>
  <c r="I91" i="29" s="1"/>
  <c r="E82" i="33"/>
  <c r="E90" i="29"/>
  <c r="M77" i="33"/>
  <c r="M85" i="29"/>
  <c r="I76" i="33"/>
  <c r="I84" i="29"/>
  <c r="E75" i="33"/>
  <c r="E83" i="29" s="1"/>
  <c r="M73" i="33"/>
  <c r="M81" i="29"/>
  <c r="M71" i="33"/>
  <c r="M68" i="33"/>
  <c r="M76" i="29" s="1"/>
  <c r="M65" i="33"/>
  <c r="M73" i="29" s="1"/>
  <c r="L83" i="33"/>
  <c r="L91" i="29"/>
  <c r="H82" i="33"/>
  <c r="H90" i="29" s="1"/>
  <c r="D78" i="33"/>
  <c r="D86" i="29" s="1"/>
  <c r="L76" i="33"/>
  <c r="L84" i="29" s="1"/>
  <c r="H75" i="33"/>
  <c r="H83" i="29"/>
  <c r="D74" i="33"/>
  <c r="D82" i="29" s="1"/>
  <c r="L72" i="33"/>
  <c r="L80" i="29" s="1"/>
  <c r="H71" i="33"/>
  <c r="D70" i="33"/>
  <c r="D78" i="29" s="1"/>
  <c r="L68" i="33"/>
  <c r="L76" i="29"/>
  <c r="H67" i="33"/>
  <c r="H75" i="29"/>
  <c r="D66" i="33"/>
  <c r="D74" i="29"/>
  <c r="G72" i="33"/>
  <c r="G80" i="29" s="1"/>
  <c r="G69" i="33"/>
  <c r="O66" i="33"/>
  <c r="O74" i="29" s="1"/>
  <c r="E65" i="33"/>
  <c r="E73" i="29" s="1"/>
  <c r="O59" i="33"/>
  <c r="K58" i="33"/>
  <c r="G57" i="33"/>
  <c r="O55" i="33"/>
  <c r="K54" i="33"/>
  <c r="K63" i="29" s="1"/>
  <c r="G53" i="33"/>
  <c r="O51" i="33"/>
  <c r="K50" i="33"/>
  <c r="G49" i="33"/>
  <c r="O47" i="33"/>
  <c r="K46" i="33"/>
  <c r="G43" i="33"/>
  <c r="O41" i="33"/>
  <c r="K40" i="33"/>
  <c r="G39" i="33"/>
  <c r="O37" i="33"/>
  <c r="K36" i="33"/>
  <c r="G35" i="33"/>
  <c r="O33" i="33"/>
  <c r="K32" i="33"/>
  <c r="G31" i="33"/>
  <c r="O23" i="33"/>
  <c r="K21" i="33"/>
  <c r="G19" i="33"/>
  <c r="O16" i="33"/>
  <c r="G13" i="33"/>
  <c r="J60" i="33"/>
  <c r="F59" i="33"/>
  <c r="N57" i="33"/>
  <c r="J56" i="33"/>
  <c r="F55" i="33"/>
  <c r="N53" i="33"/>
  <c r="J52" i="33"/>
  <c r="F51" i="33"/>
  <c r="N49" i="33"/>
  <c r="J48" i="33"/>
  <c r="F47" i="33"/>
  <c r="N43" i="33"/>
  <c r="J42" i="33"/>
  <c r="F41" i="33"/>
  <c r="N39" i="33"/>
  <c r="J38" i="33"/>
  <c r="F37" i="33"/>
  <c r="N35" i="33"/>
  <c r="J34" i="33"/>
  <c r="F33" i="33"/>
  <c r="N31" i="33"/>
  <c r="J27" i="33"/>
  <c r="F23" i="33"/>
  <c r="N19" i="33"/>
  <c r="J17" i="33"/>
  <c r="F16" i="33"/>
  <c r="N13" i="33"/>
  <c r="J11" i="33"/>
  <c r="F10" i="33"/>
  <c r="I14" i="33"/>
  <c r="M10" i="33"/>
  <c r="E60" i="33"/>
  <c r="M58" i="33"/>
  <c r="I57" i="33"/>
  <c r="E56" i="33"/>
  <c r="M54" i="33"/>
  <c r="I53" i="33"/>
  <c r="E52" i="33"/>
  <c r="M50" i="33"/>
  <c r="I49" i="33"/>
  <c r="E48" i="33"/>
  <c r="M46" i="33"/>
  <c r="I43" i="33"/>
  <c r="E42" i="33"/>
  <c r="M40" i="33"/>
  <c r="I39" i="33"/>
  <c r="E38" i="33"/>
  <c r="M36" i="33"/>
  <c r="I35" i="33"/>
  <c r="E34" i="33"/>
  <c r="M32" i="33"/>
  <c r="I31" i="33"/>
  <c r="E27" i="33"/>
  <c r="M21" i="33"/>
  <c r="I19" i="33"/>
  <c r="I16" i="33"/>
  <c r="M11" i="33"/>
  <c r="H60" i="33"/>
  <c r="D59" i="33"/>
  <c r="L57" i="33"/>
  <c r="H56" i="33"/>
  <c r="D55" i="33"/>
  <c r="L53" i="33"/>
  <c r="H52" i="33"/>
  <c r="D51" i="33"/>
  <c r="L49" i="33"/>
  <c r="H48" i="33"/>
  <c r="H143" i="33" s="1"/>
  <c r="D47" i="33"/>
  <c r="L43" i="33"/>
  <c r="H42" i="33"/>
  <c r="D41" i="33"/>
  <c r="L39" i="33"/>
  <c r="H38" i="33"/>
  <c r="D37" i="33"/>
  <c r="L35" i="33"/>
  <c r="L220" i="33" s="1"/>
  <c r="H34" i="33"/>
  <c r="D33" i="33"/>
  <c r="L31" i="33"/>
  <c r="H27" i="33"/>
  <c r="D23" i="33"/>
  <c r="L19" i="33"/>
  <c r="H17" i="33"/>
  <c r="D16" i="33"/>
  <c r="L13" i="33"/>
  <c r="H11" i="33"/>
  <c r="D10" i="33"/>
  <c r="K13" i="33"/>
  <c r="G10" i="33"/>
  <c r="M86" i="31"/>
  <c r="K86" i="31"/>
  <c r="K85" i="31"/>
  <c r="M84" i="31"/>
  <c r="R64" i="13"/>
  <c r="N84" i="31"/>
  <c r="S64" i="13"/>
  <c r="I84" i="31"/>
  <c r="L84" i="31"/>
  <c r="E85" i="31"/>
  <c r="F80" i="31"/>
  <c r="M80" i="31"/>
  <c r="D80" i="31"/>
  <c r="K60" i="40"/>
  <c r="T61" i="40"/>
  <c r="K47" i="40"/>
  <c r="K75" i="40"/>
  <c r="T75" i="40"/>
  <c r="P222" i="31"/>
  <c r="P142" i="31"/>
  <c r="P214" i="31"/>
  <c r="P135" i="31"/>
  <c r="P132" i="31"/>
  <c r="H36" i="4"/>
  <c r="H43" i="4"/>
  <c r="H20" i="4"/>
  <c r="H21" i="4"/>
  <c r="P100" i="31"/>
  <c r="P230" i="31"/>
  <c r="P210" i="31"/>
  <c r="Q106" i="31"/>
  <c r="P228" i="31"/>
  <c r="P198" i="31"/>
  <c r="P128" i="31"/>
  <c r="P111" i="31"/>
  <c r="P167" i="31"/>
  <c r="P115" i="31"/>
  <c r="F72" i="110"/>
  <c r="F105" i="110"/>
  <c r="D72" i="110"/>
  <c r="D105" i="110"/>
  <c r="D15" i="157"/>
  <c r="E15" i="157" s="1"/>
  <c r="P20" i="157"/>
  <c r="I20" i="157"/>
  <c r="E20" i="121"/>
  <c r="F161" i="76"/>
  <c r="F13" i="76"/>
  <c r="F52" i="76"/>
  <c r="F96" i="76"/>
  <c r="F153" i="76"/>
  <c r="F172" i="76"/>
  <c r="F182" i="76"/>
  <c r="F202" i="76"/>
  <c r="F212" i="76"/>
  <c r="G35" i="76"/>
  <c r="G13" i="76"/>
  <c r="P164" i="76"/>
  <c r="P188" i="76"/>
  <c r="H72" i="116"/>
  <c r="H102" i="116"/>
  <c r="D72" i="116"/>
  <c r="D102" i="116"/>
  <c r="E72" i="116"/>
  <c r="E102" i="116"/>
  <c r="G72" i="116"/>
  <c r="G102" i="116"/>
  <c r="I72" i="116"/>
  <c r="I102" i="116"/>
  <c r="I134" i="116"/>
  <c r="J72" i="116"/>
  <c r="J102" i="116"/>
  <c r="J134" i="116"/>
  <c r="E127" i="159"/>
  <c r="D127" i="159"/>
  <c r="C59" i="135"/>
  <c r="D54" i="135"/>
  <c r="H54" i="135"/>
  <c r="G73" i="31"/>
  <c r="L74" i="31"/>
  <c r="F76" i="31"/>
  <c r="J77" i="31"/>
  <c r="J62" i="31"/>
  <c r="N69" i="31"/>
  <c r="S52" i="13" s="1"/>
  <c r="H72" i="31"/>
  <c r="L73" i="31"/>
  <c r="F75" i="31"/>
  <c r="K76" i="31"/>
  <c r="J79" i="31"/>
  <c r="D79" i="31"/>
  <c r="H84" i="31"/>
  <c r="G85" i="31"/>
  <c r="O11" i="33"/>
  <c r="L14" i="33"/>
  <c r="D27" i="33"/>
  <c r="H35" i="33"/>
  <c r="L40" i="33"/>
  <c r="D48" i="33"/>
  <c r="H53" i="33"/>
  <c r="L58" i="33"/>
  <c r="E19" i="33"/>
  <c r="I32" i="33"/>
  <c r="M37" i="33"/>
  <c r="M192" i="33" s="1"/>
  <c r="E43" i="33"/>
  <c r="I50" i="33"/>
  <c r="M55" i="33"/>
  <c r="I10" i="33"/>
  <c r="J13" i="33"/>
  <c r="N21" i="33"/>
  <c r="F34" i="33"/>
  <c r="J39" i="33"/>
  <c r="N46" i="33"/>
  <c r="F52" i="33"/>
  <c r="J57" i="33"/>
  <c r="J66" i="29" s="1"/>
  <c r="G16" i="33"/>
  <c r="O27" i="33"/>
  <c r="G36" i="33"/>
  <c r="K41" i="33"/>
  <c r="O48" i="33"/>
  <c r="G54" i="33"/>
  <c r="K59" i="33"/>
  <c r="G71" i="33"/>
  <c r="L69" i="33"/>
  <c r="D75" i="33"/>
  <c r="D83" i="29" s="1"/>
  <c r="H83" i="33"/>
  <c r="H91" i="29" s="1"/>
  <c r="I73" i="33"/>
  <c r="I81" i="29"/>
  <c r="M78" i="33"/>
  <c r="M86" i="29"/>
  <c r="E69" i="33"/>
  <c r="F68" i="33"/>
  <c r="F76" i="29"/>
  <c r="J73" i="33"/>
  <c r="J81" i="29"/>
  <c r="N78" i="33"/>
  <c r="N86" i="29" s="1"/>
  <c r="G70" i="33"/>
  <c r="G78" i="29"/>
  <c r="K76" i="33"/>
  <c r="K84" i="29"/>
  <c r="O84" i="33"/>
  <c r="O92" i="29"/>
  <c r="O55" i="31"/>
  <c r="P48" i="33"/>
  <c r="O43" i="31"/>
  <c r="T26" i="13"/>
  <c r="P66" i="33"/>
  <c r="K41" i="40"/>
  <c r="B230" i="65"/>
  <c r="F208" i="76"/>
  <c r="H20" i="121"/>
  <c r="C101" i="40"/>
  <c r="G101" i="40"/>
  <c r="D6" i="110"/>
  <c r="D78" i="110"/>
  <c r="R221" i="65"/>
  <c r="R230" i="65"/>
  <c r="E23" i="76"/>
  <c r="F133" i="76"/>
  <c r="F135" i="76"/>
  <c r="P112" i="63"/>
  <c r="D7" i="90"/>
  <c r="E77" i="90"/>
  <c r="J57" i="63"/>
  <c r="J58" i="63"/>
  <c r="T18" i="46"/>
  <c r="S12" i="45"/>
  <c r="S12" i="59"/>
  <c r="D74" i="76"/>
  <c r="S201" i="31"/>
  <c r="S142" i="31"/>
  <c r="S143" i="31"/>
  <c r="R200" i="31"/>
  <c r="C190" i="63"/>
  <c r="C213" i="63"/>
  <c r="J20" i="156"/>
  <c r="M54" i="134"/>
  <c r="S224" i="31"/>
  <c r="V31" i="13"/>
  <c r="P78" i="33"/>
  <c r="P58" i="33"/>
  <c r="P40" i="33"/>
  <c r="O74" i="31"/>
  <c r="T57" i="13" s="1"/>
  <c r="P129" i="31"/>
  <c r="D54" i="133"/>
  <c r="T206" i="31"/>
  <c r="T213" i="31"/>
  <c r="K54" i="159"/>
  <c r="J39" i="87"/>
  <c r="T29" i="31"/>
  <c r="T191" i="31"/>
  <c r="S128" i="31"/>
  <c r="S134" i="31"/>
  <c r="S223" i="31"/>
  <c r="S202" i="31"/>
  <c r="S210" i="31"/>
  <c r="S214" i="31"/>
  <c r="U104" i="31"/>
  <c r="T215" i="31"/>
  <c r="R30" i="31"/>
  <c r="R96" i="31"/>
  <c r="R99" i="31"/>
  <c r="V161" i="31"/>
  <c r="G230" i="63"/>
  <c r="N5" i="42"/>
  <c r="D7" i="39"/>
  <c r="P59" i="33"/>
  <c r="Q98" i="33"/>
  <c r="N211" i="63"/>
  <c r="N220" i="63"/>
  <c r="C34" i="48"/>
  <c r="L52" i="48"/>
  <c r="D59" i="48"/>
  <c r="G52" i="48"/>
  <c r="I56" i="48"/>
  <c r="M109" i="63"/>
  <c r="F36" i="80"/>
  <c r="F37" i="80"/>
  <c r="F38" i="80"/>
  <c r="K20" i="135"/>
  <c r="H54" i="137"/>
  <c r="S220" i="31"/>
  <c r="S196" i="31"/>
  <c r="S203" i="31"/>
  <c r="P243" i="31"/>
  <c r="Q133" i="31"/>
  <c r="N60" i="13"/>
  <c r="N15" i="60"/>
  <c r="O15" i="60"/>
  <c r="K35" i="43"/>
  <c r="I41" i="43"/>
  <c r="N4" i="42"/>
  <c r="N16" i="46"/>
  <c r="N7" i="46"/>
  <c r="K52" i="48"/>
  <c r="M56" i="48"/>
  <c r="E31" i="133"/>
  <c r="N20" i="132"/>
  <c r="D19" i="137"/>
  <c r="D54" i="137"/>
  <c r="S88" i="31"/>
  <c r="U105" i="31"/>
  <c r="S131" i="31"/>
  <c r="S135" i="31"/>
  <c r="R199" i="31"/>
  <c r="R204" i="31"/>
  <c r="R210" i="31"/>
  <c r="R214" i="31"/>
  <c r="R218" i="31"/>
  <c r="R222" i="31"/>
  <c r="R127" i="31"/>
  <c r="O55" i="13"/>
  <c r="R134" i="31"/>
  <c r="O61" i="13"/>
  <c r="T214" i="31"/>
  <c r="V28" i="13"/>
  <c r="T200" i="31"/>
  <c r="S207" i="31"/>
  <c r="S215" i="31"/>
  <c r="S219" i="31"/>
  <c r="V105" i="31"/>
  <c r="V118" i="31"/>
  <c r="Q127" i="31"/>
  <c r="N55" i="13"/>
  <c r="C32" i="112"/>
  <c r="C37" i="112"/>
  <c r="C38" i="112"/>
  <c r="C40" i="112"/>
  <c r="C42" i="112" s="1"/>
  <c r="U106" i="31"/>
  <c r="Y104" i="31"/>
  <c r="Y118" i="31"/>
  <c r="I21" i="97"/>
  <c r="X102" i="31"/>
  <c r="Y103" i="31"/>
  <c r="Q102" i="31"/>
  <c r="R103" i="31"/>
  <c r="S100" i="31"/>
  <c r="T101" i="31"/>
  <c r="R100" i="31"/>
  <c r="S101" i="31"/>
  <c r="V129" i="31"/>
  <c r="V111" i="31"/>
  <c r="V164" i="31"/>
  <c r="V170" i="31"/>
  <c r="V151" i="31"/>
  <c r="H30" i="4"/>
  <c r="H31" i="4"/>
  <c r="V3" i="63"/>
  <c r="V10" i="63"/>
  <c r="K35" i="63"/>
  <c r="E21" i="48"/>
  <c r="C158" i="58"/>
  <c r="D155" i="58"/>
  <c r="O5" i="62"/>
  <c r="C37" i="72"/>
  <c r="O110" i="63"/>
  <c r="L114" i="63"/>
  <c r="J113" i="63"/>
  <c r="P133" i="31"/>
  <c r="E41" i="13"/>
  <c r="P151" i="31"/>
  <c r="P231" i="31"/>
  <c r="P102" i="31"/>
  <c r="P185" i="31"/>
  <c r="P212" i="31"/>
  <c r="P99" i="31"/>
  <c r="P140" i="31"/>
  <c r="E37" i="13"/>
  <c r="P216" i="31"/>
  <c r="K72" i="116"/>
  <c r="K102" i="116"/>
  <c r="K134" i="116"/>
  <c r="F72" i="116"/>
  <c r="F102" i="116"/>
  <c r="E55" i="116"/>
  <c r="E53" i="116"/>
  <c r="E65" i="116"/>
  <c r="E97" i="116"/>
  <c r="H20" i="119"/>
  <c r="M20" i="119"/>
  <c r="J20" i="119"/>
  <c r="O20" i="119"/>
  <c r="F54" i="121"/>
  <c r="M54" i="121"/>
  <c r="G54" i="156"/>
  <c r="K54" i="156"/>
  <c r="D20" i="160"/>
  <c r="F20" i="160"/>
  <c r="Q20" i="160"/>
  <c r="J20" i="160"/>
  <c r="E54" i="134"/>
  <c r="I54" i="134"/>
  <c r="C59" i="134"/>
  <c r="K59" i="134"/>
  <c r="I20" i="132"/>
  <c r="E20" i="135"/>
  <c r="N20" i="135"/>
  <c r="Y217" i="31"/>
  <c r="W214" i="31"/>
  <c r="O62" i="31"/>
  <c r="O10" i="31"/>
  <c r="L14" i="63"/>
  <c r="M14" i="63"/>
  <c r="N14" i="63"/>
  <c r="E91" i="48"/>
  <c r="E95" i="48"/>
  <c r="E212" i="48"/>
  <c r="Q20" i="137"/>
  <c r="K20" i="137"/>
  <c r="D20" i="157"/>
  <c r="O20" i="157"/>
  <c r="D20" i="161"/>
  <c r="F20" i="161"/>
  <c r="P20" i="161"/>
  <c r="W206" i="31"/>
  <c r="D9" i="40"/>
  <c r="F20" i="137"/>
  <c r="P20" i="137"/>
  <c r="I20" i="137"/>
  <c r="N20" i="157"/>
  <c r="O20" i="161"/>
  <c r="V110" i="31"/>
  <c r="R119" i="48"/>
  <c r="Q20" i="133"/>
  <c r="F54" i="133"/>
  <c r="E20" i="132"/>
  <c r="O20" i="132"/>
  <c r="L20" i="132"/>
  <c r="D20" i="137"/>
  <c r="D23" i="137" s="1"/>
  <c r="O20" i="137"/>
  <c r="H20" i="137"/>
  <c r="M20" i="137"/>
  <c r="E20" i="157"/>
  <c r="Q20" i="157"/>
  <c r="J20" i="157"/>
  <c r="E20" i="161"/>
  <c r="N20" i="161"/>
  <c r="M20" i="161"/>
  <c r="S213" i="31"/>
  <c r="U218" i="31"/>
  <c r="U135" i="31"/>
  <c r="O48" i="31"/>
  <c r="G24" i="60"/>
  <c r="G34" i="60"/>
  <c r="L54" i="156"/>
  <c r="P52" i="46"/>
  <c r="O58" i="46"/>
  <c r="O59" i="46"/>
  <c r="W135" i="31"/>
  <c r="W216" i="31"/>
  <c r="W205" i="31"/>
  <c r="J5" i="64"/>
  <c r="F105" i="76"/>
  <c r="F107" i="76"/>
  <c r="E14" i="159"/>
  <c r="E34" i="159"/>
  <c r="E49" i="159"/>
  <c r="E56" i="159"/>
  <c r="E62" i="159"/>
  <c r="E69" i="159"/>
  <c r="E74" i="159"/>
  <c r="S221" i="31"/>
  <c r="S199" i="31"/>
  <c r="S217" i="31"/>
  <c r="S205" i="31"/>
  <c r="S222" i="31"/>
  <c r="S211" i="31"/>
  <c r="S198" i="31"/>
  <c r="S216" i="31"/>
  <c r="T135" i="31"/>
  <c r="S206" i="31"/>
  <c r="T217" i="31"/>
  <c r="T211" i="31"/>
  <c r="U129" i="31"/>
  <c r="W131" i="31"/>
  <c r="W198" i="31"/>
  <c r="W210" i="31"/>
  <c r="W218" i="31"/>
  <c r="Q230" i="31"/>
  <c r="P67" i="33"/>
  <c r="O38" i="31"/>
  <c r="H54" i="133"/>
  <c r="Q20" i="132"/>
  <c r="H20" i="132"/>
  <c r="T132" i="31"/>
  <c r="L36" i="4"/>
  <c r="T133" i="31"/>
  <c r="S212" i="31"/>
  <c r="S200" i="31"/>
  <c r="S218" i="31"/>
  <c r="T223" i="31"/>
  <c r="T207" i="31"/>
  <c r="U132" i="31"/>
  <c r="M36" i="4"/>
  <c r="S195" i="31"/>
  <c r="Q207" i="31"/>
  <c r="W207" i="31"/>
  <c r="W220" i="31"/>
  <c r="W196" i="31"/>
  <c r="W200" i="31"/>
  <c r="W217" i="31"/>
  <c r="J112" i="63"/>
  <c r="D20" i="132"/>
  <c r="F20" i="132"/>
  <c r="P20" i="132"/>
  <c r="G54" i="132"/>
  <c r="M20" i="132"/>
  <c r="E31" i="132"/>
  <c r="L54" i="137"/>
  <c r="S66" i="40"/>
  <c r="T66" i="40"/>
  <c r="E20" i="61"/>
  <c r="E44" i="61"/>
  <c r="U23" i="59"/>
  <c r="E161" i="66"/>
  <c r="D17" i="54"/>
  <c r="G18" i="54"/>
  <c r="D6" i="87"/>
  <c r="C36" i="87"/>
  <c r="D6" i="90"/>
  <c r="C78" i="90"/>
  <c r="D7" i="116"/>
  <c r="C77" i="116"/>
  <c r="D23" i="117"/>
  <c r="C70" i="159"/>
  <c r="H75" i="159"/>
  <c r="P39" i="46"/>
  <c r="D2" i="31"/>
  <c r="Q96" i="31"/>
  <c r="Q99" i="31"/>
  <c r="F188" i="63"/>
  <c r="C187" i="63"/>
  <c r="Y222" i="31"/>
  <c r="W204" i="31"/>
  <c r="V133" i="31"/>
  <c r="O50" i="31"/>
  <c r="P41" i="33"/>
  <c r="O52" i="31"/>
  <c r="J107" i="63"/>
  <c r="D101" i="40"/>
  <c r="H101" i="40"/>
  <c r="O190" i="48"/>
  <c r="P119" i="48"/>
  <c r="I119" i="48"/>
  <c r="N119" i="48"/>
  <c r="H147" i="65"/>
  <c r="E161" i="65"/>
  <c r="O175" i="65"/>
  <c r="C20" i="54"/>
  <c r="K110" i="63"/>
  <c r="G15" i="76"/>
  <c r="R176" i="76"/>
  <c r="P15" i="31"/>
  <c r="P18" i="31"/>
  <c r="P189" i="31"/>
  <c r="P170" i="31"/>
  <c r="P175" i="31"/>
  <c r="D35" i="90"/>
  <c r="D52" i="90"/>
  <c r="D59" i="90"/>
  <c r="D64" i="90"/>
  <c r="D71" i="90"/>
  <c r="D76" i="90"/>
  <c r="J11" i="101"/>
  <c r="C105" i="110"/>
  <c r="H72" i="110"/>
  <c r="H105" i="110"/>
  <c r="F55" i="110"/>
  <c r="F53" i="110"/>
  <c r="D7" i="110"/>
  <c r="J77" i="110"/>
  <c r="C38" i="116"/>
  <c r="F38" i="116"/>
  <c r="F101" i="116"/>
  <c r="E30" i="121"/>
  <c r="C70" i="119"/>
  <c r="D7" i="119"/>
  <c r="D14" i="121"/>
  <c r="D34" i="121"/>
  <c r="D49" i="121"/>
  <c r="D56" i="121"/>
  <c r="D62" i="121"/>
  <c r="D69" i="121"/>
  <c r="D74" i="121"/>
  <c r="D34" i="119"/>
  <c r="D49" i="119"/>
  <c r="D56" i="119"/>
  <c r="D62" i="119"/>
  <c r="D69" i="119"/>
  <c r="D74" i="119"/>
  <c r="Q75" i="156"/>
  <c r="L20" i="134"/>
  <c r="D19" i="133"/>
  <c r="D23" i="133" s="1"/>
  <c r="D14" i="133"/>
  <c r="D34" i="133"/>
  <c r="D49" i="133"/>
  <c r="D56" i="133"/>
  <c r="D62" i="133"/>
  <c r="D69" i="133"/>
  <c r="D74" i="133"/>
  <c r="D14" i="132"/>
  <c r="D34" i="132"/>
  <c r="D49" i="132"/>
  <c r="D56" i="132"/>
  <c r="D62" i="132"/>
  <c r="D69" i="132"/>
  <c r="D74" i="132"/>
  <c r="D19" i="135"/>
  <c r="E54" i="135"/>
  <c r="I54" i="135"/>
  <c r="D14" i="135"/>
  <c r="D34" i="135"/>
  <c r="D49" i="135"/>
  <c r="D56" i="135"/>
  <c r="D62" i="135"/>
  <c r="D69" i="135"/>
  <c r="D74" i="135"/>
  <c r="D14" i="137"/>
  <c r="D34" i="137"/>
  <c r="D49" i="137"/>
  <c r="D56" i="137"/>
  <c r="D62" i="137"/>
  <c r="D69" i="137"/>
  <c r="D74" i="137"/>
  <c r="D82" i="137"/>
  <c r="D95" i="137"/>
  <c r="D123" i="137"/>
  <c r="M82" i="172"/>
  <c r="M78" i="172"/>
  <c r="I14" i="101"/>
  <c r="I14" i="98"/>
  <c r="T199" i="31"/>
  <c r="E69" i="68"/>
  <c r="W134" i="31"/>
  <c r="W212" i="31"/>
  <c r="W197" i="31"/>
  <c r="W223" i="31"/>
  <c r="Q132" i="31"/>
  <c r="I36" i="4"/>
  <c r="D5" i="73"/>
  <c r="D9" i="73"/>
  <c r="C150" i="63"/>
  <c r="G150" i="63"/>
  <c r="P5" i="44"/>
  <c r="E194" i="48"/>
  <c r="D160" i="48"/>
  <c r="D178" i="48"/>
  <c r="D189" i="48"/>
  <c r="D206" i="48"/>
  <c r="K119" i="48"/>
  <c r="L119" i="48"/>
  <c r="D150" i="48"/>
  <c r="G54" i="65"/>
  <c r="G88" i="65"/>
  <c r="G145" i="65"/>
  <c r="G164" i="65"/>
  <c r="G174" i="65"/>
  <c r="G189" i="65"/>
  <c r="G199" i="65"/>
  <c r="L147" i="65"/>
  <c r="G14" i="65"/>
  <c r="K17" i="54"/>
  <c r="K19" i="54"/>
  <c r="N110" i="63"/>
  <c r="L109" i="63"/>
  <c r="E166" i="76"/>
  <c r="O188" i="76"/>
  <c r="K188" i="76"/>
  <c r="O114" i="63"/>
  <c r="P161" i="31"/>
  <c r="P152" i="31"/>
  <c r="P220" i="31"/>
  <c r="E60" i="87"/>
  <c r="E18" i="87"/>
  <c r="E22" i="87"/>
  <c r="D18" i="110"/>
  <c r="D22" i="110"/>
  <c r="I9" i="110"/>
  <c r="F13" i="110"/>
  <c r="J72" i="110"/>
  <c r="J105" i="110"/>
  <c r="J138" i="110"/>
  <c r="D8" i="110"/>
  <c r="I72" i="110"/>
  <c r="I105" i="110"/>
  <c r="I138" i="110"/>
  <c r="L54" i="117"/>
  <c r="D19" i="121"/>
  <c r="D23" i="121" s="1"/>
  <c r="B9" i="104"/>
  <c r="C7" i="175" s="1"/>
  <c r="D14" i="160"/>
  <c r="D34" i="160"/>
  <c r="D49" i="160"/>
  <c r="D56" i="160"/>
  <c r="D62" i="160"/>
  <c r="D69" i="160"/>
  <c r="D74" i="160"/>
  <c r="G54" i="135"/>
  <c r="K54" i="135"/>
  <c r="D14" i="157"/>
  <c r="D34" i="157" s="1"/>
  <c r="D49" i="157" s="1"/>
  <c r="D56" i="157" s="1"/>
  <c r="D62" i="157" s="1"/>
  <c r="D69" i="157" s="1"/>
  <c r="D74" i="157" s="1"/>
  <c r="D82" i="157" s="1"/>
  <c r="D95" i="157" s="1"/>
  <c r="D123" i="157" s="1"/>
  <c r="M80" i="172"/>
  <c r="I13" i="102"/>
  <c r="J9" i="102"/>
  <c r="S6" i="135"/>
  <c r="G26" i="98"/>
  <c r="U21" i="13"/>
  <c r="Y66" i="63"/>
  <c r="F8" i="73"/>
  <c r="G119" i="48"/>
  <c r="M119" i="48"/>
  <c r="H32" i="65"/>
  <c r="I32" i="65"/>
  <c r="R223" i="65"/>
  <c r="R232" i="65"/>
  <c r="E24" i="54"/>
  <c r="P157" i="31"/>
  <c r="P197" i="31"/>
  <c r="P81" i="31"/>
  <c r="G72" i="110"/>
  <c r="G105" i="110"/>
  <c r="O20" i="134"/>
  <c r="D14" i="134"/>
  <c r="D34" i="134"/>
  <c r="D49" i="134"/>
  <c r="D56" i="134"/>
  <c r="D62" i="134"/>
  <c r="D69" i="134"/>
  <c r="D74" i="134"/>
  <c r="F54" i="135"/>
  <c r="J54" i="135"/>
  <c r="L20" i="157"/>
  <c r="Q95" i="33"/>
  <c r="Q125" i="33"/>
  <c r="Q126" i="33"/>
  <c r="T32" i="33"/>
  <c r="T224" i="31"/>
  <c r="W211" i="31"/>
  <c r="W215" i="31"/>
  <c r="W222" i="31"/>
  <c r="W219" i="31"/>
  <c r="W224" i="31"/>
  <c r="V206" i="31"/>
  <c r="L103" i="63"/>
  <c r="P82" i="33"/>
  <c r="P33" i="33"/>
  <c r="O34" i="31"/>
  <c r="P16" i="33"/>
  <c r="B7" i="31"/>
  <c r="D24" i="61"/>
  <c r="D8" i="52"/>
  <c r="P219" i="31"/>
  <c r="M54" i="119"/>
  <c r="E20" i="160"/>
  <c r="N20" i="160"/>
  <c r="H20" i="160"/>
  <c r="L20" i="160"/>
  <c r="G20" i="160"/>
  <c r="E32" i="137"/>
  <c r="C35" i="137" s="1"/>
  <c r="H20" i="157"/>
  <c r="M20" i="157"/>
  <c r="P221" i="63"/>
  <c r="D4" i="72"/>
  <c r="D84" i="68"/>
  <c r="K54" i="119"/>
  <c r="E31" i="156"/>
  <c r="J54" i="133"/>
  <c r="G20" i="137"/>
  <c r="D15" i="160"/>
  <c r="E15" i="160" s="1"/>
  <c r="I54" i="132"/>
  <c r="T81" i="31"/>
  <c r="W203" i="31"/>
  <c r="V102" i="31"/>
  <c r="W103" i="31"/>
  <c r="P84" i="33"/>
  <c r="G120" i="66"/>
  <c r="U204" i="31"/>
  <c r="Y207" i="31"/>
  <c r="Y133" i="31"/>
  <c r="V217" i="31"/>
  <c r="V132" i="31"/>
  <c r="N36" i="4"/>
  <c r="V156" i="31"/>
  <c r="V150" i="31"/>
  <c r="L54" i="133"/>
  <c r="F14" i="159"/>
  <c r="F34" i="159"/>
  <c r="F49" i="159"/>
  <c r="Q135" i="31"/>
  <c r="N62" i="13"/>
  <c r="Y211" i="31"/>
  <c r="Y215" i="31"/>
  <c r="P53" i="33"/>
  <c r="Q148" i="33"/>
  <c r="Q15" i="33"/>
  <c r="Q18" i="33"/>
  <c r="C12" i="73"/>
  <c r="E32" i="159"/>
  <c r="J76" i="159"/>
  <c r="M54" i="156"/>
  <c r="O16" i="31"/>
  <c r="O60" i="31"/>
  <c r="O68" i="31"/>
  <c r="T51" i="13"/>
  <c r="P57" i="33"/>
  <c r="B7" i="29"/>
  <c r="C9" i="40"/>
  <c r="R9" i="40"/>
  <c r="R8" i="40"/>
  <c r="R7" i="40"/>
  <c r="R10" i="40"/>
  <c r="O109" i="63"/>
  <c r="R104" i="31"/>
  <c r="Q195" i="31"/>
  <c r="Y203" i="31"/>
  <c r="Y63" i="31"/>
  <c r="X134" i="31"/>
  <c r="W100" i="31"/>
  <c r="X101" i="31"/>
  <c r="X100" i="63"/>
  <c r="X105" i="63"/>
  <c r="H56" i="48"/>
  <c r="E13" i="87"/>
  <c r="D6" i="116"/>
  <c r="I78" i="116"/>
  <c r="E54" i="132"/>
  <c r="F14" i="90"/>
  <c r="G14" i="90"/>
  <c r="H14" i="90"/>
  <c r="I14" i="90"/>
  <c r="J14" i="90"/>
  <c r="K14" i="90"/>
  <c r="L14" i="90"/>
  <c r="M14" i="90"/>
  <c r="N14" i="90"/>
  <c r="O14" i="90"/>
  <c r="P14" i="90"/>
  <c r="Q14" i="90"/>
  <c r="H14" i="48"/>
  <c r="H21" i="48"/>
  <c r="I19" i="48"/>
  <c r="J1" i="63"/>
  <c r="S47" i="40"/>
  <c r="S65" i="40"/>
  <c r="G14" i="48"/>
  <c r="B37" i="72"/>
  <c r="P110" i="63"/>
  <c r="C38" i="110"/>
  <c r="G38" i="110"/>
  <c r="G104" i="110"/>
  <c r="F54" i="119"/>
  <c r="D54" i="119"/>
  <c r="D19" i="156"/>
  <c r="D23" i="156" s="1"/>
  <c r="G54" i="160"/>
  <c r="F20" i="134"/>
  <c r="P20" i="134"/>
  <c r="H20" i="134"/>
  <c r="D20" i="133"/>
  <c r="E20" i="133"/>
  <c r="N20" i="133"/>
  <c r="M20" i="133"/>
  <c r="E32" i="133"/>
  <c r="I76" i="133"/>
  <c r="J20" i="132"/>
  <c r="D127" i="132"/>
  <c r="E22" i="135"/>
  <c r="E31" i="135"/>
  <c r="D19" i="157"/>
  <c r="K20" i="157"/>
  <c r="G20" i="157"/>
  <c r="D19" i="161"/>
  <c r="D23" i="161" s="1"/>
  <c r="K20" i="161"/>
  <c r="S81" i="31"/>
  <c r="V44" i="13"/>
  <c r="U224" i="31"/>
  <c r="U219" i="31"/>
  <c r="U215" i="31"/>
  <c r="U212" i="31"/>
  <c r="U207" i="31"/>
  <c r="U128" i="31"/>
  <c r="Q206" i="31"/>
  <c r="Q211" i="31"/>
  <c r="Q202" i="31"/>
  <c r="V223" i="31"/>
  <c r="V222" i="31"/>
  <c r="W81" i="31"/>
  <c r="V63" i="31"/>
  <c r="V100" i="31"/>
  <c r="W101" i="31"/>
  <c r="V145" i="31"/>
  <c r="V158" i="31"/>
  <c r="P103" i="63"/>
  <c r="L52" i="63"/>
  <c r="D9" i="63"/>
  <c r="O119" i="48"/>
  <c r="Q119" i="48"/>
  <c r="M110" i="63"/>
  <c r="J109" i="63"/>
  <c r="N114" i="63"/>
  <c r="K114" i="63"/>
  <c r="K112" i="63"/>
  <c r="U220" i="31"/>
  <c r="U210" i="31"/>
  <c r="U199" i="31"/>
  <c r="R132" i="31"/>
  <c r="Q134" i="31"/>
  <c r="N61" i="13"/>
  <c r="Q222" i="31"/>
  <c r="X198" i="31"/>
  <c r="X217" i="31"/>
  <c r="V211" i="31"/>
  <c r="V203" i="31"/>
  <c r="V128" i="31"/>
  <c r="E26" i="61"/>
  <c r="E47" i="61"/>
  <c r="B36" i="72"/>
  <c r="N109" i="63"/>
  <c r="H21" i="97"/>
  <c r="I23" i="97"/>
  <c r="K24" i="100"/>
  <c r="G54" i="119"/>
  <c r="I54" i="119"/>
  <c r="L54" i="119"/>
  <c r="D19" i="119"/>
  <c r="D23" i="119" s="1"/>
  <c r="E32" i="119"/>
  <c r="C35" i="119"/>
  <c r="I54" i="160"/>
  <c r="D20" i="134"/>
  <c r="E20" i="134"/>
  <c r="N20" i="134"/>
  <c r="K20" i="134"/>
  <c r="D15" i="134"/>
  <c r="E15" i="134"/>
  <c r="F15" i="134" s="1"/>
  <c r="G15" i="134" s="1"/>
  <c r="H15" i="134" s="1"/>
  <c r="I15" i="134" s="1"/>
  <c r="J15" i="134" s="1"/>
  <c r="K15" i="134" s="1"/>
  <c r="L15" i="134" s="1"/>
  <c r="M15" i="134" s="1"/>
  <c r="N15" i="134" s="1"/>
  <c r="F20" i="133"/>
  <c r="P20" i="133"/>
  <c r="J20" i="133"/>
  <c r="E22" i="132"/>
  <c r="J20" i="137"/>
  <c r="E30" i="157"/>
  <c r="V54" i="13"/>
  <c r="U222" i="31"/>
  <c r="U217" i="31"/>
  <c r="U214" i="31"/>
  <c r="U200" i="31"/>
  <c r="U134" i="31"/>
  <c r="Q213" i="31"/>
  <c r="Q205" i="31"/>
  <c r="Q218" i="31"/>
  <c r="X133" i="31"/>
  <c r="W63" i="31"/>
  <c r="W221" i="31"/>
  <c r="W202" i="31"/>
  <c r="W195" i="31"/>
  <c r="W102" i="31"/>
  <c r="X103" i="31"/>
  <c r="U60" i="13"/>
  <c r="V196" i="31"/>
  <c r="V88" i="31"/>
  <c r="U100" i="31"/>
  <c r="V101" i="31"/>
  <c r="O42" i="31"/>
  <c r="O56" i="31"/>
  <c r="O72" i="31"/>
  <c r="T55" i="13"/>
  <c r="P77" i="33"/>
  <c r="P35" i="33"/>
  <c r="B7" i="23"/>
  <c r="F11" i="23"/>
  <c r="G15" i="23" s="1"/>
  <c r="J4" i="63"/>
  <c r="J111" i="63"/>
  <c r="P215" i="31"/>
  <c r="Q39" i="33"/>
  <c r="Q42" i="33"/>
  <c r="H60" i="87"/>
  <c r="E54" i="119"/>
  <c r="H54" i="119"/>
  <c r="L54" i="160"/>
  <c r="Q20" i="134"/>
  <c r="I20" i="134"/>
  <c r="O20" i="133"/>
  <c r="I20" i="133"/>
  <c r="D19" i="132"/>
  <c r="K20" i="132"/>
  <c r="E22" i="137"/>
  <c r="F26" i="98"/>
  <c r="M8" i="40"/>
  <c r="B9" i="72"/>
  <c r="B23" i="72"/>
  <c r="G59" i="119"/>
  <c r="M59" i="119"/>
  <c r="K59" i="119"/>
  <c r="D59" i="119"/>
  <c r="F59" i="119"/>
  <c r="H59" i="119"/>
  <c r="E59" i="119"/>
  <c r="J59" i="119"/>
  <c r="L59" i="119"/>
  <c r="I59" i="119"/>
  <c r="F17" i="137"/>
  <c r="O80" i="31"/>
  <c r="P23" i="33"/>
  <c r="P73" i="33"/>
  <c r="P43" i="33"/>
  <c r="A3" i="32"/>
  <c r="B7" i="30"/>
  <c r="J7" i="63"/>
  <c r="J10" i="63"/>
  <c r="J12" i="63"/>
  <c r="J16" i="63"/>
  <c r="D22" i="61"/>
  <c r="E24" i="61"/>
  <c r="E46" i="61"/>
  <c r="J54" i="119"/>
  <c r="L20" i="159"/>
  <c r="I20" i="156"/>
  <c r="H20" i="133"/>
  <c r="L20" i="133"/>
  <c r="G20" i="133"/>
  <c r="F54" i="137"/>
  <c r="J54" i="137"/>
  <c r="D127" i="137"/>
  <c r="U203" i="31"/>
  <c r="U197" i="31"/>
  <c r="U131" i="31"/>
  <c r="T221" i="31"/>
  <c r="S63" i="31"/>
  <c r="Q196" i="31"/>
  <c r="Q201" i="31"/>
  <c r="Q223" i="31"/>
  <c r="Q224" i="31"/>
  <c r="X222" i="31"/>
  <c r="U35" i="13"/>
  <c r="X228" i="31"/>
  <c r="V15" i="31"/>
  <c r="V18" i="31"/>
  <c r="G60" i="87"/>
  <c r="J60" i="87"/>
  <c r="O20" i="156"/>
  <c r="H20" i="156"/>
  <c r="L20" i="156"/>
  <c r="G20" i="156"/>
  <c r="K20" i="133"/>
  <c r="E54" i="137"/>
  <c r="I54" i="137"/>
  <c r="M54" i="137"/>
  <c r="Y88" i="31"/>
  <c r="Y224" i="31"/>
  <c r="Y132" i="31"/>
  <c r="Q36" i="4"/>
  <c r="X201" i="31"/>
  <c r="W128" i="31"/>
  <c r="V157" i="31"/>
  <c r="X29" i="31"/>
  <c r="X191" i="31"/>
  <c r="D52" i="48"/>
  <c r="G18" i="65"/>
  <c r="G21" i="65"/>
  <c r="F183" i="65"/>
  <c r="K20" i="156"/>
  <c r="L54" i="132"/>
  <c r="S96" i="31"/>
  <c r="S99" i="31"/>
  <c r="Q200" i="31"/>
  <c r="Y127" i="31"/>
  <c r="X88" i="31"/>
  <c r="X129" i="31"/>
  <c r="U231" i="31"/>
  <c r="V123" i="31"/>
  <c r="P39" i="33"/>
  <c r="S62" i="63"/>
  <c r="S65" i="63"/>
  <c r="S121" i="63"/>
  <c r="E22" i="61"/>
  <c r="J110" i="63"/>
  <c r="C33" i="112"/>
  <c r="D61" i="87"/>
  <c r="G54" i="137"/>
  <c r="K54" i="137"/>
  <c r="L56" i="172"/>
  <c r="J54" i="161"/>
  <c r="D33" i="61"/>
  <c r="G33" i="61"/>
  <c r="F33" i="61"/>
  <c r="E33" i="61"/>
  <c r="H46" i="61"/>
  <c r="E35" i="90"/>
  <c r="E52" i="90"/>
  <c r="E59" i="90"/>
  <c r="E64" i="90"/>
  <c r="E71" i="90"/>
  <c r="E76" i="90"/>
  <c r="F13" i="90"/>
  <c r="T203" i="31"/>
  <c r="T195" i="31"/>
  <c r="T134" i="31"/>
  <c r="T63" i="31"/>
  <c r="Q203" i="31"/>
  <c r="Q210" i="31"/>
  <c r="Q220" i="31"/>
  <c r="Q197" i="31"/>
  <c r="Q214" i="31"/>
  <c r="Q215" i="31"/>
  <c r="Q216" i="31"/>
  <c r="Q198" i="31"/>
  <c r="U16" i="13"/>
  <c r="U227" i="31"/>
  <c r="U232" i="31"/>
  <c r="Y200" i="31"/>
  <c r="Y131" i="31"/>
  <c r="Y216" i="31"/>
  <c r="Y206" i="31"/>
  <c r="Y218" i="31"/>
  <c r="Y221" i="31"/>
  <c r="S106" i="31"/>
  <c r="V19" i="13"/>
  <c r="Y128" i="31"/>
  <c r="Y100" i="31"/>
  <c r="X224" i="31"/>
  <c r="X131" i="31"/>
  <c r="X207" i="31"/>
  <c r="X203" i="31"/>
  <c r="X221" i="31"/>
  <c r="X197" i="31"/>
  <c r="X100" i="31"/>
  <c r="Y101" i="31"/>
  <c r="T100" i="31"/>
  <c r="U101" i="31"/>
  <c r="M200" i="63"/>
  <c r="Y29" i="31"/>
  <c r="Y191" i="31"/>
  <c r="W29" i="31"/>
  <c r="W191" i="31"/>
  <c r="F23" i="76"/>
  <c r="F191" i="76"/>
  <c r="AC13" i="95"/>
  <c r="M20" i="159"/>
  <c r="D127" i="156"/>
  <c r="G20" i="134"/>
  <c r="E32" i="134"/>
  <c r="L76" i="134" s="1"/>
  <c r="D127" i="133"/>
  <c r="V67" i="13"/>
  <c r="T197" i="31"/>
  <c r="S118" i="31"/>
  <c r="R63" i="31"/>
  <c r="Q204" i="31"/>
  <c r="Q221" i="31"/>
  <c r="Q131" i="31"/>
  <c r="N58" i="13"/>
  <c r="Q63" i="31"/>
  <c r="U28" i="13"/>
  <c r="Q217" i="31"/>
  <c r="Q199" i="31"/>
  <c r="Q212" i="31"/>
  <c r="Y195" i="31"/>
  <c r="Y134" i="31"/>
  <c r="Y212" i="31"/>
  <c r="Y197" i="31"/>
  <c r="Y214" i="31"/>
  <c r="Y205" i="31"/>
  <c r="Y201" i="31"/>
  <c r="X195" i="31"/>
  <c r="X211" i="31"/>
  <c r="X218" i="31"/>
  <c r="X223" i="31"/>
  <c r="X220" i="31"/>
  <c r="X206" i="31"/>
  <c r="W88" i="31"/>
  <c r="W213" i="31"/>
  <c r="W132" i="31"/>
  <c r="O36" i="4"/>
  <c r="V142" i="31"/>
  <c r="Q56" i="46"/>
  <c r="R56" i="46"/>
  <c r="S56" i="46"/>
  <c r="I60" i="87"/>
  <c r="H20" i="135"/>
  <c r="L20" i="135"/>
  <c r="D127" i="135"/>
  <c r="E22" i="157"/>
  <c r="I20" i="161"/>
  <c r="G20" i="161"/>
  <c r="I34" i="68"/>
  <c r="Y196" i="31"/>
  <c r="Y223" i="31"/>
  <c r="Y202" i="31"/>
  <c r="Y199" i="31"/>
  <c r="Y231" i="31"/>
  <c r="X213" i="31"/>
  <c r="X215" i="31"/>
  <c r="X63" i="31"/>
  <c r="X210" i="31"/>
  <c r="X200" i="31"/>
  <c r="X231" i="31"/>
  <c r="B111" i="90"/>
  <c r="I10" i="90"/>
  <c r="K109" i="63"/>
  <c r="O20" i="159"/>
  <c r="M20" i="135"/>
  <c r="G20" i="135"/>
  <c r="F54" i="157"/>
  <c r="L54" i="157"/>
  <c r="H20" i="161"/>
  <c r="L20" i="161"/>
  <c r="D128" i="161"/>
  <c r="I29" i="174"/>
  <c r="P10" i="33"/>
  <c r="P69" i="33"/>
  <c r="P49" i="33"/>
  <c r="B7" i="33"/>
  <c r="B7" i="6"/>
  <c r="I31" i="4"/>
  <c r="J20" i="134"/>
  <c r="D127" i="134"/>
  <c r="J20" i="135"/>
  <c r="E54" i="157"/>
  <c r="J54" i="157"/>
  <c r="F76" i="157"/>
  <c r="K115" i="48"/>
  <c r="H47" i="61"/>
  <c r="F17" i="135"/>
  <c r="X128" i="31"/>
  <c r="W127" i="31"/>
  <c r="W129" i="31"/>
  <c r="V41" i="13"/>
  <c r="D34" i="68"/>
  <c r="V167" i="31"/>
  <c r="E10" i="64"/>
  <c r="C185" i="76"/>
  <c r="K104" i="63"/>
  <c r="G37" i="61"/>
  <c r="F37" i="61"/>
  <c r="H37" i="61"/>
  <c r="E40" i="61"/>
  <c r="R102" i="31"/>
  <c r="S103" i="31"/>
  <c r="V45" i="13"/>
  <c r="D67" i="68"/>
  <c r="V168" i="31"/>
  <c r="P105" i="63"/>
  <c r="P6" i="31"/>
  <c r="N6" i="31"/>
  <c r="J28" i="43"/>
  <c r="V22" i="44"/>
  <c r="S23" i="44"/>
  <c r="S14" i="44"/>
  <c r="F17" i="121"/>
  <c r="G17" i="121"/>
  <c r="E19" i="121"/>
  <c r="U216" i="31"/>
  <c r="U213" i="31"/>
  <c r="U205" i="31"/>
  <c r="U201" i="31"/>
  <c r="U198" i="31"/>
  <c r="U195" i="31"/>
  <c r="R133" i="31"/>
  <c r="O60" i="13"/>
  <c r="U63" i="31"/>
  <c r="Q88" i="31"/>
  <c r="D68" i="68"/>
  <c r="Q81" i="31"/>
  <c r="R227" i="31"/>
  <c r="R232" i="31"/>
  <c r="V106" i="31"/>
  <c r="V125" i="31"/>
  <c r="Y213" i="31"/>
  <c r="Y204" i="31"/>
  <c r="Y198" i="31"/>
  <c r="Y219" i="31"/>
  <c r="Y210" i="31"/>
  <c r="Y220" i="31"/>
  <c r="R106" i="31"/>
  <c r="Y129" i="31"/>
  <c r="U19" i="13"/>
  <c r="X132" i="31"/>
  <c r="P36" i="4"/>
  <c r="Q21" i="31"/>
  <c r="N26" i="13" s="1"/>
  <c r="V35" i="13"/>
  <c r="V127" i="31"/>
  <c r="V81" i="31"/>
  <c r="W180" i="31"/>
  <c r="U81" i="31"/>
  <c r="U206" i="31"/>
  <c r="U202" i="31"/>
  <c r="U196" i="31"/>
  <c r="D69" i="68"/>
  <c r="X127" i="31"/>
  <c r="W182" i="31"/>
  <c r="N105" i="63"/>
  <c r="C189" i="63"/>
  <c r="D200" i="63"/>
  <c r="D212" i="63"/>
  <c r="D210" i="63"/>
  <c r="D185" i="63"/>
  <c r="L198" i="63"/>
  <c r="E12" i="61"/>
  <c r="E57" i="48"/>
  <c r="N147" i="65"/>
  <c r="G270" i="58"/>
  <c r="M112" i="63"/>
  <c r="L112" i="63"/>
  <c r="Q143" i="33"/>
  <c r="E35" i="116"/>
  <c r="E52" i="116"/>
  <c r="E59" i="116"/>
  <c r="E64" i="116"/>
  <c r="E71" i="116"/>
  <c r="E76" i="116"/>
  <c r="E54" i="133"/>
  <c r="I54" i="133"/>
  <c r="M54" i="133"/>
  <c r="D54" i="132"/>
  <c r="H54" i="132"/>
  <c r="M54" i="132"/>
  <c r="G20" i="132"/>
  <c r="K54" i="161"/>
  <c r="I11" i="69"/>
  <c r="G11" i="69"/>
  <c r="C9" i="63"/>
  <c r="R9" i="63"/>
  <c r="R8" i="63"/>
  <c r="R7" i="63"/>
  <c r="R10" i="63"/>
  <c r="E225" i="63"/>
  <c r="D12" i="61"/>
  <c r="F20" i="61"/>
  <c r="F44" i="61"/>
  <c r="R147" i="65"/>
  <c r="I147" i="65"/>
  <c r="C8" i="52"/>
  <c r="P114" i="63"/>
  <c r="C35" i="112"/>
  <c r="I20" i="159"/>
  <c r="H20" i="159"/>
  <c r="K20" i="159"/>
  <c r="D15" i="159"/>
  <c r="E15" i="159" s="1"/>
  <c r="M54" i="135"/>
  <c r="B7" i="5"/>
  <c r="G225" i="63"/>
  <c r="E216" i="48"/>
  <c r="E217" i="48"/>
  <c r="E219" i="48"/>
  <c r="B8" i="52"/>
  <c r="E20" i="159"/>
  <c r="D20" i="159"/>
  <c r="G20" i="159"/>
  <c r="E32" i="121"/>
  <c r="E76" i="121"/>
  <c r="D19" i="160"/>
  <c r="D23" i="160"/>
  <c r="E32" i="160"/>
  <c r="C76" i="160" s="1"/>
  <c r="E31" i="134"/>
  <c r="G54" i="133"/>
  <c r="K54" i="133"/>
  <c r="F54" i="132"/>
  <c r="K54" i="132"/>
  <c r="L54" i="135"/>
  <c r="I54" i="157"/>
  <c r="I63" i="157" s="1"/>
  <c r="M54" i="157"/>
  <c r="G29" i="174"/>
  <c r="J147" i="65"/>
  <c r="Q147" i="65"/>
  <c r="L24" i="100"/>
  <c r="D18" i="116"/>
  <c r="D22" i="116"/>
  <c r="I9" i="116"/>
  <c r="F20" i="159"/>
  <c r="Q20" i="159"/>
  <c r="P20" i="159"/>
  <c r="N20" i="159"/>
  <c r="L54" i="161"/>
  <c r="N16" i="13"/>
  <c r="C19" i="64"/>
  <c r="E19" i="64"/>
  <c r="E17" i="64"/>
  <c r="E199" i="65"/>
  <c r="P91" i="65"/>
  <c r="Q91" i="65"/>
  <c r="R91" i="65"/>
  <c r="U142" i="31"/>
  <c r="E199" i="66"/>
  <c r="P8" i="63"/>
  <c r="N103" i="63"/>
  <c r="W81" i="63"/>
  <c r="W100" i="63"/>
  <c r="W105" i="63"/>
  <c r="T81" i="63"/>
  <c r="K103" i="63"/>
  <c r="H10" i="64"/>
  <c r="H16" i="64"/>
  <c r="J7" i="64"/>
  <c r="N76" i="40"/>
  <c r="M40" i="40"/>
  <c r="U48" i="40"/>
  <c r="L39" i="40"/>
  <c r="L60" i="40"/>
  <c r="U61" i="40"/>
  <c r="W30" i="31"/>
  <c r="W142" i="31"/>
  <c r="V96" i="31"/>
  <c r="V99" i="31"/>
  <c r="V140" i="31"/>
  <c r="U20" i="13"/>
  <c r="Q229" i="31"/>
  <c r="X212" i="31"/>
  <c r="X202" i="31"/>
  <c r="H12" i="6"/>
  <c r="Q12" i="31" s="1"/>
  <c r="Q175" i="31" s="1"/>
  <c r="V213" i="31"/>
  <c r="V216" i="31"/>
  <c r="V221" i="31"/>
  <c r="V210" i="31"/>
  <c r="V215" i="31"/>
  <c r="V220" i="31"/>
  <c r="V197" i="31"/>
  <c r="V200" i="31"/>
  <c r="V231" i="31"/>
  <c r="V152" i="31"/>
  <c r="D16" i="64"/>
  <c r="E16" i="64"/>
  <c r="O105" i="63"/>
  <c r="U32" i="13"/>
  <c r="J15" i="6"/>
  <c r="V81" i="63"/>
  <c r="V100" i="63"/>
  <c r="V105" i="63"/>
  <c r="M103" i="63"/>
  <c r="L74" i="40"/>
  <c r="G88" i="48"/>
  <c r="F91" i="48"/>
  <c r="M104" i="63"/>
  <c r="F6" i="73"/>
  <c r="X135" i="31"/>
  <c r="X199" i="31"/>
  <c r="X196" i="31"/>
  <c r="X216" i="31"/>
  <c r="X205" i="31"/>
  <c r="X219" i="31"/>
  <c r="V224" i="31"/>
  <c r="V131" i="31"/>
  <c r="V135" i="31"/>
  <c r="V198" i="31"/>
  <c r="V207" i="31"/>
  <c r="V219" i="31"/>
  <c r="V205" i="31"/>
  <c r="V199" i="31"/>
  <c r="V32" i="13"/>
  <c r="C211" i="63"/>
  <c r="C210" i="63"/>
  <c r="C219" i="63"/>
  <c r="C198" i="63"/>
  <c r="I16" i="64"/>
  <c r="X214" i="31"/>
  <c r="V195" i="31"/>
  <c r="V134" i="31"/>
  <c r="V214" i="31"/>
  <c r="V212" i="31"/>
  <c r="V218" i="31"/>
  <c r="V201" i="31"/>
  <c r="V202" i="31"/>
  <c r="E7" i="64"/>
  <c r="I18" i="30"/>
  <c r="J4" i="4"/>
  <c r="K2" i="4"/>
  <c r="L2" i="4"/>
  <c r="M2" i="4"/>
  <c r="N2" i="4"/>
  <c r="O2" i="4"/>
  <c r="P2" i="4"/>
  <c r="Q2" i="4"/>
  <c r="O194" i="48"/>
  <c r="O181" i="48"/>
  <c r="O171" i="48"/>
  <c r="B236" i="48"/>
  <c r="I17" i="30"/>
  <c r="K162" i="48"/>
  <c r="M162" i="48"/>
  <c r="N162" i="48"/>
  <c r="H162" i="48"/>
  <c r="Q162" i="48"/>
  <c r="G162" i="48"/>
  <c r="L162" i="48"/>
  <c r="J162" i="48"/>
  <c r="O162" i="48"/>
  <c r="P162" i="48"/>
  <c r="R162" i="48"/>
  <c r="I162" i="48"/>
  <c r="M156" i="66"/>
  <c r="M180" i="66"/>
  <c r="N27" i="6"/>
  <c r="O18" i="5"/>
  <c r="L1" i="4"/>
  <c r="K7" i="63"/>
  <c r="K10" i="63"/>
  <c r="H13" i="63"/>
  <c r="C193" i="63"/>
  <c r="L3" i="63"/>
  <c r="X8" i="63"/>
  <c r="W3" i="63"/>
  <c r="D44" i="61"/>
  <c r="D213" i="48"/>
  <c r="O180" i="66"/>
  <c r="I15" i="48"/>
  <c r="P180" i="65"/>
  <c r="P156" i="65"/>
  <c r="E177" i="76"/>
  <c r="E209" i="76"/>
  <c r="J130" i="63"/>
  <c r="G128" i="76"/>
  <c r="K154" i="76"/>
  <c r="R154" i="76"/>
  <c r="O154" i="76"/>
  <c r="P154" i="76"/>
  <c r="N154" i="76"/>
  <c r="L154" i="76"/>
  <c r="J154" i="76"/>
  <c r="H154" i="76"/>
  <c r="M154" i="76"/>
  <c r="C84" i="87"/>
  <c r="C76" i="87"/>
  <c r="O180" i="65"/>
  <c r="G22" i="76"/>
  <c r="B230" i="76"/>
  <c r="D84" i="87"/>
  <c r="D96" i="87"/>
  <c r="D118" i="87"/>
  <c r="D76" i="87"/>
  <c r="D80" i="87"/>
  <c r="G229" i="63"/>
  <c r="H14" i="66"/>
  <c r="H21" i="66"/>
  <c r="B233" i="66"/>
  <c r="B232" i="66"/>
  <c r="B230" i="66"/>
  <c r="B231" i="66"/>
  <c r="B228" i="66"/>
  <c r="B217" i="66"/>
  <c r="B229" i="66"/>
  <c r="B227" i="66"/>
  <c r="I15" i="65"/>
  <c r="H18" i="65"/>
  <c r="N180" i="65"/>
  <c r="C23" i="72"/>
  <c r="C9" i="72"/>
  <c r="G85" i="68"/>
  <c r="F14" i="87"/>
  <c r="G14" i="87"/>
  <c r="H14" i="87"/>
  <c r="I14" i="87"/>
  <c r="J14" i="87"/>
  <c r="K14" i="87"/>
  <c r="L14" i="87"/>
  <c r="M14" i="87"/>
  <c r="N14" i="87"/>
  <c r="O14" i="87"/>
  <c r="P14" i="87"/>
  <c r="Q14" i="87"/>
  <c r="H72" i="87"/>
  <c r="D72" i="87"/>
  <c r="I72" i="87"/>
  <c r="E72" i="87"/>
  <c r="D8" i="87"/>
  <c r="K72" i="87"/>
  <c r="G72" i="87"/>
  <c r="F72" i="87"/>
  <c r="L72" i="87"/>
  <c r="J72" i="87"/>
  <c r="N5" i="31"/>
  <c r="J14" i="60"/>
  <c r="O14" i="60"/>
  <c r="H14" i="65"/>
  <c r="I19" i="65"/>
  <c r="E212" i="76"/>
  <c r="Q53" i="33"/>
  <c r="Q122" i="33"/>
  <c r="F18" i="87"/>
  <c r="G16" i="87"/>
  <c r="G15" i="90"/>
  <c r="H15" i="90"/>
  <c r="I15" i="90"/>
  <c r="J15" i="90"/>
  <c r="K15" i="90"/>
  <c r="L15" i="90"/>
  <c r="M15" i="90"/>
  <c r="N15" i="90"/>
  <c r="O15" i="90"/>
  <c r="P15" i="90"/>
  <c r="Q15" i="90"/>
  <c r="D84" i="110"/>
  <c r="D96" i="110"/>
  <c r="D118" i="110"/>
  <c r="D80" i="110"/>
  <c r="D131" i="110"/>
  <c r="D65" i="110"/>
  <c r="B231" i="65"/>
  <c r="B227" i="65"/>
  <c r="E80" i="110"/>
  <c r="E88" i="110"/>
  <c r="E84" i="110"/>
  <c r="E96" i="110"/>
  <c r="D80" i="116"/>
  <c r="D84" i="116"/>
  <c r="D96" i="116"/>
  <c r="D124" i="116"/>
  <c r="B229" i="65"/>
  <c r="B217" i="65"/>
  <c r="B232" i="65"/>
  <c r="K14" i="103"/>
  <c r="G16" i="110"/>
  <c r="G13" i="116"/>
  <c r="F35" i="116"/>
  <c r="F52" i="116"/>
  <c r="G52" i="116"/>
  <c r="D65" i="116"/>
  <c r="D127" i="116"/>
  <c r="B233" i="65"/>
  <c r="B228" i="65"/>
  <c r="D78" i="58"/>
  <c r="F15" i="110"/>
  <c r="G15" i="110"/>
  <c r="H15" i="110"/>
  <c r="I15" i="110"/>
  <c r="J15" i="110"/>
  <c r="K15" i="110"/>
  <c r="L15" i="110"/>
  <c r="M15" i="110"/>
  <c r="N15" i="110"/>
  <c r="O15" i="110"/>
  <c r="P15" i="110"/>
  <c r="Q15" i="110"/>
  <c r="E18" i="110"/>
  <c r="E22" i="110"/>
  <c r="F16" i="116"/>
  <c r="E18" i="116"/>
  <c r="E22" i="116"/>
  <c r="F16" i="160"/>
  <c r="E19" i="160"/>
  <c r="J14" i="103"/>
  <c r="E78" i="119"/>
  <c r="E87" i="119" s="1"/>
  <c r="E82" i="119"/>
  <c r="E95" i="119"/>
  <c r="D82" i="117"/>
  <c r="D95" i="117"/>
  <c r="D104" i="117"/>
  <c r="D105" i="117" s="1"/>
  <c r="D78" i="117"/>
  <c r="D87" i="117"/>
  <c r="E127" i="119"/>
  <c r="G17" i="156"/>
  <c r="D78" i="159"/>
  <c r="D87" i="159" s="1"/>
  <c r="D82" i="159"/>
  <c r="D95" i="159"/>
  <c r="E15" i="156"/>
  <c r="J22" i="6"/>
  <c r="H17" i="160"/>
  <c r="E16" i="119"/>
  <c r="E19" i="119" s="1"/>
  <c r="I54" i="159"/>
  <c r="D54" i="159"/>
  <c r="G54" i="159"/>
  <c r="E17" i="159"/>
  <c r="F17" i="133"/>
  <c r="E19" i="133"/>
  <c r="F17" i="132"/>
  <c r="E19" i="132"/>
  <c r="E54" i="159"/>
  <c r="J54" i="159"/>
  <c r="F54" i="159"/>
  <c r="D14" i="171"/>
  <c r="E15" i="133"/>
  <c r="F15" i="133"/>
  <c r="G15" i="133"/>
  <c r="H15" i="133"/>
  <c r="I15" i="133" s="1"/>
  <c r="J15" i="133" s="1"/>
  <c r="K15" i="133" s="1"/>
  <c r="L15" i="133" s="1"/>
  <c r="M15" i="133" s="1"/>
  <c r="N15" i="133" s="1"/>
  <c r="O15" i="133" s="1"/>
  <c r="P15" i="133" s="1"/>
  <c r="Q15" i="133" s="1"/>
  <c r="R15" i="133" s="1"/>
  <c r="S15" i="133" s="1"/>
  <c r="T15" i="133" s="1"/>
  <c r="U15" i="133" s="1"/>
  <c r="V15" i="133" s="1"/>
  <c r="W15" i="133" s="1"/>
  <c r="C59" i="159"/>
  <c r="E127" i="160"/>
  <c r="L59" i="133"/>
  <c r="H59" i="133"/>
  <c r="D59" i="133"/>
  <c r="M59" i="133"/>
  <c r="I59" i="133"/>
  <c r="E59" i="133"/>
  <c r="J59" i="133"/>
  <c r="F59" i="133"/>
  <c r="K59" i="133"/>
  <c r="G59" i="133"/>
  <c r="E15" i="137"/>
  <c r="C59" i="132"/>
  <c r="E127" i="135"/>
  <c r="I18" i="161"/>
  <c r="J18" i="161" s="1"/>
  <c r="K18" i="161" s="1"/>
  <c r="L18" i="161" s="1"/>
  <c r="M18" i="161" s="1"/>
  <c r="N18" i="161" s="1"/>
  <c r="O18" i="161" s="1"/>
  <c r="P18" i="161" s="1"/>
  <c r="Q18" i="161"/>
  <c r="K15" i="161"/>
  <c r="L15" i="161" s="1"/>
  <c r="M15" i="161" s="1"/>
  <c r="N15" i="161" s="1"/>
  <c r="O15" i="161" s="1"/>
  <c r="P15" i="161" s="1"/>
  <c r="Q15" i="161" s="1"/>
  <c r="G17" i="161"/>
  <c r="F22" i="176"/>
  <c r="C23" i="174"/>
  <c r="H29" i="174"/>
  <c r="D23" i="174"/>
  <c r="B6" i="104"/>
  <c r="H68" i="96"/>
  <c r="B86" i="96"/>
  <c r="B103" i="96" s="1"/>
  <c r="B89" i="96"/>
  <c r="B123" i="96" s="1"/>
  <c r="C39" i="97"/>
  <c r="I14" i="76"/>
  <c r="J14" i="76"/>
  <c r="E78" i="176"/>
  <c r="C78" i="176" s="1"/>
  <c r="C87" i="176" s="1"/>
  <c r="D78" i="176"/>
  <c r="D82" i="176"/>
  <c r="D95" i="176"/>
  <c r="M60" i="98"/>
  <c r="L60" i="98"/>
  <c r="L23" i="6"/>
  <c r="U19" i="31" s="1"/>
  <c r="V182" i="31" s="1"/>
  <c r="L51" i="95"/>
  <c r="M70" i="121"/>
  <c r="M100" i="121"/>
  <c r="G75" i="121"/>
  <c r="K52" i="95"/>
  <c r="V191" i="31"/>
  <c r="C100" i="121"/>
  <c r="H92" i="66"/>
  <c r="F11" i="73"/>
  <c r="F75" i="133"/>
  <c r="M75" i="133"/>
  <c r="G92" i="65"/>
  <c r="G95" i="65"/>
  <c r="Q118" i="31"/>
  <c r="N46" i="13"/>
  <c r="E77" i="87"/>
  <c r="I69" i="65"/>
  <c r="G69" i="65"/>
  <c r="W7" i="63"/>
  <c r="W10" i="63"/>
  <c r="F34" i="6"/>
  <c r="G26" i="4" s="1"/>
  <c r="G33" i="4"/>
  <c r="K213" i="31"/>
  <c r="M179" i="31"/>
  <c r="D161" i="31"/>
  <c r="V91" i="31"/>
  <c r="O4" i="59"/>
  <c r="G21" i="48"/>
  <c r="G197" i="48"/>
  <c r="G218" i="48"/>
  <c r="K222" i="31"/>
  <c r="G59" i="135"/>
  <c r="D78" i="156"/>
  <c r="D87" i="156" s="1"/>
  <c r="F77" i="87"/>
  <c r="H77" i="87"/>
  <c r="I77" i="87"/>
  <c r="E11" i="73"/>
  <c r="P162" i="63"/>
  <c r="P7" i="46"/>
  <c r="L57" i="63"/>
  <c r="H69" i="65"/>
  <c r="F53" i="90"/>
  <c r="G65" i="90"/>
  <c r="Z4" i="63"/>
  <c r="AA4" i="63"/>
  <c r="AA7" i="63"/>
  <c r="D11" i="73"/>
  <c r="G77" i="87"/>
  <c r="P57" i="63"/>
  <c r="H268" i="58"/>
  <c r="O4" i="44"/>
  <c r="J69" i="65"/>
  <c r="F69" i="65"/>
  <c r="G150" i="31"/>
  <c r="O57" i="63"/>
  <c r="K120" i="63"/>
  <c r="T120" i="63"/>
  <c r="K207" i="31"/>
  <c r="E59" i="135"/>
  <c r="J77" i="87"/>
  <c r="T100" i="63"/>
  <c r="T105" i="63"/>
  <c r="X7" i="63"/>
  <c r="P4" i="42"/>
  <c r="E53" i="90"/>
  <c r="E65" i="90"/>
  <c r="E81" i="90"/>
  <c r="F151" i="58"/>
  <c r="K223" i="31"/>
  <c r="L217" i="31"/>
  <c r="K224" i="31"/>
  <c r="M155" i="31"/>
  <c r="X101" i="63"/>
  <c r="X106" i="63"/>
  <c r="D221" i="31"/>
  <c r="D215" i="31"/>
  <c r="E82" i="117"/>
  <c r="E95" i="117"/>
  <c r="E104" i="117"/>
  <c r="E105" i="117" s="1"/>
  <c r="D70" i="121"/>
  <c r="D100" i="121"/>
  <c r="I70" i="121"/>
  <c r="I100" i="121"/>
  <c r="C77" i="110"/>
  <c r="D75" i="121"/>
  <c r="F70" i="121"/>
  <c r="F100" i="121"/>
  <c r="H75" i="121"/>
  <c r="E19" i="134"/>
  <c r="E23" i="134" s="1"/>
  <c r="G34" i="66"/>
  <c r="G178" i="66"/>
  <c r="L75" i="121"/>
  <c r="J70" i="121"/>
  <c r="J100" i="121"/>
  <c r="H69" i="66"/>
  <c r="J77" i="116"/>
  <c r="D217" i="31"/>
  <c r="G116" i="66"/>
  <c r="D204" i="31"/>
  <c r="D76" i="137"/>
  <c r="G153" i="66"/>
  <c r="D201" i="31"/>
  <c r="R91" i="31"/>
  <c r="E108" i="121"/>
  <c r="H32" i="66"/>
  <c r="I32" i="66"/>
  <c r="R194" i="48"/>
  <c r="D213" i="31"/>
  <c r="C75" i="133"/>
  <c r="L70" i="133"/>
  <c r="L100" i="133" s="1"/>
  <c r="L133" i="133" s="1"/>
  <c r="D7" i="133"/>
  <c r="G41" i="61"/>
  <c r="D75" i="133"/>
  <c r="K75" i="133"/>
  <c r="E82" i="160"/>
  <c r="E95" i="160"/>
  <c r="E123" i="160"/>
  <c r="E41" i="61"/>
  <c r="J75" i="133"/>
  <c r="F41" i="61"/>
  <c r="F4" i="57"/>
  <c r="G4" i="57"/>
  <c r="K24" i="6"/>
  <c r="U91" i="31"/>
  <c r="G17" i="112"/>
  <c r="E23" i="112"/>
  <c r="E24" i="112" s="1"/>
  <c r="F9" i="112"/>
  <c r="P147" i="66"/>
  <c r="F15" i="112"/>
  <c r="L18" i="54"/>
  <c r="L147" i="66"/>
  <c r="E210" i="31"/>
  <c r="V21" i="46"/>
  <c r="U26" i="46"/>
  <c r="F14" i="112"/>
  <c r="M18" i="112"/>
  <c r="M23" i="112"/>
  <c r="R146" i="31"/>
  <c r="R235" i="31"/>
  <c r="U100" i="63"/>
  <c r="U105" i="63"/>
  <c r="Q147" i="66"/>
  <c r="I147" i="66"/>
  <c r="F76" i="133"/>
  <c r="F18" i="90"/>
  <c r="F22" i="90"/>
  <c r="M76" i="133"/>
  <c r="E76" i="133"/>
  <c r="K75" i="121"/>
  <c r="Y91" i="31"/>
  <c r="I17" i="98"/>
  <c r="D7" i="121"/>
  <c r="E113" i="121"/>
  <c r="C75" i="121"/>
  <c r="I75" i="121"/>
  <c r="J75" i="121"/>
  <c r="F211" i="48"/>
  <c r="M75" i="121"/>
  <c r="I15" i="66"/>
  <c r="J15" i="66"/>
  <c r="K15" i="66"/>
  <c r="G59" i="121"/>
  <c r="M147" i="66"/>
  <c r="L212" i="31"/>
  <c r="H229" i="31"/>
  <c r="I213" i="31"/>
  <c r="E196" i="31"/>
  <c r="E217" i="31"/>
  <c r="G92" i="66"/>
  <c r="G95" i="66"/>
  <c r="H70" i="121"/>
  <c r="H100" i="121"/>
  <c r="E70" i="121"/>
  <c r="E100" i="121"/>
  <c r="G70" i="121"/>
  <c r="G100" i="121"/>
  <c r="F75" i="121"/>
  <c r="L63" i="31"/>
  <c r="J147" i="66"/>
  <c r="H147" i="66"/>
  <c r="N147" i="66"/>
  <c r="L104" i="31"/>
  <c r="F69" i="66"/>
  <c r="K184" i="31"/>
  <c r="G75" i="119"/>
  <c r="K70" i="119"/>
  <c r="K100" i="119"/>
  <c r="J146" i="65"/>
  <c r="J150" i="65"/>
  <c r="J151" i="31"/>
  <c r="G161" i="31"/>
  <c r="G100" i="76"/>
  <c r="G203" i="76"/>
  <c r="K76" i="137"/>
  <c r="N68" i="13"/>
  <c r="N66" i="13"/>
  <c r="E75" i="119"/>
  <c r="F70" i="119"/>
  <c r="F100" i="119"/>
  <c r="K59" i="121"/>
  <c r="C76" i="137"/>
  <c r="F45" i="61"/>
  <c r="F78" i="87"/>
  <c r="M70" i="119"/>
  <c r="M100" i="119"/>
  <c r="G38" i="116"/>
  <c r="G101" i="116"/>
  <c r="G124" i="76"/>
  <c r="P146" i="65"/>
  <c r="P150" i="65"/>
  <c r="E82" i="137"/>
  <c r="E95" i="137"/>
  <c r="E123" i="137"/>
  <c r="Q120" i="33"/>
  <c r="M180" i="65"/>
  <c r="S15" i="59"/>
  <c r="I76" i="137"/>
  <c r="W3" i="31"/>
  <c r="Q43" i="33"/>
  <c r="Q197" i="33"/>
  <c r="L16" i="13"/>
  <c r="O100" i="63"/>
  <c r="L83" i="31"/>
  <c r="K177" i="31"/>
  <c r="E174" i="31"/>
  <c r="J159" i="31"/>
  <c r="J161" i="31"/>
  <c r="J162" i="31"/>
  <c r="L201" i="31"/>
  <c r="K133" i="31"/>
  <c r="F10" i="112"/>
  <c r="D38" i="87"/>
  <c r="H34" i="66"/>
  <c r="H178" i="66"/>
  <c r="H193" i="66"/>
  <c r="E38" i="116"/>
  <c r="E101" i="116"/>
  <c r="H59" i="121"/>
  <c r="L70" i="121"/>
  <c r="L100" i="121"/>
  <c r="N146" i="65"/>
  <c r="N150" i="65"/>
  <c r="J59" i="121"/>
  <c r="S15" i="45"/>
  <c r="P63" i="46"/>
  <c r="D159" i="31"/>
  <c r="L214" i="31"/>
  <c r="H105" i="31"/>
  <c r="H223" i="31"/>
  <c r="H176" i="31"/>
  <c r="K78" i="116"/>
  <c r="G211" i="48"/>
  <c r="F16" i="112"/>
  <c r="F13" i="112"/>
  <c r="D35" i="66"/>
  <c r="F59" i="121"/>
  <c r="J180" i="31"/>
  <c r="G164" i="31"/>
  <c r="L28" i="13"/>
  <c r="T24" i="45"/>
  <c r="M151" i="31"/>
  <c r="E14" i="5"/>
  <c r="N156" i="31"/>
  <c r="L207" i="31"/>
  <c r="E151" i="31"/>
  <c r="J158" i="31"/>
  <c r="J166" i="31"/>
  <c r="L202" i="31"/>
  <c r="K22" i="6"/>
  <c r="Q156" i="65"/>
  <c r="H211" i="48"/>
  <c r="G38" i="87"/>
  <c r="F17" i="112"/>
  <c r="F11" i="112"/>
  <c r="L100" i="63"/>
  <c r="K70" i="121"/>
  <c r="K100" i="121"/>
  <c r="D59" i="121"/>
  <c r="I59" i="121"/>
  <c r="K32" i="13"/>
  <c r="G169" i="48"/>
  <c r="J69" i="66"/>
  <c r="E59" i="121"/>
  <c r="J173" i="31"/>
  <c r="E177" i="31"/>
  <c r="F15" i="30"/>
  <c r="F16" i="30"/>
  <c r="G16" i="30" s="1"/>
  <c r="F35" i="61"/>
  <c r="K132" i="31"/>
  <c r="D164" i="31"/>
  <c r="L219" i="31"/>
  <c r="W101" i="63"/>
  <c r="W106" i="63"/>
  <c r="J156" i="31"/>
  <c r="L206" i="31"/>
  <c r="L220" i="31"/>
  <c r="L221" i="31"/>
  <c r="I150" i="31"/>
  <c r="L224" i="31"/>
  <c r="E184" i="31"/>
  <c r="L213" i="31"/>
  <c r="F196" i="31"/>
  <c r="E78" i="132"/>
  <c r="E87" i="132" s="1"/>
  <c r="H77" i="116"/>
  <c r="J59" i="134"/>
  <c r="H76" i="137"/>
  <c r="F76" i="137"/>
  <c r="M76" i="137"/>
  <c r="S6" i="119"/>
  <c r="H77" i="110"/>
  <c r="K131" i="31"/>
  <c r="F127" i="31"/>
  <c r="K214" i="31"/>
  <c r="I105" i="31"/>
  <c r="I118" i="31" s="1"/>
  <c r="D155" i="31"/>
  <c r="E77" i="116"/>
  <c r="G76" i="137"/>
  <c r="E76" i="137"/>
  <c r="F38" i="90"/>
  <c r="M132" i="31"/>
  <c r="K59" i="13" s="1"/>
  <c r="J184" i="31"/>
  <c r="J231" i="31"/>
  <c r="C43" i="61"/>
  <c r="G77" i="116"/>
  <c r="D6" i="137"/>
  <c r="L76" i="137"/>
  <c r="J76" i="137"/>
  <c r="E173" i="31"/>
  <c r="R181" i="48"/>
  <c r="R213" i="48"/>
  <c r="L184" i="31"/>
  <c r="M83" i="31"/>
  <c r="R63" i="13"/>
  <c r="E180" i="31"/>
  <c r="D122" i="31"/>
  <c r="F63" i="31"/>
  <c r="H184" i="31"/>
  <c r="J203" i="31"/>
  <c r="J199" i="31"/>
  <c r="J222" i="31"/>
  <c r="K210" i="31"/>
  <c r="I133" i="31"/>
  <c r="L199" i="31"/>
  <c r="M213" i="31"/>
  <c r="F123" i="31"/>
  <c r="U101" i="63"/>
  <c r="U106" i="63"/>
  <c r="M146" i="65"/>
  <c r="M150" i="65"/>
  <c r="D158" i="31"/>
  <c r="K63" i="31"/>
  <c r="K180" i="31"/>
  <c r="K217" i="31"/>
  <c r="K219" i="31"/>
  <c r="K198" i="31"/>
  <c r="G158" i="31"/>
  <c r="E10" i="6"/>
  <c r="G159" i="31"/>
  <c r="Q146" i="65"/>
  <c r="Q150" i="65"/>
  <c r="H146" i="65"/>
  <c r="H150" i="65"/>
  <c r="G151" i="31"/>
  <c r="M162" i="31"/>
  <c r="K203" i="31"/>
  <c r="K215" i="31"/>
  <c r="K221" i="31"/>
  <c r="M59" i="121"/>
  <c r="E11" i="30"/>
  <c r="E12" i="30" s="1"/>
  <c r="K204" i="31"/>
  <c r="F65" i="110"/>
  <c r="F98" i="110"/>
  <c r="G55" i="110"/>
  <c r="G53" i="110"/>
  <c r="D5" i="110"/>
  <c r="C119" i="110"/>
  <c r="C36" i="110"/>
  <c r="C103" i="110"/>
  <c r="C104" i="110"/>
  <c r="R146" i="65"/>
  <c r="R150" i="65"/>
  <c r="I146" i="65"/>
  <c r="I150" i="65"/>
  <c r="F55" i="87"/>
  <c r="G55" i="87"/>
  <c r="H186" i="31"/>
  <c r="K206" i="31"/>
  <c r="K196" i="31"/>
  <c r="J122" i="31"/>
  <c r="E206" i="31"/>
  <c r="D78" i="116"/>
  <c r="N65" i="172"/>
  <c r="P5" i="31"/>
  <c r="N100" i="63"/>
  <c r="L78" i="87"/>
  <c r="I37" i="43"/>
  <c r="H37" i="43"/>
  <c r="L150" i="65"/>
  <c r="C101" i="90"/>
  <c r="E35" i="61"/>
  <c r="F104" i="31"/>
  <c r="F118" i="31" s="1"/>
  <c r="F105" i="31"/>
  <c r="K105" i="31"/>
  <c r="D38" i="90"/>
  <c r="G35" i="61"/>
  <c r="L195" i="31"/>
  <c r="E205" i="31"/>
  <c r="L129" i="31"/>
  <c r="G99" i="31"/>
  <c r="G141" i="31" s="1"/>
  <c r="I227" i="31"/>
  <c r="E203" i="31"/>
  <c r="Q151" i="33"/>
  <c r="D5" i="87"/>
  <c r="D78" i="87"/>
  <c r="M52" i="63"/>
  <c r="D35" i="61"/>
  <c r="G38" i="90"/>
  <c r="M196" i="31"/>
  <c r="E195" i="31"/>
  <c r="D171" i="33"/>
  <c r="G128" i="31"/>
  <c r="E204" i="31"/>
  <c r="E202" i="31"/>
  <c r="E212" i="31"/>
  <c r="L218" i="31"/>
  <c r="M164" i="31"/>
  <c r="V101" i="63"/>
  <c r="V106" i="63"/>
  <c r="M100" i="63"/>
  <c r="G78" i="87"/>
  <c r="M57" i="63"/>
  <c r="E219" i="31"/>
  <c r="E200" i="31"/>
  <c r="E218" i="31"/>
  <c r="O66" i="31"/>
  <c r="T49" i="13"/>
  <c r="M158" i="31"/>
  <c r="E15" i="5"/>
  <c r="E216" i="31"/>
  <c r="E12" i="68"/>
  <c r="E113" i="135"/>
  <c r="E78" i="134"/>
  <c r="E87" i="134" s="1"/>
  <c r="C68" i="48"/>
  <c r="G123" i="65"/>
  <c r="G125" i="65"/>
  <c r="G127" i="65"/>
  <c r="D7" i="117"/>
  <c r="L70" i="117"/>
  <c r="L100" i="117"/>
  <c r="P100" i="63"/>
  <c r="H41" i="43"/>
  <c r="L16" i="54"/>
  <c r="L19" i="54"/>
  <c r="L128" i="31"/>
  <c r="D227" i="31"/>
  <c r="G166" i="31"/>
  <c r="M104" i="31"/>
  <c r="G123" i="31"/>
  <c r="J204" i="31"/>
  <c r="J219" i="31"/>
  <c r="J221" i="31"/>
  <c r="J216" i="31"/>
  <c r="E104" i="31"/>
  <c r="E123" i="135"/>
  <c r="E5" i="76"/>
  <c r="G192" i="63"/>
  <c r="O201" i="63"/>
  <c r="R201" i="63"/>
  <c r="H120" i="66"/>
  <c r="L75" i="117"/>
  <c r="H75" i="117"/>
  <c r="S31" i="13"/>
  <c r="H162" i="31"/>
  <c r="M215" i="31"/>
  <c r="R27" i="13"/>
  <c r="K104" i="31"/>
  <c r="J196" i="31"/>
  <c r="K24" i="13"/>
  <c r="J212" i="31"/>
  <c r="N57" i="63"/>
  <c r="K75" i="117"/>
  <c r="E207" i="48"/>
  <c r="K68" i="48"/>
  <c r="Q191" i="31"/>
  <c r="M214" i="31"/>
  <c r="D151" i="31"/>
  <c r="J206" i="31"/>
  <c r="L223" i="31"/>
  <c r="E78" i="135"/>
  <c r="E87" i="135" s="1"/>
  <c r="J215" i="31"/>
  <c r="E16" i="54"/>
  <c r="L127" i="31"/>
  <c r="J202" i="31"/>
  <c r="K202" i="31"/>
  <c r="R118" i="31"/>
  <c r="O46" i="13"/>
  <c r="F77" i="90"/>
  <c r="C36" i="116"/>
  <c r="H36" i="116"/>
  <c r="H100" i="116"/>
  <c r="G77" i="110"/>
  <c r="I77" i="110"/>
  <c r="C77" i="90"/>
  <c r="K59" i="156"/>
  <c r="F78" i="116"/>
  <c r="T24" i="59"/>
  <c r="U146" i="31"/>
  <c r="D77" i="110"/>
  <c r="F77" i="110"/>
  <c r="H69" i="48"/>
  <c r="D85" i="68"/>
  <c r="J78" i="116"/>
  <c r="O57" i="46"/>
  <c r="E77" i="110"/>
  <c r="K69" i="48"/>
  <c r="N179" i="31"/>
  <c r="E158" i="31"/>
  <c r="M184" i="31"/>
  <c r="E133" i="31"/>
  <c r="K99" i="31"/>
  <c r="G174" i="31"/>
  <c r="F91" i="31"/>
  <c r="F92" i="31" s="1"/>
  <c r="G132" i="31"/>
  <c r="F222" i="31"/>
  <c r="K29" i="31"/>
  <c r="K95" i="31"/>
  <c r="F224" i="31"/>
  <c r="M131" i="31"/>
  <c r="K58" i="13" s="1"/>
  <c r="F12" i="31"/>
  <c r="F108" i="31"/>
  <c r="H122" i="31"/>
  <c r="N122" i="31"/>
  <c r="F199" i="31"/>
  <c r="J100" i="31"/>
  <c r="H131" i="31"/>
  <c r="G78" i="116"/>
  <c r="H78" i="116"/>
  <c r="E78" i="116"/>
  <c r="E94" i="48"/>
  <c r="T142" i="31"/>
  <c r="L169" i="48"/>
  <c r="N12" i="31"/>
  <c r="F12" i="6" s="1"/>
  <c r="I230" i="31"/>
  <c r="H123" i="31"/>
  <c r="J12" i="31"/>
  <c r="J15" i="31"/>
  <c r="M100" i="31"/>
  <c r="G101" i="68"/>
  <c r="N177" i="31"/>
  <c r="F28" i="5"/>
  <c r="M102" i="31"/>
  <c r="J174" i="31"/>
  <c r="H217" i="31"/>
  <c r="N197" i="31"/>
  <c r="H82" i="31"/>
  <c r="S18" i="13"/>
  <c r="J131" i="31"/>
  <c r="H231" i="31"/>
  <c r="H199" i="31"/>
  <c r="H180" i="31"/>
  <c r="D152" i="31"/>
  <c r="G229" i="31"/>
  <c r="H204" i="31"/>
  <c r="H196" i="31"/>
  <c r="J83" i="31"/>
  <c r="J150" i="31"/>
  <c r="H63" i="31"/>
  <c r="L229" i="31"/>
  <c r="M135" i="31"/>
  <c r="K62" i="13" s="1"/>
  <c r="F102" i="31"/>
  <c r="F230" i="31"/>
  <c r="L216" i="31"/>
  <c r="H219" i="31"/>
  <c r="F215" i="31"/>
  <c r="K230" i="31"/>
  <c r="J142" i="31"/>
  <c r="J139" i="31" s="1"/>
  <c r="C78" i="116"/>
  <c r="V121" i="31"/>
  <c r="V124" i="31"/>
  <c r="V146" i="31"/>
  <c r="G116" i="48"/>
  <c r="G118" i="48"/>
  <c r="R182" i="48"/>
  <c r="D168" i="76"/>
  <c r="D170" i="76"/>
  <c r="F81" i="31"/>
  <c r="F27" i="5"/>
  <c r="N180" i="31"/>
  <c r="N173" i="31"/>
  <c r="F11" i="5"/>
  <c r="G42" i="4" s="1"/>
  <c r="J123" i="31"/>
  <c r="F11" i="30"/>
  <c r="F12" i="30"/>
  <c r="L19" i="13"/>
  <c r="H177" i="31"/>
  <c r="N211" i="31"/>
  <c r="K129" i="31"/>
  <c r="N168" i="31"/>
  <c r="J133" i="31"/>
  <c r="N214" i="31"/>
  <c r="M133" i="31"/>
  <c r="K60" i="13" s="1"/>
  <c r="G162" i="31"/>
  <c r="K195" i="31"/>
  <c r="H133" i="31"/>
  <c r="N131" i="31"/>
  <c r="L58" i="13"/>
  <c r="H216" i="31"/>
  <c r="N203" i="31"/>
  <c r="K83" i="31"/>
  <c r="G105" i="31"/>
  <c r="G104" i="31"/>
  <c r="G118" i="31"/>
  <c r="N150" i="31"/>
  <c r="H210" i="31"/>
  <c r="G29" i="31"/>
  <c r="G95" i="31" s="1"/>
  <c r="F219" i="31"/>
  <c r="P156" i="66"/>
  <c r="L87" i="31"/>
  <c r="L15" i="13"/>
  <c r="N82" i="31"/>
  <c r="S62" i="13"/>
  <c r="N155" i="31"/>
  <c r="N218" i="31"/>
  <c r="G107" i="68"/>
  <c r="F15" i="5"/>
  <c r="G15" i="5"/>
  <c r="H15" i="5"/>
  <c r="I15" i="5"/>
  <c r="J15" i="5" s="1"/>
  <c r="K15" i="5"/>
  <c r="L15" i="5" s="1"/>
  <c r="M15" i="5" s="1"/>
  <c r="N15" i="5" s="1"/>
  <c r="O15" i="5" s="1"/>
  <c r="P15" i="5" s="1"/>
  <c r="N159" i="31"/>
  <c r="F16" i="5" s="1"/>
  <c r="G16" i="5"/>
  <c r="H16" i="5"/>
  <c r="I16" i="5" s="1"/>
  <c r="J16" i="5"/>
  <c r="K16" i="5" s="1"/>
  <c r="L16" i="5" s="1"/>
  <c r="M16" i="5" s="1"/>
  <c r="N16" i="5" s="1"/>
  <c r="O16" i="5" s="1"/>
  <c r="P16" i="5" s="1"/>
  <c r="N215" i="31"/>
  <c r="H102" i="31"/>
  <c r="I83" i="31"/>
  <c r="M212" i="31"/>
  <c r="N162" i="31"/>
  <c r="I128" i="31"/>
  <c r="H220" i="31"/>
  <c r="H213" i="31"/>
  <c r="J177" i="31"/>
  <c r="N205" i="31"/>
  <c r="N135" i="31"/>
  <c r="L62" i="13"/>
  <c r="F200" i="31"/>
  <c r="K174" i="31"/>
  <c r="C11" i="6"/>
  <c r="E99" i="31"/>
  <c r="E141" i="31"/>
  <c r="R26" i="13"/>
  <c r="L29" i="31"/>
  <c r="L191" i="31"/>
  <c r="K220" i="31"/>
  <c r="L105" i="31"/>
  <c r="K142" i="31"/>
  <c r="K139" i="31"/>
  <c r="F156" i="31"/>
  <c r="F174" i="31"/>
  <c r="G179" i="31"/>
  <c r="G190" i="31"/>
  <c r="F99" i="31"/>
  <c r="D228" i="31"/>
  <c r="D106" i="31"/>
  <c r="D121" i="31"/>
  <c r="N199" i="31"/>
  <c r="H29" i="31"/>
  <c r="H91" i="31"/>
  <c r="H92" i="31"/>
  <c r="I29" i="31"/>
  <c r="I155" i="31"/>
  <c r="H179" i="31"/>
  <c r="F186" i="31"/>
  <c r="J227" i="31"/>
  <c r="J197" i="31"/>
  <c r="J200" i="31"/>
  <c r="J127" i="31"/>
  <c r="J128" i="31"/>
  <c r="D200" i="31"/>
  <c r="D127" i="31"/>
  <c r="K212" i="31"/>
  <c r="C24" i="5"/>
  <c r="K134" i="31"/>
  <c r="C25" i="5"/>
  <c r="K100" i="31"/>
  <c r="K211" i="31"/>
  <c r="I100" i="31"/>
  <c r="J101" i="31" s="1"/>
  <c r="I211" i="31"/>
  <c r="S43" i="13"/>
  <c r="N222" i="31"/>
  <c r="M224" i="31"/>
  <c r="R45" i="13"/>
  <c r="S41" i="13"/>
  <c r="E78" i="87"/>
  <c r="H78" i="87"/>
  <c r="G42" i="60"/>
  <c r="G77" i="90"/>
  <c r="J220" i="31"/>
  <c r="I102" i="31"/>
  <c r="I103" i="31" s="1"/>
  <c r="M174" i="31"/>
  <c r="N102" i="31"/>
  <c r="N210" i="31"/>
  <c r="F131" i="31"/>
  <c r="J186" i="31"/>
  <c r="E155" i="31"/>
  <c r="E159" i="31"/>
  <c r="E197" i="31"/>
  <c r="N134" i="31"/>
  <c r="L61" i="13"/>
  <c r="F210" i="31"/>
  <c r="K135" i="31"/>
  <c r="H204" i="33"/>
  <c r="M217" i="31"/>
  <c r="H194" i="33"/>
  <c r="D12" i="31"/>
  <c r="D108" i="31" s="1"/>
  <c r="N100" i="31"/>
  <c r="J229" i="31"/>
  <c r="I131" i="31"/>
  <c r="H224" i="31"/>
  <c r="N133" i="31"/>
  <c r="L60" i="13" s="1"/>
  <c r="N231" i="31"/>
  <c r="R16" i="13"/>
  <c r="D168" i="31"/>
  <c r="I127" i="31"/>
  <c r="E27" i="5"/>
  <c r="L182" i="31"/>
  <c r="N186" i="31"/>
  <c r="F213" i="31"/>
  <c r="E230" i="31"/>
  <c r="L135" i="31"/>
  <c r="E150" i="31"/>
  <c r="J179" i="31"/>
  <c r="N174" i="31"/>
  <c r="H222" i="31"/>
  <c r="G186" i="31"/>
  <c r="G204" i="31"/>
  <c r="E166" i="31"/>
  <c r="F216" i="31"/>
  <c r="I173" i="31"/>
  <c r="H155" i="31"/>
  <c r="F14" i="6"/>
  <c r="F18" i="6" s="1"/>
  <c r="L18" i="13"/>
  <c r="K21" i="13"/>
  <c r="M161" i="31"/>
  <c r="E17" i="5"/>
  <c r="D197" i="31"/>
  <c r="E122" i="31"/>
  <c r="R20" i="13"/>
  <c r="M229" i="31"/>
  <c r="M127" i="31"/>
  <c r="K55" i="13"/>
  <c r="E27" i="6"/>
  <c r="M166" i="31"/>
  <c r="F184" i="31"/>
  <c r="G228" i="31"/>
  <c r="M201" i="31"/>
  <c r="R37" i="13"/>
  <c r="M216" i="31"/>
  <c r="C10" i="6"/>
  <c r="K179" i="31"/>
  <c r="F27" i="6"/>
  <c r="F35" i="6" s="1"/>
  <c r="L26" i="13"/>
  <c r="N166" i="31"/>
  <c r="E179" i="31"/>
  <c r="E161" i="31"/>
  <c r="K164" i="31"/>
  <c r="K182" i="31"/>
  <c r="K190" i="31"/>
  <c r="C34" i="6"/>
  <c r="K106" i="31"/>
  <c r="J228" i="31"/>
  <c r="K228" i="31"/>
  <c r="M63" i="31"/>
  <c r="N104" i="31"/>
  <c r="M207" i="31"/>
  <c r="R28" i="13"/>
  <c r="F231" i="31"/>
  <c r="F100" i="31"/>
  <c r="F134" i="31"/>
  <c r="F82" i="31"/>
  <c r="D134" i="31"/>
  <c r="D82" i="31"/>
  <c r="D131" i="31"/>
  <c r="D231" i="31"/>
  <c r="D211" i="31"/>
  <c r="D100" i="31"/>
  <c r="D133" i="31"/>
  <c r="D210" i="31"/>
  <c r="E123" i="31"/>
  <c r="D230" i="31"/>
  <c r="N223" i="31"/>
  <c r="S44" i="13"/>
  <c r="N142" i="31"/>
  <c r="S45" i="13"/>
  <c r="N224" i="31"/>
  <c r="M186" i="31"/>
  <c r="E29" i="6"/>
  <c r="K28" i="13"/>
  <c r="M168" i="31"/>
  <c r="M177" i="31"/>
  <c r="K19" i="13"/>
  <c r="M159" i="31"/>
  <c r="E16" i="5"/>
  <c r="E16" i="6"/>
  <c r="M223" i="31"/>
  <c r="M202" i="31"/>
  <c r="N105" i="31"/>
  <c r="M180" i="31"/>
  <c r="K22" i="13"/>
  <c r="L21" i="13"/>
  <c r="N161" i="31"/>
  <c r="F17" i="5" s="1"/>
  <c r="G17" i="5" s="1"/>
  <c r="H17" i="5" s="1"/>
  <c r="I17" i="5" s="1"/>
  <c r="J17" i="5" s="1"/>
  <c r="K17" i="5" s="1"/>
  <c r="L17" i="5" s="1"/>
  <c r="M17" i="5" s="1"/>
  <c r="N17" i="5" s="1"/>
  <c r="O17" i="5" s="1"/>
  <c r="P17" i="5" s="1"/>
  <c r="N190" i="31"/>
  <c r="N151" i="31"/>
  <c r="F14" i="5"/>
  <c r="G12" i="31"/>
  <c r="G156" i="31"/>
  <c r="K186" i="31"/>
  <c r="J168" i="31"/>
  <c r="N200" i="31"/>
  <c r="S22" i="13"/>
  <c r="N201" i="31"/>
  <c r="M134" i="31"/>
  <c r="E29" i="31"/>
  <c r="E95" i="31" s="1"/>
  <c r="E220" i="31"/>
  <c r="G142" i="31"/>
  <c r="G139" i="31"/>
  <c r="F155" i="31"/>
  <c r="G177" i="31"/>
  <c r="C14" i="6"/>
  <c r="K176" i="31"/>
  <c r="M197" i="31"/>
  <c r="R18" i="13"/>
  <c r="S23" i="13"/>
  <c r="N202" i="31"/>
  <c r="S28" i="13"/>
  <c r="N207" i="31"/>
  <c r="N63" i="31"/>
  <c r="J135" i="31"/>
  <c r="J214" i="31"/>
  <c r="H207" i="31"/>
  <c r="H214" i="31"/>
  <c r="H135" i="31"/>
  <c r="S38" i="13"/>
  <c r="N217" i="31"/>
  <c r="E211" i="31"/>
  <c r="E131" i="31"/>
  <c r="E82" i="31"/>
  <c r="E134" i="31"/>
  <c r="E231" i="31"/>
  <c r="L190" i="31"/>
  <c r="L180" i="31"/>
  <c r="D157" i="58"/>
  <c r="I78" i="87"/>
  <c r="F211" i="31"/>
  <c r="H164" i="31"/>
  <c r="D190" i="31"/>
  <c r="H158" i="31"/>
  <c r="G152" i="31"/>
  <c r="H159" i="31"/>
  <c r="R21" i="13"/>
  <c r="G230" i="31"/>
  <c r="N123" i="31"/>
  <c r="L51" i="13"/>
  <c r="F177" i="31"/>
  <c r="M123" i="31"/>
  <c r="I168" i="31"/>
  <c r="S24" i="13"/>
  <c r="M129" i="31"/>
  <c r="K57" i="13"/>
  <c r="K102" i="31"/>
  <c r="K166" i="31"/>
  <c r="I132" i="31"/>
  <c r="I190" i="31"/>
  <c r="G83" i="31"/>
  <c r="E102" i="31"/>
  <c r="N184" i="31"/>
  <c r="H83" i="31"/>
  <c r="D11" i="6"/>
  <c r="D186" i="31"/>
  <c r="M221" i="31"/>
  <c r="L133" i="31"/>
  <c r="G133" i="31"/>
  <c r="I214" i="31"/>
  <c r="E223" i="31"/>
  <c r="G129" i="31"/>
  <c r="J152" i="31"/>
  <c r="D162" i="31"/>
  <c r="M222" i="31"/>
  <c r="L179" i="31"/>
  <c r="I159" i="31"/>
  <c r="F229" i="31"/>
  <c r="M210" i="31"/>
  <c r="G219" i="31"/>
  <c r="H201" i="31"/>
  <c r="G205" i="31"/>
  <c r="J164" i="31"/>
  <c r="H221" i="31"/>
  <c r="E164" i="31"/>
  <c r="E12" i="31"/>
  <c r="M12" i="31"/>
  <c r="E15" i="30"/>
  <c r="F204" i="31"/>
  <c r="G117" i="31"/>
  <c r="D156" i="31"/>
  <c r="D173" i="31"/>
  <c r="D166" i="31"/>
  <c r="L176" i="31"/>
  <c r="I161" i="31"/>
  <c r="I179" i="31"/>
  <c r="S19" i="13"/>
  <c r="K82" i="31"/>
  <c r="J132" i="31"/>
  <c r="J211" i="31"/>
  <c r="J134" i="31"/>
  <c r="H211" i="31"/>
  <c r="H134" i="31"/>
  <c r="H132" i="31"/>
  <c r="H100" i="31"/>
  <c r="I166" i="31"/>
  <c r="I184" i="31"/>
  <c r="N241" i="31"/>
  <c r="C29" i="6"/>
  <c r="K227" i="31"/>
  <c r="E214" i="31"/>
  <c r="N213" i="31"/>
  <c r="M219" i="31"/>
  <c r="G231" i="31"/>
  <c r="G82" i="31"/>
  <c r="G134" i="31"/>
  <c r="G100" i="31"/>
  <c r="K199" i="31"/>
  <c r="K229" i="31"/>
  <c r="H227" i="31"/>
  <c r="H197" i="31"/>
  <c r="I122" i="31"/>
  <c r="K159" i="31"/>
  <c r="C16" i="5" s="1"/>
  <c r="C16" i="6"/>
  <c r="J78" i="87"/>
  <c r="M211" i="31"/>
  <c r="G102" i="31"/>
  <c r="J176" i="31"/>
  <c r="E227" i="31"/>
  <c r="E229" i="31"/>
  <c r="F223" i="31"/>
  <c r="I142" i="31"/>
  <c r="I139" i="31"/>
  <c r="H150" i="31"/>
  <c r="G127" i="31"/>
  <c r="H174" i="31"/>
  <c r="L222" i="31"/>
  <c r="M204" i="31"/>
  <c r="N195" i="31"/>
  <c r="E182" i="31"/>
  <c r="J106" i="31"/>
  <c r="J121" i="31" s="1"/>
  <c r="M198" i="31"/>
  <c r="H198" i="33"/>
  <c r="H52" i="29"/>
  <c r="T82" i="63"/>
  <c r="T101" i="63"/>
  <c r="T106" i="63"/>
  <c r="C203" i="63"/>
  <c r="K100" i="63"/>
  <c r="P192" i="33"/>
  <c r="T118" i="31"/>
  <c r="I64" i="33"/>
  <c r="I79" i="33" s="1"/>
  <c r="I87" i="29" s="1"/>
  <c r="H186" i="33"/>
  <c r="H40" i="29"/>
  <c r="K57" i="63"/>
  <c r="K162" i="63"/>
  <c r="H66" i="29"/>
  <c r="H212" i="33"/>
  <c r="H76" i="133"/>
  <c r="G76" i="133"/>
  <c r="C35" i="133"/>
  <c r="K35" i="133"/>
  <c r="K99" i="133"/>
  <c r="D59" i="135"/>
  <c r="K59" i="135"/>
  <c r="I59" i="135"/>
  <c r="P141" i="31"/>
  <c r="H45" i="61"/>
  <c r="J14" i="66"/>
  <c r="F69" i="48"/>
  <c r="I69" i="48"/>
  <c r="D69" i="48"/>
  <c r="C33" i="48"/>
  <c r="K33" i="48"/>
  <c r="E17" i="54"/>
  <c r="G161" i="76"/>
  <c r="D81" i="31"/>
  <c r="D19" i="29"/>
  <c r="C76" i="133"/>
  <c r="D76" i="133"/>
  <c r="L76" i="133"/>
  <c r="K76" i="133"/>
  <c r="G59" i="134"/>
  <c r="M59" i="134"/>
  <c r="L59" i="156"/>
  <c r="L59" i="135"/>
  <c r="J59" i="135"/>
  <c r="L17" i="54"/>
  <c r="J12" i="40"/>
  <c r="J16" i="40"/>
  <c r="J10" i="101"/>
  <c r="L69" i="48"/>
  <c r="R180" i="65"/>
  <c r="F64" i="33"/>
  <c r="E40" i="29"/>
  <c r="K179" i="48"/>
  <c r="K169" i="48"/>
  <c r="J76" i="133"/>
  <c r="H59" i="135"/>
  <c r="F59" i="135"/>
  <c r="H59" i="134"/>
  <c r="W91" i="31"/>
  <c r="G69" i="48"/>
  <c r="D43" i="29"/>
  <c r="D219" i="33"/>
  <c r="D99" i="33"/>
  <c r="D65" i="29"/>
  <c r="D28" i="33"/>
  <c r="J190" i="33"/>
  <c r="D6" i="133"/>
  <c r="E165" i="33"/>
  <c r="E19" i="29"/>
  <c r="D6" i="160"/>
  <c r="D5" i="116"/>
  <c r="C115" i="116"/>
  <c r="D77" i="116"/>
  <c r="F77" i="116"/>
  <c r="I77" i="116"/>
  <c r="F41" i="13"/>
  <c r="F78" i="110"/>
  <c r="P245" i="31"/>
  <c r="P246" i="31"/>
  <c r="P247" i="31"/>
  <c r="F76" i="160"/>
  <c r="K77" i="116"/>
  <c r="F11" i="69"/>
  <c r="F12" i="69"/>
  <c r="D23" i="134"/>
  <c r="F6" i="112"/>
  <c r="F7" i="112"/>
  <c r="E122" i="33"/>
  <c r="P194" i="48"/>
  <c r="P181" i="48"/>
  <c r="P171" i="48"/>
  <c r="K76" i="160"/>
  <c r="F12" i="112"/>
  <c r="F5" i="112"/>
  <c r="S91" i="31"/>
  <c r="N22" i="29"/>
  <c r="W22" i="29" s="1"/>
  <c r="N168" i="33"/>
  <c r="J40" i="29"/>
  <c r="K64" i="33"/>
  <c r="K72" i="29" s="1"/>
  <c r="D77" i="90"/>
  <c r="H77" i="90"/>
  <c r="I77" i="90"/>
  <c r="F19" i="29"/>
  <c r="F165" i="33"/>
  <c r="J58" i="29"/>
  <c r="J122" i="33"/>
  <c r="J208" i="33"/>
  <c r="J52" i="29"/>
  <c r="J186" i="33"/>
  <c r="J204" i="33"/>
  <c r="J198" i="33"/>
  <c r="F36" i="87"/>
  <c r="G36" i="87"/>
  <c r="D37" i="87"/>
  <c r="P207" i="33"/>
  <c r="H34" i="48"/>
  <c r="H210" i="48"/>
  <c r="H193" i="48"/>
  <c r="K34" i="48"/>
  <c r="L34" i="48"/>
  <c r="L193" i="48"/>
  <c r="G34" i="48"/>
  <c r="G193" i="48"/>
  <c r="G210" i="48"/>
  <c r="F34" i="48"/>
  <c r="I34" i="48"/>
  <c r="I193" i="48"/>
  <c r="I210" i="48"/>
  <c r="D34" i="48"/>
  <c r="E193" i="48"/>
  <c r="J34" i="48"/>
  <c r="G17" i="137"/>
  <c r="I59" i="134"/>
  <c r="E76" i="160"/>
  <c r="M76" i="160"/>
  <c r="H76" i="160"/>
  <c r="Q68" i="48"/>
  <c r="O68" i="48"/>
  <c r="F303" i="58"/>
  <c r="L59" i="134"/>
  <c r="F68" i="48"/>
  <c r="G41" i="43"/>
  <c r="F59" i="134"/>
  <c r="L76" i="119"/>
  <c r="I17" i="101"/>
  <c r="G68" i="48"/>
  <c r="I76" i="160"/>
  <c r="D76" i="160"/>
  <c r="L76" i="160"/>
  <c r="E127" i="116"/>
  <c r="D68" i="48"/>
  <c r="L68" i="48"/>
  <c r="I16" i="102"/>
  <c r="P68" i="48"/>
  <c r="G78" i="110"/>
  <c r="E59" i="134"/>
  <c r="G76" i="160"/>
  <c r="C35" i="160"/>
  <c r="R35" i="160" s="1"/>
  <c r="R99" i="160" s="1"/>
  <c r="I68" i="48"/>
  <c r="M68" i="48"/>
  <c r="H68" i="48"/>
  <c r="D59" i="134"/>
  <c r="F59" i="156"/>
  <c r="K76" i="159"/>
  <c r="N59" i="13"/>
  <c r="E76" i="119"/>
  <c r="F55" i="116"/>
  <c r="F53" i="116"/>
  <c r="F65" i="116"/>
  <c r="F97" i="116"/>
  <c r="I38" i="87"/>
  <c r="H38" i="87"/>
  <c r="X146" i="31"/>
  <c r="C36" i="90"/>
  <c r="D37" i="90"/>
  <c r="G78" i="90"/>
  <c r="D78" i="90"/>
  <c r="S146" i="31"/>
  <c r="K4" i="40"/>
  <c r="J59" i="40"/>
  <c r="S59" i="40"/>
  <c r="T46" i="40"/>
  <c r="T49" i="40"/>
  <c r="T76" i="40"/>
  <c r="L3" i="40"/>
  <c r="K7" i="40"/>
  <c r="K10" i="40"/>
  <c r="J76" i="119"/>
  <c r="Q171" i="33"/>
  <c r="P208" i="33"/>
  <c r="P181" i="31"/>
  <c r="L35" i="119"/>
  <c r="L99" i="119"/>
  <c r="L133" i="119"/>
  <c r="C99" i="119"/>
  <c r="G35" i="119"/>
  <c r="G99" i="119"/>
  <c r="M35" i="119"/>
  <c r="M99" i="119"/>
  <c r="M133" i="119"/>
  <c r="J32" i="65"/>
  <c r="J54" i="65"/>
  <c r="J88" i="65"/>
  <c r="J145" i="65"/>
  <c r="J164" i="65"/>
  <c r="J174" i="65"/>
  <c r="J189" i="65"/>
  <c r="J199" i="65"/>
  <c r="I116" i="65"/>
  <c r="K21" i="29"/>
  <c r="K167" i="33"/>
  <c r="K149" i="33"/>
  <c r="L44" i="29"/>
  <c r="L190" i="33"/>
  <c r="L208" i="33"/>
  <c r="L62" i="29"/>
  <c r="M205" i="33"/>
  <c r="M81" i="33"/>
  <c r="M89" i="29"/>
  <c r="M59" i="29"/>
  <c r="M128" i="33"/>
  <c r="N81" i="33"/>
  <c r="N89" i="29"/>
  <c r="M93" i="33"/>
  <c r="M125" i="33"/>
  <c r="M124" i="33"/>
  <c r="M95" i="33"/>
  <c r="M126" i="33"/>
  <c r="D97" i="68"/>
  <c r="M146" i="33"/>
  <c r="D91" i="68"/>
  <c r="M12" i="33"/>
  <c r="M164" i="33"/>
  <c r="D87" i="68"/>
  <c r="M150" i="33"/>
  <c r="M159" i="33"/>
  <c r="M149" i="33"/>
  <c r="M18" i="29"/>
  <c r="K99" i="33"/>
  <c r="J207" i="33"/>
  <c r="J61" i="29"/>
  <c r="K120" i="33"/>
  <c r="K121" i="33"/>
  <c r="K191" i="33"/>
  <c r="K45" i="29"/>
  <c r="K209" i="33"/>
  <c r="M77" i="29"/>
  <c r="O213" i="31"/>
  <c r="T34" i="13"/>
  <c r="D220" i="33"/>
  <c r="D44" i="29"/>
  <c r="E220" i="33"/>
  <c r="E187" i="33"/>
  <c r="E41" i="29"/>
  <c r="E205" i="33"/>
  <c r="E59" i="29"/>
  <c r="F167" i="33"/>
  <c r="F21" i="29"/>
  <c r="F149" i="33"/>
  <c r="N188" i="33"/>
  <c r="O115" i="33"/>
  <c r="N218" i="33"/>
  <c r="N223" i="33" s="1"/>
  <c r="N219" i="33"/>
  <c r="N220" i="33"/>
  <c r="N221" i="33"/>
  <c r="N222" i="33"/>
  <c r="N143" i="33"/>
  <c r="N42" i="29"/>
  <c r="O44" i="29"/>
  <c r="O208" i="33"/>
  <c r="O62" i="29"/>
  <c r="L181" i="33"/>
  <c r="L35" i="29"/>
  <c r="H50" i="29"/>
  <c r="H196" i="33"/>
  <c r="I98" i="33"/>
  <c r="H68" i="29"/>
  <c r="H214" i="33"/>
  <c r="E218" i="33"/>
  <c r="F115" i="33"/>
  <c r="E42" i="29"/>
  <c r="E143" i="33"/>
  <c r="E188" i="33"/>
  <c r="E60" i="29"/>
  <c r="E206" i="33"/>
  <c r="F168" i="33"/>
  <c r="F150" i="33"/>
  <c r="F22" i="29"/>
  <c r="N189" i="33"/>
  <c r="N43" i="29"/>
  <c r="O99" i="33"/>
  <c r="O114" i="33"/>
  <c r="O117" i="33" s="1"/>
  <c r="N121" i="33"/>
  <c r="O219" i="33"/>
  <c r="J222" i="33"/>
  <c r="J202" i="33"/>
  <c r="J95" i="33"/>
  <c r="J127" i="33"/>
  <c r="J80" i="33"/>
  <c r="J88" i="29"/>
  <c r="J93" i="33"/>
  <c r="J125" i="33"/>
  <c r="J124" i="33"/>
  <c r="J126" i="33"/>
  <c r="K222" i="33"/>
  <c r="J56" i="29"/>
  <c r="K80" i="33"/>
  <c r="K88" i="29"/>
  <c r="G153" i="33"/>
  <c r="G171" i="33"/>
  <c r="G25" i="29"/>
  <c r="G197" i="33"/>
  <c r="G51" i="29"/>
  <c r="G215" i="33"/>
  <c r="G69" i="29"/>
  <c r="E77" i="29"/>
  <c r="G209" i="33"/>
  <c r="G63" i="29"/>
  <c r="O142" i="33"/>
  <c r="O181" i="33"/>
  <c r="O35" i="29"/>
  <c r="N55" i="29"/>
  <c r="N201" i="33"/>
  <c r="O116" i="33"/>
  <c r="J21" i="29"/>
  <c r="W21" i="29" s="1"/>
  <c r="J167" i="33"/>
  <c r="J149" i="33"/>
  <c r="E194" i="33"/>
  <c r="E61" i="33"/>
  <c r="E186" i="33"/>
  <c r="F97" i="33"/>
  <c r="E198" i="33"/>
  <c r="E204" i="33"/>
  <c r="E52" i="29"/>
  <c r="E212" i="33"/>
  <c r="E190" i="33"/>
  <c r="E208" i="33"/>
  <c r="L213" i="33"/>
  <c r="L67" i="29"/>
  <c r="H44" i="29"/>
  <c r="H190" i="33"/>
  <c r="H220" i="33"/>
  <c r="P143" i="31"/>
  <c r="V3" i="31"/>
  <c r="R66" i="13"/>
  <c r="H165" i="33"/>
  <c r="H19" i="29"/>
  <c r="H147" i="33"/>
  <c r="L173" i="33"/>
  <c r="L27" i="29"/>
  <c r="D115" i="33"/>
  <c r="D42" i="29"/>
  <c r="D218" i="33"/>
  <c r="D188" i="33"/>
  <c r="E115" i="33"/>
  <c r="H47" i="29"/>
  <c r="H193" i="33"/>
  <c r="L198" i="33"/>
  <c r="L209" i="33"/>
  <c r="L52" i="29"/>
  <c r="L187" i="33"/>
  <c r="L61" i="33"/>
  <c r="M97" i="33"/>
  <c r="L201" i="33"/>
  <c r="L128" i="33"/>
  <c r="L191" i="33"/>
  <c r="L205" i="33"/>
  <c r="D206" i="33"/>
  <c r="D60" i="29"/>
  <c r="H65" i="29"/>
  <c r="H211" i="33"/>
  <c r="I28" i="33"/>
  <c r="I138" i="33" s="1"/>
  <c r="M147" i="33"/>
  <c r="M165" i="33"/>
  <c r="M19" i="29"/>
  <c r="E181" i="33"/>
  <c r="E35" i="29"/>
  <c r="E142" i="33"/>
  <c r="F181" i="33"/>
  <c r="I44" i="29"/>
  <c r="I220" i="33"/>
  <c r="J220" i="33"/>
  <c r="M49" i="29"/>
  <c r="M195" i="33"/>
  <c r="E203" i="33"/>
  <c r="E57" i="29"/>
  <c r="I62" i="29"/>
  <c r="M213" i="33"/>
  <c r="M67" i="29"/>
  <c r="F146" i="33"/>
  <c r="F142" i="33"/>
  <c r="F18" i="29"/>
  <c r="F164" i="33"/>
  <c r="F12" i="33"/>
  <c r="E111" i="68"/>
  <c r="F147" i="33"/>
  <c r="F153" i="33"/>
  <c r="J153" i="33"/>
  <c r="J171" i="33"/>
  <c r="J25" i="29"/>
  <c r="W25" i="29" s="1"/>
  <c r="N40" i="29"/>
  <c r="N122" i="33"/>
  <c r="O64" i="33"/>
  <c r="N186" i="33"/>
  <c r="F46" i="29"/>
  <c r="F192" i="33"/>
  <c r="J51" i="29"/>
  <c r="J197" i="33"/>
  <c r="N204" i="33"/>
  <c r="N58" i="29"/>
  <c r="N120" i="33"/>
  <c r="F210" i="33"/>
  <c r="F64" i="29"/>
  <c r="J61" i="33"/>
  <c r="J215" i="33"/>
  <c r="J69" i="29"/>
  <c r="K157" i="33"/>
  <c r="K29" i="29"/>
  <c r="L175" i="33"/>
  <c r="O188" i="33"/>
  <c r="O218" i="33"/>
  <c r="O143" i="33"/>
  <c r="O42" i="29"/>
  <c r="G194" i="33"/>
  <c r="G48" i="29"/>
  <c r="K221" i="33"/>
  <c r="K201" i="33"/>
  <c r="L116" i="33"/>
  <c r="K55" i="29"/>
  <c r="L221" i="33"/>
  <c r="O206" i="33"/>
  <c r="O60" i="29"/>
  <c r="G212" i="33"/>
  <c r="G66" i="29"/>
  <c r="F141" i="33"/>
  <c r="F79" i="29"/>
  <c r="G27" i="6"/>
  <c r="C34" i="68"/>
  <c r="M26" i="13"/>
  <c r="O184" i="31"/>
  <c r="Q173" i="33"/>
  <c r="C97" i="68"/>
  <c r="L12" i="33"/>
  <c r="L164" i="33"/>
  <c r="D173" i="33"/>
  <c r="D155" i="33"/>
  <c r="D27" i="29"/>
  <c r="H187" i="33"/>
  <c r="L46" i="29"/>
  <c r="L192" i="33"/>
  <c r="D97" i="33"/>
  <c r="D110" i="33"/>
  <c r="D207" i="33"/>
  <c r="H128" i="33"/>
  <c r="H59" i="29"/>
  <c r="H205" i="33"/>
  <c r="H81" i="33"/>
  <c r="H89" i="29"/>
  <c r="L210" i="33"/>
  <c r="E12" i="33"/>
  <c r="E164" i="33"/>
  <c r="E147" i="33"/>
  <c r="E18" i="29"/>
  <c r="E141" i="33"/>
  <c r="D111" i="68"/>
  <c r="E146" i="33"/>
  <c r="I159" i="33"/>
  <c r="V31" i="29"/>
  <c r="I177" i="33"/>
  <c r="M43" i="29"/>
  <c r="M219" i="33"/>
  <c r="M189" i="33"/>
  <c r="N99" i="33"/>
  <c r="E195" i="33"/>
  <c r="E49" i="29"/>
  <c r="I80" i="33"/>
  <c r="I88" i="29"/>
  <c r="I125" i="33"/>
  <c r="I56" i="29"/>
  <c r="I126" i="33"/>
  <c r="I93" i="33"/>
  <c r="I95" i="33"/>
  <c r="H95" i="33"/>
  <c r="I96" i="33" s="1"/>
  <c r="I222" i="33"/>
  <c r="M61" i="29"/>
  <c r="E213" i="33"/>
  <c r="E67" i="29"/>
  <c r="M170" i="33"/>
  <c r="N24" i="29"/>
  <c r="W24" i="29"/>
  <c r="N170" i="33"/>
  <c r="N152" i="33"/>
  <c r="F122" i="33"/>
  <c r="J45" i="29"/>
  <c r="J191" i="33"/>
  <c r="J120" i="33"/>
  <c r="N196" i="33"/>
  <c r="F58" i="29"/>
  <c r="F204" i="33"/>
  <c r="J63" i="29"/>
  <c r="N68" i="29"/>
  <c r="N214" i="33"/>
  <c r="N98" i="33"/>
  <c r="O98" i="33"/>
  <c r="O155" i="33"/>
  <c r="O27" i="29"/>
  <c r="H115" i="33"/>
  <c r="G188" i="33"/>
  <c r="G42" i="29"/>
  <c r="G143" i="33"/>
  <c r="G218" i="33"/>
  <c r="K47" i="29"/>
  <c r="K193" i="33"/>
  <c r="O198" i="33"/>
  <c r="O197" i="33"/>
  <c r="O52" i="29"/>
  <c r="O207" i="33"/>
  <c r="O211" i="33"/>
  <c r="O61" i="33"/>
  <c r="O193" i="33"/>
  <c r="O189" i="33"/>
  <c r="O215" i="33"/>
  <c r="K65" i="29"/>
  <c r="L28" i="33"/>
  <c r="L36" i="29" s="1"/>
  <c r="K211" i="33"/>
  <c r="P175" i="33"/>
  <c r="Q175" i="33"/>
  <c r="G29" i="6"/>
  <c r="C36" i="68"/>
  <c r="M28" i="13"/>
  <c r="O186" i="31"/>
  <c r="L19" i="29"/>
  <c r="L165" i="33"/>
  <c r="D175" i="33"/>
  <c r="D29" i="29"/>
  <c r="D157" i="33"/>
  <c r="H218" i="33"/>
  <c r="H188" i="33"/>
  <c r="I115" i="33"/>
  <c r="H42" i="29"/>
  <c r="L47" i="29"/>
  <c r="L193" i="33"/>
  <c r="D221" i="33"/>
  <c r="D55" i="29"/>
  <c r="E116" i="33"/>
  <c r="H206" i="33"/>
  <c r="H60" i="29"/>
  <c r="M28" i="33"/>
  <c r="M134" i="33" s="1"/>
  <c r="M132" i="33" s="1"/>
  <c r="L65" i="29"/>
  <c r="L211" i="33"/>
  <c r="I149" i="33"/>
  <c r="I167" i="33"/>
  <c r="I21" i="29"/>
  <c r="I35" i="29"/>
  <c r="M35" i="29"/>
  <c r="V35" i="29"/>
  <c r="I181" i="33"/>
  <c r="I142" i="33"/>
  <c r="M44" i="29"/>
  <c r="M190" i="33"/>
  <c r="M220" i="33"/>
  <c r="E50" i="29"/>
  <c r="E196" i="33"/>
  <c r="I57" i="29"/>
  <c r="M62" i="29"/>
  <c r="M208" i="33"/>
  <c r="E214" i="33"/>
  <c r="F98" i="33"/>
  <c r="F111" i="33" s="1"/>
  <c r="E68" i="29"/>
  <c r="J12" i="33"/>
  <c r="J164" i="33"/>
  <c r="J146" i="33"/>
  <c r="E101" i="68"/>
  <c r="J18" i="29"/>
  <c r="E107" i="68"/>
  <c r="J155" i="33"/>
  <c r="N153" i="33"/>
  <c r="N25" i="29"/>
  <c r="O171" i="33"/>
  <c r="F187" i="33"/>
  <c r="F41" i="29"/>
  <c r="J46" i="29"/>
  <c r="J192" i="33"/>
  <c r="N197" i="33"/>
  <c r="N51" i="29"/>
  <c r="F205" i="33"/>
  <c r="F81" i="33"/>
  <c r="F89" i="29" s="1"/>
  <c r="F128" i="33"/>
  <c r="G81" i="33"/>
  <c r="G89" i="29" s="1"/>
  <c r="F59" i="29"/>
  <c r="J64" i="29"/>
  <c r="J210" i="33"/>
  <c r="N215" i="33"/>
  <c r="N69" i="29"/>
  <c r="O175" i="33"/>
  <c r="O157" i="33"/>
  <c r="O29" i="29"/>
  <c r="H99" i="33"/>
  <c r="G43" i="29"/>
  <c r="G189" i="33"/>
  <c r="K194" i="33"/>
  <c r="K48" i="29"/>
  <c r="P116" i="33"/>
  <c r="O221" i="33"/>
  <c r="O55" i="29"/>
  <c r="O201" i="33"/>
  <c r="G61" i="29"/>
  <c r="G207" i="33"/>
  <c r="K212" i="33"/>
  <c r="K66" i="29"/>
  <c r="I77" i="29"/>
  <c r="J141" i="33"/>
  <c r="Q194" i="48"/>
  <c r="Q181" i="48"/>
  <c r="Q213" i="48"/>
  <c r="Q171" i="48"/>
  <c r="E59" i="156"/>
  <c r="D59" i="156"/>
  <c r="L76" i="121"/>
  <c r="D156" i="58"/>
  <c r="Q129" i="33"/>
  <c r="K4" i="4"/>
  <c r="K43" i="4"/>
  <c r="C212" i="63"/>
  <c r="G46" i="61"/>
  <c r="H153" i="65"/>
  <c r="D76" i="119"/>
  <c r="H76" i="119"/>
  <c r="D6" i="119"/>
  <c r="H55" i="90"/>
  <c r="H53" i="90"/>
  <c r="I65" i="90"/>
  <c r="I81" i="90"/>
  <c r="L70" i="159"/>
  <c r="L100" i="159"/>
  <c r="E78" i="90"/>
  <c r="D5" i="90"/>
  <c r="C115" i="90"/>
  <c r="I78" i="110"/>
  <c r="H78" i="110"/>
  <c r="L15" i="63"/>
  <c r="F219" i="33"/>
  <c r="F218" i="33"/>
  <c r="F220" i="33"/>
  <c r="F221" i="33"/>
  <c r="D203" i="33"/>
  <c r="D170" i="33"/>
  <c r="D50" i="29"/>
  <c r="D68" i="29"/>
  <c r="E98" i="33"/>
  <c r="E47" i="29"/>
  <c r="E193" i="33"/>
  <c r="E211" i="33"/>
  <c r="F177" i="33"/>
  <c r="F159" i="33"/>
  <c r="F31" i="29"/>
  <c r="N194" i="33"/>
  <c r="N48" i="29"/>
  <c r="N212" i="33"/>
  <c r="N66" i="29"/>
  <c r="G122" i="33"/>
  <c r="G58" i="29"/>
  <c r="G204" i="33"/>
  <c r="H168" i="33"/>
  <c r="H150" i="33"/>
  <c r="H22" i="29"/>
  <c r="H67" i="29"/>
  <c r="H213" i="33"/>
  <c r="I192" i="33"/>
  <c r="I46" i="29"/>
  <c r="I64" i="29"/>
  <c r="J29" i="29"/>
  <c r="J116" i="33"/>
  <c r="J201" i="33"/>
  <c r="K116" i="33"/>
  <c r="J221" i="33"/>
  <c r="J55" i="29"/>
  <c r="K22" i="29"/>
  <c r="Q22" i="29" s="1"/>
  <c r="K35" i="29"/>
  <c r="K142" i="33"/>
  <c r="K181" i="33"/>
  <c r="K77" i="29"/>
  <c r="T42" i="13"/>
  <c r="O221" i="31"/>
  <c r="G168" i="33"/>
  <c r="G150" i="33"/>
  <c r="G22" i="29"/>
  <c r="D121" i="33"/>
  <c r="D120" i="33"/>
  <c r="D45" i="29"/>
  <c r="D209" i="33"/>
  <c r="D63" i="29"/>
  <c r="I47" i="29"/>
  <c r="I193" i="33"/>
  <c r="J28" i="33"/>
  <c r="I65" i="29"/>
  <c r="J159" i="33"/>
  <c r="J177" i="33"/>
  <c r="J31" i="29"/>
  <c r="N61" i="29"/>
  <c r="N207" i="33"/>
  <c r="O191" i="33"/>
  <c r="O45" i="29"/>
  <c r="O120" i="33"/>
  <c r="O121" i="33"/>
  <c r="O209" i="33"/>
  <c r="O63" i="29"/>
  <c r="K79" i="29"/>
  <c r="K141" i="33"/>
  <c r="T66" i="13"/>
  <c r="P81" i="33"/>
  <c r="P93" i="33"/>
  <c r="Q94" i="33"/>
  <c r="O205" i="31"/>
  <c r="K68" i="29"/>
  <c r="K214" i="33"/>
  <c r="L98" i="33"/>
  <c r="G120" i="33"/>
  <c r="G45" i="29"/>
  <c r="G121" i="33"/>
  <c r="G191" i="33"/>
  <c r="F61" i="29"/>
  <c r="F207" i="33"/>
  <c r="N157" i="33"/>
  <c r="I81" i="33"/>
  <c r="I89" i="29"/>
  <c r="I59" i="29"/>
  <c r="I205" i="33"/>
  <c r="I128" i="33"/>
  <c r="E155" i="33"/>
  <c r="E173" i="33"/>
  <c r="E27" i="29"/>
  <c r="L49" i="29"/>
  <c r="L195" i="33"/>
  <c r="O165" i="33"/>
  <c r="O147" i="33"/>
  <c r="O19" i="29"/>
  <c r="X19" i="29" s="1"/>
  <c r="D141" i="33"/>
  <c r="D146" i="33"/>
  <c r="D164" i="33"/>
  <c r="D18" i="29"/>
  <c r="D147" i="33"/>
  <c r="C111" i="68"/>
  <c r="D153" i="33"/>
  <c r="H153" i="33"/>
  <c r="H171" i="33"/>
  <c r="H25" i="29"/>
  <c r="I171" i="33"/>
  <c r="L186" i="33"/>
  <c r="L40" i="29"/>
  <c r="M64" i="33"/>
  <c r="L122" i="33"/>
  <c r="D46" i="29"/>
  <c r="H51" i="29"/>
  <c r="H197" i="33"/>
  <c r="L204" i="33"/>
  <c r="L58" i="29"/>
  <c r="L120" i="33"/>
  <c r="D64" i="29"/>
  <c r="H215" i="33"/>
  <c r="H69" i="29"/>
  <c r="H61" i="33"/>
  <c r="M175" i="33"/>
  <c r="M29" i="29"/>
  <c r="M157" i="33"/>
  <c r="E219" i="33"/>
  <c r="E189" i="33"/>
  <c r="E43" i="29"/>
  <c r="F99" i="33"/>
  <c r="E99" i="33"/>
  <c r="I48" i="29"/>
  <c r="I194" i="33"/>
  <c r="N116" i="33"/>
  <c r="M221" i="33"/>
  <c r="M55" i="29"/>
  <c r="M201" i="33"/>
  <c r="M116" i="33"/>
  <c r="E207" i="33"/>
  <c r="E61" i="29"/>
  <c r="I66" i="29"/>
  <c r="I150" i="33"/>
  <c r="I168" i="33"/>
  <c r="I22" i="29"/>
  <c r="V22" i="29"/>
  <c r="F170" i="33"/>
  <c r="F152" i="33"/>
  <c r="F24" i="29"/>
  <c r="J181" i="33"/>
  <c r="J35" i="29"/>
  <c r="J142" i="33"/>
  <c r="N190" i="33"/>
  <c r="N44" i="29"/>
  <c r="F196" i="33"/>
  <c r="F50" i="29"/>
  <c r="J203" i="33"/>
  <c r="J57" i="29"/>
  <c r="N208" i="33"/>
  <c r="N62" i="29"/>
  <c r="F214" i="33"/>
  <c r="F68" i="29"/>
  <c r="G173" i="33"/>
  <c r="G155" i="33"/>
  <c r="G27" i="29"/>
  <c r="H173" i="33"/>
  <c r="K41" i="29"/>
  <c r="K187" i="33"/>
  <c r="O192" i="33"/>
  <c r="O46" i="29"/>
  <c r="G213" i="33"/>
  <c r="H97" i="33"/>
  <c r="G198" i="33"/>
  <c r="G61" i="33"/>
  <c r="G52" i="29"/>
  <c r="G195" i="33"/>
  <c r="G201" i="33"/>
  <c r="G128" i="33"/>
  <c r="G205" i="33"/>
  <c r="G187" i="33"/>
  <c r="K128" i="33"/>
  <c r="K205" i="33"/>
  <c r="K59" i="29"/>
  <c r="K81" i="33"/>
  <c r="K89" i="29"/>
  <c r="K124" i="33"/>
  <c r="K125" i="33"/>
  <c r="K93" i="33"/>
  <c r="K126" i="33"/>
  <c r="L81" i="33"/>
  <c r="L89" i="29"/>
  <c r="K95" i="33"/>
  <c r="O210" i="33"/>
  <c r="O64" i="29"/>
  <c r="H79" i="29"/>
  <c r="H141" i="33"/>
  <c r="N77" i="29"/>
  <c r="Q167" i="33"/>
  <c r="P167" i="33"/>
  <c r="T54" i="13"/>
  <c r="O198" i="31"/>
  <c r="T19" i="13"/>
  <c r="O215" i="31"/>
  <c r="T36" i="13"/>
  <c r="P168" i="33"/>
  <c r="O168" i="33"/>
  <c r="O22" i="29"/>
  <c r="O150" i="33"/>
  <c r="L24" i="29"/>
  <c r="L170" i="33"/>
  <c r="D122" i="33"/>
  <c r="D40" i="29"/>
  <c r="E64" i="33"/>
  <c r="D186" i="33"/>
  <c r="H120" i="33"/>
  <c r="H191" i="33"/>
  <c r="H45" i="29"/>
  <c r="H121" i="33"/>
  <c r="L50" i="29"/>
  <c r="L196" i="33"/>
  <c r="D204" i="33"/>
  <c r="D58" i="29"/>
  <c r="H209" i="33"/>
  <c r="H63" i="29"/>
  <c r="L214" i="33"/>
  <c r="M98" i="33"/>
  <c r="L68" i="29"/>
  <c r="E157" i="33"/>
  <c r="E175" i="33"/>
  <c r="E29" i="29"/>
  <c r="J115" i="33"/>
  <c r="I143" i="33"/>
  <c r="I42" i="29"/>
  <c r="I218" i="33"/>
  <c r="M47" i="29"/>
  <c r="M193" i="33"/>
  <c r="E221" i="33"/>
  <c r="E55" i="29"/>
  <c r="E201" i="33"/>
  <c r="F116" i="33"/>
  <c r="I60" i="29"/>
  <c r="M65" i="29"/>
  <c r="N28" i="33"/>
  <c r="M211" i="33"/>
  <c r="E149" i="33"/>
  <c r="E21" i="29"/>
  <c r="E167" i="33"/>
  <c r="J168" i="33"/>
  <c r="J150" i="33"/>
  <c r="J22" i="29"/>
  <c r="N31" i="29"/>
  <c r="N177" i="33"/>
  <c r="N159" i="33"/>
  <c r="F44" i="29"/>
  <c r="F190" i="33"/>
  <c r="J195" i="33"/>
  <c r="J49" i="29"/>
  <c r="N56" i="29"/>
  <c r="N125" i="33"/>
  <c r="N202" i="33"/>
  <c r="N95" i="33"/>
  <c r="N80" i="33"/>
  <c r="N88" i="29"/>
  <c r="N127" i="33"/>
  <c r="N126" i="33"/>
  <c r="N124" i="33"/>
  <c r="N93" i="33"/>
  <c r="F62" i="29"/>
  <c r="F208" i="33"/>
  <c r="J67" i="29"/>
  <c r="J213" i="33"/>
  <c r="K153" i="33"/>
  <c r="K25" i="29"/>
  <c r="K171" i="33"/>
  <c r="O40" i="29"/>
  <c r="O122" i="33"/>
  <c r="O186" i="33"/>
  <c r="P64" i="33"/>
  <c r="P79" i="33"/>
  <c r="G192" i="33"/>
  <c r="G46" i="29"/>
  <c r="K197" i="33"/>
  <c r="K51" i="29"/>
  <c r="O204" i="33"/>
  <c r="O58" i="29"/>
  <c r="G64" i="29"/>
  <c r="G210" i="33"/>
  <c r="K69" i="29"/>
  <c r="K215" i="33"/>
  <c r="O79" i="29"/>
  <c r="O141" i="33"/>
  <c r="T37" i="13"/>
  <c r="O216" i="31"/>
  <c r="Q99" i="33"/>
  <c r="P219" i="33"/>
  <c r="P99" i="33"/>
  <c r="Q219" i="33"/>
  <c r="O105" i="31"/>
  <c r="P105" i="31"/>
  <c r="T44" i="13"/>
  <c r="O223" i="31"/>
  <c r="Q221" i="33"/>
  <c r="Q116" i="33"/>
  <c r="P221" i="33"/>
  <c r="C107" i="68"/>
  <c r="H18" i="29"/>
  <c r="C101" i="68"/>
  <c r="H164" i="33"/>
  <c r="H146" i="33"/>
  <c r="H12" i="33"/>
  <c r="H155" i="33"/>
  <c r="H149" i="33"/>
  <c r="L25" i="29"/>
  <c r="M25" i="29"/>
  <c r="V25" i="29" s="1"/>
  <c r="L171" i="33"/>
  <c r="D41" i="29"/>
  <c r="H46" i="29"/>
  <c r="H192" i="33"/>
  <c r="L197" i="33"/>
  <c r="L51" i="29"/>
  <c r="D81" i="33"/>
  <c r="D89" i="29"/>
  <c r="D205" i="33"/>
  <c r="D59" i="29"/>
  <c r="H210" i="33"/>
  <c r="H64" i="29"/>
  <c r="L215" i="33"/>
  <c r="L69" i="29"/>
  <c r="E177" i="33"/>
  <c r="E159" i="33"/>
  <c r="E31" i="29"/>
  <c r="J99" i="33"/>
  <c r="I219" i="33"/>
  <c r="I43" i="29"/>
  <c r="I121" i="33"/>
  <c r="M194" i="33"/>
  <c r="M48" i="29"/>
  <c r="E126" i="33"/>
  <c r="E202" i="33"/>
  <c r="E80" i="33"/>
  <c r="E88" i="29" s="1"/>
  <c r="E56" i="29"/>
  <c r="E95" i="33"/>
  <c r="E222" i="33"/>
  <c r="E127" i="33"/>
  <c r="E93" i="33"/>
  <c r="F94" i="33" s="1"/>
  <c r="I61" i="29"/>
  <c r="M212" i="33"/>
  <c r="M66" i="29"/>
  <c r="E24" i="29"/>
  <c r="E152" i="33"/>
  <c r="J24" i="29"/>
  <c r="J170" i="33"/>
  <c r="J152" i="33"/>
  <c r="K170" i="33"/>
  <c r="N142" i="33"/>
  <c r="N35" i="29"/>
  <c r="N181" i="33"/>
  <c r="F191" i="33"/>
  <c r="F120" i="33"/>
  <c r="F45" i="29"/>
  <c r="J50" i="29"/>
  <c r="J196" i="33"/>
  <c r="N203" i="33"/>
  <c r="N57" i="29"/>
  <c r="F63" i="29"/>
  <c r="F209" i="33"/>
  <c r="J214" i="33"/>
  <c r="K98" i="33"/>
  <c r="J68" i="29"/>
  <c r="K27" i="29"/>
  <c r="K173" i="33"/>
  <c r="K155" i="33"/>
  <c r="O41" i="29"/>
  <c r="O187" i="33"/>
  <c r="G47" i="29"/>
  <c r="G193" i="33"/>
  <c r="K52" i="29"/>
  <c r="L97" i="33"/>
  <c r="K198" i="33"/>
  <c r="K61" i="33"/>
  <c r="K192" i="33"/>
  <c r="K202" i="33"/>
  <c r="K206" i="33"/>
  <c r="K210" i="33"/>
  <c r="K97" i="33"/>
  <c r="K110" i="33"/>
  <c r="K127" i="33"/>
  <c r="K188" i="33"/>
  <c r="O128" i="33"/>
  <c r="O205" i="33"/>
  <c r="O59" i="29"/>
  <c r="O81" i="33"/>
  <c r="O89" i="29"/>
  <c r="G211" i="33"/>
  <c r="H28" i="33"/>
  <c r="G65" i="29"/>
  <c r="G28" i="33"/>
  <c r="H182" i="33" s="1"/>
  <c r="G138" i="33"/>
  <c r="L79" i="29"/>
  <c r="O29" i="31"/>
  <c r="O220" i="31"/>
  <c r="O30" i="31"/>
  <c r="O96" i="31" s="1"/>
  <c r="O99" i="31" s="1"/>
  <c r="O141" i="31" s="1"/>
  <c r="T41" i="13"/>
  <c r="Q29" i="31"/>
  <c r="H36" i="68"/>
  <c r="O231" i="31"/>
  <c r="T32" i="13"/>
  <c r="O82" i="31"/>
  <c r="T62" i="13"/>
  <c r="O134" i="31"/>
  <c r="M61" i="13" s="1"/>
  <c r="O211" i="31"/>
  <c r="O176" i="31"/>
  <c r="G14" i="6"/>
  <c r="C25" i="68"/>
  <c r="M18" i="13"/>
  <c r="G35" i="172"/>
  <c r="F51" i="172"/>
  <c r="R180" i="66"/>
  <c r="L81" i="31"/>
  <c r="I59" i="156"/>
  <c r="G59" i="156"/>
  <c r="H59" i="156"/>
  <c r="G76" i="121"/>
  <c r="R220" i="65"/>
  <c r="R229" i="65"/>
  <c r="M59" i="156"/>
  <c r="R142" i="31"/>
  <c r="R143" i="31"/>
  <c r="P193" i="33"/>
  <c r="C76" i="119"/>
  <c r="G76" i="119"/>
  <c r="K76" i="119"/>
  <c r="F70" i="159"/>
  <c r="F100" i="159"/>
  <c r="F78" i="90"/>
  <c r="I78" i="90"/>
  <c r="E78" i="110"/>
  <c r="C78" i="110"/>
  <c r="J212" i="33"/>
  <c r="I41" i="29"/>
  <c r="J63" i="31"/>
  <c r="J224" i="31"/>
  <c r="H35" i="29"/>
  <c r="H181" i="33"/>
  <c r="H142" i="33"/>
  <c r="H203" i="33"/>
  <c r="H57" i="29"/>
  <c r="I27" i="29"/>
  <c r="M27" i="29"/>
  <c r="V27" i="29"/>
  <c r="I155" i="33"/>
  <c r="I173" i="33"/>
  <c r="J173" i="33"/>
  <c r="J97" i="33"/>
  <c r="I52" i="29"/>
  <c r="I198" i="33"/>
  <c r="I191" i="33"/>
  <c r="N21" i="29"/>
  <c r="F202" i="33"/>
  <c r="F93" i="33"/>
  <c r="G94" i="33" s="1"/>
  <c r="F56" i="29"/>
  <c r="O170" i="33"/>
  <c r="O24" i="29"/>
  <c r="X24" i="29" s="1"/>
  <c r="O152" i="33"/>
  <c r="O68" i="29"/>
  <c r="O214" i="33"/>
  <c r="O241" i="31"/>
  <c r="M24" i="13"/>
  <c r="O201" i="31"/>
  <c r="T22" i="13"/>
  <c r="L80" i="33"/>
  <c r="L88" i="29" s="1"/>
  <c r="L125" i="33"/>
  <c r="L56" i="29"/>
  <c r="M222" i="33"/>
  <c r="L202" i="33"/>
  <c r="L222" i="33"/>
  <c r="L124" i="33"/>
  <c r="L95" i="33"/>
  <c r="L93" i="33"/>
  <c r="M80" i="33"/>
  <c r="M88" i="29"/>
  <c r="L127" i="33"/>
  <c r="L126" i="33"/>
  <c r="M197" i="33"/>
  <c r="M51" i="29"/>
  <c r="M215" i="33"/>
  <c r="M69" i="29"/>
  <c r="F66" i="29"/>
  <c r="F212" i="33"/>
  <c r="G50" i="29"/>
  <c r="G196" i="33"/>
  <c r="G68" i="29"/>
  <c r="H98" i="33"/>
  <c r="K92" i="29"/>
  <c r="O174" i="31"/>
  <c r="H24" i="29"/>
  <c r="H152" i="33"/>
  <c r="H170" i="33"/>
  <c r="L203" i="33"/>
  <c r="L57" i="29"/>
  <c r="M155" i="33"/>
  <c r="M173" i="33"/>
  <c r="M52" i="29"/>
  <c r="M61" i="33"/>
  <c r="N97" i="33"/>
  <c r="M198" i="33"/>
  <c r="M188" i="33"/>
  <c r="M214" i="33"/>
  <c r="M202" i="33"/>
  <c r="M206" i="33"/>
  <c r="M196" i="33"/>
  <c r="M127" i="33"/>
  <c r="I19" i="29"/>
  <c r="V19" i="29"/>
  <c r="I147" i="33"/>
  <c r="I165" i="33"/>
  <c r="F49" i="29"/>
  <c r="F195" i="33"/>
  <c r="F67" i="29"/>
  <c r="F213" i="33"/>
  <c r="K40" i="29"/>
  <c r="K186" i="33"/>
  <c r="K122" i="33"/>
  <c r="L64" i="33"/>
  <c r="L79" i="33" s="1"/>
  <c r="L87" i="29" s="1"/>
  <c r="K58" i="29"/>
  <c r="K204" i="33"/>
  <c r="D92" i="29"/>
  <c r="D85" i="33"/>
  <c r="D93" i="29"/>
  <c r="O202" i="31"/>
  <c r="T23" i="13"/>
  <c r="T18" i="13"/>
  <c r="P122" i="31"/>
  <c r="O227" i="31"/>
  <c r="O197" i="31"/>
  <c r="K113" i="40"/>
  <c r="K42" i="40"/>
  <c r="O217" i="31"/>
  <c r="T38" i="13"/>
  <c r="L77" i="29"/>
  <c r="O203" i="33"/>
  <c r="O57" i="29"/>
  <c r="G170" i="33"/>
  <c r="G24" i="29"/>
  <c r="G152" i="33"/>
  <c r="I164" i="33"/>
  <c r="I12" i="33"/>
  <c r="I153" i="33"/>
  <c r="I157" i="33"/>
  <c r="I18" i="29"/>
  <c r="I141" i="33"/>
  <c r="D107" i="68"/>
  <c r="I146" i="33"/>
  <c r="D101" i="68"/>
  <c r="M46" i="29"/>
  <c r="H62" i="29"/>
  <c r="H208" i="33"/>
  <c r="D35" i="29"/>
  <c r="D181" i="33"/>
  <c r="D142" i="33"/>
  <c r="H35" i="76"/>
  <c r="G52" i="76"/>
  <c r="G96" i="76"/>
  <c r="G153" i="76"/>
  <c r="G172" i="76"/>
  <c r="G182" i="76"/>
  <c r="G202" i="76"/>
  <c r="G212" i="76"/>
  <c r="G146" i="33"/>
  <c r="G164" i="33"/>
  <c r="G18" i="29"/>
  <c r="G157" i="33"/>
  <c r="F111" i="68"/>
  <c r="L21" i="29"/>
  <c r="L167" i="33"/>
  <c r="M167" i="33"/>
  <c r="D159" i="33"/>
  <c r="D177" i="33"/>
  <c r="D31" i="29"/>
  <c r="I99" i="33"/>
  <c r="I114" i="33" s="1"/>
  <c r="I117" i="33" s="1"/>
  <c r="H219" i="33"/>
  <c r="H189" i="33"/>
  <c r="H43" i="29"/>
  <c r="L48" i="29"/>
  <c r="L194" i="33"/>
  <c r="D125" i="33"/>
  <c r="D202" i="33"/>
  <c r="D56" i="29"/>
  <c r="D80" i="33"/>
  <c r="D88" i="29"/>
  <c r="D222" i="33"/>
  <c r="D124" i="33"/>
  <c r="D93" i="33"/>
  <c r="H61" i="29"/>
  <c r="H207" i="33"/>
  <c r="L212" i="33"/>
  <c r="L66" i="29"/>
  <c r="I152" i="33"/>
  <c r="I24" i="29"/>
  <c r="I170" i="33"/>
  <c r="I40" i="29"/>
  <c r="J64" i="33"/>
  <c r="I122" i="33"/>
  <c r="M191" i="33"/>
  <c r="M45" i="29"/>
  <c r="M121" i="33"/>
  <c r="M120" i="33"/>
  <c r="E197" i="33"/>
  <c r="E51" i="29"/>
  <c r="I58" i="29"/>
  <c r="I120" i="33"/>
  <c r="M209" i="33"/>
  <c r="M63" i="29"/>
  <c r="E69" i="29"/>
  <c r="E215" i="33"/>
  <c r="J19" i="29"/>
  <c r="J165" i="33"/>
  <c r="J147" i="33"/>
  <c r="K165" i="33"/>
  <c r="N173" i="33"/>
  <c r="N155" i="33"/>
  <c r="N27" i="29"/>
  <c r="W27" i="29" s="1"/>
  <c r="F188" i="33"/>
  <c r="F143" i="33"/>
  <c r="G115" i="33"/>
  <c r="F42" i="29"/>
  <c r="J193" i="33"/>
  <c r="J47" i="29"/>
  <c r="O97" i="33"/>
  <c r="N187" i="33"/>
  <c r="N52" i="29"/>
  <c r="N213" i="33"/>
  <c r="N198" i="33"/>
  <c r="N195" i="33"/>
  <c r="N191" i="33"/>
  <c r="N205" i="33"/>
  <c r="N61" i="33"/>
  <c r="N128" i="33"/>
  <c r="F206" i="33"/>
  <c r="F60" i="29"/>
  <c r="J65" i="29"/>
  <c r="J211" i="33"/>
  <c r="K28" i="33"/>
  <c r="K138" i="33"/>
  <c r="G167" i="33"/>
  <c r="G149" i="33"/>
  <c r="G21" i="29"/>
  <c r="H167" i="33"/>
  <c r="O159" i="33"/>
  <c r="O177" i="33"/>
  <c r="O31" i="29"/>
  <c r="G44" i="29"/>
  <c r="G220" i="33"/>
  <c r="G190" i="33"/>
  <c r="K195" i="33"/>
  <c r="K49" i="29"/>
  <c r="O125" i="33"/>
  <c r="O127" i="33"/>
  <c r="O95" i="33"/>
  <c r="O124" i="33"/>
  <c r="O56" i="29"/>
  <c r="O126" i="33"/>
  <c r="O222" i="33"/>
  <c r="O202" i="33"/>
  <c r="O93" i="33"/>
  <c r="O80" i="33"/>
  <c r="O88" i="29" s="1"/>
  <c r="P80" i="33"/>
  <c r="P222" i="33"/>
  <c r="G62" i="29"/>
  <c r="G208" i="33"/>
  <c r="K67" i="29"/>
  <c r="K213" i="33"/>
  <c r="G77" i="29"/>
  <c r="M79" i="29"/>
  <c r="M141" i="33"/>
  <c r="O199" i="31"/>
  <c r="T20" i="13"/>
  <c r="G34" i="6"/>
  <c r="M32" i="13"/>
  <c r="O190" i="31"/>
  <c r="Q165" i="33"/>
  <c r="P165" i="33"/>
  <c r="D21" i="29"/>
  <c r="P21" i="29"/>
  <c r="D149" i="33"/>
  <c r="D167" i="33"/>
  <c r="H29" i="29"/>
  <c r="I175" i="33"/>
  <c r="H157" i="33"/>
  <c r="H175" i="33"/>
  <c r="L115" i="33"/>
  <c r="M115" i="33"/>
  <c r="L218" i="33"/>
  <c r="L219" i="33"/>
  <c r="L188" i="33"/>
  <c r="L42" i="29"/>
  <c r="D48" i="29"/>
  <c r="H116" i="33"/>
  <c r="I116" i="33"/>
  <c r="H201" i="33"/>
  <c r="I221" i="33"/>
  <c r="I223" i="33" s="1"/>
  <c r="H221" i="33"/>
  <c r="H55" i="29"/>
  <c r="L60" i="29"/>
  <c r="L206" i="33"/>
  <c r="D66" i="29"/>
  <c r="E150" i="33"/>
  <c r="E168" i="33"/>
  <c r="E22" i="29"/>
  <c r="D22" i="29"/>
  <c r="M181" i="33"/>
  <c r="M142" i="33"/>
  <c r="E191" i="33"/>
  <c r="E120" i="33"/>
  <c r="E121" i="33"/>
  <c r="E45" i="29"/>
  <c r="I50" i="29"/>
  <c r="I196" i="33"/>
  <c r="M57" i="29"/>
  <c r="M203" i="33"/>
  <c r="E63" i="29"/>
  <c r="E209" i="33"/>
  <c r="J98" i="33"/>
  <c r="I214" i="33"/>
  <c r="I68" i="29"/>
  <c r="N164" i="33"/>
  <c r="N12" i="33"/>
  <c r="N15" i="33" s="1"/>
  <c r="E91" i="68"/>
  <c r="N18" i="29"/>
  <c r="E97" i="68"/>
  <c r="N146" i="33"/>
  <c r="N150" i="33"/>
  <c r="F155" i="33"/>
  <c r="F27" i="29"/>
  <c r="F173" i="33"/>
  <c r="J41" i="29"/>
  <c r="J187" i="33"/>
  <c r="N192" i="33"/>
  <c r="N46" i="29"/>
  <c r="G97" i="33"/>
  <c r="F198" i="33"/>
  <c r="F203" i="33"/>
  <c r="F215" i="33"/>
  <c r="F197" i="33"/>
  <c r="F61" i="33"/>
  <c r="F193" i="33"/>
  <c r="F52" i="29"/>
  <c r="F211" i="33"/>
  <c r="J59" i="29"/>
  <c r="J128" i="33"/>
  <c r="J205" i="33"/>
  <c r="J81" i="33"/>
  <c r="J89" i="29"/>
  <c r="N64" i="29"/>
  <c r="N210" i="33"/>
  <c r="K164" i="33"/>
  <c r="F107" i="68"/>
  <c r="K152" i="33"/>
  <c r="K146" i="33"/>
  <c r="K18" i="29"/>
  <c r="K12" i="33"/>
  <c r="K20" i="29"/>
  <c r="K10" i="29"/>
  <c r="O12" i="33"/>
  <c r="O18" i="29"/>
  <c r="F101" i="68"/>
  <c r="K147" i="33"/>
  <c r="G159" i="33"/>
  <c r="G31" i="29"/>
  <c r="G177" i="33"/>
  <c r="K43" i="29"/>
  <c r="L99" i="33"/>
  <c r="L114" i="33" s="1"/>
  <c r="L117" i="33" s="1"/>
  <c r="K189" i="33"/>
  <c r="O194" i="33"/>
  <c r="O48" i="29"/>
  <c r="G56" i="29"/>
  <c r="G93" i="33"/>
  <c r="G127" i="33"/>
  <c r="G124" i="33"/>
  <c r="G202" i="33"/>
  <c r="K207" i="33"/>
  <c r="K61" i="29"/>
  <c r="O212" i="33"/>
  <c r="O66" i="29"/>
  <c r="N141" i="33"/>
  <c r="N79" i="29"/>
  <c r="O104" i="31"/>
  <c r="O117" i="31"/>
  <c r="P104" i="31"/>
  <c r="T28" i="13"/>
  <c r="O206" i="31"/>
  <c r="O207" i="31"/>
  <c r="O203" i="31"/>
  <c r="O219" i="31"/>
  <c r="P181" i="33"/>
  <c r="Q181" i="33"/>
  <c r="O164" i="33"/>
  <c r="F97" i="68"/>
  <c r="O146" i="33"/>
  <c r="F91" i="68"/>
  <c r="O153" i="33"/>
  <c r="D150" i="33"/>
  <c r="D168" i="33"/>
  <c r="H177" i="33"/>
  <c r="H159" i="33"/>
  <c r="H31" i="29"/>
  <c r="L43" i="29"/>
  <c r="M99" i="33"/>
  <c r="M118" i="33"/>
  <c r="L189" i="33"/>
  <c r="L121" i="33"/>
  <c r="D49" i="29"/>
  <c r="H127" i="33"/>
  <c r="H125" i="33"/>
  <c r="H202" i="33"/>
  <c r="H126" i="33"/>
  <c r="H93" i="33"/>
  <c r="H222" i="33"/>
  <c r="H124" i="33"/>
  <c r="H80" i="33"/>
  <c r="H88" i="29"/>
  <c r="H56" i="29"/>
  <c r="L207" i="33"/>
  <c r="L61" i="29"/>
  <c r="D67" i="29"/>
  <c r="E171" i="33"/>
  <c r="E153" i="33"/>
  <c r="E25" i="29"/>
  <c r="P25" i="29" s="1"/>
  <c r="F171" i="33"/>
  <c r="N64" i="33"/>
  <c r="N85" i="33" s="1"/>
  <c r="M40" i="29"/>
  <c r="M122" i="33"/>
  <c r="M186" i="33"/>
  <c r="E192" i="33"/>
  <c r="E46" i="29"/>
  <c r="I197" i="33"/>
  <c r="I51" i="29"/>
  <c r="M58" i="29"/>
  <c r="M204" i="33"/>
  <c r="E64" i="29"/>
  <c r="E210" i="33"/>
  <c r="I69" i="29"/>
  <c r="N165" i="33"/>
  <c r="N147" i="33"/>
  <c r="N19" i="29"/>
  <c r="F175" i="33"/>
  <c r="F29" i="29"/>
  <c r="F157" i="33"/>
  <c r="G175" i="33"/>
  <c r="J218" i="33"/>
  <c r="J188" i="33"/>
  <c r="K218" i="33"/>
  <c r="K115" i="33"/>
  <c r="J42" i="29"/>
  <c r="N193" i="33"/>
  <c r="N47" i="29"/>
  <c r="F201" i="33"/>
  <c r="G116" i="33"/>
  <c r="G221" i="33"/>
  <c r="F55" i="29"/>
  <c r="J60" i="29"/>
  <c r="J206" i="33"/>
  <c r="N211" i="33"/>
  <c r="O28" i="33"/>
  <c r="N65" i="29"/>
  <c r="O167" i="33"/>
  <c r="O149" i="33"/>
  <c r="O21" i="29"/>
  <c r="X21" i="29" s="1"/>
  <c r="G181" i="33"/>
  <c r="G35" i="29"/>
  <c r="G142" i="33"/>
  <c r="K220" i="33"/>
  <c r="K44" i="29"/>
  <c r="K190" i="33"/>
  <c r="O195" i="33"/>
  <c r="O49" i="29"/>
  <c r="G203" i="33"/>
  <c r="G57" i="29"/>
  <c r="K62" i="29"/>
  <c r="K208" i="33"/>
  <c r="O67" i="29"/>
  <c r="O213" i="33"/>
  <c r="O77" i="29"/>
  <c r="O138" i="33"/>
  <c r="D77" i="29"/>
  <c r="D79" i="33"/>
  <c r="D87" i="29" s="1"/>
  <c r="T16" i="13"/>
  <c r="O129" i="31"/>
  <c r="M57" i="13"/>
  <c r="O195" i="31"/>
  <c r="Q28" i="33"/>
  <c r="P28" i="33"/>
  <c r="O180" i="31"/>
  <c r="M22" i="13"/>
  <c r="K76" i="121"/>
  <c r="D77" i="87"/>
  <c r="E200" i="63"/>
  <c r="E212" i="63"/>
  <c r="K61" i="87"/>
  <c r="F46" i="61"/>
  <c r="I76" i="119"/>
  <c r="F76" i="119"/>
  <c r="M76" i="119"/>
  <c r="K70" i="159"/>
  <c r="K100" i="159"/>
  <c r="C100" i="159"/>
  <c r="H78" i="90"/>
  <c r="J78" i="110"/>
  <c r="T146" i="31"/>
  <c r="I8" i="52"/>
  <c r="I7" i="52"/>
  <c r="I6" i="52"/>
  <c r="I9" i="52"/>
  <c r="I11" i="52"/>
  <c r="L58" i="48"/>
  <c r="T91" i="31"/>
  <c r="M179" i="48"/>
  <c r="M169" i="48"/>
  <c r="I179" i="48"/>
  <c r="I169" i="48"/>
  <c r="R63" i="46"/>
  <c r="U118" i="31"/>
  <c r="P126" i="33"/>
  <c r="P125" i="33"/>
  <c r="P98" i="33"/>
  <c r="P95" i="33"/>
  <c r="Q96" i="33"/>
  <c r="E41" i="43"/>
  <c r="C40" i="43"/>
  <c r="C42" i="43" s="1"/>
  <c r="E40" i="43"/>
  <c r="E42" i="43" s="1"/>
  <c r="D41" i="43"/>
  <c r="D40" i="43"/>
  <c r="D42" i="43" s="1"/>
  <c r="H58" i="48"/>
  <c r="G58" i="48"/>
  <c r="G190" i="48"/>
  <c r="C39" i="87"/>
  <c r="J38" i="87"/>
  <c r="K39" i="87"/>
  <c r="K38" i="87"/>
  <c r="O166" i="31"/>
  <c r="O168" i="31"/>
  <c r="G10" i="6"/>
  <c r="G97" i="68"/>
  <c r="O164" i="31"/>
  <c r="O12" i="31"/>
  <c r="O173" i="31"/>
  <c r="M33" i="13" s="1"/>
  <c r="O150" i="31"/>
  <c r="O158" i="31"/>
  <c r="O162" i="31"/>
  <c r="G91" i="68"/>
  <c r="O122" i="31"/>
  <c r="O151" i="31"/>
  <c r="M15" i="13"/>
  <c r="O155" i="31"/>
  <c r="M15" i="63"/>
  <c r="O210" i="31"/>
  <c r="O123" i="31"/>
  <c r="T31" i="13"/>
  <c r="P123" i="31"/>
  <c r="O230" i="31"/>
  <c r="T45" i="13"/>
  <c r="O63" i="31"/>
  <c r="O224" i="31"/>
  <c r="X91" i="31"/>
  <c r="O200" i="31"/>
  <c r="T21" i="13"/>
  <c r="O128" i="31"/>
  <c r="M56" i="13"/>
  <c r="O127" i="31"/>
  <c r="M55" i="13" s="1"/>
  <c r="P58" i="46"/>
  <c r="P59" i="46"/>
  <c r="Q52" i="46"/>
  <c r="E168" i="76"/>
  <c r="E170" i="76"/>
  <c r="E189" i="76"/>
  <c r="O132" i="31"/>
  <c r="M59" i="13" s="1"/>
  <c r="O133" i="31"/>
  <c r="M60" i="13"/>
  <c r="O100" i="31"/>
  <c r="Q101" i="31"/>
  <c r="T35" i="13"/>
  <c r="O102" i="31"/>
  <c r="O135" i="31"/>
  <c r="M62" i="13" s="1"/>
  <c r="O131" i="31"/>
  <c r="M58" i="13"/>
  <c r="O214" i="31"/>
  <c r="O83" i="31"/>
  <c r="T63" i="13" s="1"/>
  <c r="H116" i="65"/>
  <c r="H54" i="65"/>
  <c r="H88" i="65"/>
  <c r="H145" i="65"/>
  <c r="H164" i="65"/>
  <c r="H174" i="65"/>
  <c r="H189" i="65"/>
  <c r="H199" i="65"/>
  <c r="F35" i="110"/>
  <c r="F52" i="110"/>
  <c r="G13" i="110"/>
  <c r="D75" i="119"/>
  <c r="L75" i="119"/>
  <c r="I75" i="119"/>
  <c r="C100" i="119"/>
  <c r="E70" i="119"/>
  <c r="E100" i="119"/>
  <c r="M75" i="119"/>
  <c r="D70" i="119"/>
  <c r="D100" i="119"/>
  <c r="I70" i="119"/>
  <c r="I100" i="119"/>
  <c r="J70" i="119"/>
  <c r="J100" i="119"/>
  <c r="G70" i="119"/>
  <c r="G100" i="119"/>
  <c r="H70" i="119"/>
  <c r="H100" i="119"/>
  <c r="F75" i="119"/>
  <c r="C75" i="119"/>
  <c r="H75" i="119"/>
  <c r="L70" i="119"/>
  <c r="L100" i="119"/>
  <c r="J75" i="119"/>
  <c r="K75" i="119"/>
  <c r="D38" i="116"/>
  <c r="D101" i="116"/>
  <c r="C101" i="116"/>
  <c r="H38" i="116"/>
  <c r="H101" i="116"/>
  <c r="H134" i="116"/>
  <c r="G188" i="63"/>
  <c r="F187" i="63"/>
  <c r="N200" i="63"/>
  <c r="R200" i="63"/>
  <c r="O161" i="48"/>
  <c r="O164" i="48"/>
  <c r="L161" i="48"/>
  <c r="L164" i="48"/>
  <c r="R161" i="48"/>
  <c r="R164" i="48"/>
  <c r="K161" i="48"/>
  <c r="K164" i="48"/>
  <c r="P161" i="48"/>
  <c r="P164" i="48"/>
  <c r="J161" i="48"/>
  <c r="J164" i="48"/>
  <c r="I161" i="48"/>
  <c r="I164" i="48"/>
  <c r="G161" i="48"/>
  <c r="G164" i="48"/>
  <c r="M161" i="48"/>
  <c r="M164" i="48"/>
  <c r="H161" i="48"/>
  <c r="H164" i="48"/>
  <c r="Q161" i="48"/>
  <c r="Q164" i="48"/>
  <c r="N161" i="48"/>
  <c r="N164" i="48"/>
  <c r="P109" i="31"/>
  <c r="P160" i="31"/>
  <c r="P178" i="31"/>
  <c r="N180" i="66"/>
  <c r="O212" i="31"/>
  <c r="H37" i="68"/>
  <c r="O152" i="31"/>
  <c r="T33" i="13"/>
  <c r="F34" i="65"/>
  <c r="F178" i="65"/>
  <c r="D35" i="65"/>
  <c r="G34" i="65"/>
  <c r="G178" i="65"/>
  <c r="H34" i="65"/>
  <c r="H15" i="76"/>
  <c r="G18" i="76"/>
  <c r="G23" i="76"/>
  <c r="E20" i="54"/>
  <c r="F20" i="54"/>
  <c r="P170" i="33"/>
  <c r="Q170" i="33"/>
  <c r="P218" i="33"/>
  <c r="Q218" i="33"/>
  <c r="Q223" i="33" s="1"/>
  <c r="Q115" i="33"/>
  <c r="T17" i="13"/>
  <c r="O196" i="31"/>
  <c r="H179" i="48"/>
  <c r="H169" i="48"/>
  <c r="Q63" i="46"/>
  <c r="G122" i="66"/>
  <c r="G123" i="66"/>
  <c r="S66" i="63"/>
  <c r="E35" i="87"/>
  <c r="E52" i="87"/>
  <c r="E59" i="87"/>
  <c r="E64" i="87"/>
  <c r="E71" i="87"/>
  <c r="F13" i="87"/>
  <c r="O179" i="31"/>
  <c r="O161" i="31"/>
  <c r="M21" i="13"/>
  <c r="Q102" i="33"/>
  <c r="T43" i="13"/>
  <c r="O142" i="31"/>
  <c r="O222" i="31"/>
  <c r="F34" i="117"/>
  <c r="F49" i="117"/>
  <c r="F22" i="87"/>
  <c r="C33" i="61"/>
  <c r="V114" i="31"/>
  <c r="V163" i="31"/>
  <c r="V136" i="31"/>
  <c r="V20" i="31"/>
  <c r="O204" i="31"/>
  <c r="T25" i="13"/>
  <c r="P149" i="31"/>
  <c r="H39" i="4"/>
  <c r="P116" i="31"/>
  <c r="I76" i="157"/>
  <c r="H76" i="121"/>
  <c r="J76" i="121"/>
  <c r="D6" i="121"/>
  <c r="H21" i="65"/>
  <c r="J10" i="64"/>
  <c r="F47" i="61"/>
  <c r="S49" i="40"/>
  <c r="S50" i="40"/>
  <c r="P186" i="33"/>
  <c r="P206" i="33"/>
  <c r="P203" i="33"/>
  <c r="P197" i="33"/>
  <c r="P213" i="33"/>
  <c r="Q220" i="33"/>
  <c r="J36" i="4"/>
  <c r="J43" i="4"/>
  <c r="O59" i="13"/>
  <c r="I14" i="48"/>
  <c r="J19" i="48"/>
  <c r="O218" i="31"/>
  <c r="T39" i="13"/>
  <c r="M58" i="48"/>
  <c r="D39" i="54"/>
  <c r="L21" i="54"/>
  <c r="L22" i="54"/>
  <c r="L23" i="54"/>
  <c r="H116" i="48"/>
  <c r="H118" i="48"/>
  <c r="I113" i="48"/>
  <c r="M76" i="157"/>
  <c r="F76" i="121"/>
  <c r="C76" i="121"/>
  <c r="C35" i="121"/>
  <c r="G35" i="121"/>
  <c r="G99" i="121"/>
  <c r="G133" i="121"/>
  <c r="P210" i="33"/>
  <c r="P212" i="33"/>
  <c r="J80" i="63"/>
  <c r="S80" i="63"/>
  <c r="J23" i="63"/>
  <c r="J62" i="63"/>
  <c r="E38" i="110"/>
  <c r="E104" i="110"/>
  <c r="H38" i="110"/>
  <c r="H104" i="110"/>
  <c r="D38" i="110"/>
  <c r="D104" i="110"/>
  <c r="F38" i="110"/>
  <c r="F104" i="110"/>
  <c r="P187" i="33"/>
  <c r="P195" i="33"/>
  <c r="I76" i="121"/>
  <c r="M76" i="121"/>
  <c r="D76" i="121"/>
  <c r="C44" i="61"/>
  <c r="J16" i="64"/>
  <c r="D4" i="61"/>
  <c r="G47" i="61"/>
  <c r="P194" i="33"/>
  <c r="P215" i="33"/>
  <c r="F58" i="48"/>
  <c r="F72" i="48"/>
  <c r="F181" i="48"/>
  <c r="O53" i="46"/>
  <c r="P201" i="33"/>
  <c r="P188" i="33"/>
  <c r="P97" i="33"/>
  <c r="P111" i="33" s="1"/>
  <c r="P127" i="33"/>
  <c r="P211" i="33"/>
  <c r="P61" i="33"/>
  <c r="P124" i="33"/>
  <c r="P128" i="33"/>
  <c r="P190" i="33"/>
  <c r="P189" i="33"/>
  <c r="P214" i="33"/>
  <c r="P198" i="33"/>
  <c r="P202" i="33"/>
  <c r="P205" i="33"/>
  <c r="N8" i="40"/>
  <c r="O65" i="172"/>
  <c r="E4" i="61"/>
  <c r="P196" i="33"/>
  <c r="P209" i="33"/>
  <c r="I153" i="65"/>
  <c r="I54" i="65"/>
  <c r="I88" i="65"/>
  <c r="I145" i="65"/>
  <c r="I164" i="65"/>
  <c r="I174" i="65"/>
  <c r="I189" i="65"/>
  <c r="I199" i="65"/>
  <c r="D11" i="69"/>
  <c r="D12" i="69"/>
  <c r="E11" i="69"/>
  <c r="E20" i="69"/>
  <c r="E22" i="69"/>
  <c r="Q177" i="33"/>
  <c r="Q154" i="33"/>
  <c r="V160" i="31"/>
  <c r="V109" i="31"/>
  <c r="Y146" i="31"/>
  <c r="P147" i="33"/>
  <c r="C81" i="68"/>
  <c r="G81" i="68" s="1"/>
  <c r="P164" i="33"/>
  <c r="P12" i="33"/>
  <c r="C87" i="68"/>
  <c r="P152" i="33"/>
  <c r="P150" i="33"/>
  <c r="P141" i="33"/>
  <c r="F35" i="90"/>
  <c r="F52" i="90"/>
  <c r="G52" i="90"/>
  <c r="G13" i="90"/>
  <c r="H13" i="90"/>
  <c r="I13" i="90"/>
  <c r="I43" i="4"/>
  <c r="W146" i="31"/>
  <c r="P204" i="33"/>
  <c r="P122" i="33"/>
  <c r="G17" i="134"/>
  <c r="G17" i="135"/>
  <c r="L115" i="48"/>
  <c r="T65" i="40"/>
  <c r="J30" i="43"/>
  <c r="C35" i="43"/>
  <c r="C41" i="43"/>
  <c r="H92" i="65"/>
  <c r="E38" i="61"/>
  <c r="E49" i="61"/>
  <c r="E51" i="61"/>
  <c r="D38" i="61"/>
  <c r="F38" i="61"/>
  <c r="G12" i="69"/>
  <c r="G20" i="69"/>
  <c r="G22" i="69"/>
  <c r="D198" i="63"/>
  <c r="D197" i="63"/>
  <c r="G96" i="65"/>
  <c r="G195" i="65"/>
  <c r="H96" i="66"/>
  <c r="H95" i="66"/>
  <c r="G18" i="90"/>
  <c r="G22" i="90"/>
  <c r="E69" i="48"/>
  <c r="E68" i="48"/>
  <c r="U14" i="44"/>
  <c r="T18" i="44"/>
  <c r="T23" i="44"/>
  <c r="R23" i="44"/>
  <c r="S25" i="44"/>
  <c r="I92" i="66"/>
  <c r="C37" i="61"/>
  <c r="L13" i="103"/>
  <c r="D108" i="137"/>
  <c r="D113" i="137"/>
  <c r="H59" i="159"/>
  <c r="K59" i="159"/>
  <c r="E59" i="159"/>
  <c r="L59" i="159"/>
  <c r="I59" i="159"/>
  <c r="F59" i="159"/>
  <c r="D59" i="159"/>
  <c r="M59" i="159"/>
  <c r="J59" i="159"/>
  <c r="G59" i="159"/>
  <c r="G35" i="116"/>
  <c r="H13" i="116"/>
  <c r="F193" i="63"/>
  <c r="C185" i="63"/>
  <c r="H17" i="161"/>
  <c r="L59" i="132"/>
  <c r="H59" i="132"/>
  <c r="D59" i="132"/>
  <c r="M59" i="132"/>
  <c r="I59" i="132"/>
  <c r="E59" i="132"/>
  <c r="J59" i="132"/>
  <c r="F59" i="132"/>
  <c r="K59" i="132"/>
  <c r="G59" i="132"/>
  <c r="E113" i="132"/>
  <c r="E108" i="132"/>
  <c r="E123" i="132"/>
  <c r="G17" i="133"/>
  <c r="D108" i="156"/>
  <c r="D113" i="156"/>
  <c r="D123" i="156"/>
  <c r="F15" i="156"/>
  <c r="G15" i="156" s="1"/>
  <c r="E113" i="156"/>
  <c r="E108" i="156"/>
  <c r="E123" i="156"/>
  <c r="D88" i="116"/>
  <c r="D98" i="110"/>
  <c r="D97" i="110"/>
  <c r="D129" i="110"/>
  <c r="E129" i="110"/>
  <c r="I70" i="76"/>
  <c r="I187" i="76"/>
  <c r="C77" i="76"/>
  <c r="F70" i="76"/>
  <c r="F187" i="76"/>
  <c r="H70" i="76"/>
  <c r="G70" i="76"/>
  <c r="H128" i="76"/>
  <c r="E179" i="76"/>
  <c r="J171" i="63"/>
  <c r="H120" i="65"/>
  <c r="H122" i="65"/>
  <c r="L19" i="66"/>
  <c r="K14" i="66"/>
  <c r="F18" i="110"/>
  <c r="F22" i="110"/>
  <c r="G17" i="132"/>
  <c r="F17" i="159"/>
  <c r="D113" i="159"/>
  <c r="D108" i="159"/>
  <c r="D123" i="159"/>
  <c r="D108" i="117"/>
  <c r="D123" i="117"/>
  <c r="D113" i="117"/>
  <c r="G16" i="160"/>
  <c r="F19" i="160"/>
  <c r="G16" i="116"/>
  <c r="F18" i="116"/>
  <c r="F22" i="116"/>
  <c r="Q60" i="33"/>
  <c r="Q215" i="33"/>
  <c r="U62" i="63"/>
  <c r="L4" i="63"/>
  <c r="L80" i="63"/>
  <c r="U80" i="63"/>
  <c r="U83" i="63"/>
  <c r="L62" i="63"/>
  <c r="M3" i="63"/>
  <c r="P18" i="5"/>
  <c r="P27" i="6"/>
  <c r="O27" i="6"/>
  <c r="E123" i="134"/>
  <c r="E113" i="134"/>
  <c r="E108" i="134"/>
  <c r="I17" i="160"/>
  <c r="J17" i="160"/>
  <c r="E123" i="119"/>
  <c r="R218" i="65"/>
  <c r="R227" i="65"/>
  <c r="G18" i="110"/>
  <c r="G22" i="110"/>
  <c r="H16" i="110"/>
  <c r="D110" i="116"/>
  <c r="D114" i="116"/>
  <c r="D106" i="116"/>
  <c r="D107" i="116"/>
  <c r="D88" i="110"/>
  <c r="I14" i="65"/>
  <c r="J19" i="65"/>
  <c r="H100" i="76"/>
  <c r="R221" i="66"/>
  <c r="R230" i="66"/>
  <c r="H18" i="90"/>
  <c r="H22" i="90"/>
  <c r="I16" i="90"/>
  <c r="G130" i="76"/>
  <c r="G131" i="76"/>
  <c r="G173" i="76"/>
  <c r="L73" i="63"/>
  <c r="N28" i="6"/>
  <c r="W21" i="31"/>
  <c r="W184" i="31"/>
  <c r="J17" i="30"/>
  <c r="J18" i="30"/>
  <c r="K18" i="30"/>
  <c r="L18" i="30"/>
  <c r="M18" i="30"/>
  <c r="G91" i="48"/>
  <c r="G94" i="48"/>
  <c r="H88" i="48"/>
  <c r="E23" i="133"/>
  <c r="F94" i="48"/>
  <c r="F95" i="48"/>
  <c r="K15" i="6"/>
  <c r="J17" i="6"/>
  <c r="X30" i="31"/>
  <c r="W96" i="31"/>
  <c r="W99" i="31"/>
  <c r="N40" i="40"/>
  <c r="V48" i="40"/>
  <c r="M60" i="40"/>
  <c r="V61" i="40"/>
  <c r="M41" i="40"/>
  <c r="M47" i="40"/>
  <c r="M75" i="40"/>
  <c r="V75" i="40"/>
  <c r="L7" i="63"/>
  <c r="L10" i="63"/>
  <c r="L161" i="63"/>
  <c r="L176" i="63"/>
  <c r="O213" i="48"/>
  <c r="F22" i="161"/>
  <c r="F22" i="157"/>
  <c r="F22" i="137"/>
  <c r="F22" i="135"/>
  <c r="F22" i="132"/>
  <c r="F22" i="133"/>
  <c r="F22" i="160"/>
  <c r="F22" i="156"/>
  <c r="F22" i="119"/>
  <c r="F22" i="121"/>
  <c r="F22" i="134"/>
  <c r="F22" i="159"/>
  <c r="R219" i="65"/>
  <c r="R228" i="65"/>
  <c r="H16" i="87"/>
  <c r="G18" i="87"/>
  <c r="G22" i="87"/>
  <c r="E123" i="133"/>
  <c r="E113" i="133"/>
  <c r="E108" i="133"/>
  <c r="H17" i="156"/>
  <c r="D97" i="116"/>
  <c r="D125" i="116"/>
  <c r="F59" i="116"/>
  <c r="F64" i="116"/>
  <c r="F71" i="116"/>
  <c r="F76" i="116"/>
  <c r="F84" i="116"/>
  <c r="F96" i="116"/>
  <c r="L14" i="103"/>
  <c r="E128" i="110"/>
  <c r="E110" i="110"/>
  <c r="E111" i="110"/>
  <c r="E114" i="110"/>
  <c r="E118" i="110"/>
  <c r="R222" i="65"/>
  <c r="R231" i="65"/>
  <c r="I18" i="65"/>
  <c r="J15" i="65"/>
  <c r="H22" i="76"/>
  <c r="H23" i="76"/>
  <c r="J15" i="48"/>
  <c r="I18" i="48"/>
  <c r="X3" i="63"/>
  <c r="Y8" i="63"/>
  <c r="Y3" i="63"/>
  <c r="Y10" i="63"/>
  <c r="L4" i="4"/>
  <c r="L43" i="4"/>
  <c r="M1" i="4"/>
  <c r="M74" i="40"/>
  <c r="V141" i="31"/>
  <c r="O76" i="40"/>
  <c r="I120" i="66"/>
  <c r="D87" i="176"/>
  <c r="M14" i="103"/>
  <c r="N14" i="103"/>
  <c r="E108" i="176"/>
  <c r="N60" i="98"/>
  <c r="M13" i="103"/>
  <c r="N13" i="103"/>
  <c r="J29" i="174"/>
  <c r="M22" i="117"/>
  <c r="N22" i="117"/>
  <c r="O22" i="117"/>
  <c r="P22" i="117"/>
  <c r="Q22" i="117"/>
  <c r="L52" i="95"/>
  <c r="O75" i="172"/>
  <c r="L64" i="95" s="1"/>
  <c r="G190" i="65"/>
  <c r="Q198" i="33"/>
  <c r="H153" i="66"/>
  <c r="Q189" i="33"/>
  <c r="L22" i="6"/>
  <c r="G103" i="76"/>
  <c r="H197" i="48"/>
  <c r="H218" i="48"/>
  <c r="H35" i="160"/>
  <c r="H99" i="160" s="1"/>
  <c r="H133" i="160" s="1"/>
  <c r="G14" i="4"/>
  <c r="G20" i="4" s="1"/>
  <c r="E108" i="137"/>
  <c r="F20" i="69"/>
  <c r="F22" i="69"/>
  <c r="F25" i="5"/>
  <c r="G25" i="5"/>
  <c r="H25" i="5"/>
  <c r="I25" i="5"/>
  <c r="J25" i="5" s="1"/>
  <c r="K25" i="5"/>
  <c r="L25" i="5"/>
  <c r="M25" i="5" s="1"/>
  <c r="N25" i="5" s="1"/>
  <c r="O25" i="5" s="1"/>
  <c r="P25" i="5" s="1"/>
  <c r="E123" i="117"/>
  <c r="AB4" i="63"/>
  <c r="AC4" i="63"/>
  <c r="AC7" i="63"/>
  <c r="N75" i="172"/>
  <c r="K64" i="95" s="1"/>
  <c r="F65" i="90"/>
  <c r="F81" i="90"/>
  <c r="X10" i="63"/>
  <c r="L35" i="133"/>
  <c r="L99" i="133"/>
  <c r="K91" i="31"/>
  <c r="K92" i="31"/>
  <c r="F146" i="31"/>
  <c r="C99" i="133"/>
  <c r="C99" i="160"/>
  <c r="D35" i="133"/>
  <c r="D99" i="133"/>
  <c r="Z7" i="63"/>
  <c r="Q212" i="33"/>
  <c r="G104" i="76"/>
  <c r="G105" i="76"/>
  <c r="H54" i="66"/>
  <c r="H88" i="66"/>
  <c r="H145" i="66"/>
  <c r="H164" i="66"/>
  <c r="H174" i="66"/>
  <c r="H189" i="66"/>
  <c r="H199" i="66"/>
  <c r="Q190" i="33"/>
  <c r="Q124" i="33"/>
  <c r="H116" i="66"/>
  <c r="Q97" i="33"/>
  <c r="Q188" i="33"/>
  <c r="K146" i="31"/>
  <c r="F95" i="31"/>
  <c r="N101" i="31"/>
  <c r="H33" i="48"/>
  <c r="H192" i="48"/>
  <c r="E37" i="90"/>
  <c r="E113" i="117"/>
  <c r="K191" i="31"/>
  <c r="G6" i="57"/>
  <c r="E108" i="117"/>
  <c r="F193" i="66"/>
  <c r="F23" i="30"/>
  <c r="E113" i="137"/>
  <c r="P53" i="46"/>
  <c r="Q53" i="46"/>
  <c r="N111" i="33"/>
  <c r="C41" i="61"/>
  <c r="D20" i="69"/>
  <c r="D22" i="69"/>
  <c r="D36" i="116"/>
  <c r="D100" i="116"/>
  <c r="D134" i="116"/>
  <c r="E113" i="160"/>
  <c r="E108" i="160"/>
  <c r="N103" i="31"/>
  <c r="F201" i="48"/>
  <c r="H17" i="137"/>
  <c r="I17" i="137"/>
  <c r="D49" i="61"/>
  <c r="Q193" i="33"/>
  <c r="Q211" i="33"/>
  <c r="Q206" i="33"/>
  <c r="Q203" i="33"/>
  <c r="Q214" i="33"/>
  <c r="Q127" i="33"/>
  <c r="Q128" i="33"/>
  <c r="Q208" i="33"/>
  <c r="Q204" i="33"/>
  <c r="G96" i="66"/>
  <c r="Q186" i="33"/>
  <c r="Q187" i="33"/>
  <c r="Q195" i="33"/>
  <c r="Q205" i="33"/>
  <c r="Q196" i="33"/>
  <c r="Q202" i="33"/>
  <c r="Q209" i="33"/>
  <c r="I18" i="66"/>
  <c r="I21" i="66"/>
  <c r="Q191" i="33"/>
  <c r="Q192" i="33"/>
  <c r="Q201" i="33"/>
  <c r="Q210" i="33"/>
  <c r="Q213" i="33"/>
  <c r="Q194" i="33"/>
  <c r="Q207" i="33"/>
  <c r="G190" i="66"/>
  <c r="F53" i="87"/>
  <c r="F65" i="87"/>
  <c r="F81" i="87"/>
  <c r="N108" i="31"/>
  <c r="F13" i="5" s="1"/>
  <c r="C45" i="61"/>
  <c r="L118" i="31"/>
  <c r="G37" i="90"/>
  <c r="C35" i="61"/>
  <c r="G35" i="160"/>
  <c r="G99" i="160" s="1"/>
  <c r="G133" i="160" s="1"/>
  <c r="J35" i="121"/>
  <c r="J99" i="121"/>
  <c r="J133" i="121"/>
  <c r="D175" i="31"/>
  <c r="M117" i="31"/>
  <c r="K45" i="13"/>
  <c r="K31" i="4"/>
  <c r="F36" i="116"/>
  <c r="F100" i="116"/>
  <c r="H122" i="66"/>
  <c r="H28" i="43"/>
  <c r="H32" i="43"/>
  <c r="K118" i="31"/>
  <c r="G36" i="116"/>
  <c r="G100" i="116"/>
  <c r="G134" i="116"/>
  <c r="E36" i="116"/>
  <c r="E100" i="116"/>
  <c r="E134" i="116"/>
  <c r="H123" i="66"/>
  <c r="O87" i="31"/>
  <c r="T67" i="13" s="1"/>
  <c r="C100" i="116"/>
  <c r="O68" i="13"/>
  <c r="O66" i="13"/>
  <c r="E35" i="133"/>
  <c r="E99" i="133"/>
  <c r="J35" i="133"/>
  <c r="J99" i="133"/>
  <c r="G33" i="48"/>
  <c r="G192" i="48"/>
  <c r="I33" i="48"/>
  <c r="I21" i="48"/>
  <c r="I197" i="48"/>
  <c r="I218" i="48"/>
  <c r="H35" i="133"/>
  <c r="H99" i="133"/>
  <c r="I35" i="133"/>
  <c r="I99" i="133"/>
  <c r="M35" i="133"/>
  <c r="M99" i="133" s="1"/>
  <c r="F33" i="48"/>
  <c r="F192" i="48"/>
  <c r="F157" i="31"/>
  <c r="F35" i="133"/>
  <c r="F99" i="133"/>
  <c r="G35" i="133"/>
  <c r="G99" i="133" s="1"/>
  <c r="J33" i="48"/>
  <c r="O118" i="33"/>
  <c r="E12" i="69"/>
  <c r="F35" i="121"/>
  <c r="F99" i="121"/>
  <c r="F133" i="121"/>
  <c r="N15" i="31"/>
  <c r="F19" i="6"/>
  <c r="K101" i="31"/>
  <c r="C32" i="5"/>
  <c r="W19" i="29"/>
  <c r="J157" i="31"/>
  <c r="H103" i="31"/>
  <c r="F103" i="31"/>
  <c r="F23" i="5"/>
  <c r="P213" i="48"/>
  <c r="G191" i="31"/>
  <c r="G146" i="31"/>
  <c r="K85" i="33"/>
  <c r="K93" i="29" s="1"/>
  <c r="G104" i="68"/>
  <c r="J108" i="31"/>
  <c r="G117" i="116"/>
  <c r="F37" i="87"/>
  <c r="P94" i="33"/>
  <c r="K79" i="33"/>
  <c r="K87" i="29" s="1"/>
  <c r="X29" i="29"/>
  <c r="J96" i="33"/>
  <c r="N157" i="31"/>
  <c r="L17" i="13"/>
  <c r="L33" i="13"/>
  <c r="G91" i="31"/>
  <c r="G92" i="31" s="1"/>
  <c r="I119" i="116"/>
  <c r="I94" i="33"/>
  <c r="M96" i="33"/>
  <c r="C18" i="6"/>
  <c r="C17" i="6" s="1"/>
  <c r="G157" i="31"/>
  <c r="G108" i="31"/>
  <c r="N139" i="31"/>
  <c r="D36" i="13" s="1"/>
  <c r="U3" i="31"/>
  <c r="D101" i="31"/>
  <c r="N118" i="31"/>
  <c r="L46" i="13"/>
  <c r="N117" i="31"/>
  <c r="L45" i="13"/>
  <c r="G101" i="31"/>
  <c r="E175" i="31"/>
  <c r="F175" i="31"/>
  <c r="E15" i="31"/>
  <c r="E149" i="31" s="1"/>
  <c r="E157" i="31"/>
  <c r="E108" i="31"/>
  <c r="K61" i="13"/>
  <c r="E25" i="5"/>
  <c r="M157" i="31"/>
  <c r="M15" i="31"/>
  <c r="E91" i="31"/>
  <c r="E92" i="31" s="1"/>
  <c r="E146" i="31"/>
  <c r="D157" i="31"/>
  <c r="D15" i="31"/>
  <c r="H146" i="31"/>
  <c r="H95" i="31"/>
  <c r="H191" i="31"/>
  <c r="L146" i="31"/>
  <c r="L147" i="31" s="1"/>
  <c r="L97" i="31"/>
  <c r="L95" i="31"/>
  <c r="L91" i="31"/>
  <c r="L92" i="31" s="1"/>
  <c r="J125" i="31"/>
  <c r="G103" i="31"/>
  <c r="K125" i="31"/>
  <c r="K121" i="31"/>
  <c r="I146" i="31"/>
  <c r="I191" i="31"/>
  <c r="I95" i="31"/>
  <c r="I91" i="31"/>
  <c r="I92" i="31" s="1"/>
  <c r="E203" i="63"/>
  <c r="F203" i="63"/>
  <c r="C216" i="63"/>
  <c r="C221" i="63"/>
  <c r="R205" i="63"/>
  <c r="G203" i="63"/>
  <c r="G216" i="63"/>
  <c r="G221" i="63"/>
  <c r="O205" i="63"/>
  <c r="I72" i="29"/>
  <c r="I85" i="33"/>
  <c r="I93" i="29"/>
  <c r="F72" i="29"/>
  <c r="F85" i="33"/>
  <c r="F93" i="29" s="1"/>
  <c r="F79" i="33"/>
  <c r="F87" i="29"/>
  <c r="G55" i="116"/>
  <c r="F127" i="116"/>
  <c r="F36" i="90"/>
  <c r="F37" i="90"/>
  <c r="C100" i="90"/>
  <c r="S64" i="40"/>
  <c r="S62" i="40"/>
  <c r="U46" i="40"/>
  <c r="M3" i="40"/>
  <c r="L7" i="40"/>
  <c r="L10" i="40"/>
  <c r="L112" i="40"/>
  <c r="K112" i="40"/>
  <c r="K119" i="40"/>
  <c r="K12" i="40"/>
  <c r="L4" i="40"/>
  <c r="K5" i="40"/>
  <c r="K59" i="40"/>
  <c r="T59" i="40"/>
  <c r="T62" i="40"/>
  <c r="O94" i="33"/>
  <c r="Q25" i="29"/>
  <c r="H94" i="33"/>
  <c r="P118" i="31"/>
  <c r="P117" i="31"/>
  <c r="Q91" i="31"/>
  <c r="Q146" i="31"/>
  <c r="Q147" i="31"/>
  <c r="F114" i="33"/>
  <c r="F117" i="33"/>
  <c r="F118" i="33"/>
  <c r="L134" i="33"/>
  <c r="L132" i="33" s="1"/>
  <c r="M36" i="29"/>
  <c r="N36" i="29"/>
  <c r="O36" i="29"/>
  <c r="L182" i="33"/>
  <c r="L91" i="33"/>
  <c r="F166" i="33"/>
  <c r="F148" i="33"/>
  <c r="E112" i="68"/>
  <c r="E113" i="68"/>
  <c r="F20" i="29"/>
  <c r="F10" i="29" s="1"/>
  <c r="F101" i="33"/>
  <c r="F15" i="33"/>
  <c r="F140" i="33" s="1"/>
  <c r="F104" i="68"/>
  <c r="K15" i="33"/>
  <c r="K101" i="33"/>
  <c r="K148" i="33"/>
  <c r="K166" i="33"/>
  <c r="E94" i="68"/>
  <c r="N148" i="33"/>
  <c r="N166" i="33"/>
  <c r="N20" i="29"/>
  <c r="W20" i="29" s="1"/>
  <c r="N101" i="33"/>
  <c r="U29" i="29"/>
  <c r="H52" i="76"/>
  <c r="H96" i="76"/>
  <c r="H153" i="76"/>
  <c r="H172" i="76"/>
  <c r="H182" i="76"/>
  <c r="H202" i="76"/>
  <c r="H212" i="76"/>
  <c r="H13" i="76"/>
  <c r="H161" i="76"/>
  <c r="H124" i="76"/>
  <c r="I35" i="76"/>
  <c r="L85" i="33"/>
  <c r="L93" i="29"/>
  <c r="G51" i="172"/>
  <c r="U24" i="29"/>
  <c r="O72" i="29"/>
  <c r="O79" i="33"/>
  <c r="O87" i="29" s="1"/>
  <c r="O85" i="33"/>
  <c r="O93" i="29" s="1"/>
  <c r="K114" i="33"/>
  <c r="K118" i="33"/>
  <c r="P29" i="29"/>
  <c r="D35" i="121"/>
  <c r="D99" i="121"/>
  <c r="D133" i="121"/>
  <c r="L35" i="121"/>
  <c r="L99" i="121"/>
  <c r="L133" i="121"/>
  <c r="H35" i="121"/>
  <c r="H99" i="121"/>
  <c r="H133" i="121"/>
  <c r="L138" i="33"/>
  <c r="I118" i="33"/>
  <c r="M94" i="33"/>
  <c r="Q27" i="29"/>
  <c r="M45" i="13"/>
  <c r="H110" i="33"/>
  <c r="O96" i="33"/>
  <c r="H223" i="33"/>
  <c r="F110" i="33"/>
  <c r="K96" i="33"/>
  <c r="P91" i="33"/>
  <c r="P92" i="33" s="1"/>
  <c r="D94" i="33"/>
  <c r="E94" i="33"/>
  <c r="R27" i="29"/>
  <c r="T27" i="29" s="1"/>
  <c r="M79" i="33"/>
  <c r="M87" i="29"/>
  <c r="M85" i="33"/>
  <c r="M93" i="29" s="1"/>
  <c r="M72" i="29"/>
  <c r="N118" i="33"/>
  <c r="N114" i="33"/>
  <c r="Q134" i="33"/>
  <c r="Q132" i="33"/>
  <c r="N72" i="29"/>
  <c r="N93" i="29"/>
  <c r="N79" i="33"/>
  <c r="N87" i="29" s="1"/>
  <c r="J72" i="29"/>
  <c r="J79" i="33"/>
  <c r="J87" i="29"/>
  <c r="J85" i="33"/>
  <c r="J93" i="29" s="1"/>
  <c r="U21" i="29"/>
  <c r="R21" i="29"/>
  <c r="T21" i="29"/>
  <c r="I101" i="33"/>
  <c r="I20" i="29"/>
  <c r="D104" i="68"/>
  <c r="I15" i="33"/>
  <c r="I18" i="33" s="1"/>
  <c r="I166" i="33"/>
  <c r="I148" i="33"/>
  <c r="H123" i="110"/>
  <c r="H138" i="33"/>
  <c r="H91" i="33"/>
  <c r="H92" i="33" s="1"/>
  <c r="H36" i="29"/>
  <c r="I36" i="29"/>
  <c r="J36" i="29"/>
  <c r="K36" i="29"/>
  <c r="Q36" i="29"/>
  <c r="K111" i="33"/>
  <c r="U25" i="29"/>
  <c r="C104" i="68"/>
  <c r="H20" i="29"/>
  <c r="Q20" i="29" s="1"/>
  <c r="H101" i="33"/>
  <c r="H15" i="33"/>
  <c r="H151" i="33"/>
  <c r="H148" i="33"/>
  <c r="Q118" i="33"/>
  <c r="Q114" i="33"/>
  <c r="Q117" i="33"/>
  <c r="N91" i="33"/>
  <c r="N92" i="33"/>
  <c r="N182" i="33"/>
  <c r="E85" i="33"/>
  <c r="E93" i="29" s="1"/>
  <c r="E79" i="33"/>
  <c r="E87" i="29" s="1"/>
  <c r="E72" i="29"/>
  <c r="V29" i="29"/>
  <c r="J134" i="33"/>
  <c r="J132" i="33" s="1"/>
  <c r="J138" i="33"/>
  <c r="J182" i="33"/>
  <c r="J91" i="33"/>
  <c r="J92" i="33"/>
  <c r="G36" i="110"/>
  <c r="G103" i="110"/>
  <c r="F115" i="110"/>
  <c r="F36" i="110"/>
  <c r="F103" i="110"/>
  <c r="F138" i="110"/>
  <c r="D36" i="110"/>
  <c r="D103" i="110"/>
  <c r="H36" i="110"/>
  <c r="H103" i="110"/>
  <c r="H138" i="110"/>
  <c r="E36" i="110"/>
  <c r="E103" i="110"/>
  <c r="E138" i="110"/>
  <c r="U19" i="29"/>
  <c r="R19" i="29"/>
  <c r="T19" i="29" s="1"/>
  <c r="I182" i="33"/>
  <c r="I91" i="33"/>
  <c r="I92" i="33"/>
  <c r="E35" i="121"/>
  <c r="E99" i="121"/>
  <c r="E133" i="121"/>
  <c r="M35" i="121"/>
  <c r="M99" i="121"/>
  <c r="M133" i="121"/>
  <c r="I35" i="121"/>
  <c r="I99" i="121"/>
  <c r="I133" i="121"/>
  <c r="X3" i="31"/>
  <c r="P35" i="29"/>
  <c r="W31" i="29"/>
  <c r="L96" i="33"/>
  <c r="L94" i="33"/>
  <c r="G111" i="68"/>
  <c r="C46" i="61"/>
  <c r="X27" i="29"/>
  <c r="P27" i="29"/>
  <c r="D223" i="33"/>
  <c r="Q19" i="29"/>
  <c r="H134" i="33"/>
  <c r="H132" i="33" s="1"/>
  <c r="N96" i="33"/>
  <c r="O134" i="33"/>
  <c r="O132" i="33"/>
  <c r="O182" i="33"/>
  <c r="O91" i="33"/>
  <c r="O92" i="33"/>
  <c r="L110" i="33"/>
  <c r="M182" i="33"/>
  <c r="M91" i="33"/>
  <c r="M92" i="33" s="1"/>
  <c r="M15" i="33"/>
  <c r="M23" i="29" s="1"/>
  <c r="M11" i="29" s="1"/>
  <c r="M101" i="33"/>
  <c r="D94" i="68"/>
  <c r="M148" i="33"/>
  <c r="M20" i="29"/>
  <c r="J116" i="65"/>
  <c r="J153" i="65"/>
  <c r="K134" i="33"/>
  <c r="K132" i="33" s="1"/>
  <c r="K91" i="33"/>
  <c r="K92" i="33"/>
  <c r="K182" i="33"/>
  <c r="J32" i="66"/>
  <c r="K32" i="66"/>
  <c r="I54" i="66"/>
  <c r="I88" i="66"/>
  <c r="I145" i="66"/>
  <c r="I164" i="66"/>
  <c r="I174" i="66"/>
  <c r="I189" i="66"/>
  <c r="I199" i="66"/>
  <c r="I153" i="66"/>
  <c r="I116" i="66"/>
  <c r="G134" i="33"/>
  <c r="G132" i="33" s="1"/>
  <c r="G36" i="29"/>
  <c r="G91" i="33"/>
  <c r="G92" i="33" s="1"/>
  <c r="E118" i="33"/>
  <c r="E114" i="33"/>
  <c r="E117" i="33" s="1"/>
  <c r="E20" i="29"/>
  <c r="E10" i="29" s="1"/>
  <c r="E104" i="68"/>
  <c r="J166" i="33"/>
  <c r="J148" i="33"/>
  <c r="J20" i="29"/>
  <c r="J10" i="29" s="1"/>
  <c r="J101" i="33"/>
  <c r="J15" i="33"/>
  <c r="E108" i="68" s="1"/>
  <c r="E15" i="33"/>
  <c r="E101" i="33"/>
  <c r="E148" i="33"/>
  <c r="D112" i="68"/>
  <c r="D113" i="68" s="1"/>
  <c r="C94" i="68"/>
  <c r="L166" i="33"/>
  <c r="L15" i="33"/>
  <c r="E223" i="33"/>
  <c r="M138" i="33"/>
  <c r="N94" i="33"/>
  <c r="C99" i="121"/>
  <c r="K35" i="121"/>
  <c r="K99" i="121"/>
  <c r="K133" i="121"/>
  <c r="P138" i="33"/>
  <c r="K32" i="65"/>
  <c r="K153" i="65"/>
  <c r="N110" i="33"/>
  <c r="P31" i="29"/>
  <c r="Q24" i="29"/>
  <c r="Q35" i="29"/>
  <c r="W35" i="29"/>
  <c r="N138" i="33"/>
  <c r="P18" i="29"/>
  <c r="N134" i="33"/>
  <c r="N132" i="33"/>
  <c r="X35" i="29"/>
  <c r="L190" i="48"/>
  <c r="L72" i="48"/>
  <c r="H72" i="48"/>
  <c r="H190" i="48"/>
  <c r="F193" i="65"/>
  <c r="P96" i="33"/>
  <c r="M51" i="13"/>
  <c r="G23" i="5"/>
  <c r="H23" i="5"/>
  <c r="I23" i="5"/>
  <c r="J23" i="5"/>
  <c r="K23" i="5" s="1"/>
  <c r="L23" i="5" s="1"/>
  <c r="M23" i="5" s="1"/>
  <c r="N23" i="5" s="1"/>
  <c r="O23" i="5" s="1"/>
  <c r="P23" i="5" s="1"/>
  <c r="O14" i="63"/>
  <c r="O15" i="63"/>
  <c r="N15" i="63"/>
  <c r="C22" i="68"/>
  <c r="D4" i="68" s="1"/>
  <c r="J42" i="63"/>
  <c r="J29" i="63"/>
  <c r="R52" i="46"/>
  <c r="Q58" i="46"/>
  <c r="Q59" i="46"/>
  <c r="G199" i="63"/>
  <c r="G198" i="63"/>
  <c r="G187" i="63"/>
  <c r="F59" i="110"/>
  <c r="F64" i="110"/>
  <c r="F71" i="110"/>
  <c r="F76" i="110"/>
  <c r="G52" i="110"/>
  <c r="O101" i="31"/>
  <c r="G35" i="110"/>
  <c r="H13" i="110"/>
  <c r="I15" i="76"/>
  <c r="H18" i="76"/>
  <c r="H178" i="65"/>
  <c r="H193" i="65"/>
  <c r="G193" i="65"/>
  <c r="P103" i="31"/>
  <c r="P119" i="31" s="1"/>
  <c r="G13" i="87"/>
  <c r="F35" i="87"/>
  <c r="F52" i="87"/>
  <c r="F59" i="87"/>
  <c r="F64" i="87"/>
  <c r="F71" i="87"/>
  <c r="O139" i="31"/>
  <c r="M68" i="13"/>
  <c r="M66" i="13" s="1"/>
  <c r="O143" i="31"/>
  <c r="N190" i="48"/>
  <c r="S76" i="40"/>
  <c r="J118" i="63"/>
  <c r="S118" i="63"/>
  <c r="S122" i="63"/>
  <c r="S123" i="63"/>
  <c r="J99" i="63"/>
  <c r="K19" i="48"/>
  <c r="J14" i="48"/>
  <c r="G133" i="76"/>
  <c r="G135" i="76"/>
  <c r="C47" i="61"/>
  <c r="I116" i="48"/>
  <c r="I118" i="48"/>
  <c r="J113" i="48"/>
  <c r="M72" i="48"/>
  <c r="M190" i="48"/>
  <c r="V148" i="31"/>
  <c r="V149" i="31"/>
  <c r="N39" i="4"/>
  <c r="N41" i="4"/>
  <c r="V116" i="31"/>
  <c r="V165" i="31"/>
  <c r="V115" i="31"/>
  <c r="V113" i="31"/>
  <c r="G37" i="87"/>
  <c r="H36" i="87"/>
  <c r="F190" i="48"/>
  <c r="G81" i="90"/>
  <c r="O8" i="40"/>
  <c r="P8" i="40"/>
  <c r="F59" i="90"/>
  <c r="F64" i="90"/>
  <c r="F71" i="90"/>
  <c r="F76" i="90"/>
  <c r="F80" i="90"/>
  <c r="Q166" i="33"/>
  <c r="P15" i="33"/>
  <c r="P101" i="33"/>
  <c r="P148" i="33"/>
  <c r="C84" i="68"/>
  <c r="J13" i="90"/>
  <c r="K13" i="90"/>
  <c r="L13" i="90"/>
  <c r="M13" i="90"/>
  <c r="N13" i="90"/>
  <c r="O13" i="90"/>
  <c r="P13" i="90"/>
  <c r="Q13" i="90"/>
  <c r="I92" i="65"/>
  <c r="L21" i="112"/>
  <c r="L19" i="112"/>
  <c r="L22" i="112"/>
  <c r="D219" i="63"/>
  <c r="M204" i="63"/>
  <c r="D208" i="63"/>
  <c r="M115" i="48"/>
  <c r="N115" i="48"/>
  <c r="O115" i="48"/>
  <c r="J92" i="66"/>
  <c r="I96" i="66"/>
  <c r="I95" i="66"/>
  <c r="H95" i="65"/>
  <c r="H96" i="65"/>
  <c r="H17" i="135"/>
  <c r="H17" i="134"/>
  <c r="L18" i="112"/>
  <c r="L23" i="112"/>
  <c r="I122" i="66"/>
  <c r="I123" i="66"/>
  <c r="I17" i="156"/>
  <c r="N29" i="6"/>
  <c r="W23" i="31"/>
  <c r="W186" i="31"/>
  <c r="W22" i="31"/>
  <c r="M62" i="63"/>
  <c r="M4" i="63"/>
  <c r="M80" i="63"/>
  <c r="V80" i="63"/>
  <c r="V99" i="63"/>
  <c r="V104" i="63"/>
  <c r="V107" i="63"/>
  <c r="V62" i="63"/>
  <c r="N3" i="63"/>
  <c r="M7" i="63"/>
  <c r="M10" i="63"/>
  <c r="U57" i="63"/>
  <c r="U65" i="63"/>
  <c r="U121" i="63"/>
  <c r="H16" i="116"/>
  <c r="G18" i="116"/>
  <c r="G22" i="116"/>
  <c r="H16" i="160"/>
  <c r="G19" i="160"/>
  <c r="AB7" i="63"/>
  <c r="J120" i="66"/>
  <c r="I22" i="76"/>
  <c r="M42" i="40"/>
  <c r="M113" i="40"/>
  <c r="Y21" i="31"/>
  <c r="P28" i="6"/>
  <c r="I120" i="65"/>
  <c r="D132" i="110"/>
  <c r="H17" i="133"/>
  <c r="I17" i="133"/>
  <c r="J17" i="133"/>
  <c r="I17" i="161"/>
  <c r="L23" i="63"/>
  <c r="P76" i="40"/>
  <c r="J18" i="48"/>
  <c r="K15" i="48"/>
  <c r="L15" i="48"/>
  <c r="M15" i="48"/>
  <c r="F134" i="116"/>
  <c r="H18" i="87"/>
  <c r="H22" i="87"/>
  <c r="I16" i="87"/>
  <c r="O40" i="40"/>
  <c r="N47" i="40"/>
  <c r="N75" i="40"/>
  <c r="W75" i="40"/>
  <c r="N60" i="40"/>
  <c r="W61" i="40"/>
  <c r="N41" i="40"/>
  <c r="N113" i="40"/>
  <c r="W48" i="40"/>
  <c r="G95" i="48"/>
  <c r="K17" i="30"/>
  <c r="H18" i="110"/>
  <c r="H22" i="110"/>
  <c r="I16" i="110"/>
  <c r="J16" i="110"/>
  <c r="X21" i="31"/>
  <c r="X184" i="31"/>
  <c r="O28" i="6"/>
  <c r="H17" i="132"/>
  <c r="I17" i="132"/>
  <c r="M19" i="66"/>
  <c r="L14" i="66"/>
  <c r="K18" i="66"/>
  <c r="K21" i="66"/>
  <c r="L15" i="66"/>
  <c r="L49" i="60"/>
  <c r="N199" i="63"/>
  <c r="G193" i="63"/>
  <c r="F185" i="63"/>
  <c r="N198" i="63"/>
  <c r="R198" i="63"/>
  <c r="I21" i="65"/>
  <c r="N74" i="40"/>
  <c r="O74" i="40"/>
  <c r="H52" i="116"/>
  <c r="H59" i="116"/>
  <c r="H64" i="116"/>
  <c r="H71" i="116"/>
  <c r="H76" i="116"/>
  <c r="G59" i="116"/>
  <c r="G64" i="116"/>
  <c r="G71" i="116"/>
  <c r="G76" i="116"/>
  <c r="L12" i="63"/>
  <c r="L15" i="6"/>
  <c r="L17" i="6"/>
  <c r="K17" i="6"/>
  <c r="H91" i="48"/>
  <c r="I88" i="48"/>
  <c r="J88" i="48"/>
  <c r="K88" i="48"/>
  <c r="I18" i="90"/>
  <c r="I22" i="90"/>
  <c r="J16" i="90"/>
  <c r="H104" i="76"/>
  <c r="H103" i="76"/>
  <c r="J14" i="65"/>
  <c r="K19" i="65"/>
  <c r="E2" i="73"/>
  <c r="E12" i="73"/>
  <c r="E14" i="73"/>
  <c r="L118" i="63"/>
  <c r="U118" i="63"/>
  <c r="U122" i="63"/>
  <c r="U123" i="63"/>
  <c r="L99" i="63"/>
  <c r="L204" i="63"/>
  <c r="R204" i="63"/>
  <c r="H131" i="76"/>
  <c r="H130" i="76"/>
  <c r="H187" i="76"/>
  <c r="H74" i="76"/>
  <c r="I13" i="116"/>
  <c r="J13" i="116"/>
  <c r="K13" i="116"/>
  <c r="L13" i="116"/>
  <c r="M13" i="116"/>
  <c r="N13" i="116"/>
  <c r="O13" i="116"/>
  <c r="P13" i="116"/>
  <c r="Q13" i="116"/>
  <c r="H35" i="116"/>
  <c r="L24" i="6"/>
  <c r="G107" i="76"/>
  <c r="C37" i="90"/>
  <c r="N109" i="31"/>
  <c r="K54" i="65"/>
  <c r="K88" i="65"/>
  <c r="K145" i="65"/>
  <c r="K164" i="65"/>
  <c r="K174" i="65"/>
  <c r="K189" i="65"/>
  <c r="K199" i="65"/>
  <c r="L38" i="13"/>
  <c r="G208" i="76"/>
  <c r="F33" i="30"/>
  <c r="G97" i="66"/>
  <c r="G99" i="66"/>
  <c r="J22" i="40"/>
  <c r="N18" i="31"/>
  <c r="G108" i="68"/>
  <c r="J21" i="40"/>
  <c r="G105" i="68"/>
  <c r="N160" i="31"/>
  <c r="K116" i="65"/>
  <c r="L32" i="65"/>
  <c r="M32" i="65"/>
  <c r="N178" i="31"/>
  <c r="L34" i="13"/>
  <c r="V36" i="29"/>
  <c r="M18" i="31"/>
  <c r="M160" i="31"/>
  <c r="K20" i="13"/>
  <c r="E19" i="6"/>
  <c r="E20" i="6"/>
  <c r="M109" i="31"/>
  <c r="C21" i="5"/>
  <c r="D160" i="31"/>
  <c r="D109" i="31"/>
  <c r="D149" i="31"/>
  <c r="D178" i="31"/>
  <c r="D18" i="31"/>
  <c r="D27" i="31" s="1"/>
  <c r="E216" i="63"/>
  <c r="E221" i="63"/>
  <c r="M205" i="63"/>
  <c r="H55" i="116"/>
  <c r="I55" i="116"/>
  <c r="J55" i="116"/>
  <c r="G53" i="116"/>
  <c r="G65" i="116"/>
  <c r="J21" i="48"/>
  <c r="J197" i="48"/>
  <c r="J218" i="48"/>
  <c r="M4" i="40"/>
  <c r="M5" i="40"/>
  <c r="L59" i="40"/>
  <c r="U59" i="40"/>
  <c r="L5" i="40"/>
  <c r="M7" i="40"/>
  <c r="M10" i="40"/>
  <c r="T64" i="40"/>
  <c r="S67" i="40"/>
  <c r="U49" i="40"/>
  <c r="U76" i="40"/>
  <c r="U42" i="40"/>
  <c r="L12" i="40"/>
  <c r="J18" i="33"/>
  <c r="J107" i="33" s="1"/>
  <c r="J151" i="33"/>
  <c r="J102" i="33"/>
  <c r="J23" i="29"/>
  <c r="J11" i="29"/>
  <c r="H18" i="33"/>
  <c r="H129" i="33" s="1"/>
  <c r="H140" i="33"/>
  <c r="N18" i="33"/>
  <c r="E98" i="68"/>
  <c r="L92" i="33"/>
  <c r="J54" i="66"/>
  <c r="J88" i="66"/>
  <c r="J145" i="66"/>
  <c r="J164" i="66"/>
  <c r="J174" i="66"/>
  <c r="J189" i="66"/>
  <c r="J199" i="66"/>
  <c r="H107" i="110"/>
  <c r="I123" i="110"/>
  <c r="E114" i="68"/>
  <c r="E115" i="68" s="1"/>
  <c r="F23" i="29"/>
  <c r="F11" i="29" s="1"/>
  <c r="Q235" i="31"/>
  <c r="L181" i="48"/>
  <c r="H181" i="48"/>
  <c r="H213" i="48"/>
  <c r="H194" i="48"/>
  <c r="H171" i="48"/>
  <c r="C62" i="68"/>
  <c r="P14" i="63"/>
  <c r="R58" i="46"/>
  <c r="R59" i="46"/>
  <c r="S52" i="46"/>
  <c r="S58" i="46"/>
  <c r="S59" i="46"/>
  <c r="H35" i="110"/>
  <c r="I13" i="110"/>
  <c r="J13" i="110"/>
  <c r="K13" i="110"/>
  <c r="L13" i="110"/>
  <c r="M13" i="110"/>
  <c r="N13" i="110"/>
  <c r="O13" i="110"/>
  <c r="P13" i="110"/>
  <c r="Q13" i="110"/>
  <c r="H52" i="110"/>
  <c r="G59" i="110"/>
  <c r="G64" i="110"/>
  <c r="G71" i="110"/>
  <c r="G76" i="110"/>
  <c r="G80" i="110"/>
  <c r="G88" i="110"/>
  <c r="G211" i="63"/>
  <c r="G210" i="63"/>
  <c r="J15" i="76"/>
  <c r="I18" i="76"/>
  <c r="M181" i="48"/>
  <c r="M171" i="48"/>
  <c r="M194" i="48"/>
  <c r="N194" i="48"/>
  <c r="N181" i="48"/>
  <c r="K113" i="48"/>
  <c r="L113" i="48"/>
  <c r="M113" i="48"/>
  <c r="J116" i="48"/>
  <c r="J118" i="48"/>
  <c r="V112" i="31"/>
  <c r="I36" i="87"/>
  <c r="H37" i="87"/>
  <c r="M23" i="63"/>
  <c r="J92" i="65"/>
  <c r="D218" i="63"/>
  <c r="M202" i="63"/>
  <c r="D232" i="63"/>
  <c r="D237" i="63"/>
  <c r="C253" i="63"/>
  <c r="I234" i="63"/>
  <c r="I235" i="63"/>
  <c r="D223" i="63"/>
  <c r="D224" i="63"/>
  <c r="I96" i="65"/>
  <c r="I17" i="134"/>
  <c r="J95" i="66"/>
  <c r="J96" i="66"/>
  <c r="N42" i="40"/>
  <c r="J17" i="161"/>
  <c r="I122" i="65"/>
  <c r="I123" i="65"/>
  <c r="J123" i="66"/>
  <c r="J122" i="66"/>
  <c r="V65" i="63"/>
  <c r="V121" i="63"/>
  <c r="J18" i="90"/>
  <c r="J22" i="90"/>
  <c r="K16" i="90"/>
  <c r="L16" i="90"/>
  <c r="L18" i="90"/>
  <c r="L22" i="90"/>
  <c r="O41" i="40"/>
  <c r="O42" i="40"/>
  <c r="O47" i="40"/>
  <c r="O75" i="40"/>
  <c r="X75" i="40"/>
  <c r="O60" i="40"/>
  <c r="X61" i="40"/>
  <c r="P40" i="40"/>
  <c r="X48" i="40"/>
  <c r="J17" i="137"/>
  <c r="W62" i="63"/>
  <c r="W65" i="63"/>
  <c r="W121" i="63"/>
  <c r="O3" i="63"/>
  <c r="N62" i="63"/>
  <c r="N4" i="63"/>
  <c r="N7" i="63"/>
  <c r="N10" i="63"/>
  <c r="N12" i="63"/>
  <c r="N30" i="6"/>
  <c r="W24" i="31"/>
  <c r="W187" i="31"/>
  <c r="L17" i="30"/>
  <c r="M17" i="30"/>
  <c r="N17" i="30"/>
  <c r="I18" i="87"/>
  <c r="I22" i="87"/>
  <c r="J16" i="87"/>
  <c r="J22" i="76"/>
  <c r="AD4" i="63"/>
  <c r="AE4" i="63"/>
  <c r="AF4" i="63"/>
  <c r="H18" i="116"/>
  <c r="H22" i="116"/>
  <c r="I16" i="116"/>
  <c r="J16" i="116"/>
  <c r="W185" i="31"/>
  <c r="W119" i="31"/>
  <c r="O40" i="4"/>
  <c r="Y184" i="31"/>
  <c r="K14" i="65"/>
  <c r="L19" i="65"/>
  <c r="M19" i="65"/>
  <c r="M14" i="65"/>
  <c r="H95" i="48"/>
  <c r="H94" i="48"/>
  <c r="M14" i="66"/>
  <c r="N19" i="66"/>
  <c r="O19" i="66"/>
  <c r="I18" i="110"/>
  <c r="I22" i="110"/>
  <c r="K18" i="48"/>
  <c r="J120" i="65"/>
  <c r="J123" i="65"/>
  <c r="Y22" i="31"/>
  <c r="P29" i="6"/>
  <c r="Y23" i="31"/>
  <c r="J17" i="156"/>
  <c r="K17" i="156"/>
  <c r="D80" i="96"/>
  <c r="C64" i="96"/>
  <c r="I80" i="96"/>
  <c r="G80" i="96"/>
  <c r="H80" i="96"/>
  <c r="K80" i="96"/>
  <c r="E80" i="96"/>
  <c r="M80" i="96"/>
  <c r="L80" i="96"/>
  <c r="F80" i="96"/>
  <c r="J80" i="96"/>
  <c r="L54" i="65"/>
  <c r="L88" i="65"/>
  <c r="L145" i="65"/>
  <c r="L164" i="65"/>
  <c r="L174" i="65"/>
  <c r="L189" i="65"/>
  <c r="L199" i="65"/>
  <c r="L153" i="65"/>
  <c r="L116" i="65"/>
  <c r="J23" i="40"/>
  <c r="J46" i="40"/>
  <c r="J73" i="40"/>
  <c r="S73" i="40"/>
  <c r="S77" i="40"/>
  <c r="S78" i="40"/>
  <c r="G127" i="116"/>
  <c r="M59" i="40"/>
  <c r="V59" i="40"/>
  <c r="V62" i="40"/>
  <c r="N4" i="40"/>
  <c r="K54" i="66"/>
  <c r="K88" i="66"/>
  <c r="K145" i="66"/>
  <c r="K164" i="66"/>
  <c r="K174" i="66"/>
  <c r="K189" i="66"/>
  <c r="K199" i="66"/>
  <c r="J20" i="33"/>
  <c r="I107" i="110"/>
  <c r="J123" i="110"/>
  <c r="J107" i="110"/>
  <c r="M213" i="48"/>
  <c r="J18" i="76"/>
  <c r="K15" i="76"/>
  <c r="H59" i="110"/>
  <c r="H64" i="110"/>
  <c r="H71" i="110"/>
  <c r="H76" i="110"/>
  <c r="I52" i="110"/>
  <c r="N213" i="48"/>
  <c r="K116" i="48"/>
  <c r="K118" i="48"/>
  <c r="J36" i="87"/>
  <c r="J37" i="87"/>
  <c r="I37" i="87"/>
  <c r="M54" i="65"/>
  <c r="M88" i="65"/>
  <c r="M145" i="65"/>
  <c r="M164" i="65"/>
  <c r="M174" i="65"/>
  <c r="M189" i="65"/>
  <c r="M199" i="65"/>
  <c r="M153" i="65"/>
  <c r="M116" i="65"/>
  <c r="N32" i="65"/>
  <c r="J96" i="65"/>
  <c r="J95" i="65"/>
  <c r="J17" i="134"/>
  <c r="K17" i="134"/>
  <c r="D238" i="63"/>
  <c r="L207" i="63"/>
  <c r="L18" i="48"/>
  <c r="J18" i="110"/>
  <c r="J22" i="110"/>
  <c r="K16" i="110"/>
  <c r="K18" i="110"/>
  <c r="K22" i="110"/>
  <c r="N14" i="66"/>
  <c r="Y48" i="40"/>
  <c r="P47" i="40"/>
  <c r="P75" i="40"/>
  <c r="Y75" i="40"/>
  <c r="P60" i="40"/>
  <c r="Y61" i="40"/>
  <c r="P41" i="40"/>
  <c r="P42" i="40"/>
  <c r="K17" i="161"/>
  <c r="P30" i="6"/>
  <c r="Y24" i="31"/>
  <c r="AD7" i="63"/>
  <c r="O113" i="40"/>
  <c r="P74" i="40"/>
  <c r="Y119" i="31"/>
  <c r="Q40" i="4"/>
  <c r="J122" i="65"/>
  <c r="J190" i="65"/>
  <c r="I18" i="116"/>
  <c r="I22" i="116"/>
  <c r="K16" i="116"/>
  <c r="K22" i="76"/>
  <c r="K16" i="87"/>
  <c r="K18" i="87"/>
  <c r="K22" i="87"/>
  <c r="J18" i="87"/>
  <c r="J22" i="87"/>
  <c r="K1" i="63"/>
  <c r="P3" i="63"/>
  <c r="P4" i="63"/>
  <c r="P80" i="63"/>
  <c r="Y80" i="63"/>
  <c r="Y83" i="63"/>
  <c r="O62" i="63"/>
  <c r="X62" i="63"/>
  <c r="O4" i="63"/>
  <c r="O23" i="63"/>
  <c r="O7" i="63"/>
  <c r="O10" i="63"/>
  <c r="O161" i="63"/>
  <c r="O176" i="63"/>
  <c r="K18" i="90"/>
  <c r="K22" i="90"/>
  <c r="N18" i="30"/>
  <c r="N118" i="63"/>
  <c r="W118" i="63"/>
  <c r="W122" i="63"/>
  <c r="W123" i="63"/>
  <c r="V102" i="63"/>
  <c r="D9" i="68"/>
  <c r="I53" i="116"/>
  <c r="N59" i="40"/>
  <c r="W59" i="40"/>
  <c r="W62" i="40"/>
  <c r="O4" i="40"/>
  <c r="C123" i="110"/>
  <c r="C107" i="110"/>
  <c r="J28" i="29"/>
  <c r="J139" i="33"/>
  <c r="I59" i="110"/>
  <c r="I64" i="110"/>
  <c r="I71" i="110"/>
  <c r="I76" i="110"/>
  <c r="I84" i="110"/>
  <c r="I96" i="110"/>
  <c r="J52" i="110"/>
  <c r="J59" i="110"/>
  <c r="J64" i="110"/>
  <c r="J71" i="110"/>
  <c r="L116" i="48"/>
  <c r="L118" i="48"/>
  <c r="C37" i="87"/>
  <c r="J195" i="65"/>
  <c r="P115" i="48"/>
  <c r="Q115" i="48"/>
  <c r="AE7" i="63"/>
  <c r="Q41" i="40"/>
  <c r="Q42" i="40"/>
  <c r="N15" i="48"/>
  <c r="O15" i="48"/>
  <c r="M18" i="48"/>
  <c r="L17" i="156"/>
  <c r="M16" i="90"/>
  <c r="O118" i="63"/>
  <c r="X118" i="63"/>
  <c r="X122" i="63"/>
  <c r="X123" i="63"/>
  <c r="J18" i="116"/>
  <c r="J22" i="116"/>
  <c r="N19" i="65"/>
  <c r="O19" i="65"/>
  <c r="Y145" i="31"/>
  <c r="X65" i="63"/>
  <c r="X121" i="63"/>
  <c r="L22" i="76"/>
  <c r="C11" i="68"/>
  <c r="J53" i="116"/>
  <c r="K55" i="116"/>
  <c r="K53" i="116"/>
  <c r="P4" i="40"/>
  <c r="P59" i="40"/>
  <c r="Y59" i="40"/>
  <c r="Y62" i="40"/>
  <c r="C42" i="68"/>
  <c r="D11" i="68"/>
  <c r="L17" i="134"/>
  <c r="N14" i="65"/>
  <c r="O17" i="30"/>
  <c r="M22" i="76"/>
  <c r="L16" i="116"/>
  <c r="K18" i="116"/>
  <c r="K22" i="116"/>
  <c r="N16" i="90"/>
  <c r="N18" i="90"/>
  <c r="N22" i="90"/>
  <c r="M18" i="90"/>
  <c r="M22" i="90"/>
  <c r="O18" i="30"/>
  <c r="AF7" i="63"/>
  <c r="AG4" i="63"/>
  <c r="AG7" i="63"/>
  <c r="C9" i="68"/>
  <c r="M17" i="134"/>
  <c r="N17" i="134"/>
  <c r="R115" i="48"/>
  <c r="P18" i="30"/>
  <c r="O16" i="90"/>
  <c r="P16" i="90"/>
  <c r="M16" i="116"/>
  <c r="M18" i="116"/>
  <c r="M22" i="116"/>
  <c r="L18" i="116"/>
  <c r="L22" i="116"/>
  <c r="P17" i="30"/>
  <c r="N17" i="156"/>
  <c r="O17" i="156" s="1"/>
  <c r="N22" i="76"/>
  <c r="O22" i="76"/>
  <c r="O18" i="90"/>
  <c r="O22" i="90"/>
  <c r="P22" i="76"/>
  <c r="E11" i="68"/>
  <c r="E9" i="68"/>
  <c r="D42" i="68"/>
  <c r="L14" i="98"/>
  <c r="R22" i="76"/>
  <c r="Q22" i="76"/>
  <c r="P51" i="172"/>
  <c r="R51" i="172"/>
  <c r="C65" i="96"/>
  <c r="L42" i="95"/>
  <c r="L7" i="97"/>
  <c r="K10" i="6"/>
  <c r="N29" i="63" s="1"/>
  <c r="F5" i="68"/>
  <c r="J42" i="95"/>
  <c r="F4" i="68"/>
  <c r="I10" i="6"/>
  <c r="L42" i="63" s="1"/>
  <c r="L45" i="63" s="1"/>
  <c r="E47" i="68"/>
  <c r="K7" i="97"/>
  <c r="J10" i="6"/>
  <c r="M29" i="63" s="1"/>
  <c r="M30" i="63" s="1"/>
  <c r="K42" i="95"/>
  <c r="J36" i="97"/>
  <c r="J11" i="98"/>
  <c r="L7" i="98"/>
  <c r="I28" i="174" s="1"/>
  <c r="L10" i="98"/>
  <c r="G17" i="171" s="1"/>
  <c r="I21" i="6"/>
  <c r="R16" i="31" s="1"/>
  <c r="N49" i="172"/>
  <c r="K63" i="95" s="1"/>
  <c r="O49" i="172"/>
  <c r="L63" i="95" s="1"/>
  <c r="J11" i="103"/>
  <c r="I29" i="6"/>
  <c r="J8" i="97"/>
  <c r="I11" i="6"/>
  <c r="R11" i="31" s="1"/>
  <c r="I27" i="6"/>
  <c r="R21" i="31" s="1"/>
  <c r="J28" i="98"/>
  <c r="F11" i="68"/>
  <c r="E42" i="68"/>
  <c r="F9" i="68"/>
  <c r="K212" i="96"/>
  <c r="J211" i="96"/>
  <c r="J214" i="96"/>
  <c r="J21" i="6"/>
  <c r="S16" i="31" s="1"/>
  <c r="K21" i="6"/>
  <c r="T16" i="31" s="1"/>
  <c r="T179" i="31" s="1"/>
  <c r="L21" i="6"/>
  <c r="U16" i="31" s="1"/>
  <c r="V179" i="31" s="1"/>
  <c r="K213" i="96"/>
  <c r="K214" i="96"/>
  <c r="M218" i="96"/>
  <c r="I209" i="96"/>
  <c r="J215" i="96"/>
  <c r="K216" i="96"/>
  <c r="I210" i="96"/>
  <c r="H12" i="171"/>
  <c r="J11" i="6"/>
  <c r="K28" i="98"/>
  <c r="K37" i="97"/>
  <c r="J27" i="6"/>
  <c r="S21" i="31" s="1"/>
  <c r="K11" i="103"/>
  <c r="J29" i="6"/>
  <c r="S23" i="31" s="1"/>
  <c r="K10" i="98"/>
  <c r="F17" i="171" s="1"/>
  <c r="L35" i="103"/>
  <c r="K7" i="98"/>
  <c r="H28" i="174" s="1"/>
  <c r="J213" i="96"/>
  <c r="J210" i="96"/>
  <c r="K211" i="96"/>
  <c r="K215" i="96"/>
  <c r="L8" i="97"/>
  <c r="L28" i="98"/>
  <c r="L30" i="98"/>
  <c r="K11" i="6"/>
  <c r="T11" i="31" s="1"/>
  <c r="T121" i="31" s="1"/>
  <c r="L37" i="97"/>
  <c r="K27" i="6"/>
  <c r="T21" i="31" s="1"/>
  <c r="L11" i="103"/>
  <c r="K29" i="6"/>
  <c r="T23" i="31" s="1"/>
  <c r="L35" i="97"/>
  <c r="M35" i="103"/>
  <c r="J32" i="63"/>
  <c r="J31" i="63"/>
  <c r="H141" i="31"/>
  <c r="J18" i="31"/>
  <c r="J109" i="31"/>
  <c r="C85" i="68"/>
  <c r="M10" i="29"/>
  <c r="Q111" i="33"/>
  <c r="Q110" i="33"/>
  <c r="M50" i="13"/>
  <c r="Q138" i="33"/>
  <c r="Q91" i="33"/>
  <c r="Q182" i="33"/>
  <c r="W18" i="29"/>
  <c r="O146" i="31"/>
  <c r="O147" i="31"/>
  <c r="O97" i="31"/>
  <c r="O91" i="31"/>
  <c r="O92" i="31"/>
  <c r="E34" i="13"/>
  <c r="O95" i="31"/>
  <c r="J114" i="33"/>
  <c r="J117" i="33" s="1"/>
  <c r="J118" i="33"/>
  <c r="H114" i="33"/>
  <c r="H117" i="33"/>
  <c r="H118" i="33"/>
  <c r="U35" i="29"/>
  <c r="R35" i="29"/>
  <c r="T35" i="29"/>
  <c r="V18" i="29"/>
  <c r="D20" i="31"/>
  <c r="D163" i="31"/>
  <c r="U36" i="29"/>
  <c r="J26" i="29"/>
  <c r="J172" i="33"/>
  <c r="H10" i="29"/>
  <c r="C15" i="6"/>
  <c r="Q169" i="33"/>
  <c r="P18" i="33"/>
  <c r="P102" i="33"/>
  <c r="K102" i="33"/>
  <c r="K169" i="33"/>
  <c r="D136" i="31"/>
  <c r="P151" i="33"/>
  <c r="J160" i="31"/>
  <c r="D125" i="31"/>
  <c r="E160" i="31"/>
  <c r="E178" i="31"/>
  <c r="E109" i="31"/>
  <c r="E18" i="31"/>
  <c r="G141" i="33"/>
  <c r="G79" i="29"/>
  <c r="K50" i="29"/>
  <c r="K196" i="33"/>
  <c r="G99" i="33"/>
  <c r="F189" i="33"/>
  <c r="G219" i="33"/>
  <c r="F43" i="29"/>
  <c r="F121" i="33"/>
  <c r="M210" i="33"/>
  <c r="M64" i="29"/>
  <c r="D143" i="33"/>
  <c r="D57" i="29"/>
  <c r="L168" i="33"/>
  <c r="L22" i="29"/>
  <c r="U22" i="29" s="1"/>
  <c r="M168" i="33"/>
  <c r="M16" i="13"/>
  <c r="O156" i="31"/>
  <c r="G11" i="6"/>
  <c r="N63" i="29"/>
  <c r="N209" i="33"/>
  <c r="K31" i="29"/>
  <c r="K177" i="33"/>
  <c r="L177" i="33"/>
  <c r="K159" i="33"/>
  <c r="J129" i="31"/>
  <c r="K66" i="31"/>
  <c r="J195" i="31"/>
  <c r="I66" i="31"/>
  <c r="I87" i="31" s="1"/>
  <c r="H195" i="31"/>
  <c r="H129" i="31"/>
  <c r="I106" i="31"/>
  <c r="I123" i="31"/>
  <c r="H128" i="31"/>
  <c r="H198" i="31"/>
  <c r="H152" i="31"/>
  <c r="H228" i="31"/>
  <c r="H232" i="31"/>
  <c r="I228" i="31"/>
  <c r="I231" i="31"/>
  <c r="I232" i="31" s="1"/>
  <c r="H106" i="31"/>
  <c r="E228" i="31"/>
  <c r="E232" i="31" s="1"/>
  <c r="E198" i="31"/>
  <c r="E106" i="31"/>
  <c r="E128" i="31"/>
  <c r="F228" i="31"/>
  <c r="F106" i="31"/>
  <c r="K127" i="31"/>
  <c r="K200" i="31"/>
  <c r="L131" i="31"/>
  <c r="L231" i="31"/>
  <c r="L99" i="31"/>
  <c r="L82" i="31"/>
  <c r="L102" i="31"/>
  <c r="L100" i="31"/>
  <c r="M231" i="31"/>
  <c r="M82" i="31"/>
  <c r="R62" i="13" s="1"/>
  <c r="L132" i="31"/>
  <c r="L211" i="31"/>
  <c r="L134" i="31"/>
  <c r="D25" i="5"/>
  <c r="M230" i="31"/>
  <c r="L230" i="31"/>
  <c r="L210" i="31"/>
  <c r="L123" i="31"/>
  <c r="D23" i="5"/>
  <c r="L152" i="31"/>
  <c r="R24" i="13"/>
  <c r="M203" i="31"/>
  <c r="N229" i="31"/>
  <c r="O229" i="31"/>
  <c r="S20" i="13"/>
  <c r="F173" i="31"/>
  <c r="F122" i="31"/>
  <c r="F164" i="31"/>
  <c r="F151" i="31"/>
  <c r="G173" i="31"/>
  <c r="F158" i="31"/>
  <c r="F161" i="31"/>
  <c r="F168" i="31"/>
  <c r="F166" i="31"/>
  <c r="I174" i="31"/>
  <c r="I12" i="31"/>
  <c r="I156" i="31"/>
  <c r="F159" i="31"/>
  <c r="I164" i="31"/>
  <c r="I182" i="31"/>
  <c r="J182" i="31"/>
  <c r="N182" i="31"/>
  <c r="O182" i="31"/>
  <c r="L24" i="13"/>
  <c r="I195" i="31"/>
  <c r="J66" i="31"/>
  <c r="I129" i="31"/>
  <c r="K122" i="31"/>
  <c r="K152" i="31"/>
  <c r="L227" i="31"/>
  <c r="K197" i="31"/>
  <c r="E83" i="31"/>
  <c r="E100" i="31"/>
  <c r="E135" i="31"/>
  <c r="F83" i="31"/>
  <c r="E132" i="31"/>
  <c r="E213" i="31"/>
  <c r="E127" i="31"/>
  <c r="E129" i="31"/>
  <c r="N129" i="31"/>
  <c r="L57" i="13" s="1"/>
  <c r="N127" i="31"/>
  <c r="L55" i="13"/>
  <c r="S34" i="13"/>
  <c r="F24" i="5"/>
  <c r="G24" i="5" s="1"/>
  <c r="H24" i="5"/>
  <c r="I24" i="5"/>
  <c r="J24" i="5" s="1"/>
  <c r="K24" i="5" s="1"/>
  <c r="L24" i="5" s="1"/>
  <c r="M24" i="5" s="1"/>
  <c r="N24" i="5" s="1"/>
  <c r="O24" i="5" s="1"/>
  <c r="P24" i="5" s="1"/>
  <c r="N212" i="31"/>
  <c r="S33" i="13"/>
  <c r="E222" i="31"/>
  <c r="E142" i="31"/>
  <c r="E139" i="31"/>
  <c r="F150" i="31"/>
  <c r="S60" i="13"/>
  <c r="T59" i="13"/>
  <c r="O81" i="31"/>
  <c r="N29" i="31"/>
  <c r="N91" i="31" s="1"/>
  <c r="N92" i="31" s="1"/>
  <c r="D34" i="13" s="1"/>
  <c r="N30" i="31"/>
  <c r="N96" i="31" s="1"/>
  <c r="N220" i="31"/>
  <c r="P29" i="31"/>
  <c r="G206" i="31"/>
  <c r="G200" i="31"/>
  <c r="G220" i="31"/>
  <c r="G199" i="31"/>
  <c r="G214" i="31"/>
  <c r="G196" i="31"/>
  <c r="G217" i="31"/>
  <c r="G201" i="31"/>
  <c r="G221" i="31"/>
  <c r="G215" i="31"/>
  <c r="G224" i="31"/>
  <c r="G213" i="31"/>
  <c r="G202" i="31"/>
  <c r="G210" i="31"/>
  <c r="G207" i="31"/>
  <c r="G198" i="31"/>
  <c r="G197" i="31"/>
  <c r="G212" i="31"/>
  <c r="G222" i="31"/>
  <c r="G218" i="31"/>
  <c r="G63" i="31"/>
  <c r="G135" i="31"/>
  <c r="G211" i="31"/>
  <c r="G203" i="31"/>
  <c r="G216" i="31"/>
  <c r="H104" i="31"/>
  <c r="G223" i="31"/>
  <c r="G131" i="31"/>
  <c r="F197" i="31"/>
  <c r="G122" i="31"/>
  <c r="F232" i="31"/>
  <c r="F152" i="31"/>
  <c r="G227" i="31"/>
  <c r="G232" i="31" s="1"/>
  <c r="G180" i="31"/>
  <c r="F180" i="31"/>
  <c r="F162" i="31"/>
  <c r="L12" i="31"/>
  <c r="L166" i="31"/>
  <c r="D11" i="30"/>
  <c r="E23" i="30" s="1"/>
  <c r="L122" i="31"/>
  <c r="D22" i="5"/>
  <c r="L164" i="31"/>
  <c r="D10" i="6"/>
  <c r="D20" i="6" s="1"/>
  <c r="L156" i="31"/>
  <c r="L168" i="31"/>
  <c r="R49" i="13"/>
  <c r="M87" i="31"/>
  <c r="R67" i="13"/>
  <c r="M81" i="31"/>
  <c r="I207" i="31"/>
  <c r="I197" i="31"/>
  <c r="I215" i="31"/>
  <c r="I200" i="31"/>
  <c r="I223" i="31"/>
  <c r="I212" i="31"/>
  <c r="I203" i="31"/>
  <c r="I220" i="31"/>
  <c r="I224" i="31"/>
  <c r="I221" i="31"/>
  <c r="I198" i="31"/>
  <c r="I63" i="31"/>
  <c r="I199" i="31"/>
  <c r="I202" i="31"/>
  <c r="J104" i="31"/>
  <c r="I210" i="31"/>
  <c r="I104" i="31"/>
  <c r="I135" i="31"/>
  <c r="I204" i="31"/>
  <c r="I219" i="31"/>
  <c r="I134" i="31"/>
  <c r="R19" i="13"/>
  <c r="N228" i="31"/>
  <c r="N106" i="31"/>
  <c r="M228" i="31"/>
  <c r="E24" i="5"/>
  <c r="M106" i="31"/>
  <c r="M121" i="31" s="1"/>
  <c r="M128" i="31"/>
  <c r="K56" i="13" s="1"/>
  <c r="P191" i="33"/>
  <c r="P121" i="33"/>
  <c r="P120" i="33"/>
  <c r="K117" i="33"/>
  <c r="F32" i="30"/>
  <c r="F35" i="30" s="1"/>
  <c r="F12" i="5"/>
  <c r="X36" i="29"/>
  <c r="F32" i="5"/>
  <c r="I196" i="31"/>
  <c r="I218" i="31"/>
  <c r="I99" i="31"/>
  <c r="I141" i="31" s="1"/>
  <c r="I222" i="31"/>
  <c r="S17" i="13"/>
  <c r="N196" i="31"/>
  <c r="J124" i="31"/>
  <c r="F141" i="31"/>
  <c r="F10" i="6"/>
  <c r="C4" i="68"/>
  <c r="K16" i="13"/>
  <c r="E11" i="6"/>
  <c r="M156" i="31"/>
  <c r="I158" i="31"/>
  <c r="I176" i="31"/>
  <c r="E224" i="31"/>
  <c r="E63" i="31"/>
  <c r="D15" i="30"/>
  <c r="L174" i="31"/>
  <c r="L161" i="31"/>
  <c r="D17" i="5" s="1"/>
  <c r="N66" i="31"/>
  <c r="M195" i="31"/>
  <c r="J82" i="31"/>
  <c r="J102" i="31"/>
  <c r="J99" i="31"/>
  <c r="K231" i="31"/>
  <c r="K232" i="31"/>
  <c r="J230" i="31"/>
  <c r="J232" i="31"/>
  <c r="K123" i="31"/>
  <c r="J210" i="31"/>
  <c r="I82" i="31"/>
  <c r="I217" i="31"/>
  <c r="F128" i="31"/>
  <c r="F198" i="31"/>
  <c r="G106" i="31"/>
  <c r="D29" i="6"/>
  <c r="L186" i="31"/>
  <c r="E14" i="6"/>
  <c r="N176" i="31"/>
  <c r="K18" i="13"/>
  <c r="M176" i="31"/>
  <c r="R39" i="13"/>
  <c r="M218" i="31"/>
  <c r="I205" i="31"/>
  <c r="R43" i="13"/>
  <c r="M142" i="31"/>
  <c r="K68" i="13" s="1"/>
  <c r="K66" i="13" s="1"/>
  <c r="F135" i="31"/>
  <c r="F133" i="31"/>
  <c r="F132" i="31"/>
  <c r="D83" i="31"/>
  <c r="D132" i="31"/>
  <c r="D135" i="31"/>
  <c r="D214" i="31"/>
  <c r="D99" i="31"/>
  <c r="D140" i="31"/>
  <c r="D16" i="6"/>
  <c r="L177" i="31"/>
  <c r="L159" i="31"/>
  <c r="D16" i="5" s="1"/>
  <c r="J217" i="31"/>
  <c r="F117" i="31"/>
  <c r="L117" i="31"/>
  <c r="M163" i="31"/>
  <c r="M20" i="31"/>
  <c r="M27" i="31"/>
  <c r="M136" i="31"/>
  <c r="K63" i="13" s="1"/>
  <c r="K23" i="13"/>
  <c r="M114" i="31"/>
  <c r="K42" i="13" s="1"/>
  <c r="E13" i="30"/>
  <c r="E22" i="30" s="1"/>
  <c r="F21" i="30"/>
  <c r="J30" i="63"/>
  <c r="E168" i="48"/>
  <c r="I7" i="98"/>
  <c r="K29" i="174"/>
  <c r="I26" i="174"/>
  <c r="E26" i="174"/>
  <c r="Q51" i="172"/>
  <c r="E51" i="48"/>
  <c r="E87" i="48" s="1"/>
  <c r="M128" i="175"/>
  <c r="AD13" i="95"/>
  <c r="B90" i="96"/>
  <c r="B294" i="96"/>
  <c r="B311" i="96" s="1"/>
  <c r="B328" i="96" s="1"/>
  <c r="I17" i="155"/>
  <c r="E70" i="176"/>
  <c r="E100" i="176"/>
  <c r="K75" i="176"/>
  <c r="G70" i="176"/>
  <c r="G100" i="176"/>
  <c r="K70" i="176"/>
  <c r="K100" i="176"/>
  <c r="J70" i="176"/>
  <c r="J100" i="176"/>
  <c r="D75" i="176"/>
  <c r="Q70" i="176"/>
  <c r="Q100" i="176"/>
  <c r="O70" i="176"/>
  <c r="O100" i="176"/>
  <c r="F70" i="176"/>
  <c r="F100" i="176"/>
  <c r="E75" i="176"/>
  <c r="D70" i="176"/>
  <c r="D100" i="176"/>
  <c r="L75" i="176"/>
  <c r="H70" i="176"/>
  <c r="H100" i="176"/>
  <c r="O75" i="176"/>
  <c r="Q75" i="176"/>
  <c r="C100" i="176"/>
  <c r="I75" i="176"/>
  <c r="I70" i="176"/>
  <c r="I100" i="176"/>
  <c r="M75" i="176"/>
  <c r="P75" i="176"/>
  <c r="P70" i="176"/>
  <c r="P100" i="176"/>
  <c r="L70" i="176"/>
  <c r="L100" i="176"/>
  <c r="C75" i="176"/>
  <c r="M70" i="176"/>
  <c r="M100" i="176"/>
  <c r="G75" i="176"/>
  <c r="D7" i="176"/>
  <c r="N70" i="176"/>
  <c r="N100" i="176"/>
  <c r="N75" i="176"/>
  <c r="J75" i="176"/>
  <c r="E32" i="176"/>
  <c r="Q76" i="176"/>
  <c r="H75" i="176"/>
  <c r="F75" i="176"/>
  <c r="H76" i="176"/>
  <c r="E31" i="176"/>
  <c r="D6" i="176"/>
  <c r="E30" i="176"/>
  <c r="N32" i="13"/>
  <c r="I14" i="4"/>
  <c r="I20" i="4"/>
  <c r="I21" i="4"/>
  <c r="I46" i="70"/>
  <c r="I39" i="70"/>
  <c r="I40" i="70" s="1"/>
  <c r="K39" i="70"/>
  <c r="K46" i="70"/>
  <c r="J46" i="70"/>
  <c r="J39" i="70"/>
  <c r="K16" i="70"/>
  <c r="G76" i="176"/>
  <c r="L76" i="176"/>
  <c r="E76" i="176"/>
  <c r="O76" i="176"/>
  <c r="C35" i="176"/>
  <c r="F76" i="176"/>
  <c r="N76" i="176"/>
  <c r="E52" i="176"/>
  <c r="D50" i="176"/>
  <c r="D76" i="159"/>
  <c r="D6" i="159"/>
  <c r="C76" i="159"/>
  <c r="H76" i="159"/>
  <c r="C35" i="159"/>
  <c r="F35" i="159"/>
  <c r="F99" i="159"/>
  <c r="F76" i="159"/>
  <c r="E76" i="159"/>
  <c r="M76" i="159"/>
  <c r="G76" i="159"/>
  <c r="L76" i="159"/>
  <c r="I76" i="159"/>
  <c r="B87" i="96"/>
  <c r="B104" i="96" s="1"/>
  <c r="M54" i="117"/>
  <c r="C70" i="160"/>
  <c r="I70" i="160"/>
  <c r="I100" i="160"/>
  <c r="D54" i="160"/>
  <c r="F54" i="160"/>
  <c r="M54" i="160"/>
  <c r="K54" i="160"/>
  <c r="C59" i="160"/>
  <c r="H59" i="160" s="1"/>
  <c r="H54" i="160"/>
  <c r="E54" i="160"/>
  <c r="B59" i="96"/>
  <c r="B75" i="96" s="1"/>
  <c r="B31" i="183" s="1"/>
  <c r="B42" i="183" s="1"/>
  <c r="B11" i="104"/>
  <c r="B92" i="96"/>
  <c r="F70" i="133"/>
  <c r="F100" i="133" s="1"/>
  <c r="F133" i="133" s="1"/>
  <c r="G70" i="133"/>
  <c r="G100" i="133" s="1"/>
  <c r="L75" i="133"/>
  <c r="K70" i="133"/>
  <c r="K100" i="133" s="1"/>
  <c r="K133" i="133" s="1"/>
  <c r="I70" i="133"/>
  <c r="I100" i="133" s="1"/>
  <c r="I133" i="133" s="1"/>
  <c r="D70" i="133"/>
  <c r="D100" i="133" s="1"/>
  <c r="D133" i="133" s="1"/>
  <c r="E70" i="133"/>
  <c r="E100" i="133"/>
  <c r="E133" i="133" s="1"/>
  <c r="I75" i="133"/>
  <c r="C100" i="133"/>
  <c r="H75" i="133"/>
  <c r="E75" i="133"/>
  <c r="M70" i="133"/>
  <c r="M100" i="133" s="1"/>
  <c r="H70" i="133"/>
  <c r="H100" i="133" s="1"/>
  <c r="H133" i="133" s="1"/>
  <c r="G75" i="133"/>
  <c r="I117" i="31"/>
  <c r="M139" i="31"/>
  <c r="T3" i="31"/>
  <c r="D12" i="5"/>
  <c r="D32" i="30"/>
  <c r="D35" i="30" s="1"/>
  <c r="L157" i="31"/>
  <c r="L108" i="31"/>
  <c r="D12" i="6"/>
  <c r="L15" i="31"/>
  <c r="L160" i="31"/>
  <c r="M175" i="31"/>
  <c r="H118" i="31"/>
  <c r="H117" i="31"/>
  <c r="N97" i="31"/>
  <c r="J87" i="31"/>
  <c r="J81" i="31"/>
  <c r="H125" i="31"/>
  <c r="H121" i="31"/>
  <c r="H124" i="31" s="1"/>
  <c r="D189" i="31"/>
  <c r="D110" i="31"/>
  <c r="D170" i="31"/>
  <c r="J141" i="31"/>
  <c r="N95" i="31"/>
  <c r="N146" i="31"/>
  <c r="N235" i="31" s="1"/>
  <c r="F101" i="31"/>
  <c r="E101" i="31"/>
  <c r="D18" i="6"/>
  <c r="D15" i="6"/>
  <c r="N121" i="31"/>
  <c r="F21" i="5"/>
  <c r="G21" i="5" s="1"/>
  <c r="H21" i="5" s="1"/>
  <c r="J21" i="5" s="1"/>
  <c r="L21" i="5" s="1"/>
  <c r="N21" i="5" s="1"/>
  <c r="P21" i="5" s="1"/>
  <c r="N125" i="31"/>
  <c r="L53" i="13"/>
  <c r="D12" i="30"/>
  <c r="P25" i="31"/>
  <c r="P188" i="31"/>
  <c r="E33" i="13"/>
  <c r="P91" i="31"/>
  <c r="P191" i="31"/>
  <c r="P146" i="31"/>
  <c r="C22" i="5"/>
  <c r="J175" i="31"/>
  <c r="I157" i="31"/>
  <c r="I15" i="31"/>
  <c r="I108" i="31"/>
  <c r="L101" i="31"/>
  <c r="D32" i="5" s="1"/>
  <c r="M101" i="31"/>
  <c r="E32" i="5"/>
  <c r="F125" i="31"/>
  <c r="F121" i="31"/>
  <c r="F124" i="31"/>
  <c r="G114" i="33"/>
  <c r="G117" i="33" s="1"/>
  <c r="G118" i="33"/>
  <c r="O191" i="31"/>
  <c r="Q92" i="33"/>
  <c r="S49" i="13"/>
  <c r="N81" i="31"/>
  <c r="N87" i="31"/>
  <c r="S67" i="13"/>
  <c r="L141" i="31"/>
  <c r="E121" i="31"/>
  <c r="E124" i="31"/>
  <c r="E125" i="31"/>
  <c r="I81" i="31"/>
  <c r="J114" i="31"/>
  <c r="J20" i="31"/>
  <c r="J116" i="31"/>
  <c r="D141" i="31"/>
  <c r="G125" i="31"/>
  <c r="G121" i="31"/>
  <c r="G124" i="31" s="1"/>
  <c r="M125" i="31"/>
  <c r="K53" i="13"/>
  <c r="J117" i="31"/>
  <c r="J118" i="31"/>
  <c r="M103" i="31"/>
  <c r="L103" i="31"/>
  <c r="P129" i="33"/>
  <c r="Q172" i="33"/>
  <c r="P107" i="33"/>
  <c r="P20" i="33"/>
  <c r="P154" i="33"/>
  <c r="P26" i="33"/>
  <c r="J13" i="29"/>
  <c r="K31" i="13"/>
  <c r="M110" i="31"/>
  <c r="M170" i="31"/>
  <c r="E33" i="6"/>
  <c r="M22" i="31"/>
  <c r="M116" i="31"/>
  <c r="K44" i="13"/>
  <c r="K25" i="13"/>
  <c r="M148" i="31"/>
  <c r="M149" i="31"/>
  <c r="M165" i="31"/>
  <c r="E19" i="5"/>
  <c r="J17" i="155"/>
  <c r="Q35" i="176"/>
  <c r="Q99" i="176"/>
  <c r="Q133" i="176"/>
  <c r="P35" i="176"/>
  <c r="P99" i="176"/>
  <c r="P133" i="176"/>
  <c r="C99" i="176"/>
  <c r="O35" i="176"/>
  <c r="O99" i="176"/>
  <c r="O133" i="176"/>
  <c r="F35" i="176"/>
  <c r="F99" i="176"/>
  <c r="F133" i="176"/>
  <c r="H35" i="176"/>
  <c r="H99" i="176"/>
  <c r="H133" i="176"/>
  <c r="K35" i="176"/>
  <c r="K99" i="176"/>
  <c r="K133" i="176"/>
  <c r="I35" i="176"/>
  <c r="I99" i="176"/>
  <c r="I133" i="176"/>
  <c r="M35" i="176"/>
  <c r="M99" i="176"/>
  <c r="M133" i="176"/>
  <c r="J35" i="176"/>
  <c r="J99" i="176"/>
  <c r="L35" i="176"/>
  <c r="L99" i="176"/>
  <c r="L133" i="176"/>
  <c r="D35" i="176"/>
  <c r="D99" i="176"/>
  <c r="D133" i="176"/>
  <c r="G35" i="176"/>
  <c r="G99" i="176"/>
  <c r="G133" i="176"/>
  <c r="E35" i="176"/>
  <c r="E99" i="176"/>
  <c r="E133" i="176"/>
  <c r="N35" i="176"/>
  <c r="N99" i="176"/>
  <c r="N133" i="176"/>
  <c r="D126" i="176"/>
  <c r="E50" i="176"/>
  <c r="F52" i="176"/>
  <c r="J59" i="160"/>
  <c r="L59" i="160"/>
  <c r="I59" i="160"/>
  <c r="K59" i="160"/>
  <c r="D59" i="160"/>
  <c r="E59" i="160"/>
  <c r="G59" i="160"/>
  <c r="F59" i="160"/>
  <c r="P49" i="172"/>
  <c r="M63" i="95" s="1"/>
  <c r="P40" i="172"/>
  <c r="P147" i="31"/>
  <c r="P235" i="31"/>
  <c r="P161" i="33"/>
  <c r="P133" i="33"/>
  <c r="P103" i="33"/>
  <c r="D13" i="30"/>
  <c r="J165" i="31"/>
  <c r="D33" i="30"/>
  <c r="D13" i="5"/>
  <c r="N147" i="31"/>
  <c r="P22" i="33"/>
  <c r="P139" i="33"/>
  <c r="P140" i="33" s="1"/>
  <c r="P109" i="33"/>
  <c r="P156" i="33"/>
  <c r="J178" i="31"/>
  <c r="I18" i="31"/>
  <c r="I109" i="31"/>
  <c r="I160" i="31"/>
  <c r="L49" i="13"/>
  <c r="N99" i="31"/>
  <c r="N141" i="31" s="1"/>
  <c r="L18" i="31"/>
  <c r="M181" i="31"/>
  <c r="K35" i="13" s="1"/>
  <c r="M115" i="31"/>
  <c r="K43" i="13" s="1"/>
  <c r="M111" i="31"/>
  <c r="K39" i="13" s="1"/>
  <c r="K17" i="155"/>
  <c r="E126" i="176"/>
  <c r="F50" i="176"/>
  <c r="G52" i="176"/>
  <c r="G50" i="176"/>
  <c r="F51" i="175"/>
  <c r="F24" i="175" s="1"/>
  <c r="P126" i="175"/>
  <c r="I136" i="31"/>
  <c r="I27" i="31"/>
  <c r="I170" i="31" s="1"/>
  <c r="I114" i="31"/>
  <c r="I20" i="31"/>
  <c r="I163" i="31"/>
  <c r="L136" i="31"/>
  <c r="L27" i="31"/>
  <c r="M113" i="31"/>
  <c r="K41" i="13"/>
  <c r="L17" i="155"/>
  <c r="F63" i="176"/>
  <c r="H52" i="176"/>
  <c r="I52" i="176"/>
  <c r="F126" i="176"/>
  <c r="G126" i="176"/>
  <c r="I116" i="31"/>
  <c r="M17" i="155"/>
  <c r="F124" i="176"/>
  <c r="F96" i="176"/>
  <c r="N17" i="155"/>
  <c r="O17" i="155"/>
  <c r="P17" i="155"/>
  <c r="Q17" i="155"/>
  <c r="F127" i="176"/>
  <c r="I47" i="100"/>
  <c r="L10" i="6"/>
  <c r="U10" i="31" s="1"/>
  <c r="M42" i="95"/>
  <c r="X7" i="95"/>
  <c r="Y7" i="95"/>
  <c r="M34" i="97"/>
  <c r="L214" i="96"/>
  <c r="G205" i="96"/>
  <c r="H206" i="96"/>
  <c r="D35" i="175"/>
  <c r="F35" i="175"/>
  <c r="J218" i="96"/>
  <c r="L216" i="96"/>
  <c r="K217" i="96"/>
  <c r="L213" i="96"/>
  <c r="M8" i="97"/>
  <c r="M27" i="97" s="1"/>
  <c r="M28" i="98"/>
  <c r="M30" i="98"/>
  <c r="L11" i="6"/>
  <c r="L27" i="6"/>
  <c r="U21" i="31" s="1"/>
  <c r="X8" i="95"/>
  <c r="Y8" i="95"/>
  <c r="M39" i="97"/>
  <c r="M11" i="103"/>
  <c r="L29" i="6"/>
  <c r="U23" i="31" s="1"/>
  <c r="M7" i="98"/>
  <c r="J28" i="174"/>
  <c r="M10" i="98"/>
  <c r="J26" i="174" s="1"/>
  <c r="H17" i="171"/>
  <c r="N35" i="103"/>
  <c r="L215" i="96"/>
  <c r="L59" i="155"/>
  <c r="K59" i="155"/>
  <c r="J59" i="155"/>
  <c r="M59" i="155"/>
  <c r="D59" i="155"/>
  <c r="M35" i="159"/>
  <c r="M99" i="159"/>
  <c r="G35" i="159"/>
  <c r="G99" i="159"/>
  <c r="D35" i="159"/>
  <c r="D99" i="159"/>
  <c r="C99" i="159"/>
  <c r="D42" i="159"/>
  <c r="S6" i="159"/>
  <c r="J7" i="98"/>
  <c r="G28" i="174" s="1"/>
  <c r="K35" i="103"/>
  <c r="S11" i="31"/>
  <c r="S123" i="31" s="1"/>
  <c r="N126" i="175"/>
  <c r="J76" i="110"/>
  <c r="I80" i="110"/>
  <c r="I88" i="110"/>
  <c r="O59" i="40"/>
  <c r="X59" i="40"/>
  <c r="X62" i="40"/>
  <c r="Y25" i="31"/>
  <c r="Y188" i="31"/>
  <c r="L17" i="161"/>
  <c r="O14" i="66"/>
  <c r="P19" i="66"/>
  <c r="N113" i="48"/>
  <c r="M116" i="48"/>
  <c r="H154" i="33"/>
  <c r="H107" i="33"/>
  <c r="H26" i="33"/>
  <c r="H20" i="33"/>
  <c r="I172" i="33"/>
  <c r="H26" i="29"/>
  <c r="M12" i="40"/>
  <c r="M112" i="40"/>
  <c r="M119" i="40"/>
  <c r="G97" i="116"/>
  <c r="D195" i="63"/>
  <c r="O199" i="63"/>
  <c r="R199" i="63"/>
  <c r="M49" i="60"/>
  <c r="F80" i="110"/>
  <c r="F84" i="110"/>
  <c r="F96" i="110"/>
  <c r="F110" i="116"/>
  <c r="F124" i="116"/>
  <c r="P7" i="63"/>
  <c r="P10" i="63"/>
  <c r="Y62" i="63"/>
  <c r="P62" i="63"/>
  <c r="N116" i="65"/>
  <c r="N54" i="65"/>
  <c r="N88" i="65"/>
  <c r="N145" i="65"/>
  <c r="N164" i="65"/>
  <c r="N174" i="65"/>
  <c r="N189" i="65"/>
  <c r="O32" i="65"/>
  <c r="N153" i="65"/>
  <c r="G84" i="116"/>
  <c r="G96" i="116"/>
  <c r="G80" i="116"/>
  <c r="G88" i="116"/>
  <c r="J17" i="132"/>
  <c r="F171" i="48"/>
  <c r="F213" i="48"/>
  <c r="F194" i="48"/>
  <c r="K14" i="48"/>
  <c r="K21" i="48"/>
  <c r="K197" i="48"/>
  <c r="K218" i="48"/>
  <c r="L19" i="48"/>
  <c r="L171" i="48"/>
  <c r="L213" i="48"/>
  <c r="L194" i="48"/>
  <c r="N80" i="63"/>
  <c r="N23" i="63"/>
  <c r="K17" i="137"/>
  <c r="K17" i="133"/>
  <c r="M99" i="63"/>
  <c r="M118" i="63"/>
  <c r="V118" i="63"/>
  <c r="V122" i="63"/>
  <c r="V123" i="63"/>
  <c r="F2" i="73"/>
  <c r="F12" i="73"/>
  <c r="F14" i="73"/>
  <c r="K153" i="66"/>
  <c r="K116" i="66"/>
  <c r="L32" i="66"/>
  <c r="D138" i="110"/>
  <c r="H84" i="110"/>
  <c r="H96" i="110"/>
  <c r="H80" i="110"/>
  <c r="H88" i="110"/>
  <c r="K18" i="76"/>
  <c r="L15" i="76"/>
  <c r="W145" i="31"/>
  <c r="W25" i="31"/>
  <c r="W188" i="31"/>
  <c r="I195" i="65"/>
  <c r="N26" i="33"/>
  <c r="N154" i="33"/>
  <c r="N107" i="33"/>
  <c r="U62" i="40"/>
  <c r="U64" i="40"/>
  <c r="D114" i="31"/>
  <c r="D181" i="31"/>
  <c r="M15" i="66"/>
  <c r="L18" i="66"/>
  <c r="L21" i="66"/>
  <c r="I16" i="160"/>
  <c r="I19" i="160" s="1"/>
  <c r="H19" i="160"/>
  <c r="K17" i="160"/>
  <c r="G59" i="90"/>
  <c r="G64" i="90"/>
  <c r="G71" i="90"/>
  <c r="G76" i="90"/>
  <c r="G80" i="90"/>
  <c r="H52" i="90"/>
  <c r="K121" i="40"/>
  <c r="K122" i="40"/>
  <c r="S83" i="63"/>
  <c r="S99" i="63"/>
  <c r="E184" i="76"/>
  <c r="E210" i="76"/>
  <c r="E204" i="76"/>
  <c r="E211" i="76"/>
  <c r="E213" i="76"/>
  <c r="E215" i="76"/>
  <c r="K77" i="87"/>
  <c r="K78" i="87"/>
  <c r="H117" i="116"/>
  <c r="J117" i="116"/>
  <c r="K117" i="116"/>
  <c r="I117" i="116"/>
  <c r="F117" i="116"/>
  <c r="H55" i="87"/>
  <c r="G53" i="87"/>
  <c r="G65" i="87"/>
  <c r="G65" i="110"/>
  <c r="G97" i="65"/>
  <c r="G99" i="65"/>
  <c r="J19" i="76"/>
  <c r="J23" i="76"/>
  <c r="K14" i="76"/>
  <c r="F214" i="76"/>
  <c r="G191" i="76"/>
  <c r="E113" i="176"/>
  <c r="E123" i="176"/>
  <c r="L35" i="63"/>
  <c r="M35" i="63"/>
  <c r="N35" i="63"/>
  <c r="J116" i="66"/>
  <c r="G138" i="110"/>
  <c r="C105" i="68"/>
  <c r="H102" i="33"/>
  <c r="K1" i="40"/>
  <c r="V46" i="40"/>
  <c r="F80" i="116"/>
  <c r="F88" i="116"/>
  <c r="Z8" i="63"/>
  <c r="Q61" i="33"/>
  <c r="P101" i="31"/>
  <c r="K60" i="87"/>
  <c r="X18" i="29"/>
  <c r="H16" i="30"/>
  <c r="G15" i="30"/>
  <c r="D123" i="176"/>
  <c r="D108" i="176"/>
  <c r="D113" i="176"/>
  <c r="K12" i="63"/>
  <c r="K161" i="63"/>
  <c r="K176" i="63"/>
  <c r="K178" i="63"/>
  <c r="K179" i="63"/>
  <c r="E84" i="90"/>
  <c r="E96" i="90"/>
  <c r="E80" i="90"/>
  <c r="J153" i="66"/>
  <c r="H23" i="29"/>
  <c r="N3" i="40"/>
  <c r="J22" i="63"/>
  <c r="U99" i="63"/>
  <c r="G125" i="66"/>
  <c r="G127" i="66"/>
  <c r="G72" i="48"/>
  <c r="Q18" i="29"/>
  <c r="Q10" i="29" s="1"/>
  <c r="F209" i="48"/>
  <c r="P134" i="33"/>
  <c r="P132" i="33" s="1"/>
  <c r="P182" i="33"/>
  <c r="H6" i="57"/>
  <c r="H4" i="57"/>
  <c r="E113" i="119"/>
  <c r="E108" i="119"/>
  <c r="E104" i="119"/>
  <c r="E105" i="119" s="1"/>
  <c r="I52" i="116"/>
  <c r="W36" i="29"/>
  <c r="E105" i="68"/>
  <c r="C38" i="61"/>
  <c r="L118" i="33"/>
  <c r="C61" i="87"/>
  <c r="J119" i="116"/>
  <c r="C119" i="116"/>
  <c r="J192" i="48"/>
  <c r="G209" i="48"/>
  <c r="G110" i="33"/>
  <c r="I121" i="110"/>
  <c r="I100" i="110"/>
  <c r="F121" i="110"/>
  <c r="J121" i="110"/>
  <c r="J100" i="110"/>
  <c r="G121" i="110"/>
  <c r="G100" i="110"/>
  <c r="H121" i="110"/>
  <c r="H100" i="110"/>
  <c r="E80" i="116"/>
  <c r="E84" i="116"/>
  <c r="E96" i="116"/>
  <c r="F201" i="65"/>
  <c r="G183" i="65"/>
  <c r="H20" i="69"/>
  <c r="H22" i="69"/>
  <c r="I12" i="69"/>
  <c r="H55" i="110"/>
  <c r="E210" i="48"/>
  <c r="L210" i="48"/>
  <c r="F189" i="63"/>
  <c r="E131" i="110"/>
  <c r="F131" i="110"/>
  <c r="G131" i="110"/>
  <c r="D78" i="137"/>
  <c r="E78" i="133"/>
  <c r="E87" i="133" s="1"/>
  <c r="K62" i="63"/>
  <c r="T62" i="63"/>
  <c r="L156" i="63"/>
  <c r="N121" i="63"/>
  <c r="M120" i="63"/>
  <c r="V120" i="63"/>
  <c r="L42" i="40"/>
  <c r="L113" i="40"/>
  <c r="L119" i="40"/>
  <c r="P85" i="33"/>
  <c r="H65" i="90"/>
  <c r="H81" i="90"/>
  <c r="E78" i="156"/>
  <c r="E87" i="156" s="1"/>
  <c r="E78" i="121"/>
  <c r="E87" i="121" s="1"/>
  <c r="K4" i="63"/>
  <c r="F199" i="63"/>
  <c r="E199" i="63"/>
  <c r="N14" i="40"/>
  <c r="M15" i="40"/>
  <c r="K106" i="40"/>
  <c r="L107" i="40"/>
  <c r="U15" i="59"/>
  <c r="T19" i="59"/>
  <c r="F139" i="48"/>
  <c r="G136" i="48"/>
  <c r="K245" i="48"/>
  <c r="L236" i="48"/>
  <c r="K92" i="66"/>
  <c r="L89" i="66"/>
  <c r="F55" i="65"/>
  <c r="G57" i="65"/>
  <c r="D30" i="54"/>
  <c r="C70" i="66"/>
  <c r="E2" i="66"/>
  <c r="C208" i="66"/>
  <c r="O146" i="65"/>
  <c r="O150" i="65"/>
  <c r="K146" i="65"/>
  <c r="K150" i="65"/>
  <c r="G225" i="65"/>
  <c r="L117" i="66"/>
  <c r="K120" i="66"/>
  <c r="E55" i="66"/>
  <c r="F57" i="66"/>
  <c r="G57" i="66"/>
  <c r="D225" i="65"/>
  <c r="K217" i="65"/>
  <c r="H229" i="48"/>
  <c r="B237" i="48"/>
  <c r="D237" i="48"/>
  <c r="D246" i="48"/>
  <c r="K217" i="66"/>
  <c r="L89" i="65"/>
  <c r="K92" i="65"/>
  <c r="K120" i="65"/>
  <c r="L117" i="65"/>
  <c r="I178" i="66"/>
  <c r="I193" i="66"/>
  <c r="D55" i="66"/>
  <c r="E55" i="76"/>
  <c r="D226" i="76"/>
  <c r="I223" i="76"/>
  <c r="B239" i="76"/>
  <c r="K239" i="76"/>
  <c r="B240" i="76"/>
  <c r="B231" i="76"/>
  <c r="M230" i="76"/>
  <c r="E223" i="65"/>
  <c r="E232" i="65"/>
  <c r="E219" i="65"/>
  <c r="E228" i="65"/>
  <c r="E225" i="65"/>
  <c r="D144" i="76"/>
  <c r="D82" i="155"/>
  <c r="D95" i="155"/>
  <c r="D123" i="155"/>
  <c r="D78" i="155"/>
  <c r="E78" i="155"/>
  <c r="E87" i="155" s="1"/>
  <c r="E82" i="155"/>
  <c r="E95" i="155"/>
  <c r="N59" i="155"/>
  <c r="P59" i="155"/>
  <c r="Q59" i="155"/>
  <c r="E22" i="155"/>
  <c r="F59" i="155"/>
  <c r="H59" i="155"/>
  <c r="H20" i="155"/>
  <c r="O19" i="100"/>
  <c r="O20" i="100" s="1"/>
  <c r="L29" i="174"/>
  <c r="P20" i="102"/>
  <c r="M20" i="102"/>
  <c r="N20" i="102"/>
  <c r="O20" i="102"/>
  <c r="U64" i="172"/>
  <c r="R52" i="95" s="1"/>
  <c r="N13" i="101"/>
  <c r="G50" i="121"/>
  <c r="K50" i="121"/>
  <c r="K39" i="96"/>
  <c r="F50" i="121"/>
  <c r="F39" i="96"/>
  <c r="J50" i="121"/>
  <c r="E50" i="121"/>
  <c r="I50" i="121"/>
  <c r="I39" i="96"/>
  <c r="M50" i="121"/>
  <c r="M39" i="96"/>
  <c r="D50" i="121"/>
  <c r="H50" i="121"/>
  <c r="C50" i="121"/>
  <c r="L50" i="121"/>
  <c r="L39" i="96"/>
  <c r="E50" i="119"/>
  <c r="I50" i="119"/>
  <c r="I38" i="96"/>
  <c r="M50" i="119"/>
  <c r="M38" i="96"/>
  <c r="D50" i="119"/>
  <c r="H50" i="119"/>
  <c r="H38" i="96"/>
  <c r="L50" i="119"/>
  <c r="L38" i="96"/>
  <c r="G50" i="119"/>
  <c r="K50" i="119"/>
  <c r="M63" i="119"/>
  <c r="M96" i="119"/>
  <c r="F50" i="119"/>
  <c r="H63" i="119"/>
  <c r="H292" i="96"/>
  <c r="J50" i="119"/>
  <c r="M21" i="101"/>
  <c r="J45" i="179"/>
  <c r="L46" i="179"/>
  <c r="M24" i="100"/>
  <c r="J36" i="179"/>
  <c r="J39" i="179"/>
  <c r="C39" i="179"/>
  <c r="M37" i="179"/>
  <c r="J43" i="179"/>
  <c r="M44" i="179"/>
  <c r="C54" i="179"/>
  <c r="F5" i="179"/>
  <c r="J70" i="179"/>
  <c r="J29" i="179"/>
  <c r="N30" i="179"/>
  <c r="J20" i="179"/>
  <c r="L21" i="179"/>
  <c r="M18" i="179"/>
  <c r="M19" i="179"/>
  <c r="O34" i="179"/>
  <c r="O35" i="179"/>
  <c r="O36" i="179"/>
  <c r="O37" i="179"/>
  <c r="F8" i="179"/>
  <c r="P13" i="103"/>
  <c r="F38" i="96"/>
  <c r="E38" i="96"/>
  <c r="N11" i="101"/>
  <c r="E53" i="76"/>
  <c r="F55" i="76"/>
  <c r="M117" i="65"/>
  <c r="L120" i="65"/>
  <c r="E237" i="48"/>
  <c r="E246" i="48"/>
  <c r="F237" i="48"/>
  <c r="F246" i="48"/>
  <c r="I237" i="48"/>
  <c r="H237" i="48"/>
  <c r="H246" i="48"/>
  <c r="L217" i="65"/>
  <c r="G55" i="66"/>
  <c r="H57" i="66"/>
  <c r="L245" i="48"/>
  <c r="M236" i="48"/>
  <c r="F142" i="48"/>
  <c r="F212" i="48"/>
  <c r="F141" i="48"/>
  <c r="F207" i="48"/>
  <c r="K80" i="63"/>
  <c r="T80" i="63"/>
  <c r="K23" i="63"/>
  <c r="C204" i="63"/>
  <c r="M156" i="63"/>
  <c r="L155" i="63"/>
  <c r="F200" i="63"/>
  <c r="F212" i="63"/>
  <c r="G189" i="63"/>
  <c r="E88" i="116"/>
  <c r="C121" i="110"/>
  <c r="C100" i="110"/>
  <c r="F122" i="110"/>
  <c r="F100" i="110"/>
  <c r="F97" i="110"/>
  <c r="G171" i="48"/>
  <c r="G181" i="48"/>
  <c r="G194" i="48"/>
  <c r="J21" i="63"/>
  <c r="J39" i="63"/>
  <c r="J46" i="63"/>
  <c r="J40" i="63"/>
  <c r="J41" i="63"/>
  <c r="J19" i="63"/>
  <c r="S102" i="63"/>
  <c r="S104" i="63"/>
  <c r="S107" i="63"/>
  <c r="I52" i="90"/>
  <c r="I59" i="90"/>
  <c r="I64" i="90"/>
  <c r="I71" i="90"/>
  <c r="I76" i="90"/>
  <c r="H59" i="90"/>
  <c r="H64" i="90"/>
  <c r="H71" i="90"/>
  <c r="H76" i="90"/>
  <c r="L18" i="76"/>
  <c r="M15" i="76"/>
  <c r="N99" i="63"/>
  <c r="W80" i="63"/>
  <c r="L14" i="48"/>
  <c r="L21" i="48"/>
  <c r="L197" i="48"/>
  <c r="L218" i="48"/>
  <c r="M19" i="48"/>
  <c r="P161" i="63"/>
  <c r="P176" i="63"/>
  <c r="P12" i="63"/>
  <c r="Q10" i="63"/>
  <c r="Q12" i="63"/>
  <c r="F118" i="110"/>
  <c r="F110" i="110"/>
  <c r="F111" i="110"/>
  <c r="F114" i="110"/>
  <c r="F128" i="110"/>
  <c r="J44" i="179"/>
  <c r="M45" i="179"/>
  <c r="M46" i="179"/>
  <c r="J46" i="179"/>
  <c r="J47" i="179"/>
  <c r="F4" i="179"/>
  <c r="P10" i="102"/>
  <c r="F63" i="119"/>
  <c r="D126" i="119"/>
  <c r="E126" i="119"/>
  <c r="F126" i="119"/>
  <c r="G126" i="119"/>
  <c r="H126" i="119"/>
  <c r="I126" i="119"/>
  <c r="J126" i="119"/>
  <c r="K126" i="119"/>
  <c r="L126" i="119"/>
  <c r="M126" i="119"/>
  <c r="D38" i="96"/>
  <c r="K63" i="121"/>
  <c r="K96" i="121"/>
  <c r="E108" i="155"/>
  <c r="E123" i="155"/>
  <c r="E113" i="155"/>
  <c r="N230" i="76"/>
  <c r="M239" i="76"/>
  <c r="E61" i="66"/>
  <c r="K123" i="65"/>
  <c r="K195" i="65"/>
  <c r="K122" i="65"/>
  <c r="N15" i="40"/>
  <c r="O14" i="40"/>
  <c r="T65" i="63"/>
  <c r="T121" i="63"/>
  <c r="V68" i="63"/>
  <c r="H267" i="58"/>
  <c r="D87" i="137"/>
  <c r="I55" i="110"/>
  <c r="H53" i="110"/>
  <c r="G201" i="65"/>
  <c r="H183" i="65"/>
  <c r="I6" i="57"/>
  <c r="I4" i="57"/>
  <c r="O3" i="40"/>
  <c r="N7" i="40"/>
  <c r="N10" i="40"/>
  <c r="W46" i="40"/>
  <c r="N5" i="40"/>
  <c r="H15" i="30"/>
  <c r="G81" i="87"/>
  <c r="G84" i="90"/>
  <c r="G96" i="90"/>
  <c r="J16" i="160"/>
  <c r="K16" i="160" s="1"/>
  <c r="N161" i="33"/>
  <c r="N34" i="29"/>
  <c r="N12" i="29" s="1"/>
  <c r="N133" i="33"/>
  <c r="N103" i="33"/>
  <c r="G110" i="116"/>
  <c r="G124" i="116"/>
  <c r="G114" i="116"/>
  <c r="G106" i="116"/>
  <c r="G107" i="116"/>
  <c r="C107" i="116"/>
  <c r="C108" i="116"/>
  <c r="O116" i="65"/>
  <c r="P32" i="65"/>
  <c r="Q32" i="65"/>
  <c r="O54" i="65"/>
  <c r="O88" i="65"/>
  <c r="O145" i="65"/>
  <c r="O164" i="65"/>
  <c r="O174" i="65"/>
  <c r="O189" i="65"/>
  <c r="O153" i="65"/>
  <c r="F88" i="110"/>
  <c r="M118" i="48"/>
  <c r="P14" i="66"/>
  <c r="Q19" i="66"/>
  <c r="J21" i="179"/>
  <c r="L22" i="179"/>
  <c r="L23" i="179"/>
  <c r="L24" i="179"/>
  <c r="C70" i="179"/>
  <c r="F12" i="179"/>
  <c r="G38" i="96"/>
  <c r="H39" i="96"/>
  <c r="G63" i="121"/>
  <c r="E39" i="96"/>
  <c r="G39" i="96"/>
  <c r="Q155" i="76"/>
  <c r="I155" i="76"/>
  <c r="I158" i="76"/>
  <c r="O155" i="76"/>
  <c r="M155" i="76"/>
  <c r="L155" i="76"/>
  <c r="R155" i="76"/>
  <c r="K155" i="76"/>
  <c r="P155" i="76"/>
  <c r="J155" i="76"/>
  <c r="N155" i="76"/>
  <c r="H155" i="76"/>
  <c r="L239" i="76"/>
  <c r="D231" i="76"/>
  <c r="K231" i="76"/>
  <c r="K240" i="76"/>
  <c r="L231" i="76"/>
  <c r="E231" i="76"/>
  <c r="E240" i="76"/>
  <c r="F231" i="76"/>
  <c r="G231" i="76"/>
  <c r="G240" i="76"/>
  <c r="H231" i="76"/>
  <c r="I231" i="76"/>
  <c r="I240" i="76"/>
  <c r="J231" i="76"/>
  <c r="M231" i="76"/>
  <c r="M240" i="76"/>
  <c r="N231" i="76"/>
  <c r="O231" i="76"/>
  <c r="O240" i="76"/>
  <c r="F55" i="66"/>
  <c r="G61" i="66"/>
  <c r="G73" i="66"/>
  <c r="K96" i="65"/>
  <c r="K95" i="65"/>
  <c r="K190" i="65"/>
  <c r="K122" i="66"/>
  <c r="K123" i="66"/>
  <c r="J211" i="66"/>
  <c r="N211" i="66"/>
  <c r="D211" i="66"/>
  <c r="D212" i="66"/>
  <c r="G211" i="66"/>
  <c r="H211" i="66"/>
  <c r="K211" i="66"/>
  <c r="O211" i="66"/>
  <c r="Q211" i="66"/>
  <c r="F211" i="66"/>
  <c r="L211" i="66"/>
  <c r="E211" i="66"/>
  <c r="I211" i="66"/>
  <c r="M211" i="66"/>
  <c r="P211" i="66"/>
  <c r="R211" i="66"/>
  <c r="S211" i="66"/>
  <c r="G70" i="66"/>
  <c r="I70" i="66"/>
  <c r="J70" i="66"/>
  <c r="H70" i="66"/>
  <c r="H57" i="65"/>
  <c r="G55" i="65"/>
  <c r="G61" i="65"/>
  <c r="G175" i="65"/>
  <c r="M89" i="66"/>
  <c r="L92" i="66"/>
  <c r="L106" i="40"/>
  <c r="M107" i="40"/>
  <c r="E198" i="63"/>
  <c r="E211" i="63"/>
  <c r="E210" i="63"/>
  <c r="D2" i="73"/>
  <c r="D12" i="73"/>
  <c r="D14" i="73"/>
  <c r="K99" i="63"/>
  <c r="K118" i="63"/>
  <c r="T118" i="63"/>
  <c r="T122" i="63"/>
  <c r="T123" i="63"/>
  <c r="C65" i="90"/>
  <c r="H11" i="29"/>
  <c r="V49" i="40"/>
  <c r="V76" i="40"/>
  <c r="V64" i="40"/>
  <c r="H191" i="76"/>
  <c r="G214" i="76"/>
  <c r="K19" i="76"/>
  <c r="K23" i="76"/>
  <c r="L14" i="76"/>
  <c r="G98" i="110"/>
  <c r="H53" i="87"/>
  <c r="H65" i="87"/>
  <c r="H81" i="87"/>
  <c r="I55" i="87"/>
  <c r="L17" i="133"/>
  <c r="L17" i="137"/>
  <c r="M17" i="137"/>
  <c r="N17" i="137"/>
  <c r="O17" i="137"/>
  <c r="K17" i="132"/>
  <c r="N199" i="65"/>
  <c r="P99" i="63"/>
  <c r="P118" i="63"/>
  <c r="Y118" i="63"/>
  <c r="Y122" i="63"/>
  <c r="H161" i="33"/>
  <c r="H133" i="33"/>
  <c r="O113" i="48"/>
  <c r="N116" i="48"/>
  <c r="J80" i="110"/>
  <c r="J88" i="110"/>
  <c r="J84" i="110"/>
  <c r="J96" i="110"/>
  <c r="J30" i="179"/>
  <c r="J32" i="179"/>
  <c r="C32" i="179"/>
  <c r="N31" i="179"/>
  <c r="J38" i="96"/>
  <c r="K63" i="119"/>
  <c r="K96" i="119"/>
  <c r="F63" i="121"/>
  <c r="D126" i="121"/>
  <c r="E126" i="121"/>
  <c r="F126" i="121"/>
  <c r="G126" i="121"/>
  <c r="H126" i="121"/>
  <c r="I126" i="121"/>
  <c r="J126" i="121"/>
  <c r="K126" i="121"/>
  <c r="L126" i="121"/>
  <c r="M126" i="121"/>
  <c r="D39" i="96"/>
  <c r="J39" i="96"/>
  <c r="J223" i="76"/>
  <c r="B241" i="76"/>
  <c r="B242" i="76"/>
  <c r="B246" i="76"/>
  <c r="M89" i="65"/>
  <c r="L92" i="65"/>
  <c r="L217" i="66"/>
  <c r="I229" i="48"/>
  <c r="B246" i="48"/>
  <c r="M117" i="66"/>
  <c r="L120" i="66"/>
  <c r="F61" i="65"/>
  <c r="P57" i="46"/>
  <c r="K96" i="66"/>
  <c r="K95" i="66"/>
  <c r="G139" i="48"/>
  <c r="G207" i="48"/>
  <c r="H136" i="48"/>
  <c r="F198" i="63"/>
  <c r="F211" i="63"/>
  <c r="F210" i="63"/>
  <c r="N120" i="63"/>
  <c r="W120" i="63"/>
  <c r="O121" i="63"/>
  <c r="H131" i="110"/>
  <c r="J12" i="69"/>
  <c r="J20" i="69"/>
  <c r="J22" i="69"/>
  <c r="I20" i="69"/>
  <c r="I22" i="69"/>
  <c r="E124" i="116"/>
  <c r="E110" i="116"/>
  <c r="E106" i="116"/>
  <c r="E107" i="116"/>
  <c r="I11" i="116"/>
  <c r="E114" i="116"/>
  <c r="J209" i="48"/>
  <c r="C77" i="87"/>
  <c r="C78" i="87"/>
  <c r="I59" i="116"/>
  <c r="I64" i="116"/>
  <c r="I71" i="116"/>
  <c r="I76" i="116"/>
  <c r="J52" i="116"/>
  <c r="U104" i="63"/>
  <c r="U107" i="63"/>
  <c r="U102" i="63"/>
  <c r="E114" i="90"/>
  <c r="E110" i="90"/>
  <c r="E124" i="90"/>
  <c r="AA8" i="63"/>
  <c r="Z3" i="63"/>
  <c r="Z10" i="63"/>
  <c r="C117" i="116"/>
  <c r="F118" i="116"/>
  <c r="E190" i="76"/>
  <c r="L17" i="160"/>
  <c r="N15" i="66"/>
  <c r="M18" i="66"/>
  <c r="M21" i="66"/>
  <c r="H118" i="110"/>
  <c r="H110" i="110"/>
  <c r="H111" i="110"/>
  <c r="H128" i="110"/>
  <c r="H114" i="110"/>
  <c r="L54" i="66"/>
  <c r="L88" i="66"/>
  <c r="L145" i="66"/>
  <c r="L164" i="66"/>
  <c r="L174" i="66"/>
  <c r="L189" i="66"/>
  <c r="L199" i="66"/>
  <c r="L116" i="66"/>
  <c r="L153" i="66"/>
  <c r="M32" i="66"/>
  <c r="Y65" i="63"/>
  <c r="Y121" i="63"/>
  <c r="Y99" i="63"/>
  <c r="Y104" i="63"/>
  <c r="H13" i="29"/>
  <c r="F7" i="179"/>
  <c r="C10" i="68"/>
  <c r="C8" i="68"/>
  <c r="M153" i="66"/>
  <c r="N18" i="66"/>
  <c r="N21" i="66"/>
  <c r="O15" i="66"/>
  <c r="E192" i="76"/>
  <c r="F175" i="65"/>
  <c r="F73" i="65"/>
  <c r="M217" i="66"/>
  <c r="B245" i="76"/>
  <c r="K292" i="96"/>
  <c r="J128" i="110"/>
  <c r="L17" i="132"/>
  <c r="C81" i="90"/>
  <c r="C87" i="90"/>
  <c r="C97" i="90"/>
  <c r="N107" i="40"/>
  <c r="O107" i="40"/>
  <c r="M106" i="40"/>
  <c r="L96" i="66"/>
  <c r="L95" i="66"/>
  <c r="N158" i="76"/>
  <c r="R158" i="76"/>
  <c r="Q14" i="66"/>
  <c r="R19" i="66"/>
  <c r="R14" i="66"/>
  <c r="J19" i="160"/>
  <c r="W64" i="40"/>
  <c r="W49" i="40"/>
  <c r="W76" i="40"/>
  <c r="H201" i="65"/>
  <c r="N239" i="76"/>
  <c r="O230" i="76"/>
  <c r="K293" i="96"/>
  <c r="F292" i="96"/>
  <c r="F124" i="119"/>
  <c r="J76" i="90"/>
  <c r="J80" i="90"/>
  <c r="G213" i="48"/>
  <c r="M245" i="48"/>
  <c r="N236" i="48"/>
  <c r="L123" i="65"/>
  <c r="L122" i="65"/>
  <c r="L33" i="100"/>
  <c r="K52" i="116"/>
  <c r="K59" i="116"/>
  <c r="K64" i="116"/>
  <c r="K71" i="116"/>
  <c r="J59" i="116"/>
  <c r="J64" i="116"/>
  <c r="J71" i="116"/>
  <c r="L123" i="66"/>
  <c r="L122" i="66"/>
  <c r="L95" i="65"/>
  <c r="B233" i="76"/>
  <c r="B235" i="76"/>
  <c r="B237" i="76"/>
  <c r="B232" i="76"/>
  <c r="B234" i="76"/>
  <c r="B236" i="76"/>
  <c r="F96" i="121"/>
  <c r="F293" i="96"/>
  <c r="F124" i="121"/>
  <c r="G124" i="121"/>
  <c r="G127" i="121"/>
  <c r="N118" i="48"/>
  <c r="J55" i="87"/>
  <c r="I53" i="87"/>
  <c r="I65" i="87"/>
  <c r="I81" i="87"/>
  <c r="H214" i="76"/>
  <c r="N89" i="66"/>
  <c r="M92" i="66"/>
  <c r="M96" i="66"/>
  <c r="G175" i="66"/>
  <c r="J158" i="76"/>
  <c r="L158" i="76"/>
  <c r="Q158" i="76"/>
  <c r="O199" i="65"/>
  <c r="N112" i="40"/>
  <c r="N119" i="40"/>
  <c r="N12" i="40"/>
  <c r="H65" i="110"/>
  <c r="E175" i="66"/>
  <c r="E73" i="66"/>
  <c r="N19" i="48"/>
  <c r="M14" i="48"/>
  <c r="M21" i="48"/>
  <c r="M197" i="48"/>
  <c r="M218" i="48"/>
  <c r="W83" i="63"/>
  <c r="W99" i="63"/>
  <c r="M155" i="63"/>
  <c r="N156" i="63"/>
  <c r="M217" i="65"/>
  <c r="N117" i="65"/>
  <c r="M120" i="65"/>
  <c r="Y102" i="63"/>
  <c r="Y107" i="63"/>
  <c r="M17" i="160"/>
  <c r="N17" i="160"/>
  <c r="O17" i="160"/>
  <c r="AB8" i="63"/>
  <c r="AA3" i="63"/>
  <c r="AA10" i="63"/>
  <c r="P121" i="63"/>
  <c r="P120" i="63"/>
  <c r="Y120" i="63"/>
  <c r="O120" i="63"/>
  <c r="X120" i="63"/>
  <c r="H139" i="48"/>
  <c r="H141" i="48"/>
  <c r="I136" i="48"/>
  <c r="G73" i="65"/>
  <c r="G180" i="65"/>
  <c r="N117" i="66"/>
  <c r="N120" i="66"/>
  <c r="N123" i="66"/>
  <c r="M120" i="66"/>
  <c r="J229" i="48"/>
  <c r="K229" i="48"/>
  <c r="B239" i="48"/>
  <c r="N89" i="65"/>
  <c r="M92" i="65"/>
  <c r="M95" i="65"/>
  <c r="C57" i="121"/>
  <c r="I12" i="121"/>
  <c r="P113" i="48"/>
  <c r="O116" i="48"/>
  <c r="L19" i="76"/>
  <c r="L23" i="76"/>
  <c r="M14" i="76"/>
  <c r="P158" i="76"/>
  <c r="M158" i="76"/>
  <c r="G96" i="121"/>
  <c r="G293" i="96"/>
  <c r="P54" i="65"/>
  <c r="P88" i="65"/>
  <c r="P145" i="65"/>
  <c r="P164" i="65"/>
  <c r="P174" i="65"/>
  <c r="P189" i="65"/>
  <c r="P199" i="65"/>
  <c r="P153" i="65"/>
  <c r="P116" i="65"/>
  <c r="G114" i="90"/>
  <c r="P3" i="40"/>
  <c r="O7" i="40"/>
  <c r="O10" i="40"/>
  <c r="O12" i="40"/>
  <c r="X46" i="40"/>
  <c r="O5" i="40"/>
  <c r="J55" i="110"/>
  <c r="J53" i="110"/>
  <c r="I53" i="110"/>
  <c r="P14" i="40"/>
  <c r="O15" i="40"/>
  <c r="M292" i="96"/>
  <c r="N15" i="76"/>
  <c r="M18" i="76"/>
  <c r="K21" i="63"/>
  <c r="J27" i="63"/>
  <c r="J28" i="63"/>
  <c r="J34" i="63"/>
  <c r="J36" i="63" s="1"/>
  <c r="G200" i="63"/>
  <c r="G212" i="63"/>
  <c r="C215" i="63"/>
  <c r="C208" i="63"/>
  <c r="E204" i="63"/>
  <c r="E215" i="63"/>
  <c r="F204" i="63"/>
  <c r="F215" i="63"/>
  <c r="C197" i="63"/>
  <c r="G204" i="63"/>
  <c r="G197" i="63"/>
  <c r="F53" i="76"/>
  <c r="G55" i="76"/>
  <c r="G53" i="76"/>
  <c r="G66" i="76"/>
  <c r="P11" i="101"/>
  <c r="O11" i="101"/>
  <c r="G142" i="48"/>
  <c r="G212" i="48"/>
  <c r="G141" i="48"/>
  <c r="M17" i="133"/>
  <c r="E197" i="63"/>
  <c r="H55" i="65"/>
  <c r="I57" i="65"/>
  <c r="H158" i="76"/>
  <c r="H208" i="76"/>
  <c r="H203" i="76"/>
  <c r="K158" i="76"/>
  <c r="O158" i="76"/>
  <c r="C80" i="110"/>
  <c r="C88" i="110"/>
  <c r="F61" i="66"/>
  <c r="F73" i="66"/>
  <c r="F124" i="110"/>
  <c r="C124" i="110"/>
  <c r="F125" i="110"/>
  <c r="G122" i="110"/>
  <c r="K22" i="63"/>
  <c r="I57" i="66"/>
  <c r="H55" i="66"/>
  <c r="H61" i="66"/>
  <c r="H175" i="66"/>
  <c r="F61" i="76"/>
  <c r="C41" i="68"/>
  <c r="D10" i="68"/>
  <c r="D8" i="68"/>
  <c r="C50" i="68"/>
  <c r="H96" i="119"/>
  <c r="H73" i="66"/>
  <c r="H156" i="66"/>
  <c r="F183" i="76"/>
  <c r="F81" i="76"/>
  <c r="K40" i="63"/>
  <c r="K41" i="63"/>
  <c r="K39" i="63"/>
  <c r="K46" i="63"/>
  <c r="F175" i="66"/>
  <c r="J57" i="65"/>
  <c r="K57" i="65"/>
  <c r="I55" i="65"/>
  <c r="L50" i="60"/>
  <c r="L51" i="60"/>
  <c r="F220" i="63"/>
  <c r="O203" i="63"/>
  <c r="O112" i="40"/>
  <c r="O119" i="40"/>
  <c r="Q116" i="65"/>
  <c r="R32" i="65"/>
  <c r="Q113" i="48"/>
  <c r="P116" i="48"/>
  <c r="L57" i="121"/>
  <c r="E57" i="121"/>
  <c r="E83" i="121"/>
  <c r="I57" i="121"/>
  <c r="F57" i="121"/>
  <c r="M57" i="121"/>
  <c r="M96" i="65"/>
  <c r="M190" i="65"/>
  <c r="B251" i="48"/>
  <c r="H142" i="48"/>
  <c r="H212" i="48"/>
  <c r="H207" i="48"/>
  <c r="M95" i="66"/>
  <c r="D236" i="76"/>
  <c r="D245" i="76"/>
  <c r="E236" i="76"/>
  <c r="E245" i="76"/>
  <c r="F236" i="76"/>
  <c r="F245" i="76"/>
  <c r="G236" i="76"/>
  <c r="G245" i="76"/>
  <c r="H236" i="76"/>
  <c r="H245" i="76"/>
  <c r="I236" i="76"/>
  <c r="I245" i="76"/>
  <c r="J236" i="76"/>
  <c r="J245" i="76"/>
  <c r="L236" i="76"/>
  <c r="L245" i="76"/>
  <c r="K236" i="76"/>
  <c r="K245" i="76"/>
  <c r="P236" i="76"/>
  <c r="P245" i="76"/>
  <c r="N236" i="76"/>
  <c r="N245" i="76"/>
  <c r="M236" i="76"/>
  <c r="M245" i="76"/>
  <c r="O236" i="76"/>
  <c r="O245" i="76"/>
  <c r="Q236" i="76"/>
  <c r="Q245" i="76"/>
  <c r="R236" i="76"/>
  <c r="R245" i="76"/>
  <c r="K235" i="76"/>
  <c r="K244" i="76"/>
  <c r="D235" i="76"/>
  <c r="D244" i="76"/>
  <c r="E235" i="76"/>
  <c r="E244" i="76"/>
  <c r="F235" i="76"/>
  <c r="F244" i="76"/>
  <c r="G235" i="76"/>
  <c r="G244" i="76"/>
  <c r="H235" i="76"/>
  <c r="H244" i="76"/>
  <c r="I235" i="76"/>
  <c r="I244" i="76"/>
  <c r="J235" i="76"/>
  <c r="J244" i="76"/>
  <c r="L235" i="76"/>
  <c r="L244" i="76"/>
  <c r="N235" i="76"/>
  <c r="N244" i="76"/>
  <c r="O235" i="76"/>
  <c r="O244" i="76"/>
  <c r="Q235" i="76"/>
  <c r="Q244" i="76"/>
  <c r="M235" i="76"/>
  <c r="M244" i="76"/>
  <c r="P235" i="76"/>
  <c r="P244" i="76"/>
  <c r="R235" i="76"/>
  <c r="R244" i="76"/>
  <c r="C103" i="90"/>
  <c r="C99" i="90"/>
  <c r="F156" i="65"/>
  <c r="F196" i="65"/>
  <c r="F180" i="65"/>
  <c r="O18" i="66"/>
  <c r="O21" i="66"/>
  <c r="P15" i="66"/>
  <c r="P18" i="66"/>
  <c r="I61" i="65"/>
  <c r="N17" i="133"/>
  <c r="K50" i="60"/>
  <c r="K51" i="60"/>
  <c r="E220" i="63"/>
  <c r="N203" i="63"/>
  <c r="K27" i="63"/>
  <c r="K28" i="63"/>
  <c r="L21" i="63"/>
  <c r="P7" i="40"/>
  <c r="P10" i="40"/>
  <c r="P112" i="40"/>
  <c r="Y46" i="40"/>
  <c r="P5" i="40"/>
  <c r="M19" i="76"/>
  <c r="N14" i="76"/>
  <c r="O14" i="76"/>
  <c r="O89" i="65"/>
  <c r="P89" i="65"/>
  <c r="N92" i="65"/>
  <c r="M123" i="66"/>
  <c r="M122" i="66"/>
  <c r="M167" i="66"/>
  <c r="M196" i="66"/>
  <c r="G156" i="65"/>
  <c r="AB3" i="63"/>
  <c r="AB10" i="63"/>
  <c r="AC8" i="63"/>
  <c r="M33" i="100"/>
  <c r="F63" i="178"/>
  <c r="O89" i="66"/>
  <c r="N92" i="66"/>
  <c r="J53" i="87"/>
  <c r="J65" i="87"/>
  <c r="J81" i="87"/>
  <c r="K55" i="87"/>
  <c r="K53" i="87"/>
  <c r="K65" i="87"/>
  <c r="J84" i="90"/>
  <c r="J96" i="90"/>
  <c r="J124" i="90"/>
  <c r="K76" i="90"/>
  <c r="K84" i="90"/>
  <c r="N217" i="66"/>
  <c r="M226" i="66"/>
  <c r="B249" i="48"/>
  <c r="G215" i="63"/>
  <c r="C220" i="63"/>
  <c r="L203" i="63"/>
  <c r="P15" i="40"/>
  <c r="Q14" i="40"/>
  <c r="Q15" i="40"/>
  <c r="H61" i="65"/>
  <c r="H73" i="65"/>
  <c r="O117" i="66"/>
  <c r="N14" i="48"/>
  <c r="O19" i="48"/>
  <c r="F127" i="121"/>
  <c r="D232" i="76"/>
  <c r="D241" i="76"/>
  <c r="F232" i="76"/>
  <c r="F241" i="76"/>
  <c r="H232" i="76"/>
  <c r="H241" i="76"/>
  <c r="J232" i="76"/>
  <c r="J241" i="76"/>
  <c r="L232" i="76"/>
  <c r="L241" i="76"/>
  <c r="P232" i="76"/>
  <c r="P241" i="76"/>
  <c r="N232" i="76"/>
  <c r="N241" i="76"/>
  <c r="F197" i="63"/>
  <c r="N245" i="48"/>
  <c r="O236" i="48"/>
  <c r="O237" i="48"/>
  <c r="O246" i="48"/>
  <c r="O239" i="76"/>
  <c r="P230" i="76"/>
  <c r="P231" i="76"/>
  <c r="P240" i="76"/>
  <c r="N106" i="40"/>
  <c r="M17" i="132"/>
  <c r="I55" i="66"/>
  <c r="J57" i="66"/>
  <c r="C47" i="179"/>
  <c r="H55" i="76"/>
  <c r="H53" i="76"/>
  <c r="H67" i="76"/>
  <c r="J61" i="76"/>
  <c r="N18" i="76"/>
  <c r="O15" i="76"/>
  <c r="X49" i="40"/>
  <c r="X76" i="40"/>
  <c r="X64" i="40"/>
  <c r="O118" i="48"/>
  <c r="D239" i="48"/>
  <c r="D248" i="48"/>
  <c r="I139" i="48"/>
  <c r="I141" i="48"/>
  <c r="J136" i="48"/>
  <c r="O117" i="65"/>
  <c r="N120" i="65"/>
  <c r="N155" i="63"/>
  <c r="O156" i="63"/>
  <c r="W102" i="63"/>
  <c r="W104" i="63"/>
  <c r="W107" i="63"/>
  <c r="C79" i="110"/>
  <c r="J79" i="110"/>
  <c r="J86" i="110"/>
  <c r="E156" i="66"/>
  <c r="E158" i="66"/>
  <c r="E180" i="66"/>
  <c r="H98" i="110"/>
  <c r="H97" i="110"/>
  <c r="G180" i="66"/>
  <c r="G156" i="66"/>
  <c r="E237" i="76"/>
  <c r="E246" i="76"/>
  <c r="G237" i="76"/>
  <c r="G246" i="76"/>
  <c r="I237" i="76"/>
  <c r="I246" i="76"/>
  <c r="D237" i="76"/>
  <c r="D246" i="76"/>
  <c r="L237" i="76"/>
  <c r="L246" i="76"/>
  <c r="O237" i="76"/>
  <c r="O246" i="76"/>
  <c r="P237" i="76"/>
  <c r="P246" i="76"/>
  <c r="F127" i="119"/>
  <c r="C105" i="90"/>
  <c r="J139" i="110"/>
  <c r="E79" i="110"/>
  <c r="F139" i="110"/>
  <c r="H79" i="110"/>
  <c r="I139" i="110"/>
  <c r="D79" i="110"/>
  <c r="G139" i="110"/>
  <c r="I79" i="110"/>
  <c r="H139" i="110"/>
  <c r="E139" i="110"/>
  <c r="D139" i="110"/>
  <c r="D141" i="110"/>
  <c r="E137" i="110"/>
  <c r="F79" i="110"/>
  <c r="O120" i="65"/>
  <c r="P117" i="65"/>
  <c r="K136" i="48"/>
  <c r="J139" i="48"/>
  <c r="J141" i="48"/>
  <c r="G67" i="76"/>
  <c r="G65" i="76"/>
  <c r="G61" i="76"/>
  <c r="C53" i="76"/>
  <c r="C58" i="76"/>
  <c r="I58" i="76"/>
  <c r="I162" i="76"/>
  <c r="K57" i="66"/>
  <c r="L57" i="66"/>
  <c r="M57" i="66"/>
  <c r="N57" i="66"/>
  <c r="J55" i="66"/>
  <c r="O245" i="48"/>
  <c r="P236" i="48"/>
  <c r="P237" i="48"/>
  <c r="G220" i="63"/>
  <c r="M50" i="60"/>
  <c r="M51" i="60"/>
  <c r="G208" i="63"/>
  <c r="K80" i="90"/>
  <c r="L76" i="90"/>
  <c r="K96" i="90"/>
  <c r="K110" i="90"/>
  <c r="O92" i="66"/>
  <c r="P89" i="66"/>
  <c r="AC3" i="63"/>
  <c r="AC10" i="63"/>
  <c r="AD8" i="63"/>
  <c r="J55" i="65"/>
  <c r="I142" i="48"/>
  <c r="P15" i="76"/>
  <c r="O18" i="76"/>
  <c r="O23" i="76"/>
  <c r="O14" i="48"/>
  <c r="P19" i="48"/>
  <c r="O31" i="95"/>
  <c r="N122" i="66"/>
  <c r="N226" i="66"/>
  <c r="O217" i="66"/>
  <c r="J110" i="90"/>
  <c r="L65" i="87"/>
  <c r="L81" i="87"/>
  <c r="K81" i="87"/>
  <c r="N95" i="65"/>
  <c r="N96" i="65"/>
  <c r="N19" i="76"/>
  <c r="N23" i="76"/>
  <c r="Y49" i="40"/>
  <c r="Y76" i="40"/>
  <c r="Y64" i="40"/>
  <c r="O17" i="133"/>
  <c r="I73" i="65"/>
  <c r="I175" i="65"/>
  <c r="F83" i="121"/>
  <c r="P118" i="48"/>
  <c r="O106" i="40"/>
  <c r="P107" i="40"/>
  <c r="P106" i="40"/>
  <c r="P239" i="76"/>
  <c r="Q230" i="76"/>
  <c r="Q231" i="76"/>
  <c r="O120" i="66"/>
  <c r="P117" i="66"/>
  <c r="R203" i="63"/>
  <c r="C65" i="87"/>
  <c r="C81" i="87"/>
  <c r="O92" i="65"/>
  <c r="O95" i="65"/>
  <c r="Q10" i="40"/>
  <c r="Q12" i="40"/>
  <c r="P12" i="40"/>
  <c r="Q15" i="66"/>
  <c r="P21" i="66"/>
  <c r="B242" i="48"/>
  <c r="B240" i="48"/>
  <c r="B241" i="48"/>
  <c r="R113" i="48"/>
  <c r="R116" i="48"/>
  <c r="R118" i="48"/>
  <c r="Q116" i="48"/>
  <c r="F180" i="66"/>
  <c r="F156" i="66"/>
  <c r="F196" i="66"/>
  <c r="F188" i="76"/>
  <c r="F164" i="76"/>
  <c r="H180" i="66"/>
  <c r="H167" i="66"/>
  <c r="P156" i="63"/>
  <c r="P155" i="63"/>
  <c r="O155" i="63"/>
  <c r="N122" i="65"/>
  <c r="N167" i="65"/>
  <c r="N196" i="65"/>
  <c r="H65" i="76"/>
  <c r="H61" i="76"/>
  <c r="N17" i="132"/>
  <c r="O17" i="132"/>
  <c r="N33" i="100"/>
  <c r="G63" i="178" s="1"/>
  <c r="H175" i="65"/>
  <c r="I208" i="63"/>
  <c r="C218" i="63"/>
  <c r="N96" i="66"/>
  <c r="N95" i="66"/>
  <c r="M21" i="63"/>
  <c r="L22" i="63"/>
  <c r="L27" i="63"/>
  <c r="L28" i="63"/>
  <c r="M83" i="121"/>
  <c r="I83" i="121"/>
  <c r="L83" i="121"/>
  <c r="R116" i="65"/>
  <c r="R153" i="65"/>
  <c r="R54" i="65"/>
  <c r="R88" i="65"/>
  <c r="R145" i="65"/>
  <c r="R164" i="65"/>
  <c r="R174" i="65"/>
  <c r="R189" i="65"/>
  <c r="J61" i="65"/>
  <c r="M22" i="63"/>
  <c r="L202" i="63"/>
  <c r="R202" i="63"/>
  <c r="J62" i="76"/>
  <c r="O96" i="65"/>
  <c r="O195" i="65"/>
  <c r="Q117" i="66"/>
  <c r="P120" i="66"/>
  <c r="P17" i="160"/>
  <c r="I156" i="65"/>
  <c r="I180" i="65"/>
  <c r="O33" i="100"/>
  <c r="H63" i="178"/>
  <c r="K55" i="65"/>
  <c r="L57" i="65"/>
  <c r="M57" i="65"/>
  <c r="N57" i="65"/>
  <c r="O57" i="65"/>
  <c r="P57" i="65"/>
  <c r="Q57" i="65"/>
  <c r="R57" i="65"/>
  <c r="P245" i="48"/>
  <c r="Q236" i="48"/>
  <c r="Q237" i="48"/>
  <c r="O57" i="66"/>
  <c r="P57" i="66"/>
  <c r="Q57" i="66"/>
  <c r="R57" i="66"/>
  <c r="K55" i="66"/>
  <c r="J142" i="48"/>
  <c r="P120" i="65"/>
  <c r="P122" i="65"/>
  <c r="Q117" i="65"/>
  <c r="H86" i="110"/>
  <c r="H140" i="110"/>
  <c r="L89" i="96"/>
  <c r="L174" i="96" s="1"/>
  <c r="L92" i="121"/>
  <c r="L91" i="121"/>
  <c r="H180" i="65"/>
  <c r="H156" i="65"/>
  <c r="H167" i="65"/>
  <c r="E241" i="48"/>
  <c r="E250" i="48"/>
  <c r="D241" i="48"/>
  <c r="D250" i="48"/>
  <c r="F241" i="48"/>
  <c r="F250" i="48"/>
  <c r="J241" i="48"/>
  <c r="J250" i="48"/>
  <c r="M241" i="48"/>
  <c r="M250" i="48"/>
  <c r="Q241" i="48"/>
  <c r="Q250" i="48"/>
  <c r="I241" i="48"/>
  <c r="I250" i="48"/>
  <c r="N241" i="48"/>
  <c r="N250" i="48"/>
  <c r="G241" i="48"/>
  <c r="G250" i="48"/>
  <c r="L241" i="48"/>
  <c r="L250" i="48"/>
  <c r="O241" i="48"/>
  <c r="O250" i="48"/>
  <c r="H241" i="48"/>
  <c r="H250" i="48"/>
  <c r="K241" i="48"/>
  <c r="K250" i="48"/>
  <c r="P241" i="48"/>
  <c r="P250" i="48"/>
  <c r="R241" i="48"/>
  <c r="R250" i="48"/>
  <c r="O123" i="66"/>
  <c r="F91" i="121"/>
  <c r="F92" i="121"/>
  <c r="F89" i="96"/>
  <c r="F174" i="96" s="1"/>
  <c r="O19" i="76"/>
  <c r="P14" i="76"/>
  <c r="P17" i="137"/>
  <c r="H58" i="76"/>
  <c r="H162" i="76"/>
  <c r="H173" i="76"/>
  <c r="L136" i="48"/>
  <c r="K139" i="48"/>
  <c r="O122" i="65"/>
  <c r="O167" i="65"/>
  <c r="O196" i="65"/>
  <c r="O123" i="65"/>
  <c r="J140" i="110"/>
  <c r="J175" i="65"/>
  <c r="J73" i="65"/>
  <c r="I89" i="96"/>
  <c r="I92" i="121"/>
  <c r="I91" i="121"/>
  <c r="F175" i="76"/>
  <c r="Q118" i="48"/>
  <c r="D240" i="48"/>
  <c r="D249" i="48"/>
  <c r="E240" i="48"/>
  <c r="E249" i="48"/>
  <c r="Q240" i="76"/>
  <c r="R232" i="76"/>
  <c r="R241" i="76"/>
  <c r="P17" i="133"/>
  <c r="AD3" i="63"/>
  <c r="AD10" i="63"/>
  <c r="AE8" i="63"/>
  <c r="Q89" i="66"/>
  <c r="P92" i="66"/>
  <c r="M76" i="90"/>
  <c r="L80" i="90"/>
  <c r="L84" i="90"/>
  <c r="L96" i="90"/>
  <c r="L124" i="90"/>
  <c r="L234" i="63"/>
  <c r="F86" i="110"/>
  <c r="F140" i="110"/>
  <c r="D140" i="110"/>
  <c r="D86" i="110"/>
  <c r="M19" i="160"/>
  <c r="L40" i="63"/>
  <c r="L41" i="63"/>
  <c r="L39" i="63"/>
  <c r="L46" i="63"/>
  <c r="H196" i="66"/>
  <c r="M83" i="40"/>
  <c r="F242" i="48"/>
  <c r="F251" i="48"/>
  <c r="D242" i="48"/>
  <c r="D251" i="48"/>
  <c r="E242" i="48"/>
  <c r="E251" i="48"/>
  <c r="L242" i="48"/>
  <c r="L251" i="48"/>
  <c r="O242" i="48"/>
  <c r="O251" i="48"/>
  <c r="H242" i="48"/>
  <c r="H251" i="48"/>
  <c r="K242" i="48"/>
  <c r="K251" i="48"/>
  <c r="P242" i="48"/>
  <c r="P251" i="48"/>
  <c r="J242" i="48"/>
  <c r="J251" i="48"/>
  <c r="M242" i="48"/>
  <c r="M251" i="48"/>
  <c r="Q242" i="48"/>
  <c r="Q251" i="48"/>
  <c r="G242" i="48"/>
  <c r="G251" i="48"/>
  <c r="I242" i="48"/>
  <c r="I251" i="48"/>
  <c r="N242" i="48"/>
  <c r="N251" i="48"/>
  <c r="R242" i="48"/>
  <c r="R251" i="48"/>
  <c r="Q18" i="66"/>
  <c r="Q21" i="66"/>
  <c r="R15" i="66"/>
  <c r="R18" i="66"/>
  <c r="R21" i="66"/>
  <c r="P92" i="65"/>
  <c r="P190" i="65"/>
  <c r="Q89" i="65"/>
  <c r="Q239" i="76"/>
  <c r="R230" i="76"/>
  <c r="R239" i="76"/>
  <c r="R231" i="76"/>
  <c r="R240" i="76"/>
  <c r="G167" i="66"/>
  <c r="G196" i="66"/>
  <c r="E92" i="121"/>
  <c r="E89" i="96"/>
  <c r="E174" i="96" s="1"/>
  <c r="E91" i="121"/>
  <c r="O226" i="66"/>
  <c r="P217" i="66"/>
  <c r="N167" i="66"/>
  <c r="N196" i="66"/>
  <c r="Q19" i="48"/>
  <c r="P14" i="48"/>
  <c r="P18" i="76"/>
  <c r="Q15" i="76"/>
  <c r="O96" i="66"/>
  <c r="O95" i="66"/>
  <c r="P246" i="48"/>
  <c r="K61" i="66"/>
  <c r="K175" i="66"/>
  <c r="I86" i="110"/>
  <c r="I140" i="110"/>
  <c r="E140" i="110"/>
  <c r="E141" i="110"/>
  <c r="F137" i="110"/>
  <c r="E86" i="110"/>
  <c r="H81" i="76"/>
  <c r="H164" i="76"/>
  <c r="H175" i="76"/>
  <c r="K73" i="66"/>
  <c r="Q92" i="65"/>
  <c r="R89" i="65"/>
  <c r="R92" i="65"/>
  <c r="L110" i="90"/>
  <c r="R89" i="66"/>
  <c r="R92" i="66"/>
  <c r="R95" i="66"/>
  <c r="Q92" i="66"/>
  <c r="Q17" i="137"/>
  <c r="F140" i="96"/>
  <c r="P123" i="66"/>
  <c r="P122" i="66"/>
  <c r="Q18" i="76"/>
  <c r="R15" i="76"/>
  <c r="R18" i="76"/>
  <c r="P95" i="65"/>
  <c r="P96" i="65"/>
  <c r="F209" i="76"/>
  <c r="K130" i="63"/>
  <c r="J156" i="65"/>
  <c r="J167" i="65"/>
  <c r="J180" i="65"/>
  <c r="R117" i="66"/>
  <c r="R120" i="66"/>
  <c r="Q120" i="66"/>
  <c r="Q14" i="48"/>
  <c r="R19" i="48"/>
  <c r="R14" i="48"/>
  <c r="L83" i="40"/>
  <c r="Q19" i="160"/>
  <c r="N19" i="160"/>
  <c r="M84" i="90"/>
  <c r="M96" i="90"/>
  <c r="M80" i="90"/>
  <c r="M136" i="48"/>
  <c r="M139" i="48"/>
  <c r="L139" i="48"/>
  <c r="C162" i="76"/>
  <c r="P19" i="76"/>
  <c r="P23" i="76"/>
  <c r="Q14" i="76"/>
  <c r="H196" i="65"/>
  <c r="M82" i="40"/>
  <c r="Q120" i="65"/>
  <c r="R117" i="65"/>
  <c r="R120" i="65"/>
  <c r="Q246" i="48"/>
  <c r="Q17" i="160"/>
  <c r="P96" i="66"/>
  <c r="P95" i="66"/>
  <c r="P167" i="65"/>
  <c r="P196" i="65"/>
  <c r="P123" i="65"/>
  <c r="P195" i="65"/>
  <c r="L61" i="66"/>
  <c r="C55" i="66"/>
  <c r="H59" i="66"/>
  <c r="H154" i="66"/>
  <c r="R237" i="48"/>
  <c r="R246" i="48"/>
  <c r="L73" i="66"/>
  <c r="O19" i="160"/>
  <c r="L142" i="48"/>
  <c r="L141" i="48"/>
  <c r="Q122" i="66"/>
  <c r="Q123" i="66"/>
  <c r="R96" i="66"/>
  <c r="N136" i="48"/>
  <c r="O136" i="48"/>
  <c r="R122" i="66"/>
  <c r="R167" i="66"/>
  <c r="R196" i="66"/>
  <c r="R123" i="66"/>
  <c r="P167" i="66"/>
  <c r="P196" i="66"/>
  <c r="R95" i="65"/>
  <c r="R96" i="65"/>
  <c r="G59" i="66"/>
  <c r="G154" i="66"/>
  <c r="Q123" i="65"/>
  <c r="Q122" i="65"/>
  <c r="Q19" i="76"/>
  <c r="Q23" i="76"/>
  <c r="R14" i="76"/>
  <c r="M73" i="63"/>
  <c r="M124" i="90"/>
  <c r="M110" i="90"/>
  <c r="O82" i="40"/>
  <c r="J196" i="65"/>
  <c r="Q95" i="65"/>
  <c r="Q167" i="65"/>
  <c r="Q196" i="65"/>
  <c r="Q96" i="65"/>
  <c r="Q190" i="65"/>
  <c r="M141" i="48"/>
  <c r="M142" i="48"/>
  <c r="L180" i="66"/>
  <c r="L156" i="66"/>
  <c r="L167" i="66"/>
  <c r="L196" i="66"/>
  <c r="N19" i="155"/>
  <c r="R19" i="76"/>
  <c r="R23" i="76"/>
  <c r="Q195" i="65"/>
  <c r="M206" i="96"/>
  <c r="C118" i="132"/>
  <c r="C214" i="96"/>
  <c r="M214" i="96"/>
  <c r="M215" i="96"/>
  <c r="K218" i="96"/>
  <c r="L218" i="96"/>
  <c r="E20" i="15"/>
  <c r="J19" i="15"/>
  <c r="J16" i="15" s="1"/>
  <c r="G22" i="15"/>
  <c r="D27" i="15"/>
  <c r="J22" i="15"/>
  <c r="B4" i="32"/>
  <c r="F21" i="15"/>
  <c r="J24" i="15"/>
  <c r="H25" i="15"/>
  <c r="I19" i="15"/>
  <c r="I16" i="15" s="1"/>
  <c r="E27" i="15"/>
  <c r="E25" i="15"/>
  <c r="I27" i="15"/>
  <c r="I22" i="15"/>
  <c r="F23" i="15"/>
  <c r="K22" i="15"/>
  <c r="H22" i="15"/>
  <c r="J18" i="15"/>
  <c r="H23" i="15"/>
  <c r="L27" i="15"/>
  <c r="D25" i="15"/>
  <c r="G25" i="15"/>
  <c r="L28" i="15"/>
  <c r="E19" i="15"/>
  <c r="G28" i="15"/>
  <c r="F18" i="15"/>
  <c r="L20" i="15"/>
  <c r="E24" i="15"/>
  <c r="G19" i="15"/>
  <c r="G16" i="15" s="1"/>
  <c r="K18" i="15"/>
  <c r="E8" i="15" s="1"/>
  <c r="J28" i="15"/>
  <c r="G24" i="15"/>
  <c r="H20" i="15"/>
  <c r="F24" i="15"/>
  <c r="H28" i="15"/>
  <c r="H21" i="15"/>
  <c r="D19" i="15"/>
  <c r="H26" i="15"/>
  <c r="F27" i="15"/>
  <c r="B16" i="23"/>
  <c r="B67" i="32"/>
  <c r="L21" i="15"/>
  <c r="E28" i="15"/>
  <c r="D24" i="15"/>
  <c r="I23" i="15"/>
  <c r="H27" i="15"/>
  <c r="L22" i="15"/>
  <c r="G21" i="15"/>
  <c r="E18" i="15"/>
  <c r="L23" i="15"/>
  <c r="F16" i="23"/>
  <c r="L26" i="15"/>
  <c r="D23" i="15"/>
  <c r="K20" i="15"/>
  <c r="J27" i="15"/>
  <c r="F19" i="15"/>
  <c r="F16" i="15" s="1"/>
  <c r="D21" i="15"/>
  <c r="I18" i="15"/>
  <c r="L19" i="15"/>
  <c r="G23" i="15"/>
  <c r="K23" i="15"/>
  <c r="K26" i="15"/>
  <c r="I28" i="15"/>
  <c r="G27" i="15"/>
  <c r="D26" i="15"/>
  <c r="G18" i="15"/>
  <c r="J23" i="15"/>
  <c r="E26" i="15"/>
  <c r="E23" i="15"/>
  <c r="G20" i="15"/>
  <c r="I25" i="15"/>
  <c r="K25" i="15"/>
  <c r="K19" i="15"/>
  <c r="K16" i="15" s="1"/>
  <c r="J26" i="15"/>
  <c r="G26" i="15"/>
  <c r="K21" i="15"/>
  <c r="L25" i="15"/>
  <c r="E22" i="15"/>
  <c r="F28" i="15"/>
  <c r="H24" i="15"/>
  <c r="J20" i="15"/>
  <c r="D18" i="15"/>
  <c r="L18" i="15"/>
  <c r="I24" i="15"/>
  <c r="D22" i="15"/>
  <c r="F25" i="15"/>
  <c r="I21" i="15"/>
  <c r="I26" i="15"/>
  <c r="F22" i="15"/>
  <c r="E21" i="15"/>
  <c r="K28" i="15"/>
  <c r="K24" i="15"/>
  <c r="D28" i="15"/>
  <c r="J21" i="15"/>
  <c r="H19" i="15"/>
  <c r="H16" i="15" s="1"/>
  <c r="I20" i="15"/>
  <c r="F20" i="15"/>
  <c r="L24" i="15"/>
  <c r="J25" i="15"/>
  <c r="H18" i="15"/>
  <c r="D20" i="15"/>
  <c r="F26" i="15"/>
  <c r="K27" i="15"/>
  <c r="P70" i="155"/>
  <c r="P100" i="155"/>
  <c r="P133" i="155" s="1"/>
  <c r="E70" i="155"/>
  <c r="E100" i="155"/>
  <c r="E133" i="155"/>
  <c r="K75" i="155"/>
  <c r="S6" i="132"/>
  <c r="E104" i="160"/>
  <c r="E105" i="160" s="1"/>
  <c r="E104" i="134"/>
  <c r="E105" i="134" s="1"/>
  <c r="E104" i="133"/>
  <c r="E105" i="133" s="1"/>
  <c r="P14" i="103"/>
  <c r="E76" i="157"/>
  <c r="L76" i="157"/>
  <c r="C35" i="157"/>
  <c r="L35" i="157" s="1"/>
  <c r="L99" i="157" s="1"/>
  <c r="J76" i="157"/>
  <c r="D6" i="157"/>
  <c r="H76" i="157"/>
  <c r="D76" i="157"/>
  <c r="G76" i="157"/>
  <c r="K76" i="157"/>
  <c r="P76" i="157"/>
  <c r="Q76" i="157"/>
  <c r="K20" i="100"/>
  <c r="P128" i="175"/>
  <c r="K7" i="100"/>
  <c r="I33" i="4"/>
  <c r="I34" i="4" s="1"/>
  <c r="J40" i="98"/>
  <c r="M17" i="100"/>
  <c r="M130" i="63"/>
  <c r="H209" i="76"/>
  <c r="G165" i="66"/>
  <c r="O139" i="48"/>
  <c r="P136" i="48"/>
  <c r="P19" i="160"/>
  <c r="N139" i="48"/>
  <c r="H188" i="76"/>
  <c r="F141" i="110"/>
  <c r="G137" i="110"/>
  <c r="AF8" i="63"/>
  <c r="AE3" i="63"/>
  <c r="AE10" i="63"/>
  <c r="M39" i="63"/>
  <c r="M46" i="63"/>
  <c r="M40" i="63"/>
  <c r="M41" i="63"/>
  <c r="M27" i="63"/>
  <c r="M28" i="63"/>
  <c r="N21" i="63"/>
  <c r="G183" i="76"/>
  <c r="G81" i="76"/>
  <c r="G62" i="76"/>
  <c r="I80" i="116"/>
  <c r="I88" i="116"/>
  <c r="J76" i="116"/>
  <c r="I84" i="116"/>
  <c r="I96" i="116"/>
  <c r="R122" i="65"/>
  <c r="R167" i="65"/>
  <c r="R196" i="65"/>
  <c r="R190" i="65"/>
  <c r="Q95" i="66"/>
  <c r="Q167" i="66"/>
  <c r="Q196" i="66"/>
  <c r="K180" i="66"/>
  <c r="K156" i="66"/>
  <c r="K167" i="66"/>
  <c r="K141" i="48"/>
  <c r="K142" i="48"/>
  <c r="K61" i="65"/>
  <c r="L64" i="65"/>
  <c r="M64" i="65"/>
  <c r="M89" i="96"/>
  <c r="M91" i="121"/>
  <c r="H183" i="76"/>
  <c r="H62" i="76"/>
  <c r="I59" i="66"/>
  <c r="I154" i="66"/>
  <c r="F59" i="66"/>
  <c r="Q96" i="66"/>
  <c r="L175" i="66"/>
  <c r="L61" i="65"/>
  <c r="Q17" i="133"/>
  <c r="J183" i="76"/>
  <c r="J81" i="76"/>
  <c r="J59" i="66"/>
  <c r="J154" i="66"/>
  <c r="R123" i="65"/>
  <c r="R195" i="65"/>
  <c r="Q217" i="66"/>
  <c r="P226" i="66"/>
  <c r="M92" i="121"/>
  <c r="L64" i="66"/>
  <c r="M64" i="66"/>
  <c r="Q245" i="48"/>
  <c r="R236" i="48"/>
  <c r="R245" i="48"/>
  <c r="P17" i="132"/>
  <c r="O19" i="132"/>
  <c r="E160" i="66"/>
  <c r="E181" i="66"/>
  <c r="E176" i="66"/>
  <c r="M23" i="76"/>
  <c r="K237" i="76"/>
  <c r="K246" i="76"/>
  <c r="F237" i="76"/>
  <c r="F246" i="76"/>
  <c r="H237" i="76"/>
  <c r="H246" i="76"/>
  <c r="J237" i="76"/>
  <c r="J246" i="76"/>
  <c r="N237" i="76"/>
  <c r="N246" i="76"/>
  <c r="M237" i="76"/>
  <c r="M246" i="76"/>
  <c r="Q237" i="76"/>
  <c r="Q246" i="76"/>
  <c r="R237" i="76"/>
  <c r="R246" i="76"/>
  <c r="M54" i="66"/>
  <c r="M88" i="66"/>
  <c r="M145" i="66"/>
  <c r="M164" i="66"/>
  <c r="M174" i="66"/>
  <c r="M189" i="66"/>
  <c r="M199" i="66"/>
  <c r="N32" i="66"/>
  <c r="M116" i="66"/>
  <c r="I131" i="110"/>
  <c r="J131" i="110"/>
  <c r="D213" i="66"/>
  <c r="G232" i="76"/>
  <c r="G241" i="76"/>
  <c r="F240" i="76"/>
  <c r="K124" i="90"/>
  <c r="O122" i="66"/>
  <c r="O167" i="66"/>
  <c r="O196" i="66"/>
  <c r="H66" i="76"/>
  <c r="I61" i="76"/>
  <c r="G124" i="110"/>
  <c r="G125" i="110"/>
  <c r="H122" i="110"/>
  <c r="M226" i="65"/>
  <c r="M225" i="65"/>
  <c r="N217" i="65"/>
  <c r="L96" i="65"/>
  <c r="L195" i="65"/>
  <c r="L190" i="65"/>
  <c r="I232" i="76"/>
  <c r="I241" i="76"/>
  <c r="H240" i="76"/>
  <c r="Q54" i="65"/>
  <c r="Q88" i="65"/>
  <c r="Q145" i="65"/>
  <c r="Q164" i="65"/>
  <c r="Q174" i="65"/>
  <c r="Q189" i="65"/>
  <c r="Q199" i="65"/>
  <c r="Q153" i="65"/>
  <c r="F96" i="119"/>
  <c r="J19" i="179"/>
  <c r="M20" i="179"/>
  <c r="M21" i="179"/>
  <c r="M22" i="179"/>
  <c r="M23" i="179"/>
  <c r="M24" i="179"/>
  <c r="J24" i="179"/>
  <c r="N19" i="132"/>
  <c r="O190" i="65"/>
  <c r="E167" i="66"/>
  <c r="Q232" i="76"/>
  <c r="Q241" i="76"/>
  <c r="I65" i="110"/>
  <c r="C53" i="110"/>
  <c r="C60" i="110"/>
  <c r="K57" i="121"/>
  <c r="K83" i="121"/>
  <c r="G57" i="121"/>
  <c r="G83" i="121"/>
  <c r="H57" i="121"/>
  <c r="H83" i="121"/>
  <c r="J57" i="121"/>
  <c r="J83" i="121"/>
  <c r="J89" i="96"/>
  <c r="D57" i="121"/>
  <c r="C83" i="121"/>
  <c r="M123" i="65"/>
  <c r="M195" i="65"/>
  <c r="M122" i="65"/>
  <c r="M167" i="65"/>
  <c r="M196" i="65"/>
  <c r="E234" i="76"/>
  <c r="E243" i="76"/>
  <c r="G234" i="76"/>
  <c r="G243" i="76"/>
  <c r="I234" i="76"/>
  <c r="I243" i="76"/>
  <c r="L234" i="76"/>
  <c r="L243" i="76"/>
  <c r="K234" i="76"/>
  <c r="K243" i="76"/>
  <c r="P234" i="76"/>
  <c r="P243" i="76"/>
  <c r="O234" i="76"/>
  <c r="O243" i="76"/>
  <c r="R234" i="76"/>
  <c r="R243" i="76"/>
  <c r="F234" i="76"/>
  <c r="F243" i="76"/>
  <c r="H234" i="76"/>
  <c r="H243" i="76"/>
  <c r="J234" i="76"/>
  <c r="J243" i="76"/>
  <c r="D234" i="76"/>
  <c r="D243" i="76"/>
  <c r="M234" i="76"/>
  <c r="M243" i="76"/>
  <c r="N234" i="76"/>
  <c r="N243" i="76"/>
  <c r="Q234" i="76"/>
  <c r="Q243" i="76"/>
  <c r="E233" i="76"/>
  <c r="E242" i="76"/>
  <c r="G233" i="76"/>
  <c r="G242" i="76"/>
  <c r="I233" i="76"/>
  <c r="I242" i="76"/>
  <c r="D233" i="76"/>
  <c r="D242" i="76"/>
  <c r="O233" i="76"/>
  <c r="O242" i="76"/>
  <c r="L233" i="76"/>
  <c r="L242" i="76"/>
  <c r="P233" i="76"/>
  <c r="P242" i="76"/>
  <c r="P238" i="76"/>
  <c r="K233" i="76"/>
  <c r="K242" i="76"/>
  <c r="F233" i="76"/>
  <c r="F242" i="76"/>
  <c r="H233" i="76"/>
  <c r="H242" i="76"/>
  <c r="J233" i="76"/>
  <c r="J242" i="76"/>
  <c r="N233" i="76"/>
  <c r="N242" i="76"/>
  <c r="Q233" i="76"/>
  <c r="Q242" i="76"/>
  <c r="M233" i="76"/>
  <c r="M242" i="76"/>
  <c r="R233" i="76"/>
  <c r="R242" i="76"/>
  <c r="R238" i="76"/>
  <c r="Y123" i="63"/>
  <c r="E219" i="63"/>
  <c r="N204" i="63"/>
  <c r="E208" i="63"/>
  <c r="K232" i="76"/>
  <c r="K241" i="76"/>
  <c r="K238" i="76"/>
  <c r="J240" i="76"/>
  <c r="J238" i="76"/>
  <c r="E232" i="76"/>
  <c r="E241" i="76"/>
  <c r="E238" i="76"/>
  <c r="D240" i="76"/>
  <c r="G110" i="90"/>
  <c r="G124" i="90"/>
  <c r="H80" i="90"/>
  <c r="H84" i="90"/>
  <c r="H96" i="90"/>
  <c r="N190" i="65"/>
  <c r="N123" i="65"/>
  <c r="N195" i="65"/>
  <c r="I61" i="66"/>
  <c r="J61" i="66"/>
  <c r="G167" i="65"/>
  <c r="F120" i="116"/>
  <c r="C120" i="116"/>
  <c r="F121" i="116"/>
  <c r="G118" i="116"/>
  <c r="F219" i="63"/>
  <c r="O204" i="63"/>
  <c r="B247" i="48"/>
  <c r="B238" i="48"/>
  <c r="B248" i="48"/>
  <c r="B252" i="48"/>
  <c r="B250" i="48"/>
  <c r="B243" i="48"/>
  <c r="J114" i="110"/>
  <c r="J110" i="110"/>
  <c r="J111" i="110"/>
  <c r="N240" i="76"/>
  <c r="N238" i="76"/>
  <c r="O232" i="76"/>
  <c r="O241" i="76"/>
  <c r="O238" i="76"/>
  <c r="L240" i="76"/>
  <c r="L238" i="76"/>
  <c r="M232" i="76"/>
  <c r="M241" i="76"/>
  <c r="I84" i="90"/>
  <c r="I96" i="90"/>
  <c r="I80" i="90"/>
  <c r="T83" i="63"/>
  <c r="T99" i="63"/>
  <c r="C39" i="96"/>
  <c r="I11" i="121"/>
  <c r="G79" i="110"/>
  <c r="C86" i="110"/>
  <c r="D113" i="155"/>
  <c r="I63" i="119"/>
  <c r="K38" i="96"/>
  <c r="N237" i="48"/>
  <c r="N246" i="48"/>
  <c r="M237" i="48"/>
  <c r="M246" i="48"/>
  <c r="H63" i="121"/>
  <c r="J63" i="119"/>
  <c r="G63" i="176"/>
  <c r="I21" i="5"/>
  <c r="K21" i="5" s="1"/>
  <c r="M21" i="5" s="1"/>
  <c r="O21" i="5" s="1"/>
  <c r="B243" i="76"/>
  <c r="L63" i="121"/>
  <c r="D108" i="155"/>
  <c r="I63" i="121"/>
  <c r="J63" i="121"/>
  <c r="O13" i="101"/>
  <c r="P13" i="101"/>
  <c r="M63" i="121"/>
  <c r="C50" i="119"/>
  <c r="K237" i="48"/>
  <c r="L237" i="48"/>
  <c r="L246" i="48"/>
  <c r="G63" i="119"/>
  <c r="C63" i="119"/>
  <c r="J52" i="176"/>
  <c r="I50" i="176"/>
  <c r="B244" i="76"/>
  <c r="L63" i="119"/>
  <c r="J237" i="48"/>
  <c r="G237" i="48"/>
  <c r="G246" i="48"/>
  <c r="X31" i="29"/>
  <c r="Q31" i="29"/>
  <c r="E114" i="31"/>
  <c r="E27" i="31"/>
  <c r="E20" i="31"/>
  <c r="E181" i="31"/>
  <c r="O14" i="65"/>
  <c r="P19" i="65"/>
  <c r="K91" i="48"/>
  <c r="L88" i="48"/>
  <c r="I110" i="31"/>
  <c r="I140" i="31"/>
  <c r="L163" i="31"/>
  <c r="L114" i="31"/>
  <c r="M178" i="31"/>
  <c r="K34" i="13"/>
  <c r="J148" i="31"/>
  <c r="J149" i="31" s="1"/>
  <c r="D17" i="6"/>
  <c r="O18" i="48"/>
  <c r="O21" i="48"/>
  <c r="P15" i="48"/>
  <c r="H50" i="176"/>
  <c r="H126" i="176"/>
  <c r="I126" i="176"/>
  <c r="L109" i="31"/>
  <c r="J22" i="31"/>
  <c r="J133" i="176"/>
  <c r="E136" i="31"/>
  <c r="K124" i="31"/>
  <c r="C23" i="5"/>
  <c r="J27" i="31"/>
  <c r="J163" i="31"/>
  <c r="J136" i="31"/>
  <c r="P18" i="90"/>
  <c r="P22" i="90"/>
  <c r="Q16" i="90"/>
  <c r="Q18" i="90"/>
  <c r="Q22" i="90"/>
  <c r="N19" i="134"/>
  <c r="O17" i="134"/>
  <c r="H84" i="116"/>
  <c r="H96" i="116"/>
  <c r="H80" i="116"/>
  <c r="L20" i="31"/>
  <c r="D19" i="6"/>
  <c r="N124" i="31"/>
  <c r="L52" i="13"/>
  <c r="R22" i="29"/>
  <c r="T22" i="29" s="1"/>
  <c r="E163" i="31"/>
  <c r="F13" i="6"/>
  <c r="F20" i="6"/>
  <c r="I110" i="110"/>
  <c r="I111" i="110"/>
  <c r="I128" i="110"/>
  <c r="I114" i="110"/>
  <c r="I118" i="110"/>
  <c r="J118" i="110"/>
  <c r="F106" i="116"/>
  <c r="F107" i="116"/>
  <c r="F114" i="116"/>
  <c r="C79" i="116"/>
  <c r="P76" i="176"/>
  <c r="C76" i="176"/>
  <c r="J76" i="176"/>
  <c r="M76" i="176"/>
  <c r="I76" i="176"/>
  <c r="N19" i="156"/>
  <c r="N18" i="48"/>
  <c r="N21" i="48"/>
  <c r="N197" i="48"/>
  <c r="N218" i="48"/>
  <c r="P23" i="63"/>
  <c r="P42" i="63"/>
  <c r="L16" i="110"/>
  <c r="P113" i="40"/>
  <c r="P119" i="40"/>
  <c r="L16" i="87"/>
  <c r="K36" i="87"/>
  <c r="K37" i="87"/>
  <c r="J91" i="48"/>
  <c r="G84" i="110"/>
  <c r="G96" i="110"/>
  <c r="I91" i="48"/>
  <c r="K21" i="40"/>
  <c r="J25" i="40"/>
  <c r="J26" i="40"/>
  <c r="J27" i="40"/>
  <c r="J28" i="40"/>
  <c r="O29" i="6"/>
  <c r="X22" i="31"/>
  <c r="I190" i="65"/>
  <c r="I95" i="65"/>
  <c r="I167" i="65"/>
  <c r="M151" i="33"/>
  <c r="M102" i="33"/>
  <c r="M18" i="33"/>
  <c r="D95" i="68"/>
  <c r="D88" i="68"/>
  <c r="I23" i="29"/>
  <c r="D105" i="68"/>
  <c r="I102" i="33"/>
  <c r="I151" i="33"/>
  <c r="I161" i="76"/>
  <c r="J35" i="76"/>
  <c r="I13" i="76"/>
  <c r="I52" i="76"/>
  <c r="I96" i="76"/>
  <c r="I153" i="76"/>
  <c r="I172" i="76"/>
  <c r="I182" i="76"/>
  <c r="I202" i="76"/>
  <c r="I212" i="76"/>
  <c r="I124" i="76"/>
  <c r="N169" i="33"/>
  <c r="N102" i="33"/>
  <c r="N23" i="29"/>
  <c r="N11" i="29" s="1"/>
  <c r="W11" i="29" s="1"/>
  <c r="N151" i="33"/>
  <c r="E95" i="68"/>
  <c r="R36" i="29"/>
  <c r="T36" i="29"/>
  <c r="Y30" i="31"/>
  <c r="X96" i="31"/>
  <c r="X99" i="31"/>
  <c r="X142" i="31"/>
  <c r="E76" i="87"/>
  <c r="E80" i="87"/>
  <c r="E84" i="87"/>
  <c r="E96" i="87"/>
  <c r="E118" i="87"/>
  <c r="N16" i="116"/>
  <c r="O12" i="63"/>
  <c r="O80" i="63"/>
  <c r="G219" i="63"/>
  <c r="Q14" i="63"/>
  <c r="Q15" i="63"/>
  <c r="P15" i="63"/>
  <c r="M12" i="63"/>
  <c r="M161" i="63"/>
  <c r="M176" i="63"/>
  <c r="V83" i="63"/>
  <c r="F84" i="90"/>
  <c r="F96" i="90"/>
  <c r="J43" i="63"/>
  <c r="J47" i="63"/>
  <c r="J48" i="63" s="1"/>
  <c r="J45" i="63"/>
  <c r="J44" i="63"/>
  <c r="G35" i="87"/>
  <c r="G52" i="87"/>
  <c r="G59" i="87"/>
  <c r="G64" i="87"/>
  <c r="G71" i="87"/>
  <c r="H13" i="87"/>
  <c r="G185" i="63"/>
  <c r="O200" i="63"/>
  <c r="I20" i="33"/>
  <c r="I26" i="29"/>
  <c r="I26" i="33"/>
  <c r="F216" i="63"/>
  <c r="F221" i="63"/>
  <c r="N205" i="63"/>
  <c r="I203" i="63"/>
  <c r="E125" i="116"/>
  <c r="D128" i="116"/>
  <c r="H123" i="65"/>
  <c r="H195" i="65"/>
  <c r="H190" i="65"/>
  <c r="E132" i="110"/>
  <c r="F129" i="110"/>
  <c r="K76" i="176"/>
  <c r="D76" i="176"/>
  <c r="N161" i="63"/>
  <c r="N176" i="63"/>
  <c r="L14" i="65"/>
  <c r="L206" i="63"/>
  <c r="I107" i="33"/>
  <c r="H53" i="116"/>
  <c r="I23" i="76"/>
  <c r="I191" i="76"/>
  <c r="I17" i="135"/>
  <c r="F84" i="87"/>
  <c r="F96" i="87"/>
  <c r="F118" i="87"/>
  <c r="F76" i="87"/>
  <c r="F80" i="87"/>
  <c r="I133" i="33"/>
  <c r="N1" i="4"/>
  <c r="M4" i="4"/>
  <c r="J18" i="65"/>
  <c r="J21" i="65"/>
  <c r="I183" i="65"/>
  <c r="K15" i="65"/>
  <c r="G17" i="159"/>
  <c r="G187" i="76"/>
  <c r="C187" i="76"/>
  <c r="F56" i="117"/>
  <c r="F62" i="117"/>
  <c r="F69" i="117"/>
  <c r="F74" i="117"/>
  <c r="G49" i="117"/>
  <c r="G35" i="90"/>
  <c r="M17" i="13"/>
  <c r="O175" i="31"/>
  <c r="L72" i="29"/>
  <c r="C53" i="90"/>
  <c r="C60" i="90"/>
  <c r="O118" i="31"/>
  <c r="M46" i="13"/>
  <c r="I209" i="48"/>
  <c r="D128" i="110"/>
  <c r="D35" i="160"/>
  <c r="D99" i="160" s="1"/>
  <c r="D133" i="160" s="1"/>
  <c r="N35" i="160"/>
  <c r="N99" i="160" s="1"/>
  <c r="O35" i="160"/>
  <c r="O99" i="160"/>
  <c r="P35" i="160"/>
  <c r="P99" i="160" s="1"/>
  <c r="H35" i="119"/>
  <c r="H99" i="119"/>
  <c r="H133" i="119"/>
  <c r="K35" i="119"/>
  <c r="K99" i="119"/>
  <c r="K133" i="119"/>
  <c r="I35" i="119"/>
  <c r="I99" i="119"/>
  <c r="I133" i="119"/>
  <c r="E35" i="119"/>
  <c r="E99" i="119"/>
  <c r="E133" i="119"/>
  <c r="J35" i="119"/>
  <c r="J99" i="119"/>
  <c r="J133" i="119"/>
  <c r="F35" i="119"/>
  <c r="F99" i="119"/>
  <c r="F133" i="119"/>
  <c r="D35" i="119"/>
  <c r="D99" i="119"/>
  <c r="D133" i="119"/>
  <c r="D82" i="160"/>
  <c r="D95" i="160"/>
  <c r="D78" i="160"/>
  <c r="D87" i="160" s="1"/>
  <c r="D82" i="135"/>
  <c r="D95" i="135"/>
  <c r="D78" i="135"/>
  <c r="D87" i="135" s="1"/>
  <c r="D78" i="132"/>
  <c r="D82" i="132"/>
  <c r="D95" i="132"/>
  <c r="D78" i="119"/>
  <c r="D87" i="119"/>
  <c r="D82" i="119"/>
  <c r="D95" i="119"/>
  <c r="D84" i="90"/>
  <c r="D96" i="90"/>
  <c r="D80" i="90"/>
  <c r="C80" i="90"/>
  <c r="C88" i="90"/>
  <c r="E78" i="159"/>
  <c r="E87" i="159" s="1"/>
  <c r="E82" i="159"/>
  <c r="E95" i="159"/>
  <c r="G12" i="6"/>
  <c r="O108" i="31"/>
  <c r="M38" i="13"/>
  <c r="M114" i="33"/>
  <c r="M117" i="33"/>
  <c r="P110" i="33"/>
  <c r="J18" i="66"/>
  <c r="J21" i="66"/>
  <c r="D110" i="110"/>
  <c r="D111" i="110"/>
  <c r="J161" i="63"/>
  <c r="J176" i="63"/>
  <c r="K192" i="48"/>
  <c r="K209" i="48"/>
  <c r="H17" i="121"/>
  <c r="G49" i="159"/>
  <c r="F56" i="159"/>
  <c r="F62" i="159"/>
  <c r="F69" i="159"/>
  <c r="F74" i="159"/>
  <c r="D78" i="121"/>
  <c r="D87" i="121" s="1"/>
  <c r="D82" i="121"/>
  <c r="D95" i="121"/>
  <c r="P114" i="31"/>
  <c r="P113" i="31"/>
  <c r="P163" i="31"/>
  <c r="P136" i="31"/>
  <c r="O157" i="31"/>
  <c r="L20" i="13"/>
  <c r="I192" i="48"/>
  <c r="H209" i="48"/>
  <c r="D114" i="110"/>
  <c r="G195" i="66"/>
  <c r="P22" i="29"/>
  <c r="G133" i="119"/>
  <c r="J193" i="48"/>
  <c r="F193" i="48"/>
  <c r="F210" i="48"/>
  <c r="K193" i="48"/>
  <c r="K210" i="48"/>
  <c r="Q107" i="33"/>
  <c r="Q26" i="33"/>
  <c r="Q20" i="33"/>
  <c r="D78" i="134"/>
  <c r="D87" i="134" s="1"/>
  <c r="D82" i="134"/>
  <c r="D95" i="134"/>
  <c r="D82" i="133"/>
  <c r="D95" i="133"/>
  <c r="D78" i="133"/>
  <c r="D87" i="133" s="1"/>
  <c r="I134" i="33"/>
  <c r="I132" i="33"/>
  <c r="C11" i="69"/>
  <c r="I19" i="76"/>
  <c r="Q125" i="31"/>
  <c r="N53" i="13" s="1"/>
  <c r="N35" i="133"/>
  <c r="N99" i="133"/>
  <c r="O35" i="133"/>
  <c r="O99" i="133"/>
  <c r="G193" i="66"/>
  <c r="J76" i="160"/>
  <c r="O76" i="160"/>
  <c r="P76" i="160"/>
  <c r="N76" i="160"/>
  <c r="N59" i="135"/>
  <c r="O59" i="135"/>
  <c r="M59" i="135"/>
  <c r="D41" i="13"/>
  <c r="O59" i="132"/>
  <c r="N59" i="132"/>
  <c r="O76" i="157"/>
  <c r="N76" i="157"/>
  <c r="N76" i="133"/>
  <c r="O76" i="133"/>
  <c r="E201" i="66"/>
  <c r="F183" i="66"/>
  <c r="T106" i="31"/>
  <c r="E7" i="73"/>
  <c r="E6" i="73"/>
  <c r="O147" i="66"/>
  <c r="K147" i="66"/>
  <c r="F221" i="66"/>
  <c r="F230" i="66"/>
  <c r="D221" i="66"/>
  <c r="D230" i="66"/>
  <c r="J221" i="66"/>
  <c r="J230" i="66"/>
  <c r="L221" i="66"/>
  <c r="L230" i="66"/>
  <c r="N221" i="66"/>
  <c r="N230" i="66"/>
  <c r="P221" i="66"/>
  <c r="P230" i="66"/>
  <c r="E221" i="66"/>
  <c r="E230" i="66"/>
  <c r="I221" i="66"/>
  <c r="I230" i="66"/>
  <c r="G221" i="66"/>
  <c r="G230" i="66"/>
  <c r="H221" i="66"/>
  <c r="H230" i="66"/>
  <c r="K221" i="66"/>
  <c r="K230" i="66"/>
  <c r="M221" i="66"/>
  <c r="M230" i="66"/>
  <c r="O221" i="66"/>
  <c r="O230" i="66"/>
  <c r="Q221" i="66"/>
  <c r="Q230" i="66"/>
  <c r="G182" i="31"/>
  <c r="U22" i="44"/>
  <c r="E2" i="48"/>
  <c r="C227" i="48"/>
  <c r="B218" i="66"/>
  <c r="B222" i="66"/>
  <c r="F14" i="61"/>
  <c r="J68" i="48"/>
  <c r="N68" i="48"/>
  <c r="B223" i="66"/>
  <c r="B219" i="66"/>
  <c r="D135" i="66"/>
  <c r="C70" i="65"/>
  <c r="E2" i="65"/>
  <c r="C208" i="65"/>
  <c r="I77" i="76"/>
  <c r="I128" i="76"/>
  <c r="I173" i="76"/>
  <c r="J125" i="76"/>
  <c r="I52" i="48"/>
  <c r="I58" i="48"/>
  <c r="J52" i="48"/>
  <c r="B224" i="66"/>
  <c r="B220" i="66"/>
  <c r="I100" i="76"/>
  <c r="J97" i="76"/>
  <c r="J56" i="48"/>
  <c r="N175" i="66"/>
  <c r="B226" i="66"/>
  <c r="D55" i="65"/>
  <c r="F37" i="76"/>
  <c r="E4" i="76"/>
  <c r="F223" i="65"/>
  <c r="F232" i="65"/>
  <c r="F225" i="65"/>
  <c r="N59" i="133"/>
  <c r="O59" i="133"/>
  <c r="E54" i="117"/>
  <c r="P54" i="117"/>
  <c r="Q54" i="117"/>
  <c r="E30" i="160"/>
  <c r="N54" i="135"/>
  <c r="O54" i="135"/>
  <c r="N54" i="133"/>
  <c r="O54" i="133"/>
  <c r="O54" i="132"/>
  <c r="N54" i="132"/>
  <c r="E32" i="156"/>
  <c r="Q76" i="156" s="1"/>
  <c r="N59" i="157"/>
  <c r="O59" i="157"/>
  <c r="E17" i="176"/>
  <c r="J18" i="179"/>
  <c r="N19" i="179"/>
  <c r="N20" i="179"/>
  <c r="N21" i="179"/>
  <c r="N22" i="179"/>
  <c r="N23" i="179"/>
  <c r="J62" i="179"/>
  <c r="G14" i="117"/>
  <c r="F14" i="119"/>
  <c r="L20" i="176"/>
  <c r="K20" i="176"/>
  <c r="F20" i="176"/>
  <c r="M20" i="176"/>
  <c r="C59" i="176"/>
  <c r="E54" i="176"/>
  <c r="G5" i="181"/>
  <c r="G35" i="181" s="1"/>
  <c r="J16" i="179"/>
  <c r="K35" i="180"/>
  <c r="E5" i="180"/>
  <c r="E3" i="180"/>
  <c r="K51" i="180"/>
  <c r="E8" i="180"/>
  <c r="E6" i="180"/>
  <c r="K75" i="180"/>
  <c r="E12" i="180"/>
  <c r="O16" i="179"/>
  <c r="O17" i="179"/>
  <c r="O18" i="179"/>
  <c r="O19" i="179"/>
  <c r="O20" i="179"/>
  <c r="O21" i="179"/>
  <c r="O22" i="179"/>
  <c r="M94" i="179"/>
  <c r="J94" i="179"/>
  <c r="J96" i="179"/>
  <c r="F3" i="179"/>
  <c r="O41" i="179"/>
  <c r="M90" i="179"/>
  <c r="M93" i="179"/>
  <c r="M92" i="179"/>
  <c r="M91" i="179"/>
  <c r="M84" i="179"/>
  <c r="J84" i="179"/>
  <c r="J88" i="179"/>
  <c r="F10" i="179"/>
  <c r="M86" i="179"/>
  <c r="M83" i="179"/>
  <c r="M81" i="179"/>
  <c r="M73" i="179"/>
  <c r="J73" i="179"/>
  <c r="J79" i="179"/>
  <c r="M78" i="179"/>
  <c r="M76" i="179"/>
  <c r="K61" i="180"/>
  <c r="E9" i="180"/>
  <c r="K68" i="180"/>
  <c r="E11" i="180"/>
  <c r="E10" i="180"/>
  <c r="L8" i="181"/>
  <c r="L13" i="181"/>
  <c r="L42" i="181"/>
  <c r="M7" i="181"/>
  <c r="L32" i="181"/>
  <c r="L33" i="181"/>
  <c r="H5" i="95"/>
  <c r="H5" i="181" s="1"/>
  <c r="H35" i="181" s="1"/>
  <c r="M85" i="179"/>
  <c r="J85" i="179"/>
  <c r="N17" i="181"/>
  <c r="M19" i="181"/>
  <c r="M20" i="181"/>
  <c r="K13" i="181"/>
  <c r="K42" i="181"/>
  <c r="N23" i="181"/>
  <c r="L19" i="181"/>
  <c r="L20" i="181"/>
  <c r="K32" i="181"/>
  <c r="J32" i="181"/>
  <c r="I32" i="181"/>
  <c r="U75" i="132"/>
  <c r="J13" i="181"/>
  <c r="J42" i="181"/>
  <c r="C70" i="135"/>
  <c r="E32" i="135"/>
  <c r="E105" i="104"/>
  <c r="K79" i="121"/>
  <c r="E79" i="121"/>
  <c r="D79" i="121"/>
  <c r="M79" i="121"/>
  <c r="C79" i="121"/>
  <c r="J79" i="121"/>
  <c r="L79" i="121"/>
  <c r="G79" i="121"/>
  <c r="F79" i="121"/>
  <c r="H79" i="121"/>
  <c r="I79" i="121"/>
  <c r="I75" i="117"/>
  <c r="G75" i="117"/>
  <c r="K70" i="117"/>
  <c r="K100" i="117"/>
  <c r="E70" i="117"/>
  <c r="E100" i="117" s="1"/>
  <c r="D75" i="117"/>
  <c r="F70" i="117"/>
  <c r="F100" i="117"/>
  <c r="M70" i="117"/>
  <c r="M100" i="117" s="1"/>
  <c r="C100" i="117"/>
  <c r="E75" i="117"/>
  <c r="G70" i="117"/>
  <c r="G100" i="117" s="1"/>
  <c r="J70" i="117"/>
  <c r="J100" i="117"/>
  <c r="M75" i="117"/>
  <c r="I70" i="117"/>
  <c r="I100" i="117" s="1"/>
  <c r="I133" i="117" s="1"/>
  <c r="F75" i="117"/>
  <c r="H70" i="117"/>
  <c r="H100" i="117" s="1"/>
  <c r="D70" i="117"/>
  <c r="D100" i="117"/>
  <c r="M59" i="160"/>
  <c r="O59" i="160"/>
  <c r="N59" i="160"/>
  <c r="P59" i="160"/>
  <c r="J54" i="160"/>
  <c r="O54" i="160"/>
  <c r="N54" i="160"/>
  <c r="P54" i="160"/>
  <c r="C100" i="160"/>
  <c r="E70" i="160"/>
  <c r="E100" i="160"/>
  <c r="N70" i="160"/>
  <c r="N100" i="160" s="1"/>
  <c r="P70" i="160"/>
  <c r="P100" i="160" s="1"/>
  <c r="O70" i="160"/>
  <c r="O100" i="160" s="1"/>
  <c r="N75" i="160"/>
  <c r="O75" i="160"/>
  <c r="P75" i="160"/>
  <c r="F70" i="160"/>
  <c r="F100" i="160"/>
  <c r="C35" i="135"/>
  <c r="D76" i="135"/>
  <c r="G76" i="135"/>
  <c r="L76" i="135"/>
  <c r="J76" i="135"/>
  <c r="N76" i="135"/>
  <c r="I76" i="135"/>
  <c r="E76" i="135"/>
  <c r="K76" i="135"/>
  <c r="C76" i="135"/>
  <c r="O76" i="135"/>
  <c r="D6" i="135"/>
  <c r="F76" i="135"/>
  <c r="M76" i="135"/>
  <c r="H76" i="135"/>
  <c r="J70" i="135"/>
  <c r="J100" i="135"/>
  <c r="D70" i="135"/>
  <c r="D100" i="135"/>
  <c r="L75" i="135"/>
  <c r="G75" i="135"/>
  <c r="C100" i="135"/>
  <c r="M70" i="135"/>
  <c r="M100" i="135"/>
  <c r="H75" i="135"/>
  <c r="M75" i="135"/>
  <c r="I75" i="135"/>
  <c r="G70" i="135"/>
  <c r="G100" i="135"/>
  <c r="D7" i="135"/>
  <c r="I70" i="135"/>
  <c r="I100" i="135"/>
  <c r="K75" i="135"/>
  <c r="C75" i="117"/>
  <c r="P70" i="117"/>
  <c r="P100" i="117" s="1"/>
  <c r="P75" i="117"/>
  <c r="Q70" i="117"/>
  <c r="Q100" i="117" s="1"/>
  <c r="Q75" i="117"/>
  <c r="E30" i="117"/>
  <c r="E32" i="117"/>
  <c r="N76" i="117" s="1"/>
  <c r="H75" i="156"/>
  <c r="D104" i="135"/>
  <c r="D105" i="135" s="1"/>
  <c r="F54" i="117"/>
  <c r="J54" i="117"/>
  <c r="I54" i="117"/>
  <c r="K54" i="117"/>
  <c r="H54" i="117"/>
  <c r="C59" i="117"/>
  <c r="H59" i="117" s="1"/>
  <c r="D54" i="117"/>
  <c r="M59" i="117"/>
  <c r="O54" i="117"/>
  <c r="N54" i="117"/>
  <c r="R38" i="172"/>
  <c r="O69" i="95" s="1"/>
  <c r="O13" i="103"/>
  <c r="N31" i="95"/>
  <c r="O60" i="98"/>
  <c r="K35" i="159"/>
  <c r="K99" i="159"/>
  <c r="I35" i="159"/>
  <c r="I99" i="159"/>
  <c r="H35" i="159"/>
  <c r="H99" i="159"/>
  <c r="L133" i="159"/>
  <c r="K133" i="159"/>
  <c r="F133" i="159"/>
  <c r="L35" i="159"/>
  <c r="L99" i="159"/>
  <c r="J35" i="159"/>
  <c r="J99" i="159"/>
  <c r="E35" i="159"/>
  <c r="E99" i="159"/>
  <c r="D70" i="159"/>
  <c r="D100" i="159"/>
  <c r="D133" i="159"/>
  <c r="M70" i="159"/>
  <c r="M100" i="159"/>
  <c r="M133" i="159"/>
  <c r="I70" i="159"/>
  <c r="I100" i="159"/>
  <c r="E75" i="159"/>
  <c r="G75" i="159"/>
  <c r="K75" i="159"/>
  <c r="H70" i="159"/>
  <c r="H100" i="159"/>
  <c r="H133" i="159"/>
  <c r="G70" i="159"/>
  <c r="G100" i="159"/>
  <c r="G133" i="159"/>
  <c r="D75" i="159"/>
  <c r="M75" i="159"/>
  <c r="I75" i="159"/>
  <c r="J70" i="159"/>
  <c r="J100" i="159"/>
  <c r="D7" i="159"/>
  <c r="F75" i="159"/>
  <c r="E70" i="159"/>
  <c r="E100" i="159"/>
  <c r="J75" i="159"/>
  <c r="L75" i="159"/>
  <c r="C75" i="159"/>
  <c r="N75" i="135"/>
  <c r="O70" i="132"/>
  <c r="O100" i="132" s="1"/>
  <c r="O75" i="132"/>
  <c r="C75" i="132"/>
  <c r="D75" i="132"/>
  <c r="G70" i="132"/>
  <c r="G100" i="132" s="1"/>
  <c r="E70" i="132"/>
  <c r="E100" i="132" s="1"/>
  <c r="D70" i="132"/>
  <c r="D100" i="132"/>
  <c r="N75" i="132"/>
  <c r="L70" i="132"/>
  <c r="L100" i="132"/>
  <c r="G75" i="132"/>
  <c r="D7" i="132"/>
  <c r="H70" i="132"/>
  <c r="H100" i="132"/>
  <c r="K70" i="132"/>
  <c r="K100" i="132"/>
  <c r="K75" i="132"/>
  <c r="H75" i="132"/>
  <c r="I75" i="132"/>
  <c r="C100" i="132"/>
  <c r="N70" i="132"/>
  <c r="N100" i="132"/>
  <c r="I70" i="132"/>
  <c r="I100" i="132"/>
  <c r="J70" i="132"/>
  <c r="J100" i="132"/>
  <c r="M70" i="132"/>
  <c r="M100" i="132" s="1"/>
  <c r="F75" i="132"/>
  <c r="F70" i="132"/>
  <c r="F100" i="132"/>
  <c r="L75" i="132"/>
  <c r="E75" i="132"/>
  <c r="M75" i="132"/>
  <c r="J75" i="132"/>
  <c r="K128" i="175"/>
  <c r="L128" i="175"/>
  <c r="P127" i="175"/>
  <c r="S6" i="156"/>
  <c r="C70" i="137"/>
  <c r="J75" i="160"/>
  <c r="I75" i="160"/>
  <c r="D70" i="160"/>
  <c r="D100" i="160"/>
  <c r="D7" i="160"/>
  <c r="D75" i="160"/>
  <c r="G70" i="160"/>
  <c r="G100" i="160"/>
  <c r="L70" i="160"/>
  <c r="L100" i="160"/>
  <c r="K75" i="160"/>
  <c r="K70" i="160"/>
  <c r="K100" i="160"/>
  <c r="E75" i="160"/>
  <c r="M75" i="160"/>
  <c r="F75" i="160"/>
  <c r="J70" i="160"/>
  <c r="J100" i="160"/>
  <c r="L75" i="160"/>
  <c r="H75" i="160"/>
  <c r="M70" i="160"/>
  <c r="M100" i="160"/>
  <c r="G75" i="160"/>
  <c r="H70" i="160"/>
  <c r="H100" i="160"/>
  <c r="L35" i="160"/>
  <c r="L99" i="160"/>
  <c r="L133" i="160" s="1"/>
  <c r="F35" i="160"/>
  <c r="F99" i="160" s="1"/>
  <c r="F133" i="160" s="1"/>
  <c r="I35" i="160"/>
  <c r="I99" i="160" s="1"/>
  <c r="I133" i="160" s="1"/>
  <c r="E35" i="160"/>
  <c r="E99" i="160"/>
  <c r="E133" i="160" s="1"/>
  <c r="M35" i="160"/>
  <c r="M99" i="160" s="1"/>
  <c r="M133" i="160" s="1"/>
  <c r="J35" i="160"/>
  <c r="J99" i="160" s="1"/>
  <c r="J133" i="160" s="1"/>
  <c r="K35" i="160"/>
  <c r="K99" i="160" s="1"/>
  <c r="K133" i="160" s="1"/>
  <c r="D50" i="160"/>
  <c r="S6" i="160"/>
  <c r="J76" i="161"/>
  <c r="H71" i="161"/>
  <c r="H101" i="161" s="1"/>
  <c r="K76" i="161"/>
  <c r="H54" i="161"/>
  <c r="G54" i="161"/>
  <c r="F54" i="161"/>
  <c r="D54" i="161"/>
  <c r="I54" i="161"/>
  <c r="M54" i="161"/>
  <c r="E54" i="161"/>
  <c r="N69" i="95"/>
  <c r="Q49" i="172"/>
  <c r="N63" i="95" s="1"/>
  <c r="N81" i="95" s="1"/>
  <c r="F128" i="175"/>
  <c r="N19" i="177"/>
  <c r="O17" i="177"/>
  <c r="D50" i="155"/>
  <c r="K86" i="180"/>
  <c r="E13" i="180"/>
  <c r="Y133" i="96"/>
  <c r="E33" i="175"/>
  <c r="E6" i="175" s="1"/>
  <c r="E32" i="175"/>
  <c r="E5" i="175" s="1"/>
  <c r="E52" i="159"/>
  <c r="D50" i="159"/>
  <c r="F47" i="181"/>
  <c r="C76" i="157"/>
  <c r="N75" i="117"/>
  <c r="N70" i="117"/>
  <c r="N100" i="117"/>
  <c r="O75" i="117"/>
  <c r="O70" i="117"/>
  <c r="O100" i="117" s="1"/>
  <c r="O76" i="117"/>
  <c r="J21" i="117"/>
  <c r="J21" i="156"/>
  <c r="I21" i="132"/>
  <c r="J21" i="119"/>
  <c r="I21" i="159"/>
  <c r="J21" i="134"/>
  <c r="I21" i="137"/>
  <c r="I21" i="176"/>
  <c r="I21" i="155"/>
  <c r="I21" i="160"/>
  <c r="I21" i="121"/>
  <c r="I21" i="133"/>
  <c r="I21" i="135"/>
  <c r="N75" i="133"/>
  <c r="N70" i="133"/>
  <c r="N100" i="133" s="1"/>
  <c r="N133" i="133" s="1"/>
  <c r="O70" i="133"/>
  <c r="O100" i="133" s="1"/>
  <c r="O133" i="133" s="1"/>
  <c r="O75" i="133"/>
  <c r="E52" i="133"/>
  <c r="D50" i="133"/>
  <c r="P75" i="132"/>
  <c r="P70" i="132"/>
  <c r="P100" i="132" s="1"/>
  <c r="Q75" i="132"/>
  <c r="Q70" i="132"/>
  <c r="Q100" i="132" s="1"/>
  <c r="E104" i="135"/>
  <c r="E105" i="135" s="1"/>
  <c r="E104" i="137"/>
  <c r="E105" i="137" s="1"/>
  <c r="D104" i="137"/>
  <c r="D105" i="137" s="1"/>
  <c r="E104" i="132"/>
  <c r="E105" i="132" s="1"/>
  <c r="E104" i="155"/>
  <c r="E105" i="155" s="1"/>
  <c r="D104" i="155"/>
  <c r="D105" i="155" s="1"/>
  <c r="Q70" i="135"/>
  <c r="Q100" i="135" s="1"/>
  <c r="P75" i="135"/>
  <c r="P70" i="135"/>
  <c r="P100" i="135" s="1"/>
  <c r="P133" i="135" s="1"/>
  <c r="Q75" i="135"/>
  <c r="F75" i="135"/>
  <c r="D75" i="135"/>
  <c r="F70" i="135"/>
  <c r="F100" i="135"/>
  <c r="J75" i="135"/>
  <c r="O75" i="135"/>
  <c r="C75" i="135"/>
  <c r="N70" i="135"/>
  <c r="N100" i="135"/>
  <c r="N133" i="135"/>
  <c r="E75" i="135"/>
  <c r="K70" i="135"/>
  <c r="K100" i="135"/>
  <c r="O70" i="135"/>
  <c r="O100" i="135" s="1"/>
  <c r="O133" i="135" s="1"/>
  <c r="H70" i="135"/>
  <c r="H100" i="135"/>
  <c r="L70" i="135"/>
  <c r="L100" i="135"/>
  <c r="E70" i="135"/>
  <c r="E100" i="135"/>
  <c r="K38" i="98"/>
  <c r="L7" i="100"/>
  <c r="S38" i="172"/>
  <c r="P69" i="95" s="1"/>
  <c r="N17" i="100"/>
  <c r="N19" i="100" s="1"/>
  <c r="N20" i="100" s="1"/>
  <c r="M19" i="100"/>
  <c r="M20" i="100" s="1"/>
  <c r="N73" i="63"/>
  <c r="C96" i="119"/>
  <c r="C292" i="96"/>
  <c r="N82" i="40"/>
  <c r="I196" i="65"/>
  <c r="J126" i="176"/>
  <c r="O197" i="48"/>
  <c r="O218" i="48"/>
  <c r="J133" i="159"/>
  <c r="G59" i="117"/>
  <c r="O94" i="179"/>
  <c r="O95" i="179"/>
  <c r="O74" i="179"/>
  <c r="O93" i="179"/>
  <c r="O75" i="179"/>
  <c r="O72" i="179"/>
  <c r="O64" i="179"/>
  <c r="O61" i="179"/>
  <c r="O60" i="179"/>
  <c r="O56" i="179"/>
  <c r="O91" i="179"/>
  <c r="O73" i="179"/>
  <c r="O65" i="179"/>
  <c r="O57" i="179"/>
  <c r="O42" i="179"/>
  <c r="O43" i="179"/>
  <c r="O44" i="179"/>
  <c r="O45" i="179"/>
  <c r="O46" i="179"/>
  <c r="O83" i="179"/>
  <c r="O76" i="179"/>
  <c r="O66" i="179"/>
  <c r="O58" i="179"/>
  <c r="O90" i="179"/>
  <c r="O84" i="179"/>
  <c r="O78" i="179"/>
  <c r="O77" i="179"/>
  <c r="O67" i="179"/>
  <c r="O59" i="179"/>
  <c r="O87" i="179"/>
  <c r="O82" i="179"/>
  <c r="O89" i="179"/>
  <c r="O85" i="179"/>
  <c r="O81" i="179"/>
  <c r="O86" i="179"/>
  <c r="O92" i="179"/>
  <c r="H77" i="76"/>
  <c r="N77" i="76"/>
  <c r="K77" i="76"/>
  <c r="M77" i="76"/>
  <c r="R77" i="76"/>
  <c r="O77" i="76"/>
  <c r="L77" i="76"/>
  <c r="J77" i="76"/>
  <c r="P77" i="76"/>
  <c r="K226" i="66"/>
  <c r="H226" i="66"/>
  <c r="I226" i="66"/>
  <c r="L226" i="66"/>
  <c r="J226" i="66"/>
  <c r="I104" i="76"/>
  <c r="I103" i="76"/>
  <c r="I203" i="76"/>
  <c r="I190" i="48"/>
  <c r="I72" i="48"/>
  <c r="Q77" i="76"/>
  <c r="F219" i="66"/>
  <c r="F228" i="66"/>
  <c r="J219" i="66"/>
  <c r="J228" i="66"/>
  <c r="L219" i="66"/>
  <c r="L228" i="66"/>
  <c r="N219" i="66"/>
  <c r="N228" i="66"/>
  <c r="P219" i="66"/>
  <c r="P228" i="66"/>
  <c r="E219" i="66"/>
  <c r="E228" i="66"/>
  <c r="I219" i="66"/>
  <c r="I228" i="66"/>
  <c r="D219" i="66"/>
  <c r="D228" i="66"/>
  <c r="G219" i="66"/>
  <c r="G228" i="66"/>
  <c r="H219" i="66"/>
  <c r="H228" i="66"/>
  <c r="K219" i="66"/>
  <c r="K228" i="66"/>
  <c r="M219" i="66"/>
  <c r="M228" i="66"/>
  <c r="O219" i="66"/>
  <c r="O228" i="66"/>
  <c r="Q219" i="66"/>
  <c r="Q228" i="66"/>
  <c r="R219" i="66"/>
  <c r="R228" i="66"/>
  <c r="H40" i="61"/>
  <c r="H49" i="61"/>
  <c r="H51" i="61"/>
  <c r="G40" i="61"/>
  <c r="G49" i="61"/>
  <c r="G51" i="61"/>
  <c r="F4" i="61"/>
  <c r="F40" i="61"/>
  <c r="H230" i="48"/>
  <c r="I246" i="48"/>
  <c r="K230" i="48"/>
  <c r="J230" i="48"/>
  <c r="L230" i="48"/>
  <c r="I230" i="48"/>
  <c r="M230" i="48"/>
  <c r="F230" i="48"/>
  <c r="G230" i="48"/>
  <c r="E230" i="48"/>
  <c r="D230" i="48"/>
  <c r="D231" i="48"/>
  <c r="D108" i="133"/>
  <c r="D123" i="133"/>
  <c r="D113" i="133"/>
  <c r="D104" i="133"/>
  <c r="D105" i="133" s="1"/>
  <c r="Q103" i="33"/>
  <c r="Q161" i="33"/>
  <c r="Q180" i="33"/>
  <c r="P112" i="31"/>
  <c r="E38" i="13" s="1"/>
  <c r="E39" i="13"/>
  <c r="H49" i="159"/>
  <c r="G56" i="159"/>
  <c r="G62" i="159"/>
  <c r="G69" i="159"/>
  <c r="G74" i="159"/>
  <c r="G13" i="6"/>
  <c r="G19" i="5"/>
  <c r="D110" i="90"/>
  <c r="D124" i="90"/>
  <c r="D114" i="90"/>
  <c r="C107" i="90"/>
  <c r="C108" i="90"/>
  <c r="I11" i="90"/>
  <c r="D113" i="160"/>
  <c r="D123" i="160"/>
  <c r="D108" i="160"/>
  <c r="D104" i="160"/>
  <c r="D105" i="160" s="1"/>
  <c r="D60" i="90"/>
  <c r="F60" i="90"/>
  <c r="E60" i="90"/>
  <c r="I60" i="90"/>
  <c r="H60" i="90"/>
  <c r="G60" i="90"/>
  <c r="C85" i="90"/>
  <c r="G56" i="117"/>
  <c r="G62" i="117"/>
  <c r="G69" i="117"/>
  <c r="G74" i="117"/>
  <c r="H49" i="117"/>
  <c r="H17" i="159"/>
  <c r="M43" i="4"/>
  <c r="H65" i="116"/>
  <c r="I65" i="116"/>
  <c r="I97" i="116"/>
  <c r="C53" i="116"/>
  <c r="F77" i="76"/>
  <c r="I161" i="33"/>
  <c r="I103" i="33"/>
  <c r="O198" i="63"/>
  <c r="G218" i="63"/>
  <c r="I11" i="29"/>
  <c r="V11" i="29" s="1"/>
  <c r="K25" i="40"/>
  <c r="K26" i="40"/>
  <c r="K27" i="40"/>
  <c r="L21" i="40"/>
  <c r="G118" i="110"/>
  <c r="G114" i="110"/>
  <c r="G128" i="110"/>
  <c r="G110" i="110"/>
  <c r="G111" i="110"/>
  <c r="C111" i="110"/>
  <c r="C112" i="110" s="1"/>
  <c r="I11" i="110" s="1"/>
  <c r="P44" i="63"/>
  <c r="P43" i="63"/>
  <c r="P45" i="63"/>
  <c r="Q133" i="33"/>
  <c r="H88" i="116"/>
  <c r="Q15" i="48"/>
  <c r="P18" i="48"/>
  <c r="P21" i="48"/>
  <c r="P197" i="48"/>
  <c r="P218" i="48"/>
  <c r="L292" i="96"/>
  <c r="L96" i="119"/>
  <c r="I12" i="119"/>
  <c r="C38" i="96"/>
  <c r="C57" i="119"/>
  <c r="I11" i="119"/>
  <c r="I96" i="121"/>
  <c r="I293" i="96"/>
  <c r="H63" i="176"/>
  <c r="H96" i="176"/>
  <c r="I292" i="96"/>
  <c r="I96" i="119"/>
  <c r="T102" i="63"/>
  <c r="T104" i="63"/>
  <c r="T107" i="63"/>
  <c r="M238" i="76"/>
  <c r="F208" i="63"/>
  <c r="H124" i="90"/>
  <c r="H114" i="90"/>
  <c r="H110" i="90"/>
  <c r="D238" i="76"/>
  <c r="D247" i="76"/>
  <c r="E225" i="76"/>
  <c r="J234" i="63"/>
  <c r="E218" i="63"/>
  <c r="N202" i="63"/>
  <c r="H91" i="121"/>
  <c r="H89" i="96"/>
  <c r="H140" i="96" s="1"/>
  <c r="H92" i="121"/>
  <c r="I98" i="110"/>
  <c r="I97" i="110"/>
  <c r="Q238" i="76"/>
  <c r="I238" i="76"/>
  <c r="Q17" i="132"/>
  <c r="O21" i="63"/>
  <c r="N22" i="63"/>
  <c r="N27" i="63"/>
  <c r="N28" i="63"/>
  <c r="P59" i="117"/>
  <c r="Q59" i="117"/>
  <c r="N24" i="181"/>
  <c r="N9" i="181"/>
  <c r="O23" i="181"/>
  <c r="M32" i="181"/>
  <c r="M33" i="181"/>
  <c r="N7" i="181"/>
  <c r="M13" i="181"/>
  <c r="M42" i="181"/>
  <c r="G37" i="76"/>
  <c r="C37" i="76"/>
  <c r="F186" i="76"/>
  <c r="F38" i="76"/>
  <c r="F39" i="76"/>
  <c r="F73" i="76"/>
  <c r="F74" i="76"/>
  <c r="E220" i="66"/>
  <c r="E229" i="66"/>
  <c r="I220" i="66"/>
  <c r="I229" i="66"/>
  <c r="G220" i="66"/>
  <c r="G229" i="66"/>
  <c r="H220" i="66"/>
  <c r="H229" i="66"/>
  <c r="K220" i="66"/>
  <c r="K229" i="66"/>
  <c r="M220" i="66"/>
  <c r="M229" i="66"/>
  <c r="O220" i="66"/>
  <c r="O229" i="66"/>
  <c r="Q220" i="66"/>
  <c r="Q229" i="66"/>
  <c r="D220" i="66"/>
  <c r="D229" i="66"/>
  <c r="F220" i="66"/>
  <c r="F229" i="66"/>
  <c r="J220" i="66"/>
  <c r="J229" i="66"/>
  <c r="L220" i="66"/>
  <c r="L229" i="66"/>
  <c r="N220" i="66"/>
  <c r="N229" i="66"/>
  <c r="P220" i="66"/>
  <c r="P229" i="66"/>
  <c r="R220" i="66"/>
  <c r="R229" i="66"/>
  <c r="K125" i="76"/>
  <c r="J128" i="76"/>
  <c r="S211" i="65"/>
  <c r="F211" i="65"/>
  <c r="N211" i="65"/>
  <c r="D211" i="65"/>
  <c r="D212" i="65"/>
  <c r="K211" i="65"/>
  <c r="E211" i="65"/>
  <c r="P211" i="65"/>
  <c r="M211" i="65"/>
  <c r="I211" i="65"/>
  <c r="R211" i="65"/>
  <c r="G211" i="65"/>
  <c r="O211" i="65"/>
  <c r="L211" i="65"/>
  <c r="J211" i="65"/>
  <c r="H211" i="65"/>
  <c r="Q211" i="65"/>
  <c r="F223" i="66"/>
  <c r="F232" i="66"/>
  <c r="J223" i="66"/>
  <c r="J232" i="66"/>
  <c r="L223" i="66"/>
  <c r="L232" i="66"/>
  <c r="N223" i="66"/>
  <c r="N232" i="66"/>
  <c r="P223" i="66"/>
  <c r="P232" i="66"/>
  <c r="E223" i="66"/>
  <c r="E232" i="66"/>
  <c r="I223" i="66"/>
  <c r="I232" i="66"/>
  <c r="D223" i="66"/>
  <c r="D232" i="66"/>
  <c r="G223" i="66"/>
  <c r="G232" i="66"/>
  <c r="H223" i="66"/>
  <c r="H232" i="66"/>
  <c r="K223" i="66"/>
  <c r="K232" i="66"/>
  <c r="M223" i="66"/>
  <c r="M232" i="66"/>
  <c r="O223" i="66"/>
  <c r="O232" i="66"/>
  <c r="Q223" i="66"/>
  <c r="Q232" i="66"/>
  <c r="R223" i="66"/>
  <c r="R232" i="66"/>
  <c r="C20" i="69"/>
  <c r="C22" i="69"/>
  <c r="C12" i="69"/>
  <c r="D123" i="134"/>
  <c r="D104" i="134"/>
  <c r="D105" i="134" s="1"/>
  <c r="D108" i="134"/>
  <c r="D113" i="134"/>
  <c r="D123" i="121"/>
  <c r="D113" i="121"/>
  <c r="D108" i="121"/>
  <c r="D108" i="119"/>
  <c r="D113" i="119"/>
  <c r="D123" i="119"/>
  <c r="D104" i="119"/>
  <c r="D105" i="119" s="1"/>
  <c r="F78" i="117"/>
  <c r="F87" i="117"/>
  <c r="F82" i="117"/>
  <c r="F95" i="117"/>
  <c r="N4" i="4"/>
  <c r="N31" i="4"/>
  <c r="O1" i="4"/>
  <c r="I214" i="76"/>
  <c r="J191" i="76"/>
  <c r="G77" i="76"/>
  <c r="F125" i="116"/>
  <c r="E128" i="116"/>
  <c r="H35" i="87"/>
  <c r="H52" i="87"/>
  <c r="H59" i="87"/>
  <c r="H64" i="87"/>
  <c r="H71" i="87"/>
  <c r="I13" i="87"/>
  <c r="F124" i="90"/>
  <c r="F110" i="90"/>
  <c r="F114" i="90"/>
  <c r="W23" i="29"/>
  <c r="Y185" i="31"/>
  <c r="X119" i="31"/>
  <c r="P40" i="4"/>
  <c r="X185" i="31"/>
  <c r="M16" i="87"/>
  <c r="L18" i="87"/>
  <c r="L22" i="87"/>
  <c r="G79" i="116"/>
  <c r="G135" i="116"/>
  <c r="C86" i="116"/>
  <c r="H79" i="116"/>
  <c r="K79" i="116"/>
  <c r="E79" i="116"/>
  <c r="J135" i="116"/>
  <c r="I79" i="116"/>
  <c r="H135" i="116"/>
  <c r="I135" i="116"/>
  <c r="D79" i="116"/>
  <c r="E135" i="116"/>
  <c r="D135" i="116"/>
  <c r="F79" i="116"/>
  <c r="K135" i="116"/>
  <c r="J79" i="116"/>
  <c r="F135" i="116"/>
  <c r="H124" i="116"/>
  <c r="H106" i="116"/>
  <c r="H107" i="116"/>
  <c r="H114" i="116"/>
  <c r="H110" i="116"/>
  <c r="J63" i="176"/>
  <c r="J96" i="176"/>
  <c r="L91" i="48"/>
  <c r="M88" i="48"/>
  <c r="P14" i="65"/>
  <c r="Q19" i="65"/>
  <c r="E183" i="31"/>
  <c r="E22" i="31"/>
  <c r="M293" i="96"/>
  <c r="M96" i="121"/>
  <c r="G124" i="176"/>
  <c r="G96" i="176"/>
  <c r="G86" i="110"/>
  <c r="G140" i="110"/>
  <c r="G141" i="110"/>
  <c r="H137" i="110"/>
  <c r="H141" i="110"/>
  <c r="I137" i="110"/>
  <c r="I141" i="110"/>
  <c r="J137" i="110"/>
  <c r="J141" i="110"/>
  <c r="N5" i="121"/>
  <c r="C89" i="96"/>
  <c r="N106" i="96" s="1"/>
  <c r="G89" i="96"/>
  <c r="G140" i="96" s="1"/>
  <c r="G92" i="121"/>
  <c r="G91" i="121"/>
  <c r="E169" i="66"/>
  <c r="E196" i="66"/>
  <c r="J83" i="40"/>
  <c r="R217" i="66"/>
  <c r="R226" i="66"/>
  <c r="Q226" i="66"/>
  <c r="L73" i="65"/>
  <c r="L175" i="65"/>
  <c r="K73" i="65"/>
  <c r="K175" i="65"/>
  <c r="C62" i="76"/>
  <c r="N142" i="48"/>
  <c r="N141" i="48"/>
  <c r="Q136" i="48"/>
  <c r="P139" i="48"/>
  <c r="K59" i="117"/>
  <c r="E59" i="117"/>
  <c r="N19" i="181"/>
  <c r="N20" i="181"/>
  <c r="O17" i="181"/>
  <c r="M8" i="181"/>
  <c r="J22" i="179"/>
  <c r="J25" i="179"/>
  <c r="O23" i="179"/>
  <c r="O24" i="179"/>
  <c r="F14" i="155"/>
  <c r="F34" i="155"/>
  <c r="F49" i="155"/>
  <c r="F14" i="134"/>
  <c r="F34" i="134"/>
  <c r="F49" i="134"/>
  <c r="F14" i="176"/>
  <c r="F34" i="176"/>
  <c r="F49" i="176"/>
  <c r="F14" i="161"/>
  <c r="F34" i="161" s="1"/>
  <c r="F49" i="161" s="1"/>
  <c r="F34" i="119"/>
  <c r="F49" i="119"/>
  <c r="F14" i="132"/>
  <c r="F34" i="132"/>
  <c r="F49" i="132"/>
  <c r="F14" i="157"/>
  <c r="F34" i="157" s="1"/>
  <c r="F49" i="157" s="1"/>
  <c r="G49" i="157" s="1"/>
  <c r="F14" i="160"/>
  <c r="F34" i="160"/>
  <c r="F49" i="160"/>
  <c r="F14" i="133"/>
  <c r="F34" i="133"/>
  <c r="F49" i="133"/>
  <c r="F14" i="156"/>
  <c r="F34" i="156"/>
  <c r="F49" i="156"/>
  <c r="F14" i="135"/>
  <c r="F34" i="135"/>
  <c r="F49" i="135"/>
  <c r="F14" i="121"/>
  <c r="F34" i="121"/>
  <c r="F49" i="121"/>
  <c r="F14" i="137"/>
  <c r="F34" i="137"/>
  <c r="F49" i="137"/>
  <c r="C62" i="179"/>
  <c r="F6" i="179"/>
  <c r="E61" i="65"/>
  <c r="C55" i="65"/>
  <c r="J169" i="48"/>
  <c r="C56" i="48"/>
  <c r="J179" i="48"/>
  <c r="S63" i="46"/>
  <c r="E224" i="66"/>
  <c r="E233" i="66"/>
  <c r="I224" i="66"/>
  <c r="I233" i="66"/>
  <c r="G224" i="66"/>
  <c r="G233" i="66"/>
  <c r="H224" i="66"/>
  <c r="H233" i="66"/>
  <c r="K224" i="66"/>
  <c r="K233" i="66"/>
  <c r="M224" i="66"/>
  <c r="M233" i="66"/>
  <c r="O224" i="66"/>
  <c r="O233" i="66"/>
  <c r="Q224" i="66"/>
  <c r="Q233" i="66"/>
  <c r="D224" i="66"/>
  <c r="D233" i="66"/>
  <c r="F224" i="66"/>
  <c r="F233" i="66"/>
  <c r="J224" i="66"/>
  <c r="J233" i="66"/>
  <c r="L224" i="66"/>
  <c r="L233" i="66"/>
  <c r="N224" i="66"/>
  <c r="N233" i="66"/>
  <c r="P224" i="66"/>
  <c r="P233" i="66"/>
  <c r="R224" i="66"/>
  <c r="R233" i="66"/>
  <c r="I131" i="76"/>
  <c r="I130" i="76"/>
  <c r="G70" i="65"/>
  <c r="J70" i="65"/>
  <c r="H70" i="65"/>
  <c r="I70" i="65"/>
  <c r="D222" i="66"/>
  <c r="D231" i="66"/>
  <c r="E222" i="66"/>
  <c r="E231" i="66"/>
  <c r="I222" i="66"/>
  <c r="I231" i="66"/>
  <c r="G222" i="66"/>
  <c r="G231" i="66"/>
  <c r="H222" i="66"/>
  <c r="H231" i="66"/>
  <c r="K222" i="66"/>
  <c r="K231" i="66"/>
  <c r="M222" i="66"/>
  <c r="M231" i="66"/>
  <c r="O222" i="66"/>
  <c r="O231" i="66"/>
  <c r="Q222" i="66"/>
  <c r="Q231" i="66"/>
  <c r="F222" i="66"/>
  <c r="F231" i="66"/>
  <c r="J222" i="66"/>
  <c r="J231" i="66"/>
  <c r="L222" i="66"/>
  <c r="L231" i="66"/>
  <c r="N222" i="66"/>
  <c r="N231" i="66"/>
  <c r="P222" i="66"/>
  <c r="P231" i="66"/>
  <c r="P225" i="66"/>
  <c r="R222" i="66"/>
  <c r="R231" i="66"/>
  <c r="I17" i="121"/>
  <c r="E123" i="159"/>
  <c r="E108" i="159"/>
  <c r="E113" i="159"/>
  <c r="D113" i="135"/>
  <c r="D108" i="135"/>
  <c r="D123" i="135"/>
  <c r="D108" i="157"/>
  <c r="D113" i="157"/>
  <c r="L15" i="65"/>
  <c r="K18" i="65"/>
  <c r="K21" i="65"/>
  <c r="J183" i="65"/>
  <c r="J17" i="135"/>
  <c r="L208" i="63"/>
  <c r="R208" i="63"/>
  <c r="R206" i="63"/>
  <c r="R207" i="63" s="1"/>
  <c r="F132" i="110"/>
  <c r="G129" i="110"/>
  <c r="J174" i="33"/>
  <c r="I22" i="33"/>
  <c r="I158" i="33" s="1"/>
  <c r="I139" i="33"/>
  <c r="I140" i="33"/>
  <c r="I109" i="33"/>
  <c r="I156" i="33"/>
  <c r="I28" i="29"/>
  <c r="I174" i="33"/>
  <c r="G84" i="87"/>
  <c r="G96" i="87"/>
  <c r="G118" i="87"/>
  <c r="G76" i="87"/>
  <c r="G80" i="87"/>
  <c r="N18" i="116"/>
  <c r="N22" i="116"/>
  <c r="O16" i="116"/>
  <c r="Y142" i="31"/>
  <c r="Y96" i="31"/>
  <c r="Y99" i="31"/>
  <c r="X23" i="31"/>
  <c r="O30" i="6"/>
  <c r="X24" i="31"/>
  <c r="J94" i="48"/>
  <c r="J95" i="48"/>
  <c r="J212" i="48"/>
  <c r="J207" i="48"/>
  <c r="O19" i="134"/>
  <c r="P17" i="134"/>
  <c r="J110" i="31"/>
  <c r="J170" i="31"/>
  <c r="J189" i="31"/>
  <c r="J140" i="31"/>
  <c r="K94" i="48"/>
  <c r="K95" i="48"/>
  <c r="K212" i="48"/>
  <c r="K207" i="48"/>
  <c r="K246" i="48"/>
  <c r="I63" i="176"/>
  <c r="I96" i="176"/>
  <c r="J292" i="96"/>
  <c r="J96" i="119"/>
  <c r="E243" i="48"/>
  <c r="E252" i="48"/>
  <c r="F243" i="48"/>
  <c r="F252" i="48"/>
  <c r="M243" i="48"/>
  <c r="M252" i="48"/>
  <c r="G243" i="48"/>
  <c r="G252" i="48"/>
  <c r="N243" i="48"/>
  <c r="N252" i="48"/>
  <c r="O243" i="48"/>
  <c r="O252" i="48"/>
  <c r="K243" i="48"/>
  <c r="K252" i="48"/>
  <c r="R243" i="48"/>
  <c r="R252" i="48"/>
  <c r="J243" i="48"/>
  <c r="J252" i="48"/>
  <c r="H243" i="48"/>
  <c r="H252" i="48"/>
  <c r="Q243" i="48"/>
  <c r="Q252" i="48"/>
  <c r="P243" i="48"/>
  <c r="P252" i="48"/>
  <c r="I243" i="48"/>
  <c r="I252" i="48"/>
  <c r="D243" i="48"/>
  <c r="D252" i="48"/>
  <c r="L243" i="48"/>
  <c r="L252" i="48"/>
  <c r="D238" i="48"/>
  <c r="K238" i="48"/>
  <c r="M238" i="48"/>
  <c r="F238" i="48"/>
  <c r="O238" i="48"/>
  <c r="I238" i="48"/>
  <c r="G238" i="48"/>
  <c r="H238" i="48"/>
  <c r="L238" i="48"/>
  <c r="Q238" i="48"/>
  <c r="E238" i="48"/>
  <c r="J238" i="48"/>
  <c r="N238" i="48"/>
  <c r="P238" i="48"/>
  <c r="R238" i="48"/>
  <c r="R247" i="48"/>
  <c r="G120" i="116"/>
  <c r="G121" i="116"/>
  <c r="H118" i="116"/>
  <c r="J73" i="66"/>
  <c r="J175" i="66"/>
  <c r="J62" i="66"/>
  <c r="K60" i="66"/>
  <c r="D83" i="121"/>
  <c r="D125" i="121"/>
  <c r="K92" i="121"/>
  <c r="K91" i="121"/>
  <c r="K89" i="96"/>
  <c r="K174" i="96" s="1"/>
  <c r="O217" i="65"/>
  <c r="N226" i="65"/>
  <c r="N225" i="65"/>
  <c r="H125" i="110"/>
  <c r="I122" i="110"/>
  <c r="H124" i="110"/>
  <c r="F238" i="76"/>
  <c r="O32" i="66"/>
  <c r="N116" i="66"/>
  <c r="N153" i="66"/>
  <c r="N54" i="66"/>
  <c r="N88" i="66"/>
  <c r="N145" i="66"/>
  <c r="N164" i="66"/>
  <c r="N174" i="66"/>
  <c r="N189" i="66"/>
  <c r="M174" i="96"/>
  <c r="M140" i="96"/>
  <c r="I114" i="116"/>
  <c r="J114" i="116"/>
  <c r="K114" i="116"/>
  <c r="I124" i="116"/>
  <c r="I110" i="116"/>
  <c r="I106" i="116"/>
  <c r="I107" i="116"/>
  <c r="G188" i="76"/>
  <c r="G164" i="76"/>
  <c r="AG8" i="63"/>
  <c r="AG3" i="63"/>
  <c r="AG10" i="63"/>
  <c r="AF3" i="63"/>
  <c r="AF10" i="63"/>
  <c r="O141" i="48"/>
  <c r="O142" i="48"/>
  <c r="N59" i="117"/>
  <c r="F59" i="117"/>
  <c r="I42" i="181"/>
  <c r="H32" i="181"/>
  <c r="H42" i="181"/>
  <c r="Q19" i="181"/>
  <c r="S19" i="181"/>
  <c r="S21" i="181"/>
  <c r="S22" i="181"/>
  <c r="C79" i="179"/>
  <c r="F9" i="179"/>
  <c r="I59" i="176"/>
  <c r="J59" i="176"/>
  <c r="D59" i="176"/>
  <c r="N59" i="176"/>
  <c r="M59" i="176"/>
  <c r="G59" i="176"/>
  <c r="H59" i="176"/>
  <c r="O59" i="176"/>
  <c r="K59" i="176"/>
  <c r="L59" i="176"/>
  <c r="P59" i="176"/>
  <c r="E59" i="176"/>
  <c r="F59" i="176"/>
  <c r="Q59" i="176"/>
  <c r="G34" i="117"/>
  <c r="G14" i="159"/>
  <c r="G34" i="159"/>
  <c r="H14" i="117"/>
  <c r="G14" i="119"/>
  <c r="N24" i="179"/>
  <c r="J23" i="179"/>
  <c r="F17" i="176"/>
  <c r="K97" i="76"/>
  <c r="J100" i="76"/>
  <c r="J58" i="48"/>
  <c r="K58" i="48"/>
  <c r="K146" i="66"/>
  <c r="O146" i="66"/>
  <c r="Q146" i="66"/>
  <c r="I146" i="66"/>
  <c r="I165" i="66"/>
  <c r="R146" i="66"/>
  <c r="H146" i="66"/>
  <c r="P146" i="66"/>
  <c r="M146" i="66"/>
  <c r="J146" i="66"/>
  <c r="L146" i="66"/>
  <c r="N146" i="66"/>
  <c r="D218" i="66"/>
  <c r="D227" i="66"/>
  <c r="E218" i="66"/>
  <c r="E227" i="66"/>
  <c r="I218" i="66"/>
  <c r="I227" i="66"/>
  <c r="G218" i="66"/>
  <c r="G227" i="66"/>
  <c r="H218" i="66"/>
  <c r="H227" i="66"/>
  <c r="K218" i="66"/>
  <c r="K227" i="66"/>
  <c r="M218" i="66"/>
  <c r="M227" i="66"/>
  <c r="M225" i="66"/>
  <c r="O218" i="66"/>
  <c r="O227" i="66"/>
  <c r="Q218" i="66"/>
  <c r="Q227" i="66"/>
  <c r="F218" i="66"/>
  <c r="F227" i="66"/>
  <c r="J218" i="66"/>
  <c r="J227" i="66"/>
  <c r="L218" i="66"/>
  <c r="L227" i="66"/>
  <c r="N218" i="66"/>
  <c r="N227" i="66"/>
  <c r="P218" i="66"/>
  <c r="P227" i="66"/>
  <c r="R218" i="66"/>
  <c r="R227" i="66"/>
  <c r="G183" i="66"/>
  <c r="F201" i="66"/>
  <c r="Q109" i="33"/>
  <c r="Q22" i="33"/>
  <c r="Q139" i="33"/>
  <c r="Q140" i="33"/>
  <c r="Q156" i="33"/>
  <c r="Q174" i="33"/>
  <c r="J210" i="48"/>
  <c r="F78" i="159"/>
  <c r="F87" i="159"/>
  <c r="F82" i="159"/>
  <c r="F95" i="159"/>
  <c r="D108" i="132"/>
  <c r="D113" i="132"/>
  <c r="D123" i="132"/>
  <c r="D104" i="132"/>
  <c r="D105" i="132" s="1"/>
  <c r="I201" i="65"/>
  <c r="R53" i="46"/>
  <c r="S53" i="46"/>
  <c r="X80" i="63"/>
  <c r="O99" i="63"/>
  <c r="J13" i="76"/>
  <c r="J52" i="76"/>
  <c r="J96" i="76"/>
  <c r="J153" i="76"/>
  <c r="J172" i="76"/>
  <c r="J182" i="76"/>
  <c r="J202" i="76"/>
  <c r="J212" i="76"/>
  <c r="J124" i="76"/>
  <c r="J161" i="76"/>
  <c r="K35" i="76"/>
  <c r="M26" i="33"/>
  <c r="M129" i="33"/>
  <c r="M107" i="33"/>
  <c r="M20" i="33"/>
  <c r="M26" i="29"/>
  <c r="M154" i="33"/>
  <c r="N172" i="33"/>
  <c r="J30" i="40"/>
  <c r="T11" i="42"/>
  <c r="S11" i="44"/>
  <c r="I95" i="48"/>
  <c r="I212" i="48"/>
  <c r="I94" i="48"/>
  <c r="I207" i="48"/>
  <c r="M16" i="110"/>
  <c r="L18" i="110"/>
  <c r="L22" i="110"/>
  <c r="D19" i="5"/>
  <c r="L22" i="31"/>
  <c r="L116" i="31"/>
  <c r="M183" i="31"/>
  <c r="L165" i="31"/>
  <c r="L148" i="31"/>
  <c r="L149" i="31"/>
  <c r="J111" i="31"/>
  <c r="J115" i="31"/>
  <c r="J113" i="31" s="1"/>
  <c r="J112" i="31" s="1"/>
  <c r="J167" i="31"/>
  <c r="J24" i="31"/>
  <c r="H127" i="116"/>
  <c r="I127" i="116"/>
  <c r="J127" i="116"/>
  <c r="K127" i="116"/>
  <c r="J65" i="116"/>
  <c r="J97" i="116"/>
  <c r="E110" i="31"/>
  <c r="E140" i="31"/>
  <c r="E189" i="31"/>
  <c r="E170" i="31"/>
  <c r="J50" i="176"/>
  <c r="K52" i="176"/>
  <c r="G292" i="96"/>
  <c r="G96" i="119"/>
  <c r="G124" i="119"/>
  <c r="J96" i="121"/>
  <c r="J293" i="96"/>
  <c r="L96" i="121"/>
  <c r="L293" i="96"/>
  <c r="H293" i="96"/>
  <c r="C63" i="121"/>
  <c r="H124" i="121"/>
  <c r="H96" i="121"/>
  <c r="I114" i="90"/>
  <c r="J114" i="90"/>
  <c r="K114" i="90"/>
  <c r="L114" i="90"/>
  <c r="M114" i="90"/>
  <c r="I110" i="90"/>
  <c r="I124" i="90"/>
  <c r="L82" i="40"/>
  <c r="G196" i="65"/>
  <c r="I73" i="66"/>
  <c r="I175" i="66"/>
  <c r="C175" i="66"/>
  <c r="C61" i="66"/>
  <c r="H60" i="110"/>
  <c r="G60" i="110"/>
  <c r="J65" i="110"/>
  <c r="J98" i="110"/>
  <c r="J97" i="110"/>
  <c r="D60" i="110"/>
  <c r="C81" i="110"/>
  <c r="C85" i="110"/>
  <c r="I60" i="110"/>
  <c r="J60" i="110"/>
  <c r="E60" i="110"/>
  <c r="F60" i="110"/>
  <c r="H238" i="76"/>
  <c r="I183" i="76"/>
  <c r="I62" i="76"/>
  <c r="C61" i="76"/>
  <c r="I81" i="76"/>
  <c r="G238" i="76"/>
  <c r="E187" i="66"/>
  <c r="E182" i="66"/>
  <c r="E184" i="66"/>
  <c r="J165" i="66"/>
  <c r="J164" i="76"/>
  <c r="J188" i="76"/>
  <c r="F154" i="66"/>
  <c r="P83" i="40"/>
  <c r="K196" i="66"/>
  <c r="J84" i="116"/>
  <c r="J96" i="116"/>
  <c r="J80" i="116"/>
  <c r="J88" i="116"/>
  <c r="K76" i="116"/>
  <c r="C183" i="76"/>
  <c r="O19" i="155"/>
  <c r="P19" i="155"/>
  <c r="L55" i="40"/>
  <c r="E9" i="58"/>
  <c r="G86" i="121"/>
  <c r="G101" i="121"/>
  <c r="F101" i="121"/>
  <c r="F86" i="121"/>
  <c r="C86" i="121"/>
  <c r="D8" i="121"/>
  <c r="C101" i="121"/>
  <c r="K86" i="121"/>
  <c r="K101" i="121"/>
  <c r="M101" i="121"/>
  <c r="M86" i="121"/>
  <c r="I101" i="121"/>
  <c r="I86" i="121"/>
  <c r="L86" i="121"/>
  <c r="L101" i="121"/>
  <c r="D86" i="121"/>
  <c r="D101" i="121"/>
  <c r="H86" i="121"/>
  <c r="H101" i="121"/>
  <c r="J101" i="121"/>
  <c r="J86" i="121"/>
  <c r="E101" i="121"/>
  <c r="E86" i="121"/>
  <c r="M29" i="174"/>
  <c r="E35" i="135"/>
  <c r="E99" i="135"/>
  <c r="E133" i="135"/>
  <c r="D35" i="135"/>
  <c r="D99" i="135"/>
  <c r="D133" i="135"/>
  <c r="C99" i="135"/>
  <c r="M35" i="135"/>
  <c r="M99" i="135"/>
  <c r="M133" i="135"/>
  <c r="K35" i="135"/>
  <c r="K99" i="135"/>
  <c r="K133" i="135"/>
  <c r="I35" i="135"/>
  <c r="I99" i="135"/>
  <c r="I133" i="135"/>
  <c r="F35" i="135"/>
  <c r="F99" i="135"/>
  <c r="F133" i="135"/>
  <c r="H35" i="135"/>
  <c r="H99" i="135" s="1"/>
  <c r="H133" i="135" s="1"/>
  <c r="G35" i="135"/>
  <c r="G99" i="135"/>
  <c r="G133" i="135"/>
  <c r="J35" i="135"/>
  <c r="J99" i="135"/>
  <c r="J133" i="135"/>
  <c r="L35" i="135"/>
  <c r="L99" i="135"/>
  <c r="C76" i="117"/>
  <c r="D6" i="117"/>
  <c r="I76" i="117"/>
  <c r="Q76" i="117"/>
  <c r="P76" i="117"/>
  <c r="F76" i="117"/>
  <c r="K76" i="117"/>
  <c r="C35" i="117"/>
  <c r="M76" i="117"/>
  <c r="L76" i="117"/>
  <c r="D76" i="117"/>
  <c r="J76" i="117"/>
  <c r="G76" i="117"/>
  <c r="H76" i="117"/>
  <c r="E76" i="117"/>
  <c r="D59" i="117"/>
  <c r="I59" i="117"/>
  <c r="J59" i="117"/>
  <c r="L59" i="117"/>
  <c r="L86" i="95"/>
  <c r="K86" i="95"/>
  <c r="P60" i="98"/>
  <c r="E133" i="159"/>
  <c r="I133" i="159"/>
  <c r="Q40" i="172"/>
  <c r="K70" i="137"/>
  <c r="K100" i="137" s="1"/>
  <c r="L70" i="137"/>
  <c r="L100" i="137" s="1"/>
  <c r="G75" i="137"/>
  <c r="I75" i="137"/>
  <c r="L75" i="137"/>
  <c r="C100" i="137"/>
  <c r="C75" i="137"/>
  <c r="M75" i="137"/>
  <c r="F75" i="137"/>
  <c r="E70" i="137"/>
  <c r="E100" i="137" s="1"/>
  <c r="M70" i="137"/>
  <c r="M100" i="137" s="1"/>
  <c r="D70" i="137"/>
  <c r="D100" i="137" s="1"/>
  <c r="J75" i="137"/>
  <c r="E75" i="137"/>
  <c r="K75" i="137"/>
  <c r="F70" i="137"/>
  <c r="F100" i="137" s="1"/>
  <c r="H70" i="137"/>
  <c r="H100" i="137" s="1"/>
  <c r="G70" i="137"/>
  <c r="G100" i="137" s="1"/>
  <c r="J70" i="137"/>
  <c r="J100" i="137" s="1"/>
  <c r="I70" i="137"/>
  <c r="I100" i="137" s="1"/>
  <c r="D75" i="137"/>
  <c r="H75" i="137"/>
  <c r="D7" i="137"/>
  <c r="D42" i="96"/>
  <c r="D126" i="160"/>
  <c r="S49" i="172"/>
  <c r="R49" i="172"/>
  <c r="O63" i="95" s="1"/>
  <c r="O81" i="95" s="1"/>
  <c r="O19" i="177"/>
  <c r="P17" i="177"/>
  <c r="Q17" i="177"/>
  <c r="Q19" i="177"/>
  <c r="D40" i="96"/>
  <c r="D126" i="155"/>
  <c r="E14" i="180"/>
  <c r="D37" i="96"/>
  <c r="D126" i="159"/>
  <c r="E50" i="159"/>
  <c r="F52" i="159"/>
  <c r="J21" i="135"/>
  <c r="J21" i="121"/>
  <c r="J21" i="155"/>
  <c r="J21" i="137"/>
  <c r="J21" i="159"/>
  <c r="K21" i="156"/>
  <c r="J21" i="132"/>
  <c r="J21" i="133"/>
  <c r="J21" i="160"/>
  <c r="J21" i="176"/>
  <c r="K21" i="134"/>
  <c r="K21" i="119"/>
  <c r="K21" i="117"/>
  <c r="D126" i="133"/>
  <c r="D44" i="96"/>
  <c r="E50" i="133"/>
  <c r="F52" i="133"/>
  <c r="M86" i="95"/>
  <c r="D104" i="156"/>
  <c r="D105" i="156" s="1"/>
  <c r="E104" i="156"/>
  <c r="E105" i="156" s="1"/>
  <c r="L133" i="135"/>
  <c r="M106" i="96"/>
  <c r="O40" i="98"/>
  <c r="L38" i="98"/>
  <c r="M7" i="100"/>
  <c r="J201" i="65"/>
  <c r="C73" i="76"/>
  <c r="C78" i="76"/>
  <c r="C39" i="76"/>
  <c r="C40" i="76"/>
  <c r="F11" i="179"/>
  <c r="F13" i="179"/>
  <c r="C25" i="179"/>
  <c r="N55" i="40"/>
  <c r="M150" i="66"/>
  <c r="M195" i="66"/>
  <c r="M190" i="66"/>
  <c r="G17" i="176"/>
  <c r="Q247" i="48"/>
  <c r="R239" i="48"/>
  <c r="R248" i="48"/>
  <c r="F56" i="137"/>
  <c r="F62" i="137"/>
  <c r="F69" i="137"/>
  <c r="F74" i="137"/>
  <c r="G49" i="137"/>
  <c r="J13" i="87"/>
  <c r="I35" i="87"/>
  <c r="I52" i="87"/>
  <c r="I59" i="87"/>
  <c r="I64" i="87"/>
  <c r="I71" i="87"/>
  <c r="G82" i="159"/>
  <c r="G95" i="159"/>
  <c r="G78" i="159"/>
  <c r="G87" i="159" s="1"/>
  <c r="H225" i="66"/>
  <c r="I188" i="76"/>
  <c r="I164" i="76"/>
  <c r="I175" i="76"/>
  <c r="E81" i="110"/>
  <c r="E85" i="110"/>
  <c r="M28" i="29"/>
  <c r="M156" i="33"/>
  <c r="M109" i="33"/>
  <c r="M22" i="33"/>
  <c r="M139" i="33"/>
  <c r="M140" i="33"/>
  <c r="L97" i="76"/>
  <c r="K100" i="76"/>
  <c r="I125" i="110"/>
  <c r="J122" i="110"/>
  <c r="I124" i="110"/>
  <c r="I247" i="48"/>
  <c r="J239" i="48"/>
  <c r="Q17" i="134"/>
  <c r="G49" i="119"/>
  <c r="F56" i="119"/>
  <c r="F62" i="119"/>
  <c r="F69" i="119"/>
  <c r="F74" i="119"/>
  <c r="R225" i="66"/>
  <c r="E197" i="66"/>
  <c r="E171" i="66"/>
  <c r="I136" i="116"/>
  <c r="I86" i="116"/>
  <c r="N16" i="87"/>
  <c r="M18" i="87"/>
  <c r="M22" i="87"/>
  <c r="E226" i="76"/>
  <c r="E247" i="76"/>
  <c r="F225" i="76"/>
  <c r="F225" i="66"/>
  <c r="N150" i="66"/>
  <c r="N195" i="66"/>
  <c r="N190" i="66"/>
  <c r="Q150" i="66"/>
  <c r="Q195" i="66"/>
  <c r="Q190" i="66"/>
  <c r="K190" i="48"/>
  <c r="K72" i="48"/>
  <c r="O54" i="66"/>
  <c r="O88" i="66"/>
  <c r="O145" i="66"/>
  <c r="O164" i="66"/>
  <c r="O174" i="66"/>
  <c r="O189" i="66"/>
  <c r="O116" i="66"/>
  <c r="O153" i="66"/>
  <c r="P32" i="66"/>
  <c r="H120" i="116"/>
  <c r="H121" i="116"/>
  <c r="I118" i="116"/>
  <c r="N247" i="48"/>
  <c r="O239" i="48"/>
  <c r="L247" i="48"/>
  <c r="M239" i="48"/>
  <c r="O247" i="48"/>
  <c r="P239" i="48"/>
  <c r="D247" i="48"/>
  <c r="D244" i="48"/>
  <c r="E239" i="48"/>
  <c r="F56" i="121"/>
  <c r="F62" i="121"/>
  <c r="F69" i="121"/>
  <c r="F74" i="121"/>
  <c r="G49" i="121"/>
  <c r="F56" i="160"/>
  <c r="F62" i="160"/>
  <c r="F69" i="160"/>
  <c r="F74" i="160"/>
  <c r="G49" i="160"/>
  <c r="R136" i="48"/>
  <c r="R139" i="48"/>
  <c r="Q139" i="48"/>
  <c r="G127" i="176"/>
  <c r="H124" i="176"/>
  <c r="N88" i="48"/>
  <c r="M91" i="48"/>
  <c r="D136" i="116"/>
  <c r="D137" i="116"/>
  <c r="E133" i="116"/>
  <c r="D86" i="116"/>
  <c r="H84" i="87"/>
  <c r="H96" i="87"/>
  <c r="H118" i="87"/>
  <c r="H76" i="87"/>
  <c r="H80" i="87"/>
  <c r="C80" i="87"/>
  <c r="K191" i="76"/>
  <c r="J214" i="76"/>
  <c r="F104" i="117"/>
  <c r="F105" i="117" s="1"/>
  <c r="F108" i="117"/>
  <c r="F113" i="117"/>
  <c r="F123" i="117"/>
  <c r="N39" i="63"/>
  <c r="N46" i="63"/>
  <c r="N40" i="63"/>
  <c r="N41" i="63"/>
  <c r="Q18" i="48"/>
  <c r="Q21" i="48"/>
  <c r="Q197" i="48"/>
  <c r="Q218" i="48"/>
  <c r="R15" i="48"/>
  <c r="R18" i="48"/>
  <c r="R21" i="48"/>
  <c r="M21" i="40"/>
  <c r="L25" i="40"/>
  <c r="L26" i="40"/>
  <c r="L27" i="40"/>
  <c r="H97" i="116"/>
  <c r="I17" i="159"/>
  <c r="I49" i="159"/>
  <c r="H56" i="159"/>
  <c r="H62" i="159"/>
  <c r="H69" i="159"/>
  <c r="H74" i="159"/>
  <c r="H245" i="48"/>
  <c r="J245" i="48"/>
  <c r="I245" i="48"/>
  <c r="C40" i="61"/>
  <c r="C49" i="61"/>
  <c r="F49" i="61"/>
  <c r="J225" i="66"/>
  <c r="K225" i="66"/>
  <c r="K84" i="116"/>
  <c r="K96" i="116"/>
  <c r="H81" i="110"/>
  <c r="H85" i="110"/>
  <c r="I150" i="66"/>
  <c r="I195" i="66"/>
  <c r="I190" i="66"/>
  <c r="K70" i="66"/>
  <c r="K69" i="66"/>
  <c r="K59" i="66"/>
  <c r="K247" i="48"/>
  <c r="L239" i="48"/>
  <c r="F56" i="155"/>
  <c r="F62" i="155"/>
  <c r="F69" i="155"/>
  <c r="F74" i="155"/>
  <c r="G49" i="155"/>
  <c r="P141" i="48"/>
  <c r="P142" i="48"/>
  <c r="N34" i="4"/>
  <c r="N43" i="4"/>
  <c r="N21" i="4" s="1"/>
  <c r="J85" i="110"/>
  <c r="J81" i="110"/>
  <c r="L52" i="176"/>
  <c r="K50" i="176"/>
  <c r="J124" i="116"/>
  <c r="J106" i="116"/>
  <c r="J107" i="116"/>
  <c r="J110" i="116"/>
  <c r="F165" i="66"/>
  <c r="I85" i="110"/>
  <c r="I81" i="110"/>
  <c r="F62" i="66"/>
  <c r="K62" i="66"/>
  <c r="L60" i="66"/>
  <c r="M62" i="66"/>
  <c r="N60" i="66"/>
  <c r="R62" i="66"/>
  <c r="P62" i="66"/>
  <c r="Q60" i="66"/>
  <c r="E62" i="66"/>
  <c r="D62" i="66"/>
  <c r="G62" i="66"/>
  <c r="Q62" i="66"/>
  <c r="R60" i="66"/>
  <c r="O62" i="66"/>
  <c r="P60" i="66"/>
  <c r="N62" i="66"/>
  <c r="O60" i="66"/>
  <c r="H62" i="66"/>
  <c r="L62" i="66"/>
  <c r="M60" i="66"/>
  <c r="I124" i="121"/>
  <c r="H127" i="121"/>
  <c r="H124" i="119"/>
  <c r="G127" i="119"/>
  <c r="N16" i="110"/>
  <c r="M18" i="110"/>
  <c r="M22" i="110"/>
  <c r="K17" i="157"/>
  <c r="L17" i="157" s="1"/>
  <c r="M17" i="157" s="1"/>
  <c r="N17" i="157" s="1"/>
  <c r="N225" i="66"/>
  <c r="D225" i="66"/>
  <c r="D234" i="66"/>
  <c r="E212" i="66"/>
  <c r="L150" i="66"/>
  <c r="L195" i="66"/>
  <c r="L190" i="66"/>
  <c r="H150" i="66"/>
  <c r="H195" i="66"/>
  <c r="H190" i="66"/>
  <c r="H165" i="66"/>
  <c r="O150" i="66"/>
  <c r="O195" i="66"/>
  <c r="O190" i="66"/>
  <c r="J72" i="48"/>
  <c r="J190" i="48"/>
  <c r="N199" i="66"/>
  <c r="P217" i="65"/>
  <c r="O226" i="65"/>
  <c r="O225" i="65"/>
  <c r="D129" i="121"/>
  <c r="E125" i="121"/>
  <c r="D128" i="121"/>
  <c r="D276" i="96"/>
  <c r="J156" i="66"/>
  <c r="J167" i="66"/>
  <c r="J180" i="66"/>
  <c r="J247" i="48"/>
  <c r="K239" i="48"/>
  <c r="H247" i="48"/>
  <c r="I239" i="48"/>
  <c r="F247" i="48"/>
  <c r="G239" i="48"/>
  <c r="X145" i="31"/>
  <c r="Y187" i="31"/>
  <c r="X25" i="31"/>
  <c r="X188" i="31"/>
  <c r="X187" i="31"/>
  <c r="M15" i="65"/>
  <c r="L18" i="65"/>
  <c r="L21" i="65"/>
  <c r="K183" i="65"/>
  <c r="I208" i="76"/>
  <c r="G59" i="65"/>
  <c r="I59" i="65"/>
  <c r="F59" i="65"/>
  <c r="H59" i="65"/>
  <c r="J59" i="65"/>
  <c r="J154" i="65"/>
  <c r="G49" i="135"/>
  <c r="F56" i="135"/>
  <c r="F62" i="135"/>
  <c r="F69" i="135"/>
  <c r="F74" i="135"/>
  <c r="F56" i="176"/>
  <c r="F62" i="176"/>
  <c r="F69" i="176"/>
  <c r="F74" i="176"/>
  <c r="G49" i="176"/>
  <c r="N8" i="181"/>
  <c r="L156" i="65"/>
  <c r="L167" i="65"/>
  <c r="L196" i="65"/>
  <c r="L180" i="65"/>
  <c r="E115" i="31"/>
  <c r="E111" i="31"/>
  <c r="E24" i="31"/>
  <c r="E167" i="31"/>
  <c r="L95" i="48"/>
  <c r="L212" i="48"/>
  <c r="L94" i="48"/>
  <c r="L207" i="48"/>
  <c r="F136" i="116"/>
  <c r="F86" i="116"/>
  <c r="E136" i="116"/>
  <c r="E137" i="116"/>
  <c r="F133" i="116"/>
  <c r="E86" i="116"/>
  <c r="F128" i="116"/>
  <c r="G125" i="116"/>
  <c r="D213" i="65"/>
  <c r="D234" i="65"/>
  <c r="E212" i="65"/>
  <c r="J130" i="76"/>
  <c r="J175" i="76"/>
  <c r="J131" i="76"/>
  <c r="J173" i="76"/>
  <c r="N32" i="181"/>
  <c r="N33" i="181"/>
  <c r="O7" i="181"/>
  <c r="O24" i="181"/>
  <c r="P23" i="181"/>
  <c r="P24" i="181"/>
  <c r="O22" i="63"/>
  <c r="P21" i="63"/>
  <c r="P22" i="63"/>
  <c r="C65" i="110"/>
  <c r="C98" i="110"/>
  <c r="F218" i="63"/>
  <c r="O202" i="63"/>
  <c r="K234" i="63"/>
  <c r="L57" i="119"/>
  <c r="E57" i="119"/>
  <c r="C83" i="119"/>
  <c r="F57" i="119"/>
  <c r="I57" i="119"/>
  <c r="G57" i="119"/>
  <c r="K57" i="119"/>
  <c r="J57" i="119"/>
  <c r="D57" i="119"/>
  <c r="M57" i="119"/>
  <c r="H57" i="119"/>
  <c r="C79" i="119"/>
  <c r="I49" i="117"/>
  <c r="H56" i="117"/>
  <c r="H62" i="117"/>
  <c r="H69" i="117"/>
  <c r="H74" i="117"/>
  <c r="C79" i="90"/>
  <c r="C58" i="48"/>
  <c r="K59" i="48"/>
  <c r="L225" i="66"/>
  <c r="C87" i="110"/>
  <c r="C106" i="110"/>
  <c r="C102" i="110"/>
  <c r="K124" i="76"/>
  <c r="K161" i="76"/>
  <c r="L35" i="76"/>
  <c r="K13" i="76"/>
  <c r="K52" i="76"/>
  <c r="K96" i="76"/>
  <c r="K153" i="76"/>
  <c r="K172" i="76"/>
  <c r="K182" i="76"/>
  <c r="K202" i="76"/>
  <c r="I14" i="117"/>
  <c r="H14" i="119"/>
  <c r="H14" i="159"/>
  <c r="H34" i="159"/>
  <c r="H34" i="117"/>
  <c r="C188" i="76"/>
  <c r="P247" i="48"/>
  <c r="Q239" i="48"/>
  <c r="I104" i="33"/>
  <c r="I112" i="33"/>
  <c r="F56" i="133"/>
  <c r="F62" i="133"/>
  <c r="F69" i="133"/>
  <c r="F74" i="133"/>
  <c r="G49" i="133"/>
  <c r="J136" i="116"/>
  <c r="J86" i="116"/>
  <c r="H136" i="116"/>
  <c r="H86" i="116"/>
  <c r="G38" i="76"/>
  <c r="G39" i="76"/>
  <c r="G186" i="76"/>
  <c r="G73" i="76"/>
  <c r="G74" i="76"/>
  <c r="C74" i="76"/>
  <c r="F206" i="76"/>
  <c r="D85" i="110"/>
  <c r="D130" i="110"/>
  <c r="D81" i="110"/>
  <c r="I180" i="66"/>
  <c r="I156" i="66"/>
  <c r="I167" i="66"/>
  <c r="D28" i="6"/>
  <c r="L115" i="31"/>
  <c r="D18" i="5" s="1"/>
  <c r="L111" i="31"/>
  <c r="M185" i="31"/>
  <c r="L119" i="31"/>
  <c r="L24" i="31"/>
  <c r="L167" i="31"/>
  <c r="F123" i="159"/>
  <c r="F108" i="159"/>
  <c r="F113" i="159"/>
  <c r="E225" i="66"/>
  <c r="P150" i="66"/>
  <c r="P195" i="66"/>
  <c r="P190" i="66"/>
  <c r="O55" i="40"/>
  <c r="F85" i="110"/>
  <c r="F81" i="110"/>
  <c r="C93" i="110"/>
  <c r="C89" i="110"/>
  <c r="C92" i="110"/>
  <c r="G85" i="110"/>
  <c r="G81" i="110"/>
  <c r="I62" i="66"/>
  <c r="C293" i="96"/>
  <c r="C96" i="121"/>
  <c r="J246" i="48"/>
  <c r="M13" i="29"/>
  <c r="V26" i="29"/>
  <c r="M133" i="33"/>
  <c r="M103" i="33"/>
  <c r="M161" i="33"/>
  <c r="M34" i="29"/>
  <c r="N180" i="33"/>
  <c r="X83" i="63"/>
  <c r="X99" i="63"/>
  <c r="Q112" i="33"/>
  <c r="Q24" i="33"/>
  <c r="Q104" i="33"/>
  <c r="Q158" i="33"/>
  <c r="Q108" i="33"/>
  <c r="Q106" i="33"/>
  <c r="Q105" i="33"/>
  <c r="H183" i="66"/>
  <c r="G201" i="66"/>
  <c r="O225" i="66"/>
  <c r="G225" i="66"/>
  <c r="J150" i="66"/>
  <c r="J195" i="66"/>
  <c r="J190" i="66"/>
  <c r="R150" i="66"/>
  <c r="R195" i="66"/>
  <c r="R190" i="66"/>
  <c r="K150" i="66"/>
  <c r="K195" i="66"/>
  <c r="K190" i="66"/>
  <c r="J104" i="76"/>
  <c r="J103" i="76"/>
  <c r="J203" i="76"/>
  <c r="G14" i="176"/>
  <c r="G34" i="176"/>
  <c r="G14" i="134"/>
  <c r="G34" i="134"/>
  <c r="G14" i="157"/>
  <c r="G34" i="157"/>
  <c r="G14" i="132"/>
  <c r="G34" i="132"/>
  <c r="G14" i="135"/>
  <c r="G34" i="135"/>
  <c r="G34" i="119"/>
  <c r="G14" i="155"/>
  <c r="G34" i="155"/>
  <c r="G14" i="133"/>
  <c r="G34" i="133"/>
  <c r="G14" i="121"/>
  <c r="G34" i="121"/>
  <c r="G14" i="160"/>
  <c r="G34" i="160"/>
  <c r="G14" i="156"/>
  <c r="G34" i="156"/>
  <c r="G14" i="137"/>
  <c r="G34" i="137"/>
  <c r="G14" i="161"/>
  <c r="G34" i="161" s="1"/>
  <c r="G175" i="76"/>
  <c r="C164" i="76"/>
  <c r="D89" i="96"/>
  <c r="D174" i="96" s="1"/>
  <c r="D92" i="121"/>
  <c r="D91" i="121"/>
  <c r="E247" i="48"/>
  <c r="F239" i="48"/>
  <c r="G247" i="48"/>
  <c r="H239" i="48"/>
  <c r="M247" i="48"/>
  <c r="N239" i="48"/>
  <c r="X186" i="31"/>
  <c r="Y186" i="31"/>
  <c r="P16" i="116"/>
  <c r="O18" i="116"/>
  <c r="O22" i="116"/>
  <c r="G132" i="110"/>
  <c r="H129" i="110"/>
  <c r="K17" i="135"/>
  <c r="J17" i="121"/>
  <c r="C179" i="48"/>
  <c r="E73" i="65"/>
  <c r="E175" i="65"/>
  <c r="C61" i="65"/>
  <c r="E62" i="65"/>
  <c r="F56" i="156"/>
  <c r="F62" i="156"/>
  <c r="F69" i="156"/>
  <c r="F74" i="156"/>
  <c r="G49" i="156"/>
  <c r="G49" i="132"/>
  <c r="F56" i="132"/>
  <c r="F62" i="132"/>
  <c r="F69" i="132"/>
  <c r="F74" i="132"/>
  <c r="G49" i="134"/>
  <c r="F56" i="134"/>
  <c r="F62" i="134"/>
  <c r="F69" i="134"/>
  <c r="F74" i="134"/>
  <c r="O19" i="181"/>
  <c r="O20" i="181"/>
  <c r="P17" i="181"/>
  <c r="P19" i="181"/>
  <c r="P20" i="181"/>
  <c r="K156" i="65"/>
  <c r="K167" i="65"/>
  <c r="K180" i="65"/>
  <c r="Q225" i="66"/>
  <c r="E191" i="66"/>
  <c r="E198" i="66"/>
  <c r="E200" i="66"/>
  <c r="E202" i="66"/>
  <c r="G174" i="96"/>
  <c r="Q14" i="65"/>
  <c r="R19" i="65"/>
  <c r="R14" i="65"/>
  <c r="K86" i="116"/>
  <c r="K136" i="116"/>
  <c r="G136" i="116"/>
  <c r="G86" i="116"/>
  <c r="P1" i="4"/>
  <c r="O4" i="4"/>
  <c r="O43" i="4"/>
  <c r="I226" i="65"/>
  <c r="I225" i="65"/>
  <c r="K226" i="65"/>
  <c r="K225" i="65"/>
  <c r="J226" i="65"/>
  <c r="J225" i="65"/>
  <c r="H226" i="65"/>
  <c r="H225" i="65"/>
  <c r="L226" i="65"/>
  <c r="L225" i="65"/>
  <c r="L125" i="76"/>
  <c r="K128" i="76"/>
  <c r="C186" i="76"/>
  <c r="O9" i="181"/>
  <c r="P9" i="181"/>
  <c r="C60" i="116"/>
  <c r="K65" i="116"/>
  <c r="K97" i="116"/>
  <c r="G82" i="117"/>
  <c r="G95" i="117"/>
  <c r="G78" i="117"/>
  <c r="G87" i="117"/>
  <c r="D232" i="48"/>
  <c r="D253" i="48"/>
  <c r="E231" i="48"/>
  <c r="I171" i="48"/>
  <c r="I181" i="48"/>
  <c r="I194" i="48"/>
  <c r="I225" i="66"/>
  <c r="P31" i="95"/>
  <c r="I63" i="178"/>
  <c r="P35" i="117"/>
  <c r="P99" i="117" s="1"/>
  <c r="Q35" i="117"/>
  <c r="Q99" i="117" s="1"/>
  <c r="K35" i="117"/>
  <c r="K99" i="117" s="1"/>
  <c r="K133" i="117" s="1"/>
  <c r="C99" i="117"/>
  <c r="F35" i="117"/>
  <c r="F99" i="117" s="1"/>
  <c r="F133" i="117" s="1"/>
  <c r="M35" i="117"/>
  <c r="M99" i="117" s="1"/>
  <c r="D35" i="117"/>
  <c r="D99" i="117" s="1"/>
  <c r="D133" i="117" s="1"/>
  <c r="I35" i="117"/>
  <c r="I99" i="117"/>
  <c r="G35" i="117"/>
  <c r="G99" i="117" s="1"/>
  <c r="H35" i="117"/>
  <c r="H99" i="117"/>
  <c r="L35" i="117"/>
  <c r="L99" i="117"/>
  <c r="L133" i="117" s="1"/>
  <c r="E35" i="117"/>
  <c r="E99" i="117"/>
  <c r="J35" i="117"/>
  <c r="J99" i="117" s="1"/>
  <c r="J133" i="117" s="1"/>
  <c r="N35" i="117"/>
  <c r="N99" i="117" s="1"/>
  <c r="N133" i="117" s="1"/>
  <c r="O35" i="117"/>
  <c r="O99" i="117" s="1"/>
  <c r="N86" i="95"/>
  <c r="P19" i="177"/>
  <c r="E126" i="159"/>
  <c r="G52" i="159"/>
  <c r="F50" i="159"/>
  <c r="E37" i="96"/>
  <c r="K21" i="121"/>
  <c r="L21" i="119"/>
  <c r="K21" i="176"/>
  <c r="K21" i="133"/>
  <c r="K21" i="132"/>
  <c r="K21" i="137"/>
  <c r="L21" i="134"/>
  <c r="K21" i="160"/>
  <c r="L21" i="117"/>
  <c r="L21" i="156"/>
  <c r="K21" i="159"/>
  <c r="K21" i="155"/>
  <c r="K21" i="135"/>
  <c r="F50" i="133"/>
  <c r="G52" i="133"/>
  <c r="E44" i="96"/>
  <c r="E126" i="133"/>
  <c r="N7" i="100"/>
  <c r="O7" i="100" s="1"/>
  <c r="K201" i="65"/>
  <c r="O130" i="63"/>
  <c r="J209" i="76"/>
  <c r="I213" i="48"/>
  <c r="K60" i="116"/>
  <c r="C81" i="116"/>
  <c r="I60" i="116"/>
  <c r="C85" i="116"/>
  <c r="E60" i="116"/>
  <c r="H60" i="116"/>
  <c r="F60" i="116"/>
  <c r="G60" i="116"/>
  <c r="J60" i="116"/>
  <c r="D60" i="116"/>
  <c r="G137" i="116"/>
  <c r="H133" i="116"/>
  <c r="G56" i="132"/>
  <c r="G62" i="132"/>
  <c r="G69" i="132"/>
  <c r="G74" i="132"/>
  <c r="H49" i="132"/>
  <c r="Q62" i="65"/>
  <c r="R60" i="65"/>
  <c r="M62" i="65"/>
  <c r="N60" i="65"/>
  <c r="P62" i="65"/>
  <c r="Q60" i="65"/>
  <c r="D62" i="65"/>
  <c r="I62" i="65"/>
  <c r="F62" i="65"/>
  <c r="J62" i="65"/>
  <c r="K60" i="65"/>
  <c r="N62" i="65"/>
  <c r="O60" i="65"/>
  <c r="O62" i="65"/>
  <c r="P60" i="65"/>
  <c r="G62" i="65"/>
  <c r="R62" i="65"/>
  <c r="H62" i="65"/>
  <c r="L62" i="65"/>
  <c r="M60" i="65"/>
  <c r="K62" i="65"/>
  <c r="L60" i="65"/>
  <c r="K17" i="121"/>
  <c r="H132" i="110"/>
  <c r="I129" i="110"/>
  <c r="H201" i="66"/>
  <c r="I183" i="66"/>
  <c r="X102" i="63"/>
  <c r="X104" i="63"/>
  <c r="X107" i="63"/>
  <c r="F89" i="110"/>
  <c r="F92" i="110"/>
  <c r="F93" i="110"/>
  <c r="N83" i="40"/>
  <c r="I196" i="66"/>
  <c r="C167" i="66"/>
  <c r="C196" i="66"/>
  <c r="D93" i="110"/>
  <c r="D92" i="110"/>
  <c r="D89" i="110"/>
  <c r="G206" i="76"/>
  <c r="K212" i="76"/>
  <c r="H82" i="117"/>
  <c r="H95" i="117"/>
  <c r="H78" i="117"/>
  <c r="H87" i="117" s="1"/>
  <c r="C101" i="119"/>
  <c r="D8" i="119"/>
  <c r="C86" i="119"/>
  <c r="J83" i="119"/>
  <c r="J79" i="119"/>
  <c r="F83" i="119"/>
  <c r="F79" i="119"/>
  <c r="E213" i="65"/>
  <c r="E234" i="65"/>
  <c r="F212" i="65"/>
  <c r="H125" i="116"/>
  <c r="G128" i="116"/>
  <c r="F137" i="116"/>
  <c r="G133" i="116"/>
  <c r="J165" i="65"/>
  <c r="G154" i="65"/>
  <c r="Q67" i="46"/>
  <c r="Q57" i="46"/>
  <c r="R57" i="46"/>
  <c r="N15" i="65"/>
  <c r="M18" i="65"/>
  <c r="M21" i="65"/>
  <c r="L183" i="65"/>
  <c r="E129" i="121"/>
  <c r="F125" i="121"/>
  <c r="E128" i="121"/>
  <c r="E276" i="96"/>
  <c r="M55" i="40"/>
  <c r="F9" i="58"/>
  <c r="I124" i="119"/>
  <c r="H127" i="119"/>
  <c r="P70" i="66"/>
  <c r="P69" i="66"/>
  <c r="P59" i="66"/>
  <c r="P154" i="66"/>
  <c r="L69" i="66"/>
  <c r="L70" i="66"/>
  <c r="L59" i="66"/>
  <c r="L154" i="66"/>
  <c r="I87" i="110"/>
  <c r="I106" i="110"/>
  <c r="I102" i="110"/>
  <c r="I109" i="110"/>
  <c r="I115" i="110"/>
  <c r="K63" i="176"/>
  <c r="J89" i="110"/>
  <c r="J92" i="110"/>
  <c r="J93" i="110"/>
  <c r="H92" i="110"/>
  <c r="H89" i="110"/>
  <c r="H93" i="110"/>
  <c r="J17" i="159"/>
  <c r="R197" i="48"/>
  <c r="R218" i="48"/>
  <c r="G56" i="121"/>
  <c r="G62" i="121"/>
  <c r="G69" i="121"/>
  <c r="G74" i="121"/>
  <c r="H49" i="121"/>
  <c r="P54" i="66"/>
  <c r="P88" i="66"/>
  <c r="P145" i="66"/>
  <c r="P164" i="66"/>
  <c r="P174" i="66"/>
  <c r="P189" i="66"/>
  <c r="P199" i="66"/>
  <c r="P153" i="66"/>
  <c r="Q32" i="66"/>
  <c r="P116" i="66"/>
  <c r="N18" i="87"/>
  <c r="N22" i="87"/>
  <c r="O16" i="87"/>
  <c r="G56" i="119"/>
  <c r="G62" i="119"/>
  <c r="G69" i="119"/>
  <c r="G74" i="119"/>
  <c r="H49" i="119"/>
  <c r="J124" i="110"/>
  <c r="J125" i="110"/>
  <c r="I209" i="76"/>
  <c r="N130" i="63"/>
  <c r="I84" i="87"/>
  <c r="I96" i="87"/>
  <c r="I118" i="87"/>
  <c r="I76" i="87"/>
  <c r="I80" i="87"/>
  <c r="F78" i="137"/>
  <c r="F82" i="137"/>
  <c r="F95" i="137"/>
  <c r="G113" i="117"/>
  <c r="G104" i="117"/>
  <c r="G105" i="117" s="1"/>
  <c r="G123" i="117"/>
  <c r="G108" i="117"/>
  <c r="K130" i="76"/>
  <c r="K131" i="76"/>
  <c r="K173" i="76"/>
  <c r="Q1" i="4"/>
  <c r="Q4" i="4"/>
  <c r="Q43" i="4"/>
  <c r="P4" i="4"/>
  <c r="F78" i="134"/>
  <c r="F87" i="134" s="1"/>
  <c r="F82" i="134"/>
  <c r="F95" i="134"/>
  <c r="G56" i="156"/>
  <c r="G62" i="156"/>
  <c r="G69" i="156"/>
  <c r="G74" i="156"/>
  <c r="H49" i="156"/>
  <c r="C175" i="65"/>
  <c r="L17" i="135"/>
  <c r="H248" i="48"/>
  <c r="I240" i="48"/>
  <c r="I249" i="48"/>
  <c r="L130" i="63"/>
  <c r="G209" i="76"/>
  <c r="Q25" i="33"/>
  <c r="D86" i="68"/>
  <c r="Q131" i="33"/>
  <c r="Q160" i="33"/>
  <c r="G56" i="133"/>
  <c r="G62" i="133"/>
  <c r="G69" i="133"/>
  <c r="G74" i="133"/>
  <c r="H49" i="133"/>
  <c r="R240" i="48"/>
  <c r="R249" i="48"/>
  <c r="R244" i="48"/>
  <c r="Q248" i="48"/>
  <c r="J49" i="117"/>
  <c r="I56" i="117"/>
  <c r="I62" i="117"/>
  <c r="I69" i="117"/>
  <c r="I74" i="117"/>
  <c r="H83" i="119"/>
  <c r="H88" i="96"/>
  <c r="H79" i="119"/>
  <c r="K83" i="119"/>
  <c r="K79" i="119"/>
  <c r="C88" i="96"/>
  <c r="N5" i="119"/>
  <c r="O73" i="63"/>
  <c r="E169" i="31"/>
  <c r="E25" i="31"/>
  <c r="E188" i="31" s="1"/>
  <c r="E138" i="31"/>
  <c r="O8" i="181"/>
  <c r="P8" i="181"/>
  <c r="R67" i="46"/>
  <c r="H154" i="65"/>
  <c r="I248" i="48"/>
  <c r="J240" i="48"/>
  <c r="J249" i="48"/>
  <c r="J171" i="48"/>
  <c r="J194" i="48"/>
  <c r="J181" i="48"/>
  <c r="E213" i="66"/>
  <c r="E234" i="66"/>
  <c r="F212" i="66"/>
  <c r="M70" i="66"/>
  <c r="M69" i="66"/>
  <c r="M59" i="66"/>
  <c r="M154" i="66"/>
  <c r="R69" i="66"/>
  <c r="R70" i="66"/>
  <c r="R59" i="66"/>
  <c r="R154" i="66"/>
  <c r="Q69" i="66"/>
  <c r="Q70" i="66"/>
  <c r="Q59" i="66"/>
  <c r="Q154" i="66"/>
  <c r="I89" i="110"/>
  <c r="I93" i="110"/>
  <c r="I92" i="110"/>
  <c r="M52" i="176"/>
  <c r="L50" i="176"/>
  <c r="G56" i="155"/>
  <c r="G62" i="155"/>
  <c r="G69" i="155"/>
  <c r="G74" i="155"/>
  <c r="H49" i="155"/>
  <c r="K154" i="66"/>
  <c r="H106" i="110"/>
  <c r="H102" i="110"/>
  <c r="H109" i="110"/>
  <c r="H115" i="110"/>
  <c r="H87" i="110"/>
  <c r="L22" i="40"/>
  <c r="F51" i="61"/>
  <c r="E52" i="61"/>
  <c r="J29" i="40"/>
  <c r="T12" i="42"/>
  <c r="K22" i="40"/>
  <c r="K23" i="40"/>
  <c r="K46" i="40"/>
  <c r="K73" i="40"/>
  <c r="T73" i="40"/>
  <c r="T77" i="40"/>
  <c r="T78" i="40"/>
  <c r="M94" i="48"/>
  <c r="M95" i="48"/>
  <c r="M212" i="48"/>
  <c r="M207" i="48"/>
  <c r="F82" i="121"/>
  <c r="F95" i="121"/>
  <c r="F78" i="121"/>
  <c r="F87" i="121"/>
  <c r="E248" i="48"/>
  <c r="E244" i="48"/>
  <c r="E253" i="48"/>
  <c r="F231" i="48"/>
  <c r="F240" i="48"/>
  <c r="F249" i="48"/>
  <c r="M248" i="48"/>
  <c r="M244" i="48"/>
  <c r="N240" i="48"/>
  <c r="N249" i="48"/>
  <c r="I120" i="116"/>
  <c r="I121" i="116"/>
  <c r="J118" i="116"/>
  <c r="F226" i="76"/>
  <c r="F247" i="76"/>
  <c r="G225" i="76"/>
  <c r="J248" i="48"/>
  <c r="J244" i="48"/>
  <c r="K240" i="48"/>
  <c r="K249" i="48"/>
  <c r="K104" i="76"/>
  <c r="K103" i="76"/>
  <c r="K203" i="76"/>
  <c r="M112" i="33"/>
  <c r="M30" i="29"/>
  <c r="M104" i="33"/>
  <c r="M108" i="33"/>
  <c r="M24" i="33"/>
  <c r="M32" i="29" s="1"/>
  <c r="M158" i="33"/>
  <c r="V28" i="29"/>
  <c r="K126" i="176"/>
  <c r="J35" i="87"/>
  <c r="J52" i="87"/>
  <c r="J59" i="87"/>
  <c r="J64" i="87"/>
  <c r="J71" i="87"/>
  <c r="K13" i="87"/>
  <c r="Q78" i="76"/>
  <c r="P78" i="76"/>
  <c r="J78" i="76"/>
  <c r="O78" i="76"/>
  <c r="I78" i="76"/>
  <c r="G78" i="76"/>
  <c r="H78" i="76"/>
  <c r="N78" i="76"/>
  <c r="M78" i="76"/>
  <c r="R78" i="76"/>
  <c r="F78" i="76"/>
  <c r="K78" i="76"/>
  <c r="L78" i="76"/>
  <c r="E232" i="48"/>
  <c r="M125" i="76"/>
  <c r="L128" i="76"/>
  <c r="P82" i="40"/>
  <c r="K196" i="65"/>
  <c r="G56" i="134"/>
  <c r="G62" i="134"/>
  <c r="G69" i="134"/>
  <c r="G74" i="134"/>
  <c r="H49" i="134"/>
  <c r="F78" i="156"/>
  <c r="F87" i="156" s="1"/>
  <c r="F82" i="156"/>
  <c r="F95" i="156"/>
  <c r="E156" i="65"/>
  <c r="E180" i="65"/>
  <c r="G87" i="110"/>
  <c r="G106" i="110"/>
  <c r="G102" i="110"/>
  <c r="D87" i="110"/>
  <c r="D106" i="110"/>
  <c r="D102" i="110"/>
  <c r="D109" i="110"/>
  <c r="D115" i="110"/>
  <c r="H137" i="116"/>
  <c r="I133" i="116"/>
  <c r="I137" i="116"/>
  <c r="J133" i="116"/>
  <c r="J137" i="116"/>
  <c r="K133" i="116"/>
  <c r="K137" i="116"/>
  <c r="F78" i="133"/>
  <c r="F87" i="133"/>
  <c r="F82" i="133"/>
  <c r="F95" i="133"/>
  <c r="H14" i="156"/>
  <c r="H34" i="156"/>
  <c r="H14" i="157"/>
  <c r="H34" i="157"/>
  <c r="H14" i="161"/>
  <c r="H34" i="161" s="1"/>
  <c r="H14" i="134"/>
  <c r="H34" i="134"/>
  <c r="H14" i="121"/>
  <c r="H34" i="121"/>
  <c r="H14" i="176"/>
  <c r="H34" i="176"/>
  <c r="H14" i="133"/>
  <c r="H34" i="133"/>
  <c r="H14" i="155"/>
  <c r="H34" i="155"/>
  <c r="H14" i="160"/>
  <c r="H34" i="160"/>
  <c r="H14" i="132"/>
  <c r="H34" i="132"/>
  <c r="H14" i="137"/>
  <c r="H34" i="137"/>
  <c r="H14" i="135"/>
  <c r="H34" i="135"/>
  <c r="H34" i="119"/>
  <c r="L13" i="76"/>
  <c r="L161" i="76"/>
  <c r="M35" i="76"/>
  <c r="L52" i="76"/>
  <c r="L96" i="76"/>
  <c r="L153" i="76"/>
  <c r="L172" i="76"/>
  <c r="L182" i="76"/>
  <c r="L202" i="76"/>
  <c r="L212" i="76"/>
  <c r="L124" i="76"/>
  <c r="G59" i="48"/>
  <c r="L59" i="48"/>
  <c r="F59" i="48"/>
  <c r="F61" i="48"/>
  <c r="H59" i="48"/>
  <c r="I59" i="48"/>
  <c r="P31" i="4"/>
  <c r="M83" i="119"/>
  <c r="M79" i="119"/>
  <c r="G83" i="119"/>
  <c r="G79" i="119"/>
  <c r="E83" i="119"/>
  <c r="E79" i="119"/>
  <c r="P39" i="63"/>
  <c r="P46" i="63"/>
  <c r="P40" i="63"/>
  <c r="P41" i="63"/>
  <c r="P7" i="181"/>
  <c r="P32" i="181"/>
  <c r="P33" i="181"/>
  <c r="O32" i="181"/>
  <c r="O33" i="181"/>
  <c r="J208" i="76"/>
  <c r="G56" i="176"/>
  <c r="G62" i="176"/>
  <c r="G69" i="176"/>
  <c r="G74" i="176"/>
  <c r="H49" i="176"/>
  <c r="F82" i="135"/>
  <c r="F95" i="135"/>
  <c r="F78" i="135"/>
  <c r="F87" i="135" s="1"/>
  <c r="F154" i="65"/>
  <c r="P67" i="46"/>
  <c r="J196" i="66"/>
  <c r="O83" i="40"/>
  <c r="N18" i="110"/>
  <c r="N22" i="110"/>
  <c r="O16" i="110"/>
  <c r="F78" i="155"/>
  <c r="F87" i="155" s="1"/>
  <c r="F82" i="155"/>
  <c r="F95" i="155"/>
  <c r="H82" i="159"/>
  <c r="H95" i="159"/>
  <c r="H78" i="159"/>
  <c r="H87" i="159" s="1"/>
  <c r="C65" i="116"/>
  <c r="C97" i="116"/>
  <c r="N21" i="40"/>
  <c r="M25" i="40"/>
  <c r="M26" i="40"/>
  <c r="M27" i="40"/>
  <c r="O88" i="48"/>
  <c r="N91" i="48"/>
  <c r="Q141" i="48"/>
  <c r="Q142" i="48"/>
  <c r="G56" i="160"/>
  <c r="G62" i="160"/>
  <c r="G69" i="160"/>
  <c r="G74" i="160"/>
  <c r="H49" i="160"/>
  <c r="K181" i="48"/>
  <c r="K213" i="48"/>
  <c r="K171" i="48"/>
  <c r="K194" i="48"/>
  <c r="M97" i="76"/>
  <c r="L100" i="76"/>
  <c r="E89" i="110"/>
  <c r="E92" i="110"/>
  <c r="E93" i="110"/>
  <c r="G108" i="159"/>
  <c r="G123" i="159"/>
  <c r="G113" i="159"/>
  <c r="O31" i="4"/>
  <c r="F82" i="132"/>
  <c r="F95" i="132"/>
  <c r="F78" i="132"/>
  <c r="F87" i="132" s="1"/>
  <c r="Q16" i="116"/>
  <c r="Q18" i="116"/>
  <c r="Q22" i="116"/>
  <c r="P18" i="116"/>
  <c r="P22" i="116"/>
  <c r="N248" i="48"/>
  <c r="N244" i="48"/>
  <c r="O240" i="48"/>
  <c r="O249" i="48"/>
  <c r="F248" i="48"/>
  <c r="F244" i="48"/>
  <c r="G240" i="48"/>
  <c r="G249" i="48"/>
  <c r="M12" i="29"/>
  <c r="G89" i="110"/>
  <c r="G92" i="110"/>
  <c r="G93" i="110"/>
  <c r="F87" i="110"/>
  <c r="F106" i="110"/>
  <c r="F102" i="110"/>
  <c r="F109" i="110"/>
  <c r="L138" i="31"/>
  <c r="D30" i="6"/>
  <c r="L25" i="31"/>
  <c r="L169" i="31"/>
  <c r="L26" i="31"/>
  <c r="L98" i="31" s="1"/>
  <c r="E130" i="110"/>
  <c r="D134" i="110"/>
  <c r="D133" i="110"/>
  <c r="I14" i="119"/>
  <c r="J14" i="117"/>
  <c r="I14" i="159"/>
  <c r="I34" i="159"/>
  <c r="I34" i="117"/>
  <c r="I79" i="90"/>
  <c r="G79" i="90"/>
  <c r="D79" i="90"/>
  <c r="C86" i="90"/>
  <c r="F79" i="90"/>
  <c r="E79" i="90"/>
  <c r="H79" i="90"/>
  <c r="D83" i="119"/>
  <c r="D125" i="119"/>
  <c r="D79" i="119"/>
  <c r="I83" i="119"/>
  <c r="I88" i="96"/>
  <c r="I79" i="119"/>
  <c r="L83" i="119"/>
  <c r="L79" i="119"/>
  <c r="O40" i="63"/>
  <c r="O41" i="63"/>
  <c r="O39" i="63"/>
  <c r="O46" i="63"/>
  <c r="F82" i="176"/>
  <c r="F95" i="176"/>
  <c r="F78" i="176"/>
  <c r="H49" i="135"/>
  <c r="G56" i="135"/>
  <c r="G62" i="135"/>
  <c r="G69" i="135"/>
  <c r="G74" i="135"/>
  <c r="S67" i="46"/>
  <c r="I154" i="65"/>
  <c r="G248" i="48"/>
  <c r="G244" i="48"/>
  <c r="H240" i="48"/>
  <c r="H249" i="48"/>
  <c r="H244" i="48"/>
  <c r="K248" i="48"/>
  <c r="K244" i="48"/>
  <c r="L240" i="48"/>
  <c r="L249" i="48"/>
  <c r="P226" i="65"/>
  <c r="P225" i="65"/>
  <c r="Q217" i="65"/>
  <c r="J59" i="48"/>
  <c r="I127" i="121"/>
  <c r="J124" i="121"/>
  <c r="O70" i="66"/>
  <c r="O69" i="66"/>
  <c r="O59" i="66"/>
  <c r="O154" i="66"/>
  <c r="C62" i="66"/>
  <c r="N69" i="66"/>
  <c r="N70" i="66"/>
  <c r="N59" i="66"/>
  <c r="N154" i="66"/>
  <c r="K55" i="40"/>
  <c r="D9" i="58"/>
  <c r="J106" i="110"/>
  <c r="J102" i="110"/>
  <c r="J109" i="110"/>
  <c r="J115" i="110"/>
  <c r="J87" i="110"/>
  <c r="L248" i="48"/>
  <c r="L244" i="48"/>
  <c r="M240" i="48"/>
  <c r="M249" i="48"/>
  <c r="K110" i="116"/>
  <c r="K124" i="116"/>
  <c r="K106" i="116"/>
  <c r="K107" i="116"/>
  <c r="I244" i="48"/>
  <c r="I56" i="159"/>
  <c r="I62" i="159"/>
  <c r="I69" i="159"/>
  <c r="I74" i="159"/>
  <c r="J49" i="159"/>
  <c r="L191" i="76"/>
  <c r="K214" i="76"/>
  <c r="H127" i="176"/>
  <c r="I124" i="176"/>
  <c r="R141" i="48"/>
  <c r="R142" i="48"/>
  <c r="F82" i="160"/>
  <c r="F95" i="160"/>
  <c r="F78" i="160"/>
  <c r="F87" i="160" s="1"/>
  <c r="P248" i="48"/>
  <c r="P244" i="48"/>
  <c r="Q240" i="48"/>
  <c r="Q249" i="48"/>
  <c r="Q244" i="48"/>
  <c r="O248" i="48"/>
  <c r="O244" i="48"/>
  <c r="P240" i="48"/>
  <c r="P249" i="48"/>
  <c r="O199" i="66"/>
  <c r="F82" i="119"/>
  <c r="F95" i="119"/>
  <c r="F78" i="119"/>
  <c r="F87" i="119" s="1"/>
  <c r="E106" i="110"/>
  <c r="E102" i="110"/>
  <c r="E109" i="110"/>
  <c r="E115" i="110"/>
  <c r="E87" i="110"/>
  <c r="C190" i="48"/>
  <c r="G56" i="137"/>
  <c r="G62" i="137"/>
  <c r="G69" i="137"/>
  <c r="G74" i="137"/>
  <c r="H49" i="137"/>
  <c r="H17" i="176"/>
  <c r="D38" i="175"/>
  <c r="D10" i="175" s="1"/>
  <c r="F37" i="96"/>
  <c r="F63" i="159"/>
  <c r="H52" i="159"/>
  <c r="G50" i="159"/>
  <c r="G63" i="159"/>
  <c r="F126" i="159"/>
  <c r="G126" i="159"/>
  <c r="M21" i="134"/>
  <c r="L21" i="133"/>
  <c r="M21" i="119"/>
  <c r="L21" i="132"/>
  <c r="L21" i="155"/>
  <c r="M21" i="117"/>
  <c r="L21" i="135"/>
  <c r="L21" i="159"/>
  <c r="L21" i="160"/>
  <c r="L21" i="137"/>
  <c r="L21" i="176"/>
  <c r="L21" i="121"/>
  <c r="G50" i="133"/>
  <c r="H52" i="133"/>
  <c r="F44" i="96"/>
  <c r="F63" i="133"/>
  <c r="F126" i="133"/>
  <c r="G63" i="133"/>
  <c r="F232" i="48"/>
  <c r="F253" i="48"/>
  <c r="G231" i="48"/>
  <c r="L201" i="65"/>
  <c r="I165" i="65"/>
  <c r="F87" i="176"/>
  <c r="L101" i="119"/>
  <c r="L86" i="119"/>
  <c r="D101" i="119"/>
  <c r="D86" i="119"/>
  <c r="K14" i="117"/>
  <c r="J34" i="117"/>
  <c r="J14" i="159"/>
  <c r="J34" i="159"/>
  <c r="J14" i="119"/>
  <c r="F130" i="110"/>
  <c r="E134" i="110"/>
  <c r="E133" i="110"/>
  <c r="E42" i="70"/>
  <c r="F113" i="132"/>
  <c r="F104" i="132"/>
  <c r="F105" i="132" s="1"/>
  <c r="F108" i="132"/>
  <c r="F123" i="132"/>
  <c r="N97" i="76"/>
  <c r="M100" i="76"/>
  <c r="H123" i="159"/>
  <c r="H113" i="159"/>
  <c r="H108" i="159"/>
  <c r="H56" i="176"/>
  <c r="H62" i="176"/>
  <c r="H69" i="176"/>
  <c r="H74" i="176"/>
  <c r="I49" i="176"/>
  <c r="E86" i="119"/>
  <c r="E101" i="119"/>
  <c r="M86" i="119"/>
  <c r="M101" i="119"/>
  <c r="E158" i="65"/>
  <c r="E167" i="65"/>
  <c r="G82" i="134"/>
  <c r="G95" i="134"/>
  <c r="G78" i="134"/>
  <c r="G87" i="134" s="1"/>
  <c r="L131" i="76"/>
  <c r="L130" i="76"/>
  <c r="L173" i="76"/>
  <c r="C59" i="66"/>
  <c r="L63" i="176"/>
  <c r="L96" i="176"/>
  <c r="H86" i="119"/>
  <c r="H101" i="119"/>
  <c r="F123" i="134"/>
  <c r="F104" i="134"/>
  <c r="F105" i="134" s="1"/>
  <c r="F108" i="134"/>
  <c r="F113" i="134"/>
  <c r="F113" i="137"/>
  <c r="F104" i="137"/>
  <c r="F105" i="137" s="1"/>
  <c r="F123" i="137"/>
  <c r="F108" i="137"/>
  <c r="H56" i="119"/>
  <c r="H62" i="119"/>
  <c r="H69" i="119"/>
  <c r="H74" i="119"/>
  <c r="I49" i="119"/>
  <c r="G82" i="121"/>
  <c r="G95" i="121"/>
  <c r="G78" i="121"/>
  <c r="G87" i="121" s="1"/>
  <c r="S57" i="46"/>
  <c r="F213" i="65"/>
  <c r="F234" i="65"/>
  <c r="G212" i="65"/>
  <c r="J101" i="119"/>
  <c r="J86" i="119"/>
  <c r="D90" i="110"/>
  <c r="J129" i="110"/>
  <c r="I132" i="110"/>
  <c r="L70" i="65"/>
  <c r="L69" i="65"/>
  <c r="L59" i="65"/>
  <c r="L154" i="65"/>
  <c r="N69" i="65"/>
  <c r="N70" i="65"/>
  <c r="N59" i="65"/>
  <c r="N154" i="65"/>
  <c r="J85" i="116"/>
  <c r="J81" i="116"/>
  <c r="E81" i="116"/>
  <c r="E85" i="116"/>
  <c r="K81" i="116"/>
  <c r="K85" i="116"/>
  <c r="I49" i="137"/>
  <c r="H56" i="137"/>
  <c r="H62" i="137"/>
  <c r="H69" i="137"/>
  <c r="H74" i="137"/>
  <c r="F123" i="160"/>
  <c r="F104" i="160"/>
  <c r="F105" i="160" s="1"/>
  <c r="F108" i="160"/>
  <c r="F113" i="160"/>
  <c r="J127" i="121"/>
  <c r="K124" i="121"/>
  <c r="G78" i="137"/>
  <c r="G87" i="137" s="1"/>
  <c r="G82" i="137"/>
  <c r="G95" i="137"/>
  <c r="K49" i="159"/>
  <c r="J56" i="159"/>
  <c r="J62" i="159"/>
  <c r="J69" i="159"/>
  <c r="F108" i="176"/>
  <c r="F123" i="176"/>
  <c r="F113" i="176"/>
  <c r="L91" i="119"/>
  <c r="L88" i="96"/>
  <c r="L92" i="119"/>
  <c r="D129" i="119"/>
  <c r="E125" i="119"/>
  <c r="D128" i="119"/>
  <c r="D275" i="96"/>
  <c r="I14" i="155"/>
  <c r="I34" i="155"/>
  <c r="I14" i="160"/>
  <c r="I34" i="160"/>
  <c r="I14" i="161"/>
  <c r="I34" i="161"/>
  <c r="I14" i="135"/>
  <c r="I34" i="135"/>
  <c r="I14" i="176"/>
  <c r="I34" i="176"/>
  <c r="I14" i="121"/>
  <c r="I34" i="121"/>
  <c r="I14" i="137"/>
  <c r="I34" i="137"/>
  <c r="I14" i="132"/>
  <c r="I34" i="132"/>
  <c r="I14" i="134"/>
  <c r="I34" i="134"/>
  <c r="I14" i="156"/>
  <c r="I34" i="156"/>
  <c r="I14" i="133"/>
  <c r="I34" i="133"/>
  <c r="I34" i="119"/>
  <c r="I14" i="157"/>
  <c r="I34" i="157"/>
  <c r="O21" i="40"/>
  <c r="N25" i="40"/>
  <c r="N26" i="40"/>
  <c r="N27" i="40"/>
  <c r="C69" i="66"/>
  <c r="F165" i="65"/>
  <c r="G78" i="176"/>
  <c r="G87" i="176" s="1"/>
  <c r="G82" i="176"/>
  <c r="G95" i="176"/>
  <c r="E88" i="96"/>
  <c r="E91" i="119"/>
  <c r="E92" i="119"/>
  <c r="M88" i="96"/>
  <c r="M173" i="96" s="1"/>
  <c r="M91" i="119"/>
  <c r="M92" i="119"/>
  <c r="G61" i="48"/>
  <c r="H61" i="48"/>
  <c r="I61" i="48"/>
  <c r="J61" i="48"/>
  <c r="K61" i="48"/>
  <c r="L61" i="48"/>
  <c r="F113" i="156"/>
  <c r="F108" i="156"/>
  <c r="F104" i="156"/>
  <c r="F105" i="156" s="1"/>
  <c r="F123" i="156"/>
  <c r="N125" i="76"/>
  <c r="M128" i="76"/>
  <c r="L126" i="176"/>
  <c r="J121" i="116"/>
  <c r="K118" i="116"/>
  <c r="J120" i="116"/>
  <c r="M22" i="40"/>
  <c r="L23" i="40"/>
  <c r="L46" i="40"/>
  <c r="L73" i="40"/>
  <c r="U73" i="40"/>
  <c r="U77" i="40"/>
  <c r="U78" i="40"/>
  <c r="K165" i="66"/>
  <c r="N52" i="176"/>
  <c r="M50" i="176"/>
  <c r="J213" i="48"/>
  <c r="H165" i="65"/>
  <c r="I49" i="133"/>
  <c r="H56" i="133"/>
  <c r="H62" i="133"/>
  <c r="H69" i="133"/>
  <c r="H74" i="133"/>
  <c r="P73" i="63"/>
  <c r="F87" i="137"/>
  <c r="G82" i="119"/>
  <c r="G95" i="119"/>
  <c r="G78" i="119"/>
  <c r="G87" i="119"/>
  <c r="H90" i="110"/>
  <c r="H108" i="110"/>
  <c r="J90" i="110"/>
  <c r="J108" i="110"/>
  <c r="J91" i="110"/>
  <c r="J124" i="119"/>
  <c r="I127" i="119"/>
  <c r="G165" i="65"/>
  <c r="J88" i="96"/>
  <c r="J173" i="96" s="1"/>
  <c r="J92" i="119"/>
  <c r="J91" i="119"/>
  <c r="F90" i="110"/>
  <c r="F108" i="110"/>
  <c r="F91" i="110"/>
  <c r="M70" i="65"/>
  <c r="M69" i="65"/>
  <c r="M59" i="65"/>
  <c r="M154" i="65"/>
  <c r="P69" i="65"/>
  <c r="P70" i="65"/>
  <c r="P59" i="65"/>
  <c r="P154" i="65"/>
  <c r="R70" i="65"/>
  <c r="R69" i="65"/>
  <c r="R59" i="65"/>
  <c r="R154" i="65"/>
  <c r="G85" i="116"/>
  <c r="G81" i="116"/>
  <c r="C89" i="116"/>
  <c r="C93" i="116"/>
  <c r="C92" i="116"/>
  <c r="C181" i="48"/>
  <c r="C213" i="48"/>
  <c r="I127" i="176"/>
  <c r="J124" i="176"/>
  <c r="I17" i="176"/>
  <c r="F104" i="119"/>
  <c r="F105" i="119" s="1"/>
  <c r="F123" i="119"/>
  <c r="F113" i="119"/>
  <c r="F108" i="119"/>
  <c r="I78" i="159"/>
  <c r="I87" i="159" s="1"/>
  <c r="J74" i="159"/>
  <c r="I82" i="159"/>
  <c r="I95" i="159"/>
  <c r="N165" i="66"/>
  <c r="Q226" i="65"/>
  <c r="Q225" i="65"/>
  <c r="R217" i="65"/>
  <c r="R226" i="65"/>
  <c r="R225" i="65"/>
  <c r="G82" i="135"/>
  <c r="G95" i="135"/>
  <c r="G78" i="135"/>
  <c r="G87" i="135" s="1"/>
  <c r="I101" i="119"/>
  <c r="I86" i="119"/>
  <c r="D92" i="119"/>
  <c r="D88" i="96"/>
  <c r="D139" i="96" s="1"/>
  <c r="D91" i="119"/>
  <c r="C89" i="90"/>
  <c r="C93" i="90"/>
  <c r="C92" i="90"/>
  <c r="G90" i="110"/>
  <c r="G108" i="110"/>
  <c r="E90" i="110"/>
  <c r="E108" i="110"/>
  <c r="E91" i="110"/>
  <c r="H56" i="160"/>
  <c r="H62" i="160"/>
  <c r="H69" i="160"/>
  <c r="H74" i="160"/>
  <c r="I49" i="160"/>
  <c r="N95" i="48"/>
  <c r="N212" i="48"/>
  <c r="N94" i="48"/>
  <c r="N207" i="48"/>
  <c r="G86" i="119"/>
  <c r="G101" i="119"/>
  <c r="M13" i="76"/>
  <c r="M124" i="76"/>
  <c r="N35" i="76"/>
  <c r="M161" i="76"/>
  <c r="M52" i="76"/>
  <c r="M96" i="76"/>
  <c r="M153" i="76"/>
  <c r="M172" i="76"/>
  <c r="M182" i="76"/>
  <c r="M202" i="76"/>
  <c r="M212" i="76"/>
  <c r="F104" i="133"/>
  <c r="F105" i="133" s="1"/>
  <c r="F113" i="133"/>
  <c r="F108" i="133"/>
  <c r="F123" i="133"/>
  <c r="K35" i="87"/>
  <c r="K52" i="87"/>
  <c r="K59" i="87"/>
  <c r="K64" i="87"/>
  <c r="L13" i="87"/>
  <c r="M13" i="87"/>
  <c r="N13" i="87"/>
  <c r="O13" i="87"/>
  <c r="P13" i="87"/>
  <c r="Q13" i="87"/>
  <c r="F113" i="121"/>
  <c r="F108" i="121"/>
  <c r="F123" i="121"/>
  <c r="H56" i="155"/>
  <c r="H62" i="155"/>
  <c r="H69" i="155"/>
  <c r="H74" i="155"/>
  <c r="I49" i="155"/>
  <c r="I91" i="110"/>
  <c r="I90" i="110"/>
  <c r="I108" i="110"/>
  <c r="K86" i="119"/>
  <c r="K101" i="119"/>
  <c r="I82" i="117"/>
  <c r="I95" i="117"/>
  <c r="I78" i="117"/>
  <c r="I87" i="117"/>
  <c r="J74" i="117"/>
  <c r="G78" i="133"/>
  <c r="G87" i="133" s="1"/>
  <c r="G82" i="133"/>
  <c r="G95" i="133"/>
  <c r="M17" i="135"/>
  <c r="H56" i="156"/>
  <c r="H62" i="156"/>
  <c r="H69" i="156"/>
  <c r="H74" i="156"/>
  <c r="I49" i="156"/>
  <c r="P43" i="4"/>
  <c r="Q31" i="4"/>
  <c r="K208" i="76"/>
  <c r="K17" i="159"/>
  <c r="C50" i="176"/>
  <c r="H128" i="116"/>
  <c r="I125" i="116"/>
  <c r="F86" i="119"/>
  <c r="F101" i="119"/>
  <c r="H113" i="117"/>
  <c r="H108" i="117"/>
  <c r="H123" i="117"/>
  <c r="H104" i="117"/>
  <c r="H105" i="117" s="1"/>
  <c r="J183" i="66"/>
  <c r="I201" i="66"/>
  <c r="O69" i="65"/>
  <c r="O70" i="65"/>
  <c r="O59" i="65"/>
  <c r="O154" i="65"/>
  <c r="C62" i="65"/>
  <c r="I49" i="132"/>
  <c r="H56" i="132"/>
  <c r="H62" i="132"/>
  <c r="H69" i="132"/>
  <c r="H74" i="132"/>
  <c r="F85" i="116"/>
  <c r="F81" i="116"/>
  <c r="I85" i="116"/>
  <c r="I81" i="116"/>
  <c r="L214" i="76"/>
  <c r="M191" i="76"/>
  <c r="O165" i="66"/>
  <c r="H56" i="135"/>
  <c r="H62" i="135"/>
  <c r="H69" i="135"/>
  <c r="H74" i="135"/>
  <c r="I49" i="135"/>
  <c r="L103" i="76"/>
  <c r="L104" i="76"/>
  <c r="L203" i="76"/>
  <c r="G78" i="160"/>
  <c r="G87" i="160" s="1"/>
  <c r="G82" i="160"/>
  <c r="G95" i="160"/>
  <c r="P88" i="48"/>
  <c r="O91" i="48"/>
  <c r="F113" i="155"/>
  <c r="F104" i="155"/>
  <c r="F105" i="155" s="1"/>
  <c r="F123" i="155"/>
  <c r="F108" i="155"/>
  <c r="P16" i="110"/>
  <c r="O18" i="110"/>
  <c r="O22" i="110"/>
  <c r="F123" i="135"/>
  <c r="F108" i="135"/>
  <c r="F113" i="135"/>
  <c r="F104" i="135"/>
  <c r="F105" i="135" s="1"/>
  <c r="G92" i="119"/>
  <c r="G88" i="96"/>
  <c r="G173" i="96" s="1"/>
  <c r="G91" i="119"/>
  <c r="I49" i="134"/>
  <c r="H56" i="134"/>
  <c r="H62" i="134"/>
  <c r="H69" i="134"/>
  <c r="H74" i="134"/>
  <c r="J76" i="87"/>
  <c r="J80" i="87"/>
  <c r="J84" i="87"/>
  <c r="J96" i="87"/>
  <c r="J118" i="87"/>
  <c r="M25" i="33"/>
  <c r="M33" i="29" s="1"/>
  <c r="G247" i="76"/>
  <c r="H225" i="76"/>
  <c r="G226" i="76"/>
  <c r="G78" i="155"/>
  <c r="G87" i="155" s="1"/>
  <c r="G82" i="155"/>
  <c r="G95" i="155"/>
  <c r="Q165" i="66"/>
  <c r="R165" i="66"/>
  <c r="M165" i="66"/>
  <c r="F234" i="66"/>
  <c r="G212" i="66"/>
  <c r="F213" i="66"/>
  <c r="K91" i="119"/>
  <c r="K88" i="96"/>
  <c r="K173" i="96" s="1"/>
  <c r="K92" i="119"/>
  <c r="K49" i="117"/>
  <c r="J56" i="117"/>
  <c r="J62" i="117"/>
  <c r="J69" i="117"/>
  <c r="G78" i="156"/>
  <c r="G87" i="156" s="1"/>
  <c r="G82" i="156"/>
  <c r="G95" i="156"/>
  <c r="K175" i="76"/>
  <c r="O18" i="87"/>
  <c r="O22" i="87"/>
  <c r="P16" i="87"/>
  <c r="Q54" i="66"/>
  <c r="Q88" i="66"/>
  <c r="Q145" i="66"/>
  <c r="Q164" i="66"/>
  <c r="Q174" i="66"/>
  <c r="Q189" i="66"/>
  <c r="Q199" i="66"/>
  <c r="R32" i="66"/>
  <c r="Q116" i="66"/>
  <c r="Q153" i="66"/>
  <c r="H56" i="121"/>
  <c r="H62" i="121"/>
  <c r="H69" i="121"/>
  <c r="H74" i="121"/>
  <c r="I49" i="121"/>
  <c r="K96" i="176"/>
  <c r="L165" i="66"/>
  <c r="P165" i="66"/>
  <c r="G125" i="121"/>
  <c r="F129" i="121"/>
  <c r="F128" i="121"/>
  <c r="F276" i="96"/>
  <c r="O15" i="65"/>
  <c r="N18" i="65"/>
  <c r="N21" i="65"/>
  <c r="M183" i="65"/>
  <c r="O54" i="40"/>
  <c r="F91" i="119"/>
  <c r="F88" i="96"/>
  <c r="F139" i="96" s="1"/>
  <c r="F92" i="119"/>
  <c r="L17" i="121"/>
  <c r="K70" i="65"/>
  <c r="K69" i="65"/>
  <c r="K59" i="65"/>
  <c r="Q69" i="65"/>
  <c r="Q70" i="65"/>
  <c r="Q59" i="65"/>
  <c r="Q154" i="65"/>
  <c r="G82" i="132"/>
  <c r="G95" i="132"/>
  <c r="G78" i="132"/>
  <c r="G87" i="132" s="1"/>
  <c r="D126" i="116"/>
  <c r="D85" i="116"/>
  <c r="D81" i="116"/>
  <c r="H85" i="116"/>
  <c r="H81" i="116"/>
  <c r="C103" i="116"/>
  <c r="C99" i="116"/>
  <c r="C105" i="116"/>
  <c r="C87" i="116"/>
  <c r="P11" i="103"/>
  <c r="G96" i="159"/>
  <c r="G291" i="96"/>
  <c r="F291" i="96"/>
  <c r="F96" i="159"/>
  <c r="F124" i="159"/>
  <c r="G37" i="96"/>
  <c r="I52" i="159"/>
  <c r="H50" i="159"/>
  <c r="H63" i="159"/>
  <c r="M21" i="160"/>
  <c r="M21" i="159"/>
  <c r="M21" i="176"/>
  <c r="M21" i="132"/>
  <c r="M21" i="133"/>
  <c r="M21" i="121"/>
  <c r="M21" i="137"/>
  <c r="M21" i="135"/>
  <c r="M21" i="155"/>
  <c r="G44" i="96"/>
  <c r="G298" i="96"/>
  <c r="G96" i="133"/>
  <c r="G126" i="133"/>
  <c r="F96" i="133"/>
  <c r="F298" i="96"/>
  <c r="F124" i="133"/>
  <c r="I52" i="133"/>
  <c r="H50" i="133"/>
  <c r="H63" i="133"/>
  <c r="M201" i="65"/>
  <c r="H87" i="116"/>
  <c r="H103" i="116"/>
  <c r="H99" i="116"/>
  <c r="H105" i="116"/>
  <c r="H111" i="116"/>
  <c r="P91" i="48"/>
  <c r="Q88" i="48"/>
  <c r="N191" i="76"/>
  <c r="M214" i="76"/>
  <c r="F87" i="116"/>
  <c r="F103" i="116"/>
  <c r="F99" i="116"/>
  <c r="F105" i="116"/>
  <c r="F111" i="116"/>
  <c r="O165" i="65"/>
  <c r="K74" i="117"/>
  <c r="J82" i="117"/>
  <c r="J95" i="117"/>
  <c r="J78" i="117"/>
  <c r="J87" i="117"/>
  <c r="J49" i="155"/>
  <c r="I56" i="155"/>
  <c r="I62" i="155"/>
  <c r="I69" i="155"/>
  <c r="I74" i="155"/>
  <c r="H78" i="160"/>
  <c r="H87" i="160" s="1"/>
  <c r="H82" i="160"/>
  <c r="H95" i="160"/>
  <c r="G91" i="110"/>
  <c r="I113" i="159"/>
  <c r="J113" i="159"/>
  <c r="K113" i="159"/>
  <c r="L113" i="159"/>
  <c r="M113" i="159"/>
  <c r="I123" i="159"/>
  <c r="I108" i="159"/>
  <c r="L54" i="40"/>
  <c r="E8" i="58"/>
  <c r="J127" i="119"/>
  <c r="K124" i="119"/>
  <c r="H91" i="110"/>
  <c r="J49" i="133"/>
  <c r="I56" i="133"/>
  <c r="I62" i="133"/>
  <c r="I69" i="133"/>
  <c r="I74" i="133"/>
  <c r="M54" i="40"/>
  <c r="F8" i="58"/>
  <c r="M126" i="176"/>
  <c r="N126" i="176"/>
  <c r="M130" i="76"/>
  <c r="M175" i="76"/>
  <c r="M209" i="76"/>
  <c r="M131" i="76"/>
  <c r="M173" i="76"/>
  <c r="E103" i="116"/>
  <c r="E99" i="116"/>
  <c r="E105" i="116"/>
  <c r="E111" i="116"/>
  <c r="E87" i="116"/>
  <c r="L175" i="76"/>
  <c r="L209" i="76"/>
  <c r="E169" i="65"/>
  <c r="E196" i="65"/>
  <c r="J82" i="40"/>
  <c r="C167" i="65"/>
  <c r="C196" i="65"/>
  <c r="F134" i="110"/>
  <c r="G130" i="110"/>
  <c r="F133" i="110"/>
  <c r="K14" i="119"/>
  <c r="K34" i="117"/>
  <c r="L14" i="117"/>
  <c r="K14" i="159"/>
  <c r="K34" i="159"/>
  <c r="N54" i="40"/>
  <c r="E165" i="48"/>
  <c r="E143" i="48"/>
  <c r="E93" i="48"/>
  <c r="E120" i="48"/>
  <c r="J49" i="134"/>
  <c r="I56" i="134"/>
  <c r="I62" i="134"/>
  <c r="I69" i="134"/>
  <c r="I74" i="134"/>
  <c r="G87" i="116"/>
  <c r="G103" i="116"/>
  <c r="G99" i="116"/>
  <c r="G105" i="116"/>
  <c r="G111" i="116"/>
  <c r="B111" i="116"/>
  <c r="I10" i="116"/>
  <c r="N50" i="176"/>
  <c r="O52" i="176"/>
  <c r="N22" i="40"/>
  <c r="M23" i="40"/>
  <c r="M46" i="40"/>
  <c r="M73" i="40"/>
  <c r="V73" i="40"/>
  <c r="V77" i="40"/>
  <c r="V78" i="40"/>
  <c r="O125" i="76"/>
  <c r="N128" i="76"/>
  <c r="H82" i="137"/>
  <c r="H95" i="137"/>
  <c r="H78" i="137"/>
  <c r="K92" i="116"/>
  <c r="K93" i="116"/>
  <c r="K89" i="116"/>
  <c r="J87" i="116"/>
  <c r="J103" i="116"/>
  <c r="J99" i="116"/>
  <c r="J105" i="116"/>
  <c r="J111" i="116"/>
  <c r="J132" i="110"/>
  <c r="G123" i="121"/>
  <c r="G113" i="121"/>
  <c r="G108" i="121"/>
  <c r="L208" i="76"/>
  <c r="E160" i="65"/>
  <c r="E181" i="65"/>
  <c r="E176" i="65"/>
  <c r="I56" i="176"/>
  <c r="I62" i="176"/>
  <c r="I69" i="176"/>
  <c r="I74" i="176"/>
  <c r="J49" i="176"/>
  <c r="M104" i="76"/>
  <c r="M103" i="76"/>
  <c r="M203" i="76"/>
  <c r="J14" i="156"/>
  <c r="J34" i="156"/>
  <c r="J14" i="160"/>
  <c r="J34" i="160"/>
  <c r="J14" i="161"/>
  <c r="J34" i="161"/>
  <c r="J14" i="135"/>
  <c r="J34" i="135"/>
  <c r="J14" i="132"/>
  <c r="J34" i="132"/>
  <c r="J14" i="121"/>
  <c r="J34" i="121"/>
  <c r="J14" i="155"/>
  <c r="J34" i="155"/>
  <c r="J14" i="134"/>
  <c r="J34" i="134"/>
  <c r="J34" i="119"/>
  <c r="J14" i="133"/>
  <c r="J34" i="133"/>
  <c r="J14" i="137"/>
  <c r="J34" i="137"/>
  <c r="J14" i="157"/>
  <c r="J34" i="157"/>
  <c r="J14" i="176"/>
  <c r="J34" i="176"/>
  <c r="D129" i="116"/>
  <c r="E126" i="116"/>
  <c r="D130" i="116"/>
  <c r="Q16" i="87"/>
  <c r="Q18" i="87"/>
  <c r="Q22" i="87"/>
  <c r="P18" i="87"/>
  <c r="P22" i="87"/>
  <c r="F93" i="116"/>
  <c r="F92" i="116"/>
  <c r="F89" i="116"/>
  <c r="J82" i="159"/>
  <c r="J95" i="159"/>
  <c r="K74" i="159"/>
  <c r="J78" i="159"/>
  <c r="J87" i="159"/>
  <c r="D103" i="116"/>
  <c r="D99" i="116"/>
  <c r="D105" i="116"/>
  <c r="D111" i="116"/>
  <c r="D87" i="116"/>
  <c r="G113" i="132"/>
  <c r="G108" i="132"/>
  <c r="G104" i="132"/>
  <c r="G105" i="132" s="1"/>
  <c r="G123" i="132"/>
  <c r="O18" i="65"/>
  <c r="O21" i="65"/>
  <c r="N183" i="65"/>
  <c r="P15" i="65"/>
  <c r="I56" i="121"/>
  <c r="I62" i="121"/>
  <c r="I69" i="121"/>
  <c r="I74" i="121"/>
  <c r="J49" i="121"/>
  <c r="R54" i="66"/>
  <c r="R88" i="66"/>
  <c r="R145" i="66"/>
  <c r="R164" i="66"/>
  <c r="R174" i="66"/>
  <c r="R189" i="66"/>
  <c r="R116" i="66"/>
  <c r="R153" i="66"/>
  <c r="K209" i="76"/>
  <c r="P130" i="63"/>
  <c r="L49" i="117"/>
  <c r="K56" i="117"/>
  <c r="K62" i="117"/>
  <c r="K69" i="117"/>
  <c r="G104" i="155"/>
  <c r="G105" i="155" s="1"/>
  <c r="G113" i="155"/>
  <c r="G108" i="155"/>
  <c r="G123" i="155"/>
  <c r="Q16" i="110"/>
  <c r="Q18" i="110"/>
  <c r="Q22" i="110"/>
  <c r="P18" i="110"/>
  <c r="P22" i="110"/>
  <c r="J49" i="135"/>
  <c r="I56" i="135"/>
  <c r="I62" i="135"/>
  <c r="I69" i="135"/>
  <c r="I74" i="135"/>
  <c r="I103" i="116"/>
  <c r="I99" i="116"/>
  <c r="I105" i="116"/>
  <c r="I111" i="116"/>
  <c r="I87" i="116"/>
  <c r="J49" i="132"/>
  <c r="I56" i="132"/>
  <c r="I62" i="132"/>
  <c r="I69" i="132"/>
  <c r="I74" i="132"/>
  <c r="J125" i="116"/>
  <c r="I128" i="116"/>
  <c r="C57" i="176"/>
  <c r="I11" i="176"/>
  <c r="I12" i="176"/>
  <c r="H82" i="156"/>
  <c r="H95" i="156"/>
  <c r="H78" i="156"/>
  <c r="H87" i="156" s="1"/>
  <c r="I104" i="117"/>
  <c r="I105" i="117" s="1"/>
  <c r="I113" i="117"/>
  <c r="J113" i="117"/>
  <c r="K113" i="117"/>
  <c r="L113" i="117"/>
  <c r="M113" i="117"/>
  <c r="N113" i="117"/>
  <c r="O113" i="117"/>
  <c r="P113" i="117"/>
  <c r="Q113" i="117"/>
  <c r="I108" i="117"/>
  <c r="I123" i="117"/>
  <c r="K124" i="176"/>
  <c r="J127" i="176"/>
  <c r="G92" i="116"/>
  <c r="G93" i="116"/>
  <c r="G89" i="116"/>
  <c r="G113" i="119"/>
  <c r="G108" i="119"/>
  <c r="G123" i="119"/>
  <c r="G104" i="119"/>
  <c r="G105" i="119" s="1"/>
  <c r="G113" i="176"/>
  <c r="G123" i="176"/>
  <c r="G108" i="176"/>
  <c r="K54" i="40"/>
  <c r="D8" i="58"/>
  <c r="P21" i="40"/>
  <c r="O25" i="40"/>
  <c r="O26" i="40"/>
  <c r="O27" i="40"/>
  <c r="K56" i="159"/>
  <c r="K62" i="159"/>
  <c r="K69" i="159"/>
  <c r="L49" i="159"/>
  <c r="I56" i="137"/>
  <c r="I62" i="137"/>
  <c r="I69" i="137"/>
  <c r="I74" i="137"/>
  <c r="J49" i="137"/>
  <c r="K103" i="116"/>
  <c r="K99" i="116"/>
  <c r="K105" i="116"/>
  <c r="K111" i="116"/>
  <c r="K87" i="116"/>
  <c r="J89" i="116"/>
  <c r="J92" i="116"/>
  <c r="J93" i="116"/>
  <c r="D108" i="110"/>
  <c r="C90" i="110"/>
  <c r="C108" i="110"/>
  <c r="G234" i="65"/>
  <c r="H212" i="65"/>
  <c r="G213" i="65"/>
  <c r="J49" i="119"/>
  <c r="I56" i="119"/>
  <c r="I62" i="119"/>
  <c r="I69" i="119"/>
  <c r="I74" i="119"/>
  <c r="N63" i="176"/>
  <c r="N96" i="176"/>
  <c r="H78" i="176"/>
  <c r="H87" i="176" s="1"/>
  <c r="H82" i="176"/>
  <c r="H95" i="176"/>
  <c r="O97" i="76"/>
  <c r="N100" i="76"/>
  <c r="C69" i="65"/>
  <c r="M17" i="121"/>
  <c r="H226" i="76"/>
  <c r="H247" i="76"/>
  <c r="I225" i="76"/>
  <c r="H92" i="116"/>
  <c r="H93" i="116"/>
  <c r="H89" i="116"/>
  <c r="H125" i="121"/>
  <c r="G129" i="121"/>
  <c r="G128" i="121"/>
  <c r="G276" i="96"/>
  <c r="G113" i="160"/>
  <c r="G123" i="160"/>
  <c r="G108" i="160"/>
  <c r="G104" i="160"/>
  <c r="G105" i="160" s="1"/>
  <c r="H78" i="132"/>
  <c r="H87" i="132" s="1"/>
  <c r="H82" i="132"/>
  <c r="H95" i="132"/>
  <c r="K183" i="66"/>
  <c r="J201" i="66"/>
  <c r="I56" i="156"/>
  <c r="I62" i="156"/>
  <c r="I69" i="156"/>
  <c r="I74" i="156"/>
  <c r="J49" i="156"/>
  <c r="G123" i="133"/>
  <c r="G113" i="133"/>
  <c r="G108" i="133"/>
  <c r="G104" i="133"/>
  <c r="G105" i="133" s="1"/>
  <c r="H78" i="155"/>
  <c r="H87" i="155" s="1"/>
  <c r="H82" i="155"/>
  <c r="H95" i="155"/>
  <c r="G123" i="135"/>
  <c r="G108" i="135"/>
  <c r="G113" i="135"/>
  <c r="G104" i="135"/>
  <c r="G105" i="135" s="1"/>
  <c r="D92" i="116"/>
  <c r="D93" i="116"/>
  <c r="D89" i="116"/>
  <c r="Q165" i="65"/>
  <c r="K154" i="65"/>
  <c r="C59" i="65"/>
  <c r="H78" i="121"/>
  <c r="H87" i="121"/>
  <c r="H82" i="121"/>
  <c r="H95" i="121"/>
  <c r="G123" i="156"/>
  <c r="G104" i="156"/>
  <c r="G105" i="156" s="1"/>
  <c r="G113" i="156"/>
  <c r="G108" i="156"/>
  <c r="G213" i="66"/>
  <c r="G234" i="66"/>
  <c r="H212" i="66"/>
  <c r="H82" i="134"/>
  <c r="H95" i="134"/>
  <c r="H78" i="134"/>
  <c r="H87" i="134" s="1"/>
  <c r="O95" i="48"/>
  <c r="O212" i="48"/>
  <c r="O94" i="48"/>
  <c r="O207" i="48"/>
  <c r="H78" i="135"/>
  <c r="H87" i="135" s="1"/>
  <c r="H82" i="135"/>
  <c r="H95" i="135"/>
  <c r="I93" i="116"/>
  <c r="I92" i="116"/>
  <c r="I89" i="116"/>
  <c r="L17" i="159"/>
  <c r="N17" i="135"/>
  <c r="K71" i="87"/>
  <c r="L64" i="87"/>
  <c r="L71" i="87"/>
  <c r="N124" i="76"/>
  <c r="N161" i="76"/>
  <c r="N52" i="76"/>
  <c r="N96" i="76"/>
  <c r="N153" i="76"/>
  <c r="N172" i="76"/>
  <c r="N182" i="76"/>
  <c r="N202" i="76"/>
  <c r="N212" i="76"/>
  <c r="N13" i="76"/>
  <c r="O35" i="76"/>
  <c r="I56" i="160"/>
  <c r="I62" i="160"/>
  <c r="I69" i="160"/>
  <c r="I74" i="160"/>
  <c r="J49" i="160"/>
  <c r="J17" i="176"/>
  <c r="R165" i="65"/>
  <c r="P165" i="65"/>
  <c r="M165" i="65"/>
  <c r="H78" i="133"/>
  <c r="H87" i="133" s="1"/>
  <c r="H82" i="133"/>
  <c r="H95" i="133"/>
  <c r="P55" i="40"/>
  <c r="C165" i="66"/>
  <c r="K120" i="116"/>
  <c r="K80" i="116"/>
  <c r="K121" i="116"/>
  <c r="F125" i="119"/>
  <c r="E129" i="119"/>
  <c r="E128" i="119"/>
  <c r="E275" i="96"/>
  <c r="G113" i="137"/>
  <c r="G123" i="137"/>
  <c r="G104" i="137"/>
  <c r="G105" i="137" s="1"/>
  <c r="G108" i="137"/>
  <c r="L124" i="121"/>
  <c r="K127" i="121"/>
  <c r="E93" i="116"/>
  <c r="E92" i="116"/>
  <c r="E89" i="116"/>
  <c r="N165" i="65"/>
  <c r="L165" i="65"/>
  <c r="D91" i="110"/>
  <c r="C91" i="110"/>
  <c r="M63" i="176"/>
  <c r="H78" i="119"/>
  <c r="H87" i="119" s="1"/>
  <c r="H82" i="119"/>
  <c r="H95" i="119"/>
  <c r="G104" i="134"/>
  <c r="G105" i="134" s="1"/>
  <c r="G123" i="134"/>
  <c r="G108" i="134"/>
  <c r="G113" i="134"/>
  <c r="G232" i="48"/>
  <c r="G253" i="48"/>
  <c r="H231" i="48"/>
  <c r="J52" i="159"/>
  <c r="I50" i="159"/>
  <c r="G124" i="159"/>
  <c r="F127" i="159"/>
  <c r="H96" i="159"/>
  <c r="H291" i="96"/>
  <c r="H37" i="96"/>
  <c r="H126" i="159"/>
  <c r="N21" i="176"/>
  <c r="H96" i="133"/>
  <c r="H298" i="96"/>
  <c r="H126" i="133"/>
  <c r="G124" i="133"/>
  <c r="F127" i="133"/>
  <c r="H44" i="96"/>
  <c r="I50" i="133"/>
  <c r="J52" i="133"/>
  <c r="I63" i="133"/>
  <c r="N201" i="65"/>
  <c r="L127" i="121"/>
  <c r="M124" i="121"/>
  <c r="L84" i="87"/>
  <c r="L96" i="87"/>
  <c r="L118" i="87"/>
  <c r="L76" i="87"/>
  <c r="L80" i="87"/>
  <c r="H113" i="121"/>
  <c r="H123" i="121"/>
  <c r="H108" i="121"/>
  <c r="K201" i="66"/>
  <c r="L183" i="66"/>
  <c r="H90" i="116"/>
  <c r="H104" i="116"/>
  <c r="I247" i="76"/>
  <c r="J225" i="76"/>
  <c r="I226" i="76"/>
  <c r="H123" i="176"/>
  <c r="H113" i="176"/>
  <c r="H108" i="176"/>
  <c r="I78" i="119"/>
  <c r="I87" i="119" s="1"/>
  <c r="J74" i="119"/>
  <c r="I82" i="119"/>
  <c r="I95" i="119"/>
  <c r="K49" i="137"/>
  <c r="J56" i="137"/>
  <c r="J62" i="137"/>
  <c r="J69" i="137"/>
  <c r="G91" i="116"/>
  <c r="G90" i="116"/>
  <c r="G104" i="116"/>
  <c r="J56" i="132"/>
  <c r="J62" i="132"/>
  <c r="J69" i="132"/>
  <c r="K49" i="132"/>
  <c r="K49" i="121"/>
  <c r="J56" i="121"/>
  <c r="J62" i="121"/>
  <c r="J69" i="121"/>
  <c r="L74" i="159"/>
  <c r="K82" i="159"/>
  <c r="K95" i="159"/>
  <c r="K78" i="159"/>
  <c r="K87" i="159" s="1"/>
  <c r="F90" i="116"/>
  <c r="F104" i="116"/>
  <c r="F91" i="116"/>
  <c r="I82" i="176"/>
  <c r="I95" i="176"/>
  <c r="J74" i="176"/>
  <c r="I78" i="176"/>
  <c r="I87" i="176"/>
  <c r="H87" i="137"/>
  <c r="N130" i="76"/>
  <c r="N131" i="76"/>
  <c r="N208" i="76"/>
  <c r="N173" i="76"/>
  <c r="O50" i="176"/>
  <c r="P52" i="176"/>
  <c r="K49" i="134"/>
  <c r="J56" i="134"/>
  <c r="J62" i="134"/>
  <c r="J69" i="134"/>
  <c r="J56" i="133"/>
  <c r="J62" i="133"/>
  <c r="J69" i="133"/>
  <c r="K49" i="133"/>
  <c r="I82" i="155"/>
  <c r="I95" i="155"/>
  <c r="I78" i="155"/>
  <c r="I87" i="155" s="1"/>
  <c r="J74" i="155"/>
  <c r="K82" i="117"/>
  <c r="K95" i="117"/>
  <c r="K78" i="117"/>
  <c r="K87" i="117"/>
  <c r="L74" i="117"/>
  <c r="R88" i="48"/>
  <c r="R91" i="48"/>
  <c r="Q91" i="48"/>
  <c r="M96" i="176"/>
  <c r="K49" i="160"/>
  <c r="J56" i="160"/>
  <c r="J62" i="160"/>
  <c r="J69" i="160"/>
  <c r="K84" i="87"/>
  <c r="K96" i="87"/>
  <c r="K118" i="87"/>
  <c r="K76" i="87"/>
  <c r="K80" i="87"/>
  <c r="M17" i="159"/>
  <c r="K49" i="156"/>
  <c r="J56" i="156"/>
  <c r="J62" i="156"/>
  <c r="J69" i="156"/>
  <c r="H113" i="132"/>
  <c r="H123" i="132"/>
  <c r="H108" i="132"/>
  <c r="H104" i="132"/>
  <c r="H105" i="132" s="1"/>
  <c r="I125" i="121"/>
  <c r="H129" i="121"/>
  <c r="H128" i="121"/>
  <c r="H276" i="96"/>
  <c r="N104" i="76"/>
  <c r="N103" i="76"/>
  <c r="N203" i="76"/>
  <c r="K49" i="119"/>
  <c r="J56" i="119"/>
  <c r="J62" i="119"/>
  <c r="J69" i="119"/>
  <c r="J90" i="116"/>
  <c r="J104" i="116"/>
  <c r="J91" i="116"/>
  <c r="J74" i="137"/>
  <c r="I82" i="137"/>
  <c r="I95" i="137"/>
  <c r="I78" i="137"/>
  <c r="I87" i="137" s="1"/>
  <c r="P25" i="40"/>
  <c r="P26" i="40"/>
  <c r="L124" i="176"/>
  <c r="K127" i="176"/>
  <c r="I78" i="135"/>
  <c r="I87" i="135" s="1"/>
  <c r="J74" i="135"/>
  <c r="I82" i="135"/>
  <c r="I95" i="135"/>
  <c r="M49" i="117"/>
  <c r="L56" i="117"/>
  <c r="L62" i="117"/>
  <c r="L69" i="117"/>
  <c r="I78" i="121"/>
  <c r="I87" i="121"/>
  <c r="I82" i="121"/>
  <c r="I95" i="121"/>
  <c r="J74" i="121"/>
  <c r="J123" i="159"/>
  <c r="J108" i="159"/>
  <c r="F126" i="116"/>
  <c r="E130" i="116"/>
  <c r="E129" i="116"/>
  <c r="E187" i="65"/>
  <c r="E182" i="65"/>
  <c r="E184" i="65"/>
  <c r="K90" i="116"/>
  <c r="K104" i="116"/>
  <c r="H108" i="137"/>
  <c r="H104" i="137"/>
  <c r="H105" i="137" s="1"/>
  <c r="H123" i="137"/>
  <c r="H113" i="137"/>
  <c r="P125" i="76"/>
  <c r="O128" i="76"/>
  <c r="E182" i="48"/>
  <c r="K14" i="137"/>
  <c r="K34" i="137"/>
  <c r="K14" i="121"/>
  <c r="K34" i="121"/>
  <c r="K14" i="160"/>
  <c r="K34" i="160"/>
  <c r="K14" i="155"/>
  <c r="K34" i="155"/>
  <c r="K14" i="161"/>
  <c r="K34" i="161"/>
  <c r="K14" i="132"/>
  <c r="K34" i="132"/>
  <c r="K14" i="156"/>
  <c r="K34" i="156"/>
  <c r="K14" i="133"/>
  <c r="K34" i="133"/>
  <c r="K14" i="135"/>
  <c r="K34" i="135"/>
  <c r="K14" i="134"/>
  <c r="K34" i="134"/>
  <c r="K34" i="119"/>
  <c r="K14" i="176"/>
  <c r="K34" i="176"/>
  <c r="K14" i="157"/>
  <c r="K34" i="157" s="1"/>
  <c r="M208" i="76"/>
  <c r="J56" i="155"/>
  <c r="J62" i="155"/>
  <c r="J69" i="155"/>
  <c r="K49" i="155"/>
  <c r="P95" i="48"/>
  <c r="P212" i="48"/>
  <c r="P94" i="48"/>
  <c r="P207" i="48"/>
  <c r="H253" i="48"/>
  <c r="I231" i="48"/>
  <c r="H232" i="48"/>
  <c r="I78" i="160"/>
  <c r="I87" i="160" s="1"/>
  <c r="I82" i="160"/>
  <c r="I95" i="160"/>
  <c r="J74" i="160"/>
  <c r="N19" i="135"/>
  <c r="O17" i="135"/>
  <c r="H108" i="135"/>
  <c r="H113" i="135"/>
  <c r="H123" i="135"/>
  <c r="H104" i="135"/>
  <c r="H105" i="135" s="1"/>
  <c r="H104" i="134"/>
  <c r="H105" i="134" s="1"/>
  <c r="H113" i="134"/>
  <c r="H123" i="134"/>
  <c r="H108" i="134"/>
  <c r="H213" i="66"/>
  <c r="H234" i="66"/>
  <c r="I212" i="66"/>
  <c r="D90" i="116"/>
  <c r="I78" i="156"/>
  <c r="I87" i="156" s="1"/>
  <c r="J74" i="156"/>
  <c r="I82" i="156"/>
  <c r="I95" i="156"/>
  <c r="P97" i="76"/>
  <c r="O100" i="76"/>
  <c r="M49" i="159"/>
  <c r="M56" i="159"/>
  <c r="M62" i="159"/>
  <c r="M69" i="159"/>
  <c r="L56" i="159"/>
  <c r="L62" i="159"/>
  <c r="L69" i="159"/>
  <c r="K125" i="116"/>
  <c r="J128" i="116"/>
  <c r="K49" i="135"/>
  <c r="J56" i="135"/>
  <c r="J62" i="135"/>
  <c r="J69" i="135"/>
  <c r="E197" i="65"/>
  <c r="E191" i="65"/>
  <c r="E198" i="65"/>
  <c r="E200" i="65"/>
  <c r="E202" i="65"/>
  <c r="E171" i="65"/>
  <c r="F165" i="48"/>
  <c r="F71" i="48"/>
  <c r="F120" i="48"/>
  <c r="F143" i="48"/>
  <c r="F93" i="48"/>
  <c r="H113" i="119"/>
  <c r="H108" i="119"/>
  <c r="H123" i="119"/>
  <c r="H104" i="119"/>
  <c r="H105" i="119"/>
  <c r="E90" i="116"/>
  <c r="E104" i="116"/>
  <c r="E91" i="116"/>
  <c r="F129" i="119"/>
  <c r="G125" i="119"/>
  <c r="F128" i="119"/>
  <c r="F275" i="96"/>
  <c r="K88" i="116"/>
  <c r="C80" i="116"/>
  <c r="C88" i="116"/>
  <c r="H123" i="133"/>
  <c r="H113" i="133"/>
  <c r="H104" i="133"/>
  <c r="H105" i="133" s="1"/>
  <c r="H108" i="133"/>
  <c r="K17" i="176"/>
  <c r="O52" i="76"/>
  <c r="O96" i="76"/>
  <c r="O153" i="76"/>
  <c r="O172" i="76"/>
  <c r="O182" i="76"/>
  <c r="O202" i="76"/>
  <c r="O212" i="76"/>
  <c r="O161" i="76"/>
  <c r="P35" i="76"/>
  <c r="O124" i="76"/>
  <c r="O13" i="76"/>
  <c r="I90" i="116"/>
  <c r="I104" i="116"/>
  <c r="I91" i="116"/>
  <c r="K165" i="65"/>
  <c r="H104" i="155"/>
  <c r="H105" i="155" s="1"/>
  <c r="H113" i="155"/>
  <c r="H108" i="155"/>
  <c r="H123" i="155"/>
  <c r="N17" i="121"/>
  <c r="H213" i="65"/>
  <c r="H234" i="65"/>
  <c r="I212" i="65"/>
  <c r="H108" i="156"/>
  <c r="H113" i="156"/>
  <c r="H123" i="156"/>
  <c r="H104" i="156"/>
  <c r="H105" i="156" s="1"/>
  <c r="Q57" i="176"/>
  <c r="J57" i="176"/>
  <c r="I57" i="176"/>
  <c r="C83" i="176"/>
  <c r="N5" i="176"/>
  <c r="L57" i="176"/>
  <c r="O57" i="176"/>
  <c r="N57" i="176"/>
  <c r="K57" i="176"/>
  <c r="H57" i="176"/>
  <c r="E57" i="176"/>
  <c r="F57" i="176"/>
  <c r="M57" i="176"/>
  <c r="G57" i="176"/>
  <c r="P57" i="176"/>
  <c r="D57" i="176"/>
  <c r="C79" i="176"/>
  <c r="J74" i="132"/>
  <c r="I78" i="132"/>
  <c r="I87" i="132" s="1"/>
  <c r="I82" i="132"/>
  <c r="I95" i="132"/>
  <c r="P18" i="65"/>
  <c r="P21" i="65"/>
  <c r="O183" i="65"/>
  <c r="Q15" i="65"/>
  <c r="J56" i="176"/>
  <c r="J62" i="176"/>
  <c r="J69" i="176"/>
  <c r="K49" i="176"/>
  <c r="O22" i="40"/>
  <c r="N23" i="40"/>
  <c r="N46" i="40"/>
  <c r="N73" i="40"/>
  <c r="W73" i="40"/>
  <c r="W77" i="40"/>
  <c r="W78" i="40"/>
  <c r="I82" i="134"/>
  <c r="I95" i="134"/>
  <c r="I78" i="134"/>
  <c r="I87" i="134" s="1"/>
  <c r="J74" i="134"/>
  <c r="L14" i="159"/>
  <c r="L34" i="159"/>
  <c r="M14" i="117"/>
  <c r="L14" i="119"/>
  <c r="L34" i="117"/>
  <c r="H130" i="110"/>
  <c r="G134" i="110"/>
  <c r="G133" i="110"/>
  <c r="O126" i="176"/>
  <c r="J74" i="133"/>
  <c r="I82" i="133"/>
  <c r="I95" i="133"/>
  <c r="I78" i="133"/>
  <c r="I87" i="133" s="1"/>
  <c r="L124" i="119"/>
  <c r="K127" i="119"/>
  <c r="H123" i="160"/>
  <c r="H113" i="160"/>
  <c r="H104" i="160"/>
  <c r="H105" i="160" s="1"/>
  <c r="H108" i="160"/>
  <c r="J123" i="117"/>
  <c r="J104" i="117"/>
  <c r="J105" i="117" s="1"/>
  <c r="J108" i="117"/>
  <c r="N214" i="76"/>
  <c r="O191" i="76"/>
  <c r="K52" i="161"/>
  <c r="L52" i="161" s="1"/>
  <c r="M52" i="161" s="1"/>
  <c r="N52" i="161" s="1"/>
  <c r="O52" i="161" s="1"/>
  <c r="G127" i="159"/>
  <c r="H124" i="159"/>
  <c r="I37" i="96"/>
  <c r="K52" i="159"/>
  <c r="J50" i="159"/>
  <c r="I126" i="159"/>
  <c r="I63" i="159"/>
  <c r="O21" i="176"/>
  <c r="I126" i="133"/>
  <c r="J126" i="133"/>
  <c r="J50" i="133"/>
  <c r="K52" i="133"/>
  <c r="H124" i="133"/>
  <c r="G127" i="133"/>
  <c r="I298" i="96"/>
  <c r="I96" i="133"/>
  <c r="I44" i="96"/>
  <c r="O201" i="65"/>
  <c r="O214" i="76"/>
  <c r="P191" i="76"/>
  <c r="L14" i="176"/>
  <c r="L34" i="176"/>
  <c r="L14" i="161"/>
  <c r="L34" i="161"/>
  <c r="L14" i="160"/>
  <c r="L34" i="160"/>
  <c r="L14" i="121"/>
  <c r="L34" i="121"/>
  <c r="L14" i="133"/>
  <c r="L34" i="133"/>
  <c r="L14" i="157"/>
  <c r="L34" i="157" s="1"/>
  <c r="L14" i="137"/>
  <c r="L34" i="137"/>
  <c r="L14" i="134"/>
  <c r="L34" i="134"/>
  <c r="L14" i="132"/>
  <c r="L34" i="132"/>
  <c r="L14" i="155"/>
  <c r="L34" i="155"/>
  <c r="L14" i="156"/>
  <c r="L34" i="156"/>
  <c r="L14" i="135"/>
  <c r="L34" i="135"/>
  <c r="L34" i="119"/>
  <c r="Q18" i="65"/>
  <c r="Q21" i="65"/>
  <c r="P183" i="65"/>
  <c r="R15" i="65"/>
  <c r="R18" i="65"/>
  <c r="R21" i="65"/>
  <c r="J78" i="132"/>
  <c r="J87" i="132" s="1"/>
  <c r="J82" i="132"/>
  <c r="J95" i="132"/>
  <c r="K74" i="132"/>
  <c r="G83" i="176"/>
  <c r="G79" i="176"/>
  <c r="H83" i="176"/>
  <c r="H79" i="176"/>
  <c r="L83" i="176"/>
  <c r="L79" i="176"/>
  <c r="Q83" i="176"/>
  <c r="Q79" i="176"/>
  <c r="P161" i="76"/>
  <c r="P13" i="76"/>
  <c r="P124" i="76"/>
  <c r="P52" i="76"/>
  <c r="P96" i="76"/>
  <c r="P153" i="76"/>
  <c r="P172" i="76"/>
  <c r="P182" i="76"/>
  <c r="P202" i="76"/>
  <c r="Q35" i="76"/>
  <c r="D104" i="116"/>
  <c r="C90" i="116"/>
  <c r="C104" i="116"/>
  <c r="P17" i="135"/>
  <c r="O19" i="135"/>
  <c r="I253" i="48"/>
  <c r="J231" i="48"/>
  <c r="I232" i="48"/>
  <c r="K91" i="116"/>
  <c r="L82" i="117"/>
  <c r="L95" i="117"/>
  <c r="M74" i="117"/>
  <c r="L78" i="117"/>
  <c r="L87" i="117"/>
  <c r="L78" i="159"/>
  <c r="L87" i="159"/>
  <c r="L82" i="159"/>
  <c r="L95" i="159"/>
  <c r="M74" i="159"/>
  <c r="M82" i="159"/>
  <c r="M95" i="159"/>
  <c r="K56" i="137"/>
  <c r="K62" i="137"/>
  <c r="K69" i="137"/>
  <c r="L49" i="137"/>
  <c r="M127" i="121"/>
  <c r="I113" i="133"/>
  <c r="J113" i="133"/>
  <c r="K113" i="133"/>
  <c r="L113" i="133"/>
  <c r="M113" i="133"/>
  <c r="N113" i="133"/>
  <c r="O113" i="133"/>
  <c r="I123" i="133"/>
  <c r="I104" i="133"/>
  <c r="I105" i="133" s="1"/>
  <c r="I108" i="133"/>
  <c r="M14" i="159"/>
  <c r="M34" i="159"/>
  <c r="N14" i="117"/>
  <c r="M34" i="117"/>
  <c r="M14" i="119"/>
  <c r="I123" i="134"/>
  <c r="I108" i="134"/>
  <c r="I113" i="134"/>
  <c r="J113" i="134"/>
  <c r="K113" i="134"/>
  <c r="L113" i="134"/>
  <c r="M113" i="134"/>
  <c r="I104" i="134"/>
  <c r="I105" i="134" s="1"/>
  <c r="P22" i="40"/>
  <c r="P23" i="40"/>
  <c r="P46" i="40"/>
  <c r="P73" i="40"/>
  <c r="Y73" i="40"/>
  <c r="Y77" i="40"/>
  <c r="Y78" i="40"/>
  <c r="O23" i="40"/>
  <c r="O46" i="40"/>
  <c r="O73" i="40"/>
  <c r="X73" i="40"/>
  <c r="X77" i="40"/>
  <c r="X78" i="40"/>
  <c r="C101" i="176"/>
  <c r="C86" i="176"/>
  <c r="D8" i="176"/>
  <c r="M83" i="176"/>
  <c r="M79" i="176"/>
  <c r="K83" i="176"/>
  <c r="K79" i="176"/>
  <c r="I213" i="65"/>
  <c r="G72" i="65"/>
  <c r="G157" i="65"/>
  <c r="G168" i="65"/>
  <c r="I234" i="65"/>
  <c r="J212" i="65"/>
  <c r="H125" i="119"/>
  <c r="G129" i="119"/>
  <c r="G128" i="119"/>
  <c r="G275" i="96"/>
  <c r="F182" i="48"/>
  <c r="F172" i="48"/>
  <c r="N19" i="119"/>
  <c r="K128" i="116"/>
  <c r="I123" i="156"/>
  <c r="I104" i="156"/>
  <c r="I105" i="156" s="1"/>
  <c r="I113" i="156"/>
  <c r="J113" i="156"/>
  <c r="K113" i="156"/>
  <c r="L113" i="156"/>
  <c r="M113" i="156"/>
  <c r="I108" i="156"/>
  <c r="D91" i="116"/>
  <c r="C91" i="116"/>
  <c r="O130" i="76"/>
  <c r="O131" i="76"/>
  <c r="O173" i="76"/>
  <c r="G126" i="116"/>
  <c r="F130" i="116"/>
  <c r="F129" i="116"/>
  <c r="J82" i="121"/>
  <c r="J95" i="121"/>
  <c r="K74" i="121"/>
  <c r="N49" i="117"/>
  <c r="M56" i="117"/>
  <c r="M62" i="117"/>
  <c r="M69" i="117"/>
  <c r="L49" i="156"/>
  <c r="K56" i="156"/>
  <c r="K62" i="156"/>
  <c r="K69" i="156"/>
  <c r="N17" i="159"/>
  <c r="L49" i="160"/>
  <c r="K56" i="160"/>
  <c r="K62" i="160"/>
  <c r="K69" i="160"/>
  <c r="Q95" i="48"/>
  <c r="Q212" i="48"/>
  <c r="Q94" i="48"/>
  <c r="Q207" i="48"/>
  <c r="I113" i="155"/>
  <c r="J113" i="155"/>
  <c r="K113" i="155"/>
  <c r="L113" i="155"/>
  <c r="M113" i="155"/>
  <c r="N113" i="155"/>
  <c r="O113" i="155"/>
  <c r="P113" i="155"/>
  <c r="Q113" i="155"/>
  <c r="I108" i="155"/>
  <c r="I104" i="155"/>
  <c r="I105" i="155"/>
  <c r="I123" i="155"/>
  <c r="K56" i="134"/>
  <c r="K62" i="134"/>
  <c r="K69" i="134"/>
  <c r="L49" i="134"/>
  <c r="K74" i="176"/>
  <c r="J82" i="176"/>
  <c r="J95" i="176"/>
  <c r="J78" i="176"/>
  <c r="J87" i="176" s="1"/>
  <c r="I108" i="119"/>
  <c r="I123" i="119"/>
  <c r="I113" i="119"/>
  <c r="J113" i="119"/>
  <c r="K113" i="119"/>
  <c r="L113" i="119"/>
  <c r="M113" i="119"/>
  <c r="I104" i="119"/>
  <c r="I105" i="119" s="1"/>
  <c r="H91" i="116"/>
  <c r="M124" i="119"/>
  <c r="L127" i="119"/>
  <c r="K74" i="133"/>
  <c r="J78" i="133"/>
  <c r="J87" i="133" s="1"/>
  <c r="J82" i="133"/>
  <c r="J95" i="133"/>
  <c r="I130" i="110"/>
  <c r="H134" i="110"/>
  <c r="H133" i="110"/>
  <c r="I123" i="132"/>
  <c r="I104" i="132"/>
  <c r="I105" i="132" s="1"/>
  <c r="I108" i="132"/>
  <c r="I113" i="132"/>
  <c r="J113" i="132"/>
  <c r="K113" i="132"/>
  <c r="L113" i="132"/>
  <c r="M113" i="132"/>
  <c r="N113" i="132"/>
  <c r="O113" i="132"/>
  <c r="D83" i="176"/>
  <c r="D125" i="176"/>
  <c r="D79" i="176"/>
  <c r="F83" i="176"/>
  <c r="F79" i="176"/>
  <c r="N83" i="176"/>
  <c r="N79" i="176"/>
  <c r="I83" i="176"/>
  <c r="I79" i="176"/>
  <c r="P54" i="40"/>
  <c r="C165" i="65"/>
  <c r="K56" i="135"/>
  <c r="K62" i="135"/>
  <c r="K69" i="135"/>
  <c r="L49" i="135"/>
  <c r="O104" i="76"/>
  <c r="O103" i="76"/>
  <c r="O203" i="76"/>
  <c r="K74" i="156"/>
  <c r="J78" i="156"/>
  <c r="J87" i="156" s="1"/>
  <c r="J82" i="156"/>
  <c r="J95" i="156"/>
  <c r="I213" i="66"/>
  <c r="G72" i="66"/>
  <c r="G157" i="66"/>
  <c r="G168" i="66"/>
  <c r="I234" i="66"/>
  <c r="J212" i="66"/>
  <c r="K74" i="160"/>
  <c r="J78" i="160"/>
  <c r="J87" i="160" s="1"/>
  <c r="J82" i="160"/>
  <c r="J95" i="160"/>
  <c r="Q125" i="76"/>
  <c r="P128" i="76"/>
  <c r="I113" i="121"/>
  <c r="J113" i="121"/>
  <c r="K113" i="121"/>
  <c r="L113" i="121"/>
  <c r="M113" i="121"/>
  <c r="I123" i="121"/>
  <c r="I108" i="121"/>
  <c r="I108" i="135"/>
  <c r="I123" i="135"/>
  <c r="I113" i="135"/>
  <c r="J113" i="135"/>
  <c r="K113" i="135"/>
  <c r="L113" i="135"/>
  <c r="M113" i="135"/>
  <c r="N113" i="135"/>
  <c r="O113" i="135"/>
  <c r="I104" i="135"/>
  <c r="I105" i="135" s="1"/>
  <c r="I113" i="137"/>
  <c r="J113" i="137"/>
  <c r="K113" i="137"/>
  <c r="L113" i="137"/>
  <c r="M113" i="137"/>
  <c r="I108" i="137"/>
  <c r="I123" i="137"/>
  <c r="I104" i="137"/>
  <c r="I105" i="137" s="1"/>
  <c r="R95" i="48"/>
  <c r="R212" i="48"/>
  <c r="R94" i="48"/>
  <c r="R207" i="48"/>
  <c r="K108" i="117"/>
  <c r="K123" i="117"/>
  <c r="K104" i="117"/>
  <c r="K105" i="117" s="1"/>
  <c r="L49" i="133"/>
  <c r="K56" i="133"/>
  <c r="K62" i="133"/>
  <c r="K69" i="133"/>
  <c r="Q52" i="176"/>
  <c r="Q50" i="176"/>
  <c r="P50" i="176"/>
  <c r="P63" i="176"/>
  <c r="P96" i="176"/>
  <c r="I113" i="176"/>
  <c r="J113" i="176"/>
  <c r="K113" i="176"/>
  <c r="L113" i="176"/>
  <c r="M113" i="176"/>
  <c r="N113" i="176"/>
  <c r="O113" i="176"/>
  <c r="P113" i="176"/>
  <c r="Q113" i="176"/>
  <c r="I123" i="176"/>
  <c r="I108" i="176"/>
  <c r="L49" i="121"/>
  <c r="K56" i="121"/>
  <c r="K62" i="121"/>
  <c r="K69" i="121"/>
  <c r="K74" i="119"/>
  <c r="J82" i="119"/>
  <c r="J95" i="119"/>
  <c r="L201" i="66"/>
  <c r="M183" i="66"/>
  <c r="C79" i="87"/>
  <c r="J82" i="134"/>
  <c r="J95" i="134"/>
  <c r="J78" i="134"/>
  <c r="J87" i="134" s="1"/>
  <c r="K74" i="134"/>
  <c r="L49" i="176"/>
  <c r="K56" i="176"/>
  <c r="K62" i="176"/>
  <c r="K69" i="176"/>
  <c r="P83" i="176"/>
  <c r="P79" i="176"/>
  <c r="E83" i="176"/>
  <c r="E79" i="176"/>
  <c r="O83" i="176"/>
  <c r="O79" i="176"/>
  <c r="J83" i="176"/>
  <c r="J79" i="176"/>
  <c r="O17" i="121"/>
  <c r="N19" i="121"/>
  <c r="L17" i="176"/>
  <c r="Q97" i="76"/>
  <c r="P100" i="76"/>
  <c r="I104" i="160"/>
  <c r="I105" i="160" s="1"/>
  <c r="I123" i="160"/>
  <c r="I113" i="160"/>
  <c r="J113" i="160"/>
  <c r="K113" i="160"/>
  <c r="L113" i="160"/>
  <c r="M113" i="160"/>
  <c r="N113" i="160"/>
  <c r="O113" i="160"/>
  <c r="P113" i="160"/>
  <c r="I108" i="160"/>
  <c r="G71" i="48"/>
  <c r="G165" i="48"/>
  <c r="G120" i="48"/>
  <c r="G143" i="48"/>
  <c r="G93" i="48"/>
  <c r="L49" i="155"/>
  <c r="K56" i="155"/>
  <c r="K62" i="155"/>
  <c r="K69" i="155"/>
  <c r="K74" i="135"/>
  <c r="J78" i="135"/>
  <c r="J87" i="135" s="1"/>
  <c r="J82" i="135"/>
  <c r="J95" i="135"/>
  <c r="M124" i="176"/>
  <c r="L127" i="176"/>
  <c r="Q26" i="40"/>
  <c r="Q27" i="40"/>
  <c r="P27" i="40"/>
  <c r="J82" i="137"/>
  <c r="J95" i="137"/>
  <c r="K74" i="137"/>
  <c r="J78" i="137"/>
  <c r="J87" i="137" s="1"/>
  <c r="L49" i="119"/>
  <c r="K56" i="119"/>
  <c r="K62" i="119"/>
  <c r="K69" i="119"/>
  <c r="I129" i="121"/>
  <c r="J125" i="121"/>
  <c r="I128" i="121"/>
  <c r="I276" i="96"/>
  <c r="K74" i="155"/>
  <c r="J82" i="155"/>
  <c r="J95" i="155"/>
  <c r="J78" i="155"/>
  <c r="J87" i="155" s="1"/>
  <c r="Q63" i="176"/>
  <c r="Q96" i="176"/>
  <c r="O63" i="176"/>
  <c r="N175" i="76"/>
  <c r="K108" i="159"/>
  <c r="K123" i="159"/>
  <c r="K56" i="132"/>
  <c r="K62" i="132"/>
  <c r="K69" i="132"/>
  <c r="L49" i="132"/>
  <c r="J226" i="76"/>
  <c r="J247" i="76"/>
  <c r="K225" i="76"/>
  <c r="J126" i="159"/>
  <c r="I291" i="96"/>
  <c r="I96" i="159"/>
  <c r="L52" i="159"/>
  <c r="K50" i="159"/>
  <c r="H127" i="159"/>
  <c r="I124" i="159"/>
  <c r="J37" i="96"/>
  <c r="J63" i="159"/>
  <c r="P21" i="176"/>
  <c r="K50" i="133"/>
  <c r="L52" i="133"/>
  <c r="I124" i="133"/>
  <c r="H127" i="133"/>
  <c r="J44" i="96"/>
  <c r="J63" i="133"/>
  <c r="P201" i="65"/>
  <c r="Q183" i="65"/>
  <c r="K82" i="155"/>
  <c r="K95" i="155"/>
  <c r="L74" i="155"/>
  <c r="K78" i="155"/>
  <c r="K87" i="155" s="1"/>
  <c r="D79" i="87"/>
  <c r="J79" i="87"/>
  <c r="K79" i="87"/>
  <c r="G79" i="87"/>
  <c r="E79" i="87"/>
  <c r="H79" i="87"/>
  <c r="F79" i="87"/>
  <c r="I79" i="87"/>
  <c r="L79" i="87"/>
  <c r="D86" i="176"/>
  <c r="D101" i="176"/>
  <c r="K126" i="159"/>
  <c r="L56" i="132"/>
  <c r="L62" i="132"/>
  <c r="L69" i="132"/>
  <c r="M49" i="132"/>
  <c r="N209" i="76"/>
  <c r="K125" i="121"/>
  <c r="J129" i="121"/>
  <c r="J128" i="121"/>
  <c r="J276" i="96"/>
  <c r="J108" i="135"/>
  <c r="J123" i="135"/>
  <c r="J104" i="135"/>
  <c r="J105" i="135" s="1"/>
  <c r="G182" i="48"/>
  <c r="G172" i="48"/>
  <c r="M17" i="176"/>
  <c r="J92" i="176"/>
  <c r="J91" i="176"/>
  <c r="E92" i="176"/>
  <c r="E91" i="176"/>
  <c r="L56" i="176"/>
  <c r="L62" i="176"/>
  <c r="L69" i="176"/>
  <c r="M49" i="176"/>
  <c r="P126" i="176"/>
  <c r="Q126" i="176"/>
  <c r="J104" i="119"/>
  <c r="J105" i="119" s="1"/>
  <c r="J108" i="119"/>
  <c r="J123" i="119"/>
  <c r="L74" i="160"/>
  <c r="K82" i="160"/>
  <c r="K95" i="160"/>
  <c r="K78" i="160"/>
  <c r="K87" i="160" s="1"/>
  <c r="M49" i="135"/>
  <c r="L56" i="135"/>
  <c r="L62" i="135"/>
  <c r="L69" i="135"/>
  <c r="I101" i="176"/>
  <c r="I86" i="176"/>
  <c r="F86" i="176"/>
  <c r="F101" i="176"/>
  <c r="D92" i="176"/>
  <c r="D91" i="176"/>
  <c r="I134" i="110"/>
  <c r="J130" i="110"/>
  <c r="I133" i="110"/>
  <c r="L56" i="134"/>
  <c r="L62" i="134"/>
  <c r="L69" i="134" s="1"/>
  <c r="M49" i="134"/>
  <c r="M56" i="134"/>
  <c r="M62" i="134" s="1"/>
  <c r="M69" i="134" s="1"/>
  <c r="N19" i="159"/>
  <c r="O17" i="159"/>
  <c r="O49" i="117"/>
  <c r="N56" i="117"/>
  <c r="N62" i="117"/>
  <c r="N69" i="117"/>
  <c r="O175" i="76"/>
  <c r="O209" i="76"/>
  <c r="H129" i="119"/>
  <c r="I125" i="119"/>
  <c r="H128" i="119"/>
  <c r="H275" i="96"/>
  <c r="N34" i="117"/>
  <c r="N14" i="119"/>
  <c r="O14" i="117"/>
  <c r="N14" i="159"/>
  <c r="M49" i="137"/>
  <c r="M56" i="137"/>
  <c r="M62" i="137" s="1"/>
  <c r="M69" i="137" s="1"/>
  <c r="L56" i="137"/>
  <c r="L62" i="137"/>
  <c r="L69" i="137" s="1"/>
  <c r="H120" i="48"/>
  <c r="H93" i="48"/>
  <c r="H71" i="48"/>
  <c r="H165" i="48"/>
  <c r="H143" i="48"/>
  <c r="Q91" i="176"/>
  <c r="Q92" i="176"/>
  <c r="H92" i="176"/>
  <c r="H91" i="176"/>
  <c r="J104" i="132"/>
  <c r="J105" i="132" s="1"/>
  <c r="J108" i="132"/>
  <c r="J123" i="132"/>
  <c r="R97" i="76"/>
  <c r="R100" i="76"/>
  <c r="Q100" i="76"/>
  <c r="P17" i="121"/>
  <c r="O19" i="121"/>
  <c r="O92" i="176"/>
  <c r="O91" i="176"/>
  <c r="P91" i="176"/>
  <c r="P92" i="176"/>
  <c r="R125" i="76"/>
  <c r="R128" i="76"/>
  <c r="Q128" i="76"/>
  <c r="J104" i="160"/>
  <c r="J105" i="160" s="1"/>
  <c r="J123" i="160"/>
  <c r="J108" i="160"/>
  <c r="N86" i="176"/>
  <c r="N101" i="176"/>
  <c r="O96" i="176"/>
  <c r="C63" i="176"/>
  <c r="C96" i="176"/>
  <c r="J108" i="155"/>
  <c r="J123" i="155"/>
  <c r="J104" i="155"/>
  <c r="J105" i="155"/>
  <c r="L74" i="137"/>
  <c r="K82" i="137"/>
  <c r="K95" i="137"/>
  <c r="K78" i="137"/>
  <c r="K87" i="137" s="1"/>
  <c r="P103" i="76"/>
  <c r="P104" i="76"/>
  <c r="P203" i="76"/>
  <c r="O101" i="176"/>
  <c r="O86" i="176"/>
  <c r="P86" i="176"/>
  <c r="P101" i="176"/>
  <c r="L74" i="134"/>
  <c r="K82" i="134"/>
  <c r="K95" i="134"/>
  <c r="L74" i="119"/>
  <c r="K82" i="119"/>
  <c r="K95" i="119"/>
  <c r="M49" i="133"/>
  <c r="L56" i="133"/>
  <c r="L62" i="133"/>
  <c r="L69" i="133"/>
  <c r="P130" i="76"/>
  <c r="P175" i="76"/>
  <c r="P209" i="76"/>
  <c r="P131" i="76"/>
  <c r="P173" i="76"/>
  <c r="J213" i="66"/>
  <c r="J234" i="66"/>
  <c r="K212" i="66"/>
  <c r="L74" i="156"/>
  <c r="K82" i="156"/>
  <c r="K95" i="156"/>
  <c r="K78" i="156"/>
  <c r="K87" i="156" s="1"/>
  <c r="I91" i="176"/>
  <c r="I92" i="176"/>
  <c r="F92" i="176"/>
  <c r="F91" i="176"/>
  <c r="J123" i="133"/>
  <c r="J108" i="133"/>
  <c r="J104" i="133"/>
  <c r="J105" i="133" s="1"/>
  <c r="M127" i="119"/>
  <c r="L74" i="121"/>
  <c r="K82" i="121"/>
  <c r="K95" i="121"/>
  <c r="H126" i="116"/>
  <c r="G130" i="116"/>
  <c r="G129" i="116"/>
  <c r="O19" i="119"/>
  <c r="K101" i="176"/>
  <c r="K86" i="176"/>
  <c r="J253" i="48"/>
  <c r="K231" i="48"/>
  <c r="J232" i="48"/>
  <c r="Q17" i="135"/>
  <c r="L86" i="176"/>
  <c r="L101" i="176"/>
  <c r="G86" i="176"/>
  <c r="G101" i="176"/>
  <c r="P214" i="76"/>
  <c r="Q191" i="76"/>
  <c r="J123" i="176"/>
  <c r="J108" i="176"/>
  <c r="J108" i="121"/>
  <c r="J123" i="121"/>
  <c r="M14" i="137"/>
  <c r="M34" i="137"/>
  <c r="M14" i="133"/>
  <c r="M34" i="133"/>
  <c r="M14" i="121"/>
  <c r="M34" i="121"/>
  <c r="M14" i="157"/>
  <c r="M34" i="157"/>
  <c r="M14" i="134"/>
  <c r="M34" i="134"/>
  <c r="M34" i="119"/>
  <c r="M14" i="176"/>
  <c r="M34" i="176"/>
  <c r="M14" i="155"/>
  <c r="M34" i="155"/>
  <c r="M14" i="135"/>
  <c r="M34" i="135"/>
  <c r="M14" i="160"/>
  <c r="M34" i="160"/>
  <c r="M14" i="161"/>
  <c r="M34" i="161" s="1"/>
  <c r="M14" i="132"/>
  <c r="M34" i="132"/>
  <c r="M14" i="156"/>
  <c r="M34" i="156"/>
  <c r="M123" i="159"/>
  <c r="M108" i="159"/>
  <c r="N74" i="117"/>
  <c r="M78" i="117"/>
  <c r="M87" i="117"/>
  <c r="M82" i="117"/>
  <c r="M95" i="117"/>
  <c r="R35" i="76"/>
  <c r="Q161" i="76"/>
  <c r="Q52" i="76"/>
  <c r="Q96" i="76"/>
  <c r="Q153" i="76"/>
  <c r="Q172" i="76"/>
  <c r="Q182" i="76"/>
  <c r="Q202" i="76"/>
  <c r="Q13" i="76"/>
  <c r="Q124" i="76"/>
  <c r="G91" i="176"/>
  <c r="G92" i="176"/>
  <c r="K247" i="76"/>
  <c r="L225" i="76"/>
  <c r="K226" i="76"/>
  <c r="J104" i="137"/>
  <c r="J105" i="137" s="1"/>
  <c r="J108" i="137"/>
  <c r="J123" i="137"/>
  <c r="L74" i="135"/>
  <c r="K82" i="135"/>
  <c r="K95" i="135"/>
  <c r="K78" i="135"/>
  <c r="K87" i="135" s="1"/>
  <c r="H157" i="76"/>
  <c r="H176" i="76"/>
  <c r="H132" i="76"/>
  <c r="H102" i="76"/>
  <c r="M49" i="119"/>
  <c r="M56" i="119"/>
  <c r="M62" i="119"/>
  <c r="M69" i="119"/>
  <c r="L56" i="119"/>
  <c r="L62" i="119"/>
  <c r="L69" i="119"/>
  <c r="N124" i="176"/>
  <c r="M127" i="176"/>
  <c r="L56" i="155"/>
  <c r="L62" i="155"/>
  <c r="L69" i="155"/>
  <c r="M49" i="155"/>
  <c r="J101" i="176"/>
  <c r="J86" i="176"/>
  <c r="E101" i="176"/>
  <c r="E86" i="176"/>
  <c r="J123" i="134"/>
  <c r="J104" i="134"/>
  <c r="J105" i="134" s="1"/>
  <c r="J108" i="134"/>
  <c r="N183" i="66"/>
  <c r="M201" i="66"/>
  <c r="C79" i="76"/>
  <c r="L56" i="121"/>
  <c r="L62" i="121"/>
  <c r="L69" i="121"/>
  <c r="M49" i="121"/>
  <c r="M56" i="121"/>
  <c r="M62" i="121"/>
  <c r="M69" i="121"/>
  <c r="J108" i="156"/>
  <c r="J104" i="156"/>
  <c r="J105" i="156" s="1"/>
  <c r="J123" i="156"/>
  <c r="D128" i="176"/>
  <c r="D129" i="176"/>
  <c r="E125" i="176"/>
  <c r="K78" i="133"/>
  <c r="K87" i="133" s="1"/>
  <c r="K82" i="133"/>
  <c r="K95" i="133"/>
  <c r="L74" i="133"/>
  <c r="K78" i="176"/>
  <c r="K87" i="176" s="1"/>
  <c r="K82" i="176"/>
  <c r="K95" i="176"/>
  <c r="L74" i="176"/>
  <c r="M49" i="160"/>
  <c r="L56" i="160"/>
  <c r="L62" i="160"/>
  <c r="L69" i="160"/>
  <c r="M49" i="156"/>
  <c r="M56" i="156"/>
  <c r="M62" i="156"/>
  <c r="M69" i="156"/>
  <c r="L56" i="156"/>
  <c r="L62" i="156"/>
  <c r="L69" i="156"/>
  <c r="O208" i="76"/>
  <c r="J234" i="65"/>
  <c r="K212" i="65"/>
  <c r="J213" i="65"/>
  <c r="M86" i="176"/>
  <c r="M101" i="176"/>
  <c r="L123" i="159"/>
  <c r="L108" i="159"/>
  <c r="L123" i="117"/>
  <c r="L108" i="117"/>
  <c r="L104" i="117"/>
  <c r="P212" i="76"/>
  <c r="Q101" i="176"/>
  <c r="Q86" i="176"/>
  <c r="H86" i="176"/>
  <c r="H101" i="176"/>
  <c r="L74" i="132"/>
  <c r="K82" i="132"/>
  <c r="K95" i="132"/>
  <c r="K78" i="132"/>
  <c r="K87" i="132" s="1"/>
  <c r="I127" i="159"/>
  <c r="J124" i="159"/>
  <c r="J96" i="159"/>
  <c r="J291" i="96"/>
  <c r="K37" i="96"/>
  <c r="L50" i="159"/>
  <c r="M52" i="159"/>
  <c r="M50" i="159"/>
  <c r="M37" i="96"/>
  <c r="K63" i="159"/>
  <c r="Q21" i="176"/>
  <c r="L50" i="133"/>
  <c r="M52" i="133"/>
  <c r="K44" i="96"/>
  <c r="K63" i="133"/>
  <c r="J96" i="133"/>
  <c r="J298" i="96"/>
  <c r="K126" i="133"/>
  <c r="L126" i="133"/>
  <c r="J124" i="133"/>
  <c r="I127" i="133"/>
  <c r="C50" i="159"/>
  <c r="C37" i="96"/>
  <c r="M74" i="132"/>
  <c r="L82" i="132"/>
  <c r="L95" i="132"/>
  <c r="L78" i="132"/>
  <c r="L87" i="132" s="1"/>
  <c r="H149" i="65"/>
  <c r="H94" i="65"/>
  <c r="H72" i="65"/>
  <c r="H157" i="65"/>
  <c r="H124" i="65"/>
  <c r="C71" i="65"/>
  <c r="N49" i="160"/>
  <c r="M56" i="160"/>
  <c r="M62" i="160"/>
  <c r="M69" i="160"/>
  <c r="L78" i="133"/>
  <c r="L87" i="133" s="1"/>
  <c r="L82" i="133"/>
  <c r="L95" i="133"/>
  <c r="M74" i="133"/>
  <c r="K108" i="135"/>
  <c r="K123" i="135"/>
  <c r="K104" i="135"/>
  <c r="L82" i="156"/>
  <c r="L95" i="156"/>
  <c r="L78" i="156"/>
  <c r="L87" i="156" s="1"/>
  <c r="M74" i="156"/>
  <c r="P208" i="76"/>
  <c r="K123" i="119"/>
  <c r="K108" i="119"/>
  <c r="K104" i="119"/>
  <c r="R131" i="76"/>
  <c r="R130" i="76"/>
  <c r="R173" i="76"/>
  <c r="R104" i="76"/>
  <c r="R103" i="76"/>
  <c r="R203" i="76"/>
  <c r="O34" i="117"/>
  <c r="P14" i="117"/>
  <c r="O14" i="159"/>
  <c r="O14" i="119"/>
  <c r="N49" i="135"/>
  <c r="M56" i="135"/>
  <c r="M62" i="135"/>
  <c r="M69" i="135"/>
  <c r="K108" i="160"/>
  <c r="K123" i="160"/>
  <c r="K104" i="160"/>
  <c r="K105" i="160" s="1"/>
  <c r="N17" i="176"/>
  <c r="N49" i="132"/>
  <c r="M56" i="132"/>
  <c r="M62" i="132"/>
  <c r="M69" i="132"/>
  <c r="Q201" i="65"/>
  <c r="R183" i="65"/>
  <c r="R201" i="65"/>
  <c r="K213" i="65"/>
  <c r="C148" i="65"/>
  <c r="K234" i="65"/>
  <c r="L212" i="65"/>
  <c r="M74" i="176"/>
  <c r="L78" i="176"/>
  <c r="L87" i="176" s="1"/>
  <c r="L82" i="176"/>
  <c r="L95" i="176"/>
  <c r="K123" i="133"/>
  <c r="K108" i="133"/>
  <c r="K104" i="133"/>
  <c r="O183" i="66"/>
  <c r="N201" i="66"/>
  <c r="L82" i="135"/>
  <c r="L95" i="135"/>
  <c r="M74" i="135"/>
  <c r="L78" i="135"/>
  <c r="L87" i="135" s="1"/>
  <c r="I157" i="76"/>
  <c r="I176" i="76"/>
  <c r="I102" i="76"/>
  <c r="I132" i="76"/>
  <c r="C156" i="76"/>
  <c r="R13" i="76"/>
  <c r="R161" i="76"/>
  <c r="R52" i="76"/>
  <c r="R96" i="76"/>
  <c r="R153" i="76"/>
  <c r="R172" i="76"/>
  <c r="R182" i="76"/>
  <c r="R202" i="76"/>
  <c r="R124" i="76"/>
  <c r="M108" i="117"/>
  <c r="M123" i="117"/>
  <c r="R191" i="76"/>
  <c r="R214" i="76"/>
  <c r="Q214" i="76"/>
  <c r="I126" i="116"/>
  <c r="H130" i="116"/>
  <c r="H129" i="116"/>
  <c r="K213" i="66"/>
  <c r="K234" i="66"/>
  <c r="L212" i="66"/>
  <c r="M74" i="119"/>
  <c r="M82" i="119"/>
  <c r="M95" i="119"/>
  <c r="L82" i="119"/>
  <c r="L95" i="119"/>
  <c r="N14" i="134"/>
  <c r="N14" i="132"/>
  <c r="N34" i="132"/>
  <c r="N14" i="121"/>
  <c r="N14" i="176"/>
  <c r="N34" i="176"/>
  <c r="N14" i="135"/>
  <c r="N14" i="156"/>
  <c r="N14" i="160"/>
  <c r="N34" i="160"/>
  <c r="N14" i="157"/>
  <c r="N14" i="155"/>
  <c r="N34" i="155"/>
  <c r="N14" i="137"/>
  <c r="N14" i="161"/>
  <c r="N34" i="161" s="1"/>
  <c r="N14" i="133"/>
  <c r="N34" i="133"/>
  <c r="I129" i="119"/>
  <c r="J125" i="119"/>
  <c r="I128" i="119"/>
  <c r="I275" i="96"/>
  <c r="O56" i="117"/>
  <c r="O62" i="117"/>
  <c r="O69" i="117"/>
  <c r="P49" i="117"/>
  <c r="P17" i="159"/>
  <c r="O19" i="159"/>
  <c r="L78" i="160"/>
  <c r="L87" i="160" s="1"/>
  <c r="M74" i="160"/>
  <c r="L82" i="160"/>
  <c r="L95" i="160"/>
  <c r="M56" i="176"/>
  <c r="M62" i="176"/>
  <c r="M69" i="176"/>
  <c r="N49" i="176"/>
  <c r="L125" i="121"/>
  <c r="K129" i="121"/>
  <c r="K128" i="121"/>
  <c r="K276" i="96"/>
  <c r="K108" i="176"/>
  <c r="K123" i="176"/>
  <c r="F125" i="176"/>
  <c r="E129" i="176"/>
  <c r="E128" i="176"/>
  <c r="N49" i="155"/>
  <c r="M56" i="155"/>
  <c r="M62" i="155"/>
  <c r="M69" i="155"/>
  <c r="O124" i="176"/>
  <c r="N127" i="176"/>
  <c r="L226" i="76"/>
  <c r="L247" i="76"/>
  <c r="M225" i="76"/>
  <c r="I71" i="48"/>
  <c r="I165" i="48"/>
  <c r="I143" i="48"/>
  <c r="I93" i="48"/>
  <c r="I120" i="48"/>
  <c r="P19" i="119"/>
  <c r="Q19" i="119"/>
  <c r="K123" i="121"/>
  <c r="K108" i="121"/>
  <c r="H94" i="66"/>
  <c r="H72" i="66"/>
  <c r="H157" i="66"/>
  <c r="H168" i="66"/>
  <c r="H124" i="66"/>
  <c r="H149" i="66"/>
  <c r="K108" i="134"/>
  <c r="K123" i="134"/>
  <c r="K104" i="134"/>
  <c r="K108" i="137"/>
  <c r="K123" i="137"/>
  <c r="K104" i="137"/>
  <c r="Q17" i="121"/>
  <c r="Q19" i="121"/>
  <c r="P19" i="121"/>
  <c r="H182" i="48"/>
  <c r="H172" i="48"/>
  <c r="M74" i="155"/>
  <c r="L78" i="155"/>
  <c r="L87" i="155" s="1"/>
  <c r="L82" i="155"/>
  <c r="L95" i="155"/>
  <c r="K123" i="132"/>
  <c r="K108" i="132"/>
  <c r="K104" i="132"/>
  <c r="K105" i="132" s="1"/>
  <c r="I79" i="76"/>
  <c r="I163" i="76"/>
  <c r="J79" i="76"/>
  <c r="J163" i="76"/>
  <c r="O79" i="76"/>
  <c r="O163" i="76"/>
  <c r="F79" i="76"/>
  <c r="F163" i="76"/>
  <c r="K79" i="76"/>
  <c r="K163" i="76"/>
  <c r="P79" i="76"/>
  <c r="P163" i="76"/>
  <c r="Q79" i="76"/>
  <c r="Q163" i="76"/>
  <c r="G79" i="76"/>
  <c r="G163" i="76"/>
  <c r="L79" i="76"/>
  <c r="L163" i="76"/>
  <c r="R79" i="76"/>
  <c r="R163" i="76"/>
  <c r="H79" i="76"/>
  <c r="H163" i="76"/>
  <c r="N79" i="76"/>
  <c r="N163" i="76"/>
  <c r="M79" i="76"/>
  <c r="M163" i="76"/>
  <c r="Q212" i="76"/>
  <c r="O74" i="117"/>
  <c r="N82" i="117"/>
  <c r="N95" i="117"/>
  <c r="K253" i="48"/>
  <c r="L231" i="48"/>
  <c r="K232" i="48"/>
  <c r="M74" i="121"/>
  <c r="M82" i="121"/>
  <c r="M95" i="121"/>
  <c r="L82" i="121"/>
  <c r="L95" i="121"/>
  <c r="K108" i="156"/>
  <c r="K123" i="156"/>
  <c r="K104" i="156"/>
  <c r="N49" i="133"/>
  <c r="M56" i="133"/>
  <c r="M62" i="133"/>
  <c r="M69" i="133"/>
  <c r="M74" i="134"/>
  <c r="M82" i="134"/>
  <c r="M95" i="134"/>
  <c r="M108" i="134" s="1"/>
  <c r="L82" i="134"/>
  <c r="L95" i="134"/>
  <c r="L78" i="137"/>
  <c r="M74" i="137"/>
  <c r="L82" i="137"/>
  <c r="L95" i="137"/>
  <c r="Q131" i="76"/>
  <c r="Q173" i="76"/>
  <c r="Q130" i="76"/>
  <c r="Q175" i="76"/>
  <c r="Q209" i="76"/>
  <c r="Q104" i="76"/>
  <c r="Q203" i="76"/>
  <c r="Q103" i="76"/>
  <c r="J134" i="110"/>
  <c r="J133" i="110"/>
  <c r="K123" i="155"/>
  <c r="K108" i="155"/>
  <c r="K104" i="155"/>
  <c r="L37" i="96"/>
  <c r="L63" i="159"/>
  <c r="K291" i="96"/>
  <c r="K96" i="159"/>
  <c r="I11" i="159"/>
  <c r="I12" i="159"/>
  <c r="M63" i="159"/>
  <c r="K124" i="159"/>
  <c r="J127" i="159"/>
  <c r="L126" i="159"/>
  <c r="M126" i="159"/>
  <c r="N52" i="133"/>
  <c r="M50" i="133"/>
  <c r="M126" i="133"/>
  <c r="K298" i="96"/>
  <c r="K96" i="133"/>
  <c r="L44" i="96"/>
  <c r="L63" i="133"/>
  <c r="M63" i="133"/>
  <c r="J127" i="133"/>
  <c r="K124" i="133"/>
  <c r="C57" i="159"/>
  <c r="O148" i="65"/>
  <c r="I148" i="65"/>
  <c r="P148" i="65"/>
  <c r="K148" i="65"/>
  <c r="L148" i="65"/>
  <c r="Q148" i="65"/>
  <c r="H148" i="65"/>
  <c r="N148" i="65"/>
  <c r="R148" i="65"/>
  <c r="M148" i="65"/>
  <c r="J148" i="65"/>
  <c r="L108" i="134"/>
  <c r="L123" i="134"/>
  <c r="L104" i="134"/>
  <c r="L105" i="134" s="1"/>
  <c r="L253" i="48"/>
  <c r="M231" i="48"/>
  <c r="L232" i="48"/>
  <c r="P74" i="117"/>
  <c r="O82" i="117"/>
  <c r="O95" i="117"/>
  <c r="F166" i="76"/>
  <c r="F169" i="76"/>
  <c r="C163" i="76"/>
  <c r="C169" i="76"/>
  <c r="F174" i="76"/>
  <c r="P124" i="176"/>
  <c r="O127" i="176"/>
  <c r="L123" i="160"/>
  <c r="L108" i="160"/>
  <c r="L104" i="160"/>
  <c r="N74" i="176"/>
  <c r="M82" i="176"/>
  <c r="M95" i="176"/>
  <c r="M78" i="176"/>
  <c r="L108" i="156"/>
  <c r="L123" i="156"/>
  <c r="L104" i="156"/>
  <c r="L105" i="156" s="1"/>
  <c r="H71" i="65"/>
  <c r="H155" i="65"/>
  <c r="F71" i="65"/>
  <c r="F155" i="65"/>
  <c r="J71" i="65"/>
  <c r="J155" i="65"/>
  <c r="G71" i="65"/>
  <c r="G155" i="65"/>
  <c r="I71" i="65"/>
  <c r="I155" i="65"/>
  <c r="K71" i="65"/>
  <c r="K155" i="65"/>
  <c r="O71" i="65"/>
  <c r="O155" i="65"/>
  <c r="L71" i="65"/>
  <c r="L155" i="65"/>
  <c r="R71" i="65"/>
  <c r="R155" i="65"/>
  <c r="Q71" i="65"/>
  <c r="Q155" i="65"/>
  <c r="N71" i="65"/>
  <c r="N155" i="65"/>
  <c r="M71" i="65"/>
  <c r="M155" i="65"/>
  <c r="P71" i="65"/>
  <c r="P155" i="65"/>
  <c r="N74" i="132"/>
  <c r="M82" i="132"/>
  <c r="M95" i="132"/>
  <c r="M78" i="132"/>
  <c r="M87" i="132" s="1"/>
  <c r="L123" i="137"/>
  <c r="L108" i="137"/>
  <c r="L104" i="137"/>
  <c r="L105" i="137" s="1"/>
  <c r="M123" i="134"/>
  <c r="L108" i="121"/>
  <c r="L123" i="121"/>
  <c r="H166" i="76"/>
  <c r="H169" i="76"/>
  <c r="Q166" i="76"/>
  <c r="N74" i="155"/>
  <c r="M78" i="155"/>
  <c r="M87" i="155" s="1"/>
  <c r="M82" i="155"/>
  <c r="M95" i="155"/>
  <c r="I182" i="48"/>
  <c r="I172" i="48"/>
  <c r="M226" i="76"/>
  <c r="M247" i="76"/>
  <c r="N225" i="76"/>
  <c r="G125" i="176"/>
  <c r="F129" i="176"/>
  <c r="F128" i="176"/>
  <c r="M125" i="121"/>
  <c r="L129" i="121"/>
  <c r="L128" i="121"/>
  <c r="L276" i="96"/>
  <c r="N74" i="160"/>
  <c r="M82" i="160"/>
  <c r="M95" i="160"/>
  <c r="M78" i="160"/>
  <c r="M87" i="160" s="1"/>
  <c r="Q17" i="159"/>
  <c r="Q19" i="159"/>
  <c r="P19" i="159"/>
  <c r="K125" i="119"/>
  <c r="J129" i="119"/>
  <c r="J128" i="119"/>
  <c r="J275" i="96"/>
  <c r="L108" i="119"/>
  <c r="L123" i="119"/>
  <c r="L104" i="119"/>
  <c r="J126" i="116"/>
  <c r="I130" i="116"/>
  <c r="I129" i="116"/>
  <c r="N74" i="135"/>
  <c r="M82" i="135"/>
  <c r="M95" i="135"/>
  <c r="M78" i="135"/>
  <c r="M87" i="135" s="1"/>
  <c r="L213" i="65"/>
  <c r="L234" i="65"/>
  <c r="M212" i="65"/>
  <c r="O49" i="132"/>
  <c r="O56" i="132"/>
  <c r="O62" i="132"/>
  <c r="O69" i="132"/>
  <c r="N56" i="132"/>
  <c r="N62" i="132"/>
  <c r="N69" i="132"/>
  <c r="P34" i="117"/>
  <c r="P14" i="119"/>
  <c r="P14" i="159"/>
  <c r="Q14" i="117"/>
  <c r="C173" i="76"/>
  <c r="Q156" i="76"/>
  <c r="L156" i="76"/>
  <c r="K156" i="76"/>
  <c r="N156" i="76"/>
  <c r="O156" i="76"/>
  <c r="M156" i="76"/>
  <c r="I156" i="76"/>
  <c r="H156" i="76"/>
  <c r="J156" i="76"/>
  <c r="R156" i="76"/>
  <c r="P156" i="76"/>
  <c r="Q208" i="76"/>
  <c r="M82" i="137"/>
  <c r="M95" i="137" s="1"/>
  <c r="M78" i="137"/>
  <c r="M87" i="137" s="1"/>
  <c r="M108" i="121"/>
  <c r="M123" i="121"/>
  <c r="R166" i="76"/>
  <c r="C175" i="76"/>
  <c r="C209" i="76"/>
  <c r="J80" i="76"/>
  <c r="J132" i="76"/>
  <c r="J157" i="76"/>
  <c r="J102" i="76"/>
  <c r="O49" i="155"/>
  <c r="N56" i="155"/>
  <c r="N62" i="155"/>
  <c r="N69" i="155"/>
  <c r="O49" i="176"/>
  <c r="N56" i="176"/>
  <c r="N62" i="176"/>
  <c r="N69" i="176"/>
  <c r="P56" i="117"/>
  <c r="P62" i="117"/>
  <c r="P69" i="117"/>
  <c r="Q49" i="117"/>
  <c r="Q56" i="117"/>
  <c r="Q62" i="117"/>
  <c r="Q69" i="117"/>
  <c r="M108" i="119"/>
  <c r="M123" i="119"/>
  <c r="L108" i="135"/>
  <c r="L123" i="135"/>
  <c r="L104" i="135"/>
  <c r="L105" i="135" s="1"/>
  <c r="P183" i="66"/>
  <c r="O201" i="66"/>
  <c r="L108" i="176"/>
  <c r="L123" i="176"/>
  <c r="I72" i="65"/>
  <c r="I157" i="65"/>
  <c r="I168" i="65"/>
  <c r="I149" i="65"/>
  <c r="I124" i="65"/>
  <c r="I94" i="65"/>
  <c r="O17" i="176"/>
  <c r="N56" i="135"/>
  <c r="N62" i="135"/>
  <c r="N69" i="135"/>
  <c r="O49" i="135"/>
  <c r="O56" i="135"/>
  <c r="O62" i="135"/>
  <c r="O69" i="135"/>
  <c r="R175" i="76"/>
  <c r="R209" i="76"/>
  <c r="M78" i="156"/>
  <c r="M87" i="156" s="1"/>
  <c r="M82" i="156"/>
  <c r="M95" i="156"/>
  <c r="N74" i="133"/>
  <c r="M82" i="133"/>
  <c r="M95" i="133"/>
  <c r="N56" i="160"/>
  <c r="N62" i="160"/>
  <c r="N69" i="160"/>
  <c r="O49" i="160"/>
  <c r="G169" i="76"/>
  <c r="G174" i="76"/>
  <c r="G166" i="76"/>
  <c r="I72" i="66"/>
  <c r="I157" i="66"/>
  <c r="I94" i="66"/>
  <c r="I149" i="66"/>
  <c r="I124" i="66"/>
  <c r="L87" i="137"/>
  <c r="O49" i="133"/>
  <c r="O56" i="133"/>
  <c r="O62" i="133"/>
  <c r="O69" i="133" s="1"/>
  <c r="N56" i="133"/>
  <c r="N62" i="133"/>
  <c r="N69" i="133" s="1"/>
  <c r="J120" i="48"/>
  <c r="J93" i="48"/>
  <c r="J71" i="48"/>
  <c r="J143" i="48"/>
  <c r="J165" i="48"/>
  <c r="N123" i="117"/>
  <c r="N108" i="117"/>
  <c r="I169" i="76"/>
  <c r="I166" i="76"/>
  <c r="L108" i="155"/>
  <c r="L123" i="155"/>
  <c r="L104" i="155"/>
  <c r="L105" i="155" s="1"/>
  <c r="L234" i="66"/>
  <c r="M212" i="66"/>
  <c r="L213" i="66"/>
  <c r="O14" i="132"/>
  <c r="O34" i="132"/>
  <c r="O14" i="121"/>
  <c r="O14" i="134"/>
  <c r="O14" i="155"/>
  <c r="O34" i="155"/>
  <c r="O14" i="156"/>
  <c r="O14" i="176"/>
  <c r="O34" i="176"/>
  <c r="O14" i="135"/>
  <c r="O14" i="157"/>
  <c r="O14" i="160"/>
  <c r="O34" i="160"/>
  <c r="O14" i="161"/>
  <c r="O34" i="161" s="1"/>
  <c r="O14" i="133"/>
  <c r="O34" i="133"/>
  <c r="O14" i="137"/>
  <c r="R208" i="76"/>
  <c r="L123" i="133"/>
  <c r="L108" i="133"/>
  <c r="L104" i="133"/>
  <c r="L105" i="133" s="1"/>
  <c r="C93" i="65"/>
  <c r="H168" i="65"/>
  <c r="L108" i="132"/>
  <c r="L123" i="132"/>
  <c r="L104" i="132"/>
  <c r="L105" i="132" s="1"/>
  <c r="L124" i="159"/>
  <c r="K127" i="159"/>
  <c r="M291" i="96"/>
  <c r="M96" i="159"/>
  <c r="C63" i="159"/>
  <c r="D57" i="159"/>
  <c r="G57" i="159"/>
  <c r="C83" i="159"/>
  <c r="F57" i="159"/>
  <c r="I57" i="159"/>
  <c r="C79" i="159"/>
  <c r="H57" i="159"/>
  <c r="L57" i="159"/>
  <c r="M57" i="159"/>
  <c r="K57" i="159"/>
  <c r="J57" i="159"/>
  <c r="E57" i="159"/>
  <c r="L291" i="96"/>
  <c r="L96" i="159"/>
  <c r="N50" i="133"/>
  <c r="N44" i="96" s="1"/>
  <c r="C44" i="183" s="1"/>
  <c r="O52" i="133"/>
  <c r="O50" i="133" s="1"/>
  <c r="L124" i="133"/>
  <c r="K127" i="133"/>
  <c r="M96" i="133"/>
  <c r="M298" i="96"/>
  <c r="L96" i="133"/>
  <c r="L298" i="96"/>
  <c r="M44" i="96"/>
  <c r="N63" i="133"/>
  <c r="N96" i="133" s="1"/>
  <c r="G177" i="76"/>
  <c r="L92" i="63"/>
  <c r="L111" i="63"/>
  <c r="J165" i="76"/>
  <c r="J94" i="65"/>
  <c r="J124" i="65"/>
  <c r="J149" i="65"/>
  <c r="J72" i="65"/>
  <c r="J157" i="65"/>
  <c r="O74" i="155"/>
  <c r="N82" i="155"/>
  <c r="N95" i="155"/>
  <c r="N78" i="155"/>
  <c r="N87" i="155" s="1"/>
  <c r="G166" i="65"/>
  <c r="G158" i="65"/>
  <c r="G160" i="65"/>
  <c r="K161" i="65"/>
  <c r="G161" i="65"/>
  <c r="P82" i="117"/>
  <c r="P95" i="117"/>
  <c r="Q74" i="117"/>
  <c r="Q82" i="117"/>
  <c r="Q95" i="117"/>
  <c r="H93" i="65"/>
  <c r="H97" i="65"/>
  <c r="H99" i="65"/>
  <c r="I93" i="65"/>
  <c r="I97" i="65"/>
  <c r="I99" i="65"/>
  <c r="J93" i="65"/>
  <c r="J97" i="65"/>
  <c r="J99" i="65"/>
  <c r="P93" i="65"/>
  <c r="K93" i="65"/>
  <c r="L93" i="65"/>
  <c r="R93" i="65"/>
  <c r="R97" i="65"/>
  <c r="R99" i="65"/>
  <c r="O93" i="65"/>
  <c r="N93" i="65"/>
  <c r="M93" i="65"/>
  <c r="Q93" i="65"/>
  <c r="Q97" i="65"/>
  <c r="Q99" i="65"/>
  <c r="O74" i="133"/>
  <c r="O82" i="133"/>
  <c r="O95" i="133"/>
  <c r="N82" i="133"/>
  <c r="N95" i="133"/>
  <c r="P17" i="176"/>
  <c r="R168" i="76"/>
  <c r="R189" i="76"/>
  <c r="R184" i="76" s="1"/>
  <c r="R190" i="76" s="1"/>
  <c r="R192" i="76" s="1"/>
  <c r="Q34" i="117"/>
  <c r="Q14" i="119"/>
  <c r="Q14" i="160" s="1"/>
  <c r="Q34" i="160" s="1"/>
  <c r="Q14" i="159"/>
  <c r="K129" i="119"/>
  <c r="L125" i="119"/>
  <c r="K128" i="119"/>
  <c r="K275" i="96"/>
  <c r="M108" i="160"/>
  <c r="M123" i="160"/>
  <c r="M104" i="160"/>
  <c r="M129" i="121"/>
  <c r="M128" i="121"/>
  <c r="M276" i="96"/>
  <c r="G129" i="176"/>
  <c r="H125" i="176"/>
  <c r="G128" i="176"/>
  <c r="M123" i="132"/>
  <c r="M108" i="132"/>
  <c r="M104" i="132"/>
  <c r="J158" i="65"/>
  <c r="J160" i="65"/>
  <c r="M87" i="176"/>
  <c r="Q124" i="176"/>
  <c r="P127" i="176"/>
  <c r="K143" i="48"/>
  <c r="K71" i="48"/>
  <c r="K165" i="48"/>
  <c r="K120" i="48"/>
  <c r="K93" i="48"/>
  <c r="M234" i="66"/>
  <c r="N212" i="66"/>
  <c r="M213" i="66"/>
  <c r="M108" i="133"/>
  <c r="M123" i="133"/>
  <c r="M104" i="133"/>
  <c r="M108" i="156"/>
  <c r="M123" i="156"/>
  <c r="M104" i="156"/>
  <c r="J182" i="48"/>
  <c r="J172" i="48"/>
  <c r="I168" i="66"/>
  <c r="P49" i="160"/>
  <c r="P56" i="160"/>
  <c r="P62" i="160"/>
  <c r="P69" i="160"/>
  <c r="O56" i="160"/>
  <c r="O62" i="160"/>
  <c r="O69" i="160"/>
  <c r="O56" i="176"/>
  <c r="O62" i="176"/>
  <c r="O69" i="176"/>
  <c r="P49" i="176"/>
  <c r="M123" i="135"/>
  <c r="M108" i="135"/>
  <c r="M104" i="135"/>
  <c r="N82" i="160"/>
  <c r="N95" i="160"/>
  <c r="O74" i="160"/>
  <c r="N226" i="76"/>
  <c r="N247" i="76"/>
  <c r="O225" i="76"/>
  <c r="M108" i="155"/>
  <c r="M123" i="155"/>
  <c r="M104" i="155"/>
  <c r="H189" i="76"/>
  <c r="H184" i="76" s="1"/>
  <c r="H190" i="76" s="1"/>
  <c r="H197" i="76" s="1"/>
  <c r="O74" i="132"/>
  <c r="O82" i="132"/>
  <c r="O95" i="132"/>
  <c r="N82" i="132"/>
  <c r="N95" i="132"/>
  <c r="Q158" i="65"/>
  <c r="F166" i="65"/>
  <c r="F158" i="65"/>
  <c r="F160" i="65"/>
  <c r="F161" i="65"/>
  <c r="M108" i="176"/>
  <c r="M123" i="176"/>
  <c r="F168" i="76"/>
  <c r="F170" i="76"/>
  <c r="F189" i="76"/>
  <c r="M253" i="48"/>
  <c r="N231" i="48"/>
  <c r="M232" i="48"/>
  <c r="I189" i="76"/>
  <c r="I184" i="76" s="1"/>
  <c r="I190" i="76" s="1"/>
  <c r="I168" i="76"/>
  <c r="I170" i="76" s="1"/>
  <c r="Q183" i="66"/>
  <c r="P201" i="66"/>
  <c r="P49" i="155"/>
  <c r="O56" i="155"/>
  <c r="O62" i="155"/>
  <c r="O69" i="155"/>
  <c r="J72" i="66"/>
  <c r="J157" i="66"/>
  <c r="J124" i="66"/>
  <c r="J94" i="66"/>
  <c r="J149" i="66"/>
  <c r="G189" i="76"/>
  <c r="G184" i="76"/>
  <c r="G190" i="76"/>
  <c r="G168" i="76"/>
  <c r="G170" i="76"/>
  <c r="P14" i="135"/>
  <c r="P14" i="176"/>
  <c r="P34" i="176"/>
  <c r="P14" i="161"/>
  <c r="P14" i="155"/>
  <c r="P34" i="155"/>
  <c r="P14" i="121"/>
  <c r="P14" i="133"/>
  <c r="P14" i="157"/>
  <c r="P14" i="134"/>
  <c r="P14" i="160"/>
  <c r="P34" i="160"/>
  <c r="P14" i="132"/>
  <c r="P14" i="156"/>
  <c r="P14" i="137"/>
  <c r="M234" i="65"/>
  <c r="N212" i="65"/>
  <c r="M213" i="65"/>
  <c r="N82" i="135"/>
  <c r="N95" i="135"/>
  <c r="O74" i="135"/>
  <c r="O82" i="135"/>
  <c r="O95" i="135"/>
  <c r="K126" i="116"/>
  <c r="J130" i="116"/>
  <c r="J129" i="116"/>
  <c r="K157" i="76"/>
  <c r="K132" i="76"/>
  <c r="K80" i="76"/>
  <c r="K165" i="76"/>
  <c r="K102" i="76"/>
  <c r="Q189" i="76"/>
  <c r="Q210" i="76" s="1"/>
  <c r="Q204" i="76" s="1"/>
  <c r="Q211" i="76" s="1"/>
  <c r="Q213" i="76" s="1"/>
  <c r="Q215" i="76" s="1"/>
  <c r="Q168" i="76"/>
  <c r="R158" i="65"/>
  <c r="I161" i="65"/>
  <c r="I158" i="65"/>
  <c r="I160" i="65"/>
  <c r="H158" i="65"/>
  <c r="H161" i="65"/>
  <c r="O74" i="176"/>
  <c r="N78" i="176"/>
  <c r="N87" i="176" s="1"/>
  <c r="N82" i="176"/>
  <c r="N95" i="176"/>
  <c r="K92" i="63"/>
  <c r="K111" i="63"/>
  <c r="F177" i="76"/>
  <c r="O108" i="117"/>
  <c r="O123" i="117"/>
  <c r="K83" i="159"/>
  <c r="K79" i="159"/>
  <c r="C86" i="159"/>
  <c r="C101" i="159"/>
  <c r="D8" i="159"/>
  <c r="G79" i="159"/>
  <c r="G83" i="159"/>
  <c r="M79" i="159"/>
  <c r="M83" i="159"/>
  <c r="I79" i="159"/>
  <c r="I83" i="159"/>
  <c r="D83" i="159"/>
  <c r="D79" i="159"/>
  <c r="D125" i="159"/>
  <c r="E79" i="159"/>
  <c r="E83" i="159"/>
  <c r="L83" i="159"/>
  <c r="L87" i="96"/>
  <c r="L79" i="159"/>
  <c r="F79" i="159"/>
  <c r="F83" i="159"/>
  <c r="C96" i="159"/>
  <c r="C291" i="96"/>
  <c r="J79" i="159"/>
  <c r="J83" i="159"/>
  <c r="H79" i="159"/>
  <c r="H83" i="159"/>
  <c r="N5" i="159"/>
  <c r="C87" i="96"/>
  <c r="M124" i="159"/>
  <c r="L127" i="159"/>
  <c r="M124" i="133"/>
  <c r="L127" i="133"/>
  <c r="N126" i="133"/>
  <c r="O126" i="133" s="1"/>
  <c r="P126" i="133" s="1"/>
  <c r="P56" i="155"/>
  <c r="P62" i="155"/>
  <c r="P69" i="155"/>
  <c r="Q49" i="155"/>
  <c r="Q56" i="155"/>
  <c r="Q62" i="155"/>
  <c r="Q69" i="155"/>
  <c r="L93" i="48"/>
  <c r="L165" i="48"/>
  <c r="L120" i="48"/>
  <c r="L143" i="48"/>
  <c r="L71" i="48"/>
  <c r="K68" i="40"/>
  <c r="F169" i="65"/>
  <c r="O226" i="76"/>
  <c r="O247" i="76"/>
  <c r="P225" i="76"/>
  <c r="Q127" i="176"/>
  <c r="P108" i="117"/>
  <c r="P123" i="117"/>
  <c r="L68" i="40"/>
  <c r="G169" i="65"/>
  <c r="N108" i="155"/>
  <c r="N123" i="155"/>
  <c r="J176" i="76"/>
  <c r="J166" i="76"/>
  <c r="N108" i="135"/>
  <c r="N123" i="135"/>
  <c r="F210" i="76"/>
  <c r="F204" i="76"/>
  <c r="F211" i="76"/>
  <c r="F213" i="76"/>
  <c r="F215" i="76"/>
  <c r="F179" i="76"/>
  <c r="K171" i="63"/>
  <c r="N108" i="176"/>
  <c r="N123" i="176"/>
  <c r="K176" i="76"/>
  <c r="K166" i="76"/>
  <c r="K124" i="65"/>
  <c r="K149" i="65"/>
  <c r="K94" i="65"/>
  <c r="K72" i="65"/>
  <c r="K157" i="65"/>
  <c r="G197" i="76"/>
  <c r="G192" i="76"/>
  <c r="J168" i="66"/>
  <c r="N253" i="48"/>
  <c r="O231" i="48"/>
  <c r="N232" i="48"/>
  <c r="N108" i="132"/>
  <c r="N123" i="132"/>
  <c r="L80" i="76"/>
  <c r="L165" i="76"/>
  <c r="L102" i="76"/>
  <c r="L132" i="76"/>
  <c r="L157" i="76"/>
  <c r="K72" i="66"/>
  <c r="K157" i="66"/>
  <c r="K168" i="66"/>
  <c r="K124" i="66"/>
  <c r="K94" i="66"/>
  <c r="K149" i="66"/>
  <c r="O82" i="155"/>
  <c r="O95" i="155"/>
  <c r="P74" i="155"/>
  <c r="R160" i="65"/>
  <c r="K130" i="116"/>
  <c r="K129" i="116"/>
  <c r="N234" i="65"/>
  <c r="O212" i="65"/>
  <c r="N213" i="65"/>
  <c r="R183" i="66"/>
  <c r="R201" i="66"/>
  <c r="Q201" i="66"/>
  <c r="F184" i="76"/>
  <c r="O108" i="132"/>
  <c r="O123" i="132"/>
  <c r="P74" i="160"/>
  <c r="P82" i="160"/>
  <c r="P95" i="160"/>
  <c r="O82" i="160"/>
  <c r="O95" i="160"/>
  <c r="N213" i="66"/>
  <c r="N234" i="66"/>
  <c r="O212" i="66"/>
  <c r="Q14" i="135"/>
  <c r="Q34" i="135" s="1"/>
  <c r="Q14" i="121"/>
  <c r="Q17" i="176"/>
  <c r="K97" i="65"/>
  <c r="K99" i="65"/>
  <c r="J168" i="65"/>
  <c r="G210" i="76"/>
  <c r="G204" i="76"/>
  <c r="G211" i="76"/>
  <c r="G213" i="76"/>
  <c r="G215" i="76"/>
  <c r="G179" i="76"/>
  <c r="L171" i="63"/>
  <c r="P74" i="176"/>
  <c r="O82" i="176"/>
  <c r="O95" i="176"/>
  <c r="O108" i="135"/>
  <c r="O123" i="135"/>
  <c r="N123" i="160"/>
  <c r="N108" i="160"/>
  <c r="Q49" i="176"/>
  <c r="Q56" i="176"/>
  <c r="Q62" i="176"/>
  <c r="Q69" i="176"/>
  <c r="P56" i="176"/>
  <c r="P62" i="176"/>
  <c r="P69" i="176"/>
  <c r="K172" i="48"/>
  <c r="K182" i="48"/>
  <c r="H129" i="176"/>
  <c r="I125" i="176"/>
  <c r="H128" i="176"/>
  <c r="L129" i="119"/>
  <c r="M125" i="119"/>
  <c r="L128" i="119"/>
  <c r="L275" i="96"/>
  <c r="O123" i="133"/>
  <c r="O108" i="133"/>
  <c r="Q108" i="117"/>
  <c r="Q123" i="117"/>
  <c r="H87" i="96"/>
  <c r="H172" i="96" s="1"/>
  <c r="H91" i="159"/>
  <c r="H92" i="159"/>
  <c r="L86" i="159"/>
  <c r="L101" i="159"/>
  <c r="E125" i="159"/>
  <c r="D129" i="159"/>
  <c r="D128" i="159"/>
  <c r="D274" i="96"/>
  <c r="I86" i="159"/>
  <c r="I101" i="159"/>
  <c r="M127" i="159"/>
  <c r="H101" i="159"/>
  <c r="H86" i="159"/>
  <c r="D86" i="159"/>
  <c r="D101" i="159"/>
  <c r="M87" i="96"/>
  <c r="G92" i="159"/>
  <c r="G91" i="159"/>
  <c r="G87" i="96"/>
  <c r="G138" i="96" s="1"/>
  <c r="J87" i="96"/>
  <c r="J172" i="96" s="1"/>
  <c r="J91" i="159"/>
  <c r="J92" i="159"/>
  <c r="F87" i="96"/>
  <c r="F172" i="96" s="1"/>
  <c r="F92" i="159"/>
  <c r="F91" i="159"/>
  <c r="E91" i="159"/>
  <c r="E87" i="96"/>
  <c r="E138" i="96" s="1"/>
  <c r="E92" i="159"/>
  <c r="D91" i="159"/>
  <c r="D87" i="96"/>
  <c r="D138" i="96" s="1"/>
  <c r="D92" i="159"/>
  <c r="M86" i="159"/>
  <c r="M101" i="159"/>
  <c r="G101" i="159"/>
  <c r="G86" i="159"/>
  <c r="K86" i="159"/>
  <c r="K101" i="159"/>
  <c r="J101" i="159"/>
  <c r="J86" i="159"/>
  <c r="F101" i="159"/>
  <c r="F86" i="159"/>
  <c r="E101" i="159"/>
  <c r="E86" i="159"/>
  <c r="I87" i="96"/>
  <c r="I172" i="96" s="1"/>
  <c r="I91" i="159"/>
  <c r="I92" i="159"/>
  <c r="K87" i="96"/>
  <c r="K172" i="96" s="1"/>
  <c r="K91" i="159"/>
  <c r="K92" i="159"/>
  <c r="N124" i="133"/>
  <c r="M127" i="133"/>
  <c r="P108" i="160"/>
  <c r="P123" i="160"/>
  <c r="F190" i="76"/>
  <c r="L94" i="65"/>
  <c r="L97" i="65"/>
  <c r="L99" i="65"/>
  <c r="L149" i="65"/>
  <c r="L124" i="65"/>
  <c r="L72" i="65"/>
  <c r="L157" i="65"/>
  <c r="G171" i="65"/>
  <c r="G181" i="65"/>
  <c r="G176" i="65"/>
  <c r="G182" i="65"/>
  <c r="M157" i="76"/>
  <c r="M102" i="76"/>
  <c r="M132" i="76"/>
  <c r="M80" i="76"/>
  <c r="J125" i="176"/>
  <c r="I129" i="176"/>
  <c r="I128" i="176"/>
  <c r="O123" i="176"/>
  <c r="O108" i="176"/>
  <c r="O234" i="66"/>
  <c r="P212" i="66"/>
  <c r="O213" i="66"/>
  <c r="O234" i="65"/>
  <c r="P212" i="65"/>
  <c r="O213" i="65"/>
  <c r="M129" i="119"/>
  <c r="M128" i="119"/>
  <c r="M275" i="96"/>
  <c r="Q74" i="176"/>
  <c r="Q82" i="176"/>
  <c r="Q95" i="176"/>
  <c r="P82" i="176"/>
  <c r="P95" i="176"/>
  <c r="L94" i="66"/>
  <c r="L124" i="66"/>
  <c r="L149" i="66"/>
  <c r="L72" i="66"/>
  <c r="L157" i="66"/>
  <c r="P82" i="155"/>
  <c r="P95" i="155"/>
  <c r="Q74" i="155"/>
  <c r="Q82" i="155"/>
  <c r="Q95" i="155"/>
  <c r="L176" i="76"/>
  <c r="L166" i="76"/>
  <c r="M143" i="48"/>
  <c r="M165" i="48"/>
  <c r="M71" i="48"/>
  <c r="M120" i="48"/>
  <c r="M93" i="48"/>
  <c r="J189" i="76"/>
  <c r="J168" i="76"/>
  <c r="L182" i="48"/>
  <c r="L172" i="48"/>
  <c r="O108" i="160"/>
  <c r="O123" i="160"/>
  <c r="O123" i="155"/>
  <c r="O108" i="155"/>
  <c r="O253" i="48"/>
  <c r="P231" i="48"/>
  <c r="O232" i="48"/>
  <c r="K168" i="65"/>
  <c r="K158" i="65"/>
  <c r="K160" i="65"/>
  <c r="K168" i="76"/>
  <c r="K189" i="76"/>
  <c r="K210" i="76" s="1"/>
  <c r="K204" i="76" s="1"/>
  <c r="K211" i="76" s="1"/>
  <c r="P226" i="76"/>
  <c r="P247" i="76"/>
  <c r="Q225" i="76"/>
  <c r="F181" i="65"/>
  <c r="F176" i="65"/>
  <c r="F171" i="65"/>
  <c r="E128" i="159"/>
  <c r="E274" i="96"/>
  <c r="F125" i="159"/>
  <c r="E129" i="159"/>
  <c r="N127" i="133"/>
  <c r="L189" i="76"/>
  <c r="L210" i="76" s="1"/>
  <c r="L204" i="76" s="1"/>
  <c r="L211" i="76" s="1"/>
  <c r="L213" i="76" s="1"/>
  <c r="L215" i="76" s="1"/>
  <c r="L168" i="76"/>
  <c r="P234" i="66"/>
  <c r="Q212" i="66"/>
  <c r="P213" i="66"/>
  <c r="K125" i="176"/>
  <c r="J129" i="176"/>
  <c r="J128" i="176"/>
  <c r="M165" i="76"/>
  <c r="G184" i="65"/>
  <c r="G187" i="65"/>
  <c r="F182" i="65"/>
  <c r="N120" i="48"/>
  <c r="N165" i="48"/>
  <c r="N93" i="48"/>
  <c r="N71" i="48"/>
  <c r="N143" i="48"/>
  <c r="Q108" i="155"/>
  <c r="Q123" i="155"/>
  <c r="Q226" i="76"/>
  <c r="Q247" i="76"/>
  <c r="R225" i="76"/>
  <c r="P232" i="48"/>
  <c r="P253" i="48"/>
  <c r="Q231" i="48"/>
  <c r="M172" i="48"/>
  <c r="M182" i="48"/>
  <c r="P123" i="155"/>
  <c r="P108" i="155"/>
  <c r="M149" i="65"/>
  <c r="M94" i="65"/>
  <c r="M97" i="65"/>
  <c r="M99" i="65"/>
  <c r="M124" i="65"/>
  <c r="M72" i="65"/>
  <c r="M157" i="65"/>
  <c r="G197" i="65"/>
  <c r="G191" i="65"/>
  <c r="G198" i="65"/>
  <c r="G200" i="65"/>
  <c r="G202" i="65"/>
  <c r="N80" i="76"/>
  <c r="N165" i="76"/>
  <c r="N102" i="76"/>
  <c r="N132" i="76"/>
  <c r="N157" i="76"/>
  <c r="L168" i="66"/>
  <c r="P123" i="176"/>
  <c r="P108" i="176"/>
  <c r="P234" i="65"/>
  <c r="Q212" i="65"/>
  <c r="P213" i="65"/>
  <c r="L168" i="65"/>
  <c r="L158" i="65"/>
  <c r="L160" i="65"/>
  <c r="F197" i="65"/>
  <c r="F191" i="65"/>
  <c r="F198" i="65"/>
  <c r="F200" i="65"/>
  <c r="F202" i="65"/>
  <c r="Q108" i="176"/>
  <c r="Q123" i="176"/>
  <c r="M72" i="66"/>
  <c r="M157" i="66"/>
  <c r="M94" i="66"/>
  <c r="M124" i="66"/>
  <c r="M149" i="66"/>
  <c r="F192" i="76"/>
  <c r="F197" i="76"/>
  <c r="G125" i="159"/>
  <c r="F129" i="159"/>
  <c r="F128" i="159"/>
  <c r="F274" i="96"/>
  <c r="Q213" i="65"/>
  <c r="Q234" i="65"/>
  <c r="R212" i="65"/>
  <c r="O71" i="48"/>
  <c r="O143" i="48"/>
  <c r="O165" i="48"/>
  <c r="O93" i="48"/>
  <c r="O120" i="48"/>
  <c r="M168" i="65"/>
  <c r="M158" i="65"/>
  <c r="M160" i="65"/>
  <c r="R247" i="76"/>
  <c r="R226" i="76"/>
  <c r="N182" i="48"/>
  <c r="N172" i="48"/>
  <c r="K129" i="176"/>
  <c r="L125" i="176"/>
  <c r="K128" i="176"/>
  <c r="M168" i="66"/>
  <c r="N176" i="76"/>
  <c r="N166" i="76"/>
  <c r="O102" i="76"/>
  <c r="O157" i="76"/>
  <c r="O80" i="76"/>
  <c r="O132" i="76"/>
  <c r="F184" i="65"/>
  <c r="F187" i="65"/>
  <c r="M176" i="76"/>
  <c r="M166" i="76"/>
  <c r="N72" i="66"/>
  <c r="N157" i="66"/>
  <c r="N149" i="66"/>
  <c r="N94" i="66"/>
  <c r="N124" i="66"/>
  <c r="N94" i="65"/>
  <c r="N97" i="65"/>
  <c r="N99" i="65"/>
  <c r="N124" i="65"/>
  <c r="N72" i="65"/>
  <c r="N157" i="65"/>
  <c r="N149" i="65"/>
  <c r="Q253" i="48"/>
  <c r="R231" i="48"/>
  <c r="Q232" i="48"/>
  <c r="Q234" i="66"/>
  <c r="R212" i="66"/>
  <c r="Q213" i="66"/>
  <c r="H125" i="159"/>
  <c r="G129" i="159"/>
  <c r="G128" i="159"/>
  <c r="G274" i="96"/>
  <c r="R234" i="66"/>
  <c r="R213" i="66"/>
  <c r="M168" i="76"/>
  <c r="M189" i="76"/>
  <c r="M184" i="76" s="1"/>
  <c r="M190" i="76" s="1"/>
  <c r="N189" i="76"/>
  <c r="N210" i="76" s="1"/>
  <c r="N204" i="76" s="1"/>
  <c r="N211" i="76" s="1"/>
  <c r="N168" i="76"/>
  <c r="N168" i="65"/>
  <c r="N158" i="65"/>
  <c r="N160" i="65"/>
  <c r="P165" i="48"/>
  <c r="P93" i="48"/>
  <c r="P71" i="48"/>
  <c r="P143" i="48"/>
  <c r="P120" i="48"/>
  <c r="O165" i="76"/>
  <c r="M125" i="176"/>
  <c r="L129" i="176"/>
  <c r="L128" i="176"/>
  <c r="P80" i="76"/>
  <c r="P165" i="76"/>
  <c r="P102" i="76"/>
  <c r="P157" i="76"/>
  <c r="P132" i="76"/>
  <c r="C101" i="76"/>
  <c r="C129" i="76"/>
  <c r="R213" i="65"/>
  <c r="R234" i="65"/>
  <c r="R232" i="48"/>
  <c r="R253" i="48"/>
  <c r="N168" i="66"/>
  <c r="O94" i="65"/>
  <c r="O97" i="65"/>
  <c r="O99" i="65"/>
  <c r="O124" i="65"/>
  <c r="O149" i="65"/>
  <c r="O72" i="65"/>
  <c r="O157" i="65"/>
  <c r="O72" i="66"/>
  <c r="O157" i="66"/>
  <c r="O168" i="66"/>
  <c r="O149" i="66"/>
  <c r="O124" i="66"/>
  <c r="O94" i="66"/>
  <c r="O172" i="48"/>
  <c r="O182" i="48"/>
  <c r="I125" i="159"/>
  <c r="H129" i="159"/>
  <c r="H128" i="159"/>
  <c r="H274" i="96"/>
  <c r="O176" i="76"/>
  <c r="O166" i="76"/>
  <c r="C165" i="76"/>
  <c r="Q93" i="48"/>
  <c r="Q165" i="48"/>
  <c r="Q71" i="48"/>
  <c r="Q120" i="48"/>
  <c r="Q143" i="48"/>
  <c r="C140" i="48"/>
  <c r="C117" i="48"/>
  <c r="C92" i="48"/>
  <c r="C163" i="48"/>
  <c r="C70" i="48"/>
  <c r="I129" i="76"/>
  <c r="P129" i="76"/>
  <c r="N129" i="76"/>
  <c r="Q129" i="76"/>
  <c r="J129" i="76"/>
  <c r="O129" i="76"/>
  <c r="L129" i="76"/>
  <c r="R129" i="76"/>
  <c r="M129" i="76"/>
  <c r="K129" i="76"/>
  <c r="H129" i="76"/>
  <c r="N125" i="176"/>
  <c r="M129" i="176"/>
  <c r="M128" i="176"/>
  <c r="P149" i="66"/>
  <c r="P72" i="66"/>
  <c r="P157" i="66"/>
  <c r="P124" i="66"/>
  <c r="P94" i="66"/>
  <c r="C71" i="66"/>
  <c r="C121" i="66"/>
  <c r="C148" i="66"/>
  <c r="C93" i="66"/>
  <c r="O168" i="65"/>
  <c r="O158" i="65"/>
  <c r="O160" i="65"/>
  <c r="P124" i="65"/>
  <c r="P72" i="65"/>
  <c r="P157" i="65"/>
  <c r="P149" i="65"/>
  <c r="P94" i="65"/>
  <c r="P97" i="65"/>
  <c r="P99" i="65"/>
  <c r="C121" i="65"/>
  <c r="R101" i="76"/>
  <c r="R105" i="76"/>
  <c r="R107" i="76"/>
  <c r="M101" i="76"/>
  <c r="M105" i="76"/>
  <c r="M107" i="76"/>
  <c r="H101" i="76"/>
  <c r="H105" i="76"/>
  <c r="H107" i="76"/>
  <c r="I101" i="76"/>
  <c r="I105" i="76"/>
  <c r="I107" i="76"/>
  <c r="N101" i="76"/>
  <c r="N105" i="76"/>
  <c r="N107" i="76"/>
  <c r="O101" i="76"/>
  <c r="O105" i="76"/>
  <c r="O107" i="76"/>
  <c r="L101" i="76"/>
  <c r="L105" i="76"/>
  <c r="L107" i="76"/>
  <c r="K101" i="76"/>
  <c r="K105" i="76"/>
  <c r="K107" i="76"/>
  <c r="Q101" i="76"/>
  <c r="Q105" i="76"/>
  <c r="Q107" i="76"/>
  <c r="J101" i="76"/>
  <c r="J105" i="76"/>
  <c r="J107" i="76"/>
  <c r="P101" i="76"/>
  <c r="P105" i="76"/>
  <c r="P107" i="76"/>
  <c r="P176" i="76"/>
  <c r="C176" i="76"/>
  <c r="P166" i="76"/>
  <c r="C80" i="76"/>
  <c r="P182" i="48"/>
  <c r="P172" i="48"/>
  <c r="O49" i="95"/>
  <c r="O54" i="95" s="1"/>
  <c r="J125" i="159"/>
  <c r="I129" i="159"/>
  <c r="I128" i="159"/>
  <c r="I274" i="96"/>
  <c r="P168" i="76"/>
  <c r="P189" i="76"/>
  <c r="P210" i="76" s="1"/>
  <c r="P204" i="76" s="1"/>
  <c r="P211" i="76" s="1"/>
  <c r="P213" i="76" s="1"/>
  <c r="P215" i="76" s="1"/>
  <c r="J71" i="66"/>
  <c r="J155" i="66"/>
  <c r="I71" i="66"/>
  <c r="I155" i="66"/>
  <c r="G71" i="66"/>
  <c r="G155" i="66"/>
  <c r="F71" i="66"/>
  <c r="F155" i="66"/>
  <c r="H71" i="66"/>
  <c r="H155" i="66"/>
  <c r="K71" i="66"/>
  <c r="K155" i="66"/>
  <c r="N71" i="66"/>
  <c r="N155" i="66"/>
  <c r="L71" i="66"/>
  <c r="L155" i="66"/>
  <c r="R71" i="66"/>
  <c r="R155" i="66"/>
  <c r="O71" i="66"/>
  <c r="O155" i="66"/>
  <c r="P71" i="66"/>
  <c r="P155" i="66"/>
  <c r="M71" i="66"/>
  <c r="M155" i="66"/>
  <c r="Q71" i="66"/>
  <c r="Q155" i="66"/>
  <c r="H133" i="76"/>
  <c r="H135" i="76"/>
  <c r="H174" i="76"/>
  <c r="L133" i="76"/>
  <c r="L135" i="76"/>
  <c r="L174" i="76"/>
  <c r="L177" i="76"/>
  <c r="N133" i="76"/>
  <c r="N135" i="76"/>
  <c r="N174" i="76"/>
  <c r="N177" i="76"/>
  <c r="R70" i="48"/>
  <c r="Q70" i="48"/>
  <c r="L70" i="48"/>
  <c r="H70" i="48"/>
  <c r="N70" i="48"/>
  <c r="O70" i="48"/>
  <c r="E70" i="48"/>
  <c r="G70" i="48"/>
  <c r="P70" i="48"/>
  <c r="I70" i="48"/>
  <c r="F70" i="48"/>
  <c r="J70" i="48"/>
  <c r="M70" i="48"/>
  <c r="D70" i="48"/>
  <c r="D180" i="48"/>
  <c r="K70" i="48"/>
  <c r="H140" i="48"/>
  <c r="Q140" i="48"/>
  <c r="P140" i="48"/>
  <c r="G140" i="48"/>
  <c r="N140" i="48"/>
  <c r="L140" i="48"/>
  <c r="J140" i="48"/>
  <c r="M140" i="48"/>
  <c r="O140" i="48"/>
  <c r="F140" i="48"/>
  <c r="R140" i="48"/>
  <c r="I140" i="48"/>
  <c r="K140" i="48"/>
  <c r="H93" i="66"/>
  <c r="H97" i="66"/>
  <c r="H99" i="66"/>
  <c r="Q93" i="66"/>
  <c r="Q97" i="66"/>
  <c r="Q99" i="66"/>
  <c r="P93" i="66"/>
  <c r="P97" i="66"/>
  <c r="P99" i="66"/>
  <c r="K93" i="66"/>
  <c r="K97" i="66"/>
  <c r="K99" i="66"/>
  <c r="M93" i="66"/>
  <c r="M97" i="66"/>
  <c r="M99" i="66"/>
  <c r="J93" i="66"/>
  <c r="J97" i="66"/>
  <c r="J99" i="66"/>
  <c r="N93" i="66"/>
  <c r="N97" i="66"/>
  <c r="N99" i="66"/>
  <c r="R93" i="66"/>
  <c r="R97" i="66"/>
  <c r="R99" i="66"/>
  <c r="O93" i="66"/>
  <c r="O97" i="66"/>
  <c r="O99" i="66"/>
  <c r="L93" i="66"/>
  <c r="L97" i="66"/>
  <c r="L99" i="66"/>
  <c r="I93" i="66"/>
  <c r="I97" i="66"/>
  <c r="I99" i="66"/>
  <c r="K133" i="76"/>
  <c r="K135" i="76"/>
  <c r="K174" i="76"/>
  <c r="O133" i="76"/>
  <c r="O135" i="76"/>
  <c r="O174" i="76"/>
  <c r="O177" i="76"/>
  <c r="R163" i="48"/>
  <c r="H163" i="48"/>
  <c r="Q163" i="48"/>
  <c r="K163" i="48"/>
  <c r="P163" i="48"/>
  <c r="M163" i="48"/>
  <c r="L163" i="48"/>
  <c r="G163" i="48"/>
  <c r="N163" i="48"/>
  <c r="I163" i="48"/>
  <c r="O163" i="48"/>
  <c r="J163" i="48"/>
  <c r="O121" i="65"/>
  <c r="L121" i="65"/>
  <c r="H121" i="65"/>
  <c r="I121" i="65"/>
  <c r="K121" i="65"/>
  <c r="R121" i="65"/>
  <c r="M121" i="65"/>
  <c r="N121" i="65"/>
  <c r="Q121" i="65"/>
  <c r="J121" i="65"/>
  <c r="P121" i="65"/>
  <c r="K148" i="66"/>
  <c r="M148" i="66"/>
  <c r="Q148" i="66"/>
  <c r="J148" i="66"/>
  <c r="N148" i="66"/>
  <c r="H148" i="66"/>
  <c r="O148" i="66"/>
  <c r="R148" i="66"/>
  <c r="P148" i="66"/>
  <c r="I148" i="66"/>
  <c r="L148" i="66"/>
  <c r="M133" i="76"/>
  <c r="M135" i="76"/>
  <c r="M174" i="76"/>
  <c r="M177" i="76"/>
  <c r="J133" i="76"/>
  <c r="J135" i="76"/>
  <c r="J174" i="76"/>
  <c r="I133" i="76"/>
  <c r="I135" i="76"/>
  <c r="I174" i="76"/>
  <c r="I92" i="48"/>
  <c r="I96" i="48"/>
  <c r="I97" i="48"/>
  <c r="H92" i="48"/>
  <c r="H96" i="48"/>
  <c r="H97" i="48"/>
  <c r="G92" i="48"/>
  <c r="G96" i="48"/>
  <c r="G97" i="48"/>
  <c r="J92" i="48"/>
  <c r="J96" i="48"/>
  <c r="J97" i="48"/>
  <c r="M92" i="48"/>
  <c r="M96" i="48"/>
  <c r="M97" i="48"/>
  <c r="L92" i="48"/>
  <c r="L96" i="48"/>
  <c r="L97" i="48"/>
  <c r="P92" i="48"/>
  <c r="P96" i="48"/>
  <c r="P97" i="48"/>
  <c r="O92" i="48"/>
  <c r="O96" i="48"/>
  <c r="O97" i="48"/>
  <c r="R92" i="48"/>
  <c r="R96" i="48"/>
  <c r="R97" i="48"/>
  <c r="F92" i="48"/>
  <c r="F96" i="48"/>
  <c r="F97" i="48"/>
  <c r="N92" i="48"/>
  <c r="N96" i="48"/>
  <c r="N97" i="48"/>
  <c r="K92" i="48"/>
  <c r="K96" i="48"/>
  <c r="K97" i="48"/>
  <c r="E92" i="48"/>
  <c r="E96" i="48"/>
  <c r="E97" i="48"/>
  <c r="Q92" i="48"/>
  <c r="Q96" i="48"/>
  <c r="Q97" i="48"/>
  <c r="O189" i="76"/>
  <c r="O184" i="76" s="1"/>
  <c r="O190" i="76" s="1"/>
  <c r="O192" i="76" s="1"/>
  <c r="O168" i="76"/>
  <c r="C166" i="76"/>
  <c r="P168" i="65"/>
  <c r="C168" i="65"/>
  <c r="P158" i="65"/>
  <c r="P133" i="76"/>
  <c r="P135" i="76"/>
  <c r="P174" i="76"/>
  <c r="P177" i="76"/>
  <c r="K121" i="66"/>
  <c r="K125" i="66"/>
  <c r="K127" i="66"/>
  <c r="Q121" i="66"/>
  <c r="Q125" i="66"/>
  <c r="Q127" i="66"/>
  <c r="P121" i="66"/>
  <c r="P125" i="66"/>
  <c r="P127" i="66"/>
  <c r="J121" i="66"/>
  <c r="J125" i="66"/>
  <c r="J127" i="66"/>
  <c r="H121" i="66"/>
  <c r="H125" i="66"/>
  <c r="H127" i="66"/>
  <c r="O121" i="66"/>
  <c r="O125" i="66"/>
  <c r="O127" i="66"/>
  <c r="R121" i="66"/>
  <c r="R125" i="66"/>
  <c r="R127" i="66"/>
  <c r="L121" i="66"/>
  <c r="L125" i="66"/>
  <c r="L127" i="66"/>
  <c r="N121" i="66"/>
  <c r="N125" i="66"/>
  <c r="N127" i="66"/>
  <c r="I121" i="66"/>
  <c r="I125" i="66"/>
  <c r="I127" i="66"/>
  <c r="M121" i="66"/>
  <c r="M125" i="66"/>
  <c r="M127" i="66"/>
  <c r="P168" i="66"/>
  <c r="C168" i="66"/>
  <c r="O125" i="176"/>
  <c r="N129" i="176"/>
  <c r="N128" i="176"/>
  <c r="R133" i="76"/>
  <c r="R135" i="76"/>
  <c r="R174" i="76"/>
  <c r="R177" i="76"/>
  <c r="Q133" i="76"/>
  <c r="Q135" i="76"/>
  <c r="Q174" i="76"/>
  <c r="Q177" i="76"/>
  <c r="O117" i="48"/>
  <c r="I117" i="48"/>
  <c r="L117" i="48"/>
  <c r="G117" i="48"/>
  <c r="R117" i="48"/>
  <c r="K117" i="48"/>
  <c r="H117" i="48"/>
  <c r="Q117" i="48"/>
  <c r="J117" i="48"/>
  <c r="N117" i="48"/>
  <c r="M117" i="48"/>
  <c r="P117" i="48"/>
  <c r="Q182" i="48"/>
  <c r="C182" i="48"/>
  <c r="Q172" i="48"/>
  <c r="K5" i="174"/>
  <c r="N7" i="97"/>
  <c r="N42" i="95"/>
  <c r="L5" i="174"/>
  <c r="I59" i="104" s="1"/>
  <c r="M104" i="104" s="1"/>
  <c r="O42" i="95"/>
  <c r="O7" i="97"/>
  <c r="K125" i="159"/>
  <c r="J129" i="159"/>
  <c r="J128" i="159"/>
  <c r="J274" i="96"/>
  <c r="N49" i="95"/>
  <c r="R179" i="76"/>
  <c r="R210" i="76"/>
  <c r="R204" i="76" s="1"/>
  <c r="R211" i="76" s="1"/>
  <c r="O129" i="176"/>
  <c r="P125" i="176"/>
  <c r="O128" i="176"/>
  <c r="O92" i="63"/>
  <c r="O111" i="63"/>
  <c r="J177" i="76"/>
  <c r="J125" i="65"/>
  <c r="J127" i="65"/>
  <c r="J166" i="65"/>
  <c r="R125" i="65"/>
  <c r="R127" i="65"/>
  <c r="R166" i="65"/>
  <c r="R169" i="65"/>
  <c r="L125" i="65"/>
  <c r="L127" i="65"/>
  <c r="L166" i="65"/>
  <c r="L169" i="65"/>
  <c r="P92" i="63"/>
  <c r="P111" i="63"/>
  <c r="K177" i="76"/>
  <c r="K170" i="48"/>
  <c r="K180" i="48"/>
  <c r="F180" i="48"/>
  <c r="F170" i="48"/>
  <c r="E180" i="48"/>
  <c r="E183" i="48"/>
  <c r="E170" i="48"/>
  <c r="E173" i="48"/>
  <c r="E175" i="48"/>
  <c r="L180" i="48"/>
  <c r="L170" i="48"/>
  <c r="O166" i="66"/>
  <c r="O169" i="66"/>
  <c r="O158" i="66"/>
  <c r="O160" i="66"/>
  <c r="K166" i="66"/>
  <c r="K158" i="66"/>
  <c r="K160" i="66"/>
  <c r="I166" i="66"/>
  <c r="I158" i="66"/>
  <c r="I160" i="66"/>
  <c r="I161" i="66"/>
  <c r="P179" i="76"/>
  <c r="Q125" i="65"/>
  <c r="Q127" i="65"/>
  <c r="Q166" i="65"/>
  <c r="Q169" i="65"/>
  <c r="K125" i="65"/>
  <c r="K127" i="65"/>
  <c r="K166" i="65"/>
  <c r="O125" i="65"/>
  <c r="O127" i="65"/>
  <c r="O166" i="65"/>
  <c r="O169" i="65"/>
  <c r="D183" i="48"/>
  <c r="D186" i="48"/>
  <c r="I180" i="48"/>
  <c r="I170" i="48"/>
  <c r="O180" i="48"/>
  <c r="O170" i="48"/>
  <c r="O173" i="48"/>
  <c r="Q180" i="48"/>
  <c r="Q170" i="48"/>
  <c r="Q173" i="48"/>
  <c r="L179" i="76"/>
  <c r="Q166" i="66"/>
  <c r="Q169" i="66"/>
  <c r="Q171" i="66"/>
  <c r="Q158" i="66"/>
  <c r="R166" i="66"/>
  <c r="R169" i="66"/>
  <c r="R158" i="66"/>
  <c r="H166" i="66"/>
  <c r="H161" i="66"/>
  <c r="H158" i="66"/>
  <c r="H160" i="66"/>
  <c r="J166" i="66"/>
  <c r="J158" i="66"/>
  <c r="J160" i="66"/>
  <c r="Q179" i="76"/>
  <c r="N92" i="63"/>
  <c r="N111" i="63"/>
  <c r="I177" i="76"/>
  <c r="M179" i="76"/>
  <c r="M210" i="76"/>
  <c r="M204" i="76"/>
  <c r="M211" i="76" s="1"/>
  <c r="M213" i="76" s="1"/>
  <c r="M215" i="76" s="1"/>
  <c r="N125" i="65"/>
  <c r="N127" i="65"/>
  <c r="N166" i="65"/>
  <c r="N169" i="65"/>
  <c r="I125" i="65"/>
  <c r="I127" i="65"/>
  <c r="I166" i="65"/>
  <c r="O179" i="76"/>
  <c r="O210" i="76"/>
  <c r="O204" i="76" s="1"/>
  <c r="O211" i="76" s="1"/>
  <c r="O213" i="76" s="1"/>
  <c r="O215" i="76" s="1"/>
  <c r="M192" i="76"/>
  <c r="M170" i="48"/>
  <c r="M173" i="48"/>
  <c r="M180" i="48"/>
  <c r="P180" i="48"/>
  <c r="P170" i="48"/>
  <c r="P173" i="48"/>
  <c r="N170" i="48"/>
  <c r="N173" i="48"/>
  <c r="N180" i="48"/>
  <c r="R180" i="48"/>
  <c r="R170" i="48"/>
  <c r="R173" i="48"/>
  <c r="M166" i="66"/>
  <c r="M169" i="66"/>
  <c r="M158" i="66"/>
  <c r="M160" i="66"/>
  <c r="L166" i="66"/>
  <c r="L169" i="66"/>
  <c r="L158" i="66"/>
  <c r="L160" i="66"/>
  <c r="F166" i="66"/>
  <c r="F161" i="66"/>
  <c r="F158" i="66"/>
  <c r="F160" i="66"/>
  <c r="P125" i="65"/>
  <c r="P127" i="65"/>
  <c r="P166" i="65"/>
  <c r="P169" i="65"/>
  <c r="M125" i="65"/>
  <c r="M127" i="65"/>
  <c r="M166" i="65"/>
  <c r="M169" i="65"/>
  <c r="H125" i="65"/>
  <c r="H127" i="65"/>
  <c r="H166" i="65"/>
  <c r="J180" i="48"/>
  <c r="J170" i="48"/>
  <c r="G170" i="48"/>
  <c r="G180" i="48"/>
  <c r="H170" i="48"/>
  <c r="H180" i="48"/>
  <c r="H177" i="76"/>
  <c r="M92" i="63"/>
  <c r="M111" i="63"/>
  <c r="C174" i="76"/>
  <c r="D180" i="76"/>
  <c r="P166" i="66"/>
  <c r="P169" i="66"/>
  <c r="P158" i="66"/>
  <c r="N166" i="66"/>
  <c r="N169" i="66"/>
  <c r="N158" i="66"/>
  <c r="N160" i="66"/>
  <c r="G166" i="66"/>
  <c r="G158" i="66"/>
  <c r="G160" i="66"/>
  <c r="G161" i="66"/>
  <c r="K161" i="66"/>
  <c r="O11" i="98"/>
  <c r="L125" i="159"/>
  <c r="K129" i="159"/>
  <c r="K128" i="159"/>
  <c r="K274" i="96"/>
  <c r="M5" i="174"/>
  <c r="J59" i="104" s="1"/>
  <c r="P42" i="95"/>
  <c r="N181" i="66"/>
  <c r="N176" i="66" s="1"/>
  <c r="N182" i="66" s="1"/>
  <c r="N184" i="66" s="1"/>
  <c r="N171" i="66"/>
  <c r="H183" i="48"/>
  <c r="H186" i="48"/>
  <c r="J176" i="48"/>
  <c r="J173" i="48"/>
  <c r="M171" i="65"/>
  <c r="M181" i="65"/>
  <c r="M176" i="65" s="1"/>
  <c r="M182" i="65" s="1"/>
  <c r="M184" i="65" s="1"/>
  <c r="P175" i="48"/>
  <c r="N68" i="40"/>
  <c r="I169" i="65"/>
  <c r="R171" i="66"/>
  <c r="O183" i="48"/>
  <c r="O186" i="48"/>
  <c r="P68" i="40"/>
  <c r="K169" i="65"/>
  <c r="N69" i="40"/>
  <c r="I169" i="66"/>
  <c r="O181" i="66"/>
  <c r="O197" i="66" s="1"/>
  <c r="O191" i="66" s="1"/>
  <c r="O198" i="66" s="1"/>
  <c r="O200" i="66" s="1"/>
  <c r="O202" i="66" s="1"/>
  <c r="O171" i="66"/>
  <c r="E185" i="48"/>
  <c r="K173" i="48"/>
  <c r="K176" i="48"/>
  <c r="P129" i="176"/>
  <c r="Q125" i="176"/>
  <c r="P128" i="176"/>
  <c r="H179" i="76"/>
  <c r="M171" i="63" s="1"/>
  <c r="C177" i="76"/>
  <c r="C210" i="76"/>
  <c r="H176" i="48"/>
  <c r="H173" i="48"/>
  <c r="J186" i="48"/>
  <c r="J183" i="48"/>
  <c r="L181" i="66"/>
  <c r="L176" i="66" s="1"/>
  <c r="L182" i="66" s="1"/>
  <c r="L184" i="66" s="1"/>
  <c r="L171" i="66"/>
  <c r="R183" i="48"/>
  <c r="R185" i="48"/>
  <c r="R186" i="48"/>
  <c r="P186" i="48"/>
  <c r="P183" i="48"/>
  <c r="Q195" i="48"/>
  <c r="Q191" i="48" s="1"/>
  <c r="Q196" i="48" s="1"/>
  <c r="Q198" i="48" s="1"/>
  <c r="Q175" i="48"/>
  <c r="I173" i="48"/>
  <c r="I176" i="48"/>
  <c r="E195" i="48"/>
  <c r="E191" i="48"/>
  <c r="D185" i="48"/>
  <c r="D214" i="48"/>
  <c r="L173" i="48"/>
  <c r="L176" i="48"/>
  <c r="F173" i="48"/>
  <c r="F175" i="48"/>
  <c r="F176" i="48"/>
  <c r="K179" i="76"/>
  <c r="P171" i="63" s="1"/>
  <c r="J179" i="76"/>
  <c r="O171" i="63" s="1"/>
  <c r="L69" i="40"/>
  <c r="G169" i="66"/>
  <c r="P171" i="66"/>
  <c r="G186" i="48"/>
  <c r="G183" i="48"/>
  <c r="D33" i="54"/>
  <c r="D37" i="54"/>
  <c r="D40" i="54"/>
  <c r="D41" i="54"/>
  <c r="D43" i="54"/>
  <c r="M68" i="40"/>
  <c r="H169" i="65"/>
  <c r="C166" i="65"/>
  <c r="C172" i="65"/>
  <c r="N186" i="48"/>
  <c r="N183" i="48"/>
  <c r="M186" i="48"/>
  <c r="M183" i="48"/>
  <c r="N171" i="65"/>
  <c r="N181" i="65"/>
  <c r="M69" i="40"/>
  <c r="H169" i="66"/>
  <c r="Q186" i="48"/>
  <c r="Q183" i="48"/>
  <c r="I183" i="48"/>
  <c r="I186" i="48"/>
  <c r="P69" i="40"/>
  <c r="K169" i="66"/>
  <c r="L183" i="48"/>
  <c r="L186" i="48"/>
  <c r="F183" i="48"/>
  <c r="F186" i="48"/>
  <c r="G173" i="48"/>
  <c r="G176" i="48"/>
  <c r="K69" i="40"/>
  <c r="C166" i="66"/>
  <c r="C172" i="66"/>
  <c r="F169" i="66"/>
  <c r="M181" i="66"/>
  <c r="M176" i="66" s="1"/>
  <c r="M182" i="66" s="1"/>
  <c r="M184" i="66" s="1"/>
  <c r="M171" i="66"/>
  <c r="N195" i="48"/>
  <c r="N191" i="48" s="1"/>
  <c r="N196" i="48" s="1"/>
  <c r="N198" i="48" s="1"/>
  <c r="N175" i="48"/>
  <c r="M175" i="48"/>
  <c r="M195" i="48"/>
  <c r="M214" i="48" s="1"/>
  <c r="M208" i="48" s="1"/>
  <c r="M215" i="48" s="1"/>
  <c r="M217" i="48" s="1"/>
  <c r="M219" i="48" s="1"/>
  <c r="O69" i="40"/>
  <c r="J169" i="66"/>
  <c r="C180" i="48"/>
  <c r="C186" i="48"/>
  <c r="K183" i="48"/>
  <c r="K186" i="48"/>
  <c r="L171" i="65"/>
  <c r="L181" i="65"/>
  <c r="O68" i="40"/>
  <c r="J169" i="65"/>
  <c r="L129" i="159"/>
  <c r="M125" i="159"/>
  <c r="L128" i="159"/>
  <c r="L274" i="96"/>
  <c r="C213" i="96"/>
  <c r="M213" i="96"/>
  <c r="H171" i="66"/>
  <c r="H181" i="66"/>
  <c r="L195" i="48"/>
  <c r="L214" i="48" s="1"/>
  <c r="L208" i="48" s="1"/>
  <c r="L215" i="48" s="1"/>
  <c r="L217" i="48" s="1"/>
  <c r="L219" i="48" s="1"/>
  <c r="L175" i="48"/>
  <c r="E196" i="48"/>
  <c r="E198" i="48"/>
  <c r="G201" i="48"/>
  <c r="N93" i="40"/>
  <c r="N87" i="40"/>
  <c r="N101" i="40"/>
  <c r="J185" i="48"/>
  <c r="N143" i="63"/>
  <c r="N137" i="63"/>
  <c r="N150" i="63"/>
  <c r="M93" i="40"/>
  <c r="M87" i="40"/>
  <c r="M101" i="40"/>
  <c r="I185" i="48"/>
  <c r="M143" i="63"/>
  <c r="M137" i="63"/>
  <c r="M150" i="63"/>
  <c r="N185" i="48"/>
  <c r="G185" i="48"/>
  <c r="K93" i="40"/>
  <c r="K87" i="40"/>
  <c r="K101" i="40"/>
  <c r="K143" i="63"/>
  <c r="K137" i="63"/>
  <c r="K150" i="63"/>
  <c r="G181" i="66"/>
  <c r="G176" i="66"/>
  <c r="G182" i="66"/>
  <c r="G197" i="66"/>
  <c r="G191" i="66"/>
  <c r="G198" i="66"/>
  <c r="G200" i="66"/>
  <c r="G202" i="66"/>
  <c r="G171" i="66"/>
  <c r="C183" i="48"/>
  <c r="C214" i="48"/>
  <c r="K195" i="48"/>
  <c r="K191" i="48" s="1"/>
  <c r="K196" i="48" s="1"/>
  <c r="K175" i="48"/>
  <c r="O185" i="48"/>
  <c r="J195" i="48"/>
  <c r="J191" i="48" s="1"/>
  <c r="J196" i="48" s="1"/>
  <c r="L201" i="48" s="1"/>
  <c r="J175" i="48"/>
  <c r="N197" i="66"/>
  <c r="N191" i="66" s="1"/>
  <c r="N198" i="66" s="1"/>
  <c r="N200" i="66" s="1"/>
  <c r="N202" i="66" s="1"/>
  <c r="I181" i="65"/>
  <c r="I171" i="65"/>
  <c r="H185" i="48"/>
  <c r="L143" i="63"/>
  <c r="L137" i="63"/>
  <c r="L150" i="63"/>
  <c r="L93" i="40"/>
  <c r="L87" i="40"/>
  <c r="L101" i="40"/>
  <c r="K181" i="66"/>
  <c r="K197" i="66" s="1"/>
  <c r="K191" i="66" s="1"/>
  <c r="K198" i="66" s="1"/>
  <c r="K200" i="66" s="1"/>
  <c r="K202" i="66" s="1"/>
  <c r="K171" i="66"/>
  <c r="J171" i="65"/>
  <c r="J181" i="65"/>
  <c r="J197" i="65" s="1"/>
  <c r="J191" i="65" s="1"/>
  <c r="J198" i="65" s="1"/>
  <c r="J171" i="66"/>
  <c r="J181" i="66"/>
  <c r="J176" i="66" s="1"/>
  <c r="J182" i="66" s="1"/>
  <c r="J184" i="66" s="1"/>
  <c r="F195" i="48"/>
  <c r="F191" i="48"/>
  <c r="F196" i="48"/>
  <c r="J143" i="63"/>
  <c r="J137" i="63"/>
  <c r="J150" i="63"/>
  <c r="F185" i="48"/>
  <c r="J93" i="40"/>
  <c r="J87" i="40"/>
  <c r="J101" i="40"/>
  <c r="F214" i="48"/>
  <c r="F208" i="48"/>
  <c r="F215" i="48"/>
  <c r="F217" i="48"/>
  <c r="F219" i="48"/>
  <c r="Q214" i="48"/>
  <c r="Q208" i="48" s="1"/>
  <c r="Q215" i="48" s="1"/>
  <c r="Q185" i="48"/>
  <c r="H171" i="65"/>
  <c r="H181" i="65"/>
  <c r="H197" i="65" s="1"/>
  <c r="H191" i="65" s="1"/>
  <c r="H198" i="65" s="1"/>
  <c r="H200" i="65" s="1"/>
  <c r="H202" i="65" s="1"/>
  <c r="C169" i="65"/>
  <c r="C197" i="65"/>
  <c r="I175" i="48"/>
  <c r="I195" i="48"/>
  <c r="I191" i="48" s="1"/>
  <c r="I196" i="48" s="1"/>
  <c r="H195" i="48"/>
  <c r="H214" i="48" s="1"/>
  <c r="H208" i="48" s="1"/>
  <c r="H215" i="48" s="1"/>
  <c r="H175" i="48"/>
  <c r="Q129" i="176"/>
  <c r="Q128" i="176"/>
  <c r="E214" i="48"/>
  <c r="E208" i="48"/>
  <c r="K181" i="65"/>
  <c r="K176" i="65" s="1"/>
  <c r="K182" i="65" s="1"/>
  <c r="K184" i="65" s="1"/>
  <c r="K171" i="65"/>
  <c r="P143" i="63"/>
  <c r="P137" i="63"/>
  <c r="P150" i="63"/>
  <c r="P93" i="40"/>
  <c r="P87" i="40"/>
  <c r="P101" i="40"/>
  <c r="L185" i="48"/>
  <c r="O143" i="63"/>
  <c r="O137" i="63"/>
  <c r="O150" i="63"/>
  <c r="K185" i="48"/>
  <c r="O93" i="40"/>
  <c r="O87" i="40"/>
  <c r="O101" i="40"/>
  <c r="F181" i="66"/>
  <c r="F176" i="66"/>
  <c r="F171" i="66"/>
  <c r="C169" i="66"/>
  <c r="C197" i="66"/>
  <c r="G195" i="48"/>
  <c r="G191" i="48" s="1"/>
  <c r="G196" i="48" s="1"/>
  <c r="G198" i="48" s="1"/>
  <c r="G175" i="48"/>
  <c r="M185" i="48"/>
  <c r="D187" i="48"/>
  <c r="C185" i="48"/>
  <c r="C187" i="48"/>
  <c r="P185" i="48"/>
  <c r="L197" i="66"/>
  <c r="L191" i="66" s="1"/>
  <c r="L198" i="66" s="1"/>
  <c r="I171" i="66"/>
  <c r="I181" i="66"/>
  <c r="I197" i="66" s="1"/>
  <c r="I191" i="66" s="1"/>
  <c r="I198" i="66" s="1"/>
  <c r="M129" i="159"/>
  <c r="M128" i="159"/>
  <c r="M274" i="96"/>
  <c r="F182" i="66"/>
  <c r="F198" i="48"/>
  <c r="H201" i="48"/>
  <c r="L115" i="40"/>
  <c r="L164" i="63"/>
  <c r="H187" i="48"/>
  <c r="G187" i="48"/>
  <c r="K164" i="63"/>
  <c r="K115" i="40"/>
  <c r="H197" i="66"/>
  <c r="H191" i="66" s="1"/>
  <c r="H198" i="66" s="1"/>
  <c r="H200" i="66" s="1"/>
  <c r="H202" i="66" s="1"/>
  <c r="H176" i="66"/>
  <c r="H182" i="66" s="1"/>
  <c r="O164" i="63"/>
  <c r="K187" i="48"/>
  <c r="O115" i="40"/>
  <c r="F197" i="66"/>
  <c r="F191" i="66"/>
  <c r="F198" i="66"/>
  <c r="F200" i="66"/>
  <c r="F202" i="66"/>
  <c r="L187" i="48"/>
  <c r="P115" i="40"/>
  <c r="P164" i="63"/>
  <c r="J115" i="40"/>
  <c r="J164" i="63"/>
  <c r="F187" i="48"/>
  <c r="G187" i="66"/>
  <c r="G184" i="66"/>
  <c r="M115" i="40"/>
  <c r="M164" i="63"/>
  <c r="I187" i="48"/>
  <c r="N164" i="63"/>
  <c r="J187" i="48"/>
  <c r="N115" i="40"/>
  <c r="F204" i="48"/>
  <c r="F199" i="48"/>
  <c r="F184" i="66"/>
  <c r="F187" i="66"/>
  <c r="N29" i="98"/>
  <c r="I18" i="171" s="1"/>
  <c r="M78" i="133"/>
  <c r="M87" i="133" s="1"/>
  <c r="N78" i="133"/>
  <c r="N87" i="133" s="1"/>
  <c r="N78" i="117"/>
  <c r="N87" i="117" s="1"/>
  <c r="C118" i="117"/>
  <c r="C205" i="96"/>
  <c r="L205" i="96"/>
  <c r="M205" i="96"/>
  <c r="K119" i="117"/>
  <c r="K222" i="96"/>
  <c r="K209" i="96"/>
  <c r="N30" i="98"/>
  <c r="N39" i="97"/>
  <c r="L211" i="96"/>
  <c r="N11" i="103"/>
  <c r="N11" i="181"/>
  <c r="O11" i="181" s="1"/>
  <c r="P11" i="181" s="1"/>
  <c r="N8" i="97"/>
  <c r="N28" i="98"/>
  <c r="N41" i="98"/>
  <c r="N10" i="98"/>
  <c r="I17" i="171" s="1"/>
  <c r="K26" i="174"/>
  <c r="N35" i="97"/>
  <c r="N7" i="98"/>
  <c r="O35" i="103"/>
  <c r="C63" i="178"/>
  <c r="J31" i="95"/>
  <c r="E25" i="112" s="1"/>
  <c r="J27" i="112" s="1"/>
  <c r="L91" i="159"/>
  <c r="L92" i="159"/>
  <c r="O78" i="117"/>
  <c r="O87" i="117" s="1"/>
  <c r="P78" i="117"/>
  <c r="P87" i="117" s="1"/>
  <c r="K105" i="155"/>
  <c r="K105" i="134"/>
  <c r="K105" i="133"/>
  <c r="K105" i="156"/>
  <c r="K105" i="135"/>
  <c r="K105" i="137"/>
  <c r="K105" i="119"/>
  <c r="Q78" i="117"/>
  <c r="Q87" i="117" s="1"/>
  <c r="L119" i="117"/>
  <c r="L222" i="96"/>
  <c r="M211" i="96"/>
  <c r="P77" i="95"/>
  <c r="N213" i="96"/>
  <c r="O11" i="103"/>
  <c r="O42" i="98"/>
  <c r="O8" i="97"/>
  <c r="P35" i="103"/>
  <c r="O7" i="98"/>
  <c r="L28" i="174" s="1"/>
  <c r="O78" i="155"/>
  <c r="O87" i="155" s="1"/>
  <c r="N78" i="160"/>
  <c r="N87" i="160" s="1"/>
  <c r="O78" i="160"/>
  <c r="O87" i="160" s="1"/>
  <c r="L105" i="117"/>
  <c r="L105" i="160"/>
  <c r="L105" i="119"/>
  <c r="N78" i="132"/>
  <c r="N87" i="132" s="1"/>
  <c r="O78" i="132"/>
  <c r="O87" i="132" s="1"/>
  <c r="P78" i="132"/>
  <c r="P87" i="132" s="1"/>
  <c r="Q78" i="132"/>
  <c r="Q87" i="132" s="1"/>
  <c r="N78" i="135"/>
  <c r="N87" i="135" s="1"/>
  <c r="O78" i="135"/>
  <c r="O87" i="135" s="1"/>
  <c r="P78" i="135"/>
  <c r="P87" i="135" s="1"/>
  <c r="Q78" i="135"/>
  <c r="Q87" i="135" s="1"/>
  <c r="D87" i="132" l="1"/>
  <c r="U76" i="132"/>
  <c r="V76" i="132"/>
  <c r="W76" i="132"/>
  <c r="E82" i="157"/>
  <c r="E95" i="157" s="1"/>
  <c r="E78" i="157"/>
  <c r="E87" i="157" s="1"/>
  <c r="O17" i="157"/>
  <c r="N19" i="157"/>
  <c r="M35" i="157"/>
  <c r="M99" i="157" s="1"/>
  <c r="G59" i="157"/>
  <c r="H99" i="157"/>
  <c r="T35" i="157"/>
  <c r="T99" i="157" s="1"/>
  <c r="H36" i="157"/>
  <c r="P35" i="157"/>
  <c r="P99" i="157" s="1"/>
  <c r="F35" i="157"/>
  <c r="F99" i="157" s="1"/>
  <c r="E35" i="157"/>
  <c r="E99" i="157" s="1"/>
  <c r="K35" i="157"/>
  <c r="K99" i="157" s="1"/>
  <c r="J35" i="157"/>
  <c r="J99" i="157" s="1"/>
  <c r="H49" i="157"/>
  <c r="G56" i="157"/>
  <c r="G62" i="157" s="1"/>
  <c r="G69" i="157" s="1"/>
  <c r="G74" i="157" s="1"/>
  <c r="Q35" i="157"/>
  <c r="Q99" i="157" s="1"/>
  <c r="D35" i="157"/>
  <c r="D99" i="157" s="1"/>
  <c r="C99" i="157"/>
  <c r="O35" i="157"/>
  <c r="O99" i="157" s="1"/>
  <c r="E19" i="157"/>
  <c r="T59" i="157"/>
  <c r="L59" i="157"/>
  <c r="M59" i="157"/>
  <c r="I59" i="157"/>
  <c r="E59" i="157"/>
  <c r="H59" i="157"/>
  <c r="D59" i="157"/>
  <c r="F56" i="157"/>
  <c r="F62" i="157" s="1"/>
  <c r="F69" i="157" s="1"/>
  <c r="F74" i="157" s="1"/>
  <c r="P54" i="157"/>
  <c r="T54" i="157"/>
  <c r="Q54" i="157"/>
  <c r="N54" i="157"/>
  <c r="O54" i="157"/>
  <c r="D78" i="157"/>
  <c r="D87" i="157" s="1"/>
  <c r="G35" i="157"/>
  <c r="G99" i="157" s="1"/>
  <c r="F59" i="157"/>
  <c r="D104" i="157"/>
  <c r="D105" i="157" s="1"/>
  <c r="J59" i="157"/>
  <c r="H54" i="157"/>
  <c r="I35" i="157"/>
  <c r="I99" i="157" s="1"/>
  <c r="K54" i="157"/>
  <c r="D54" i="157"/>
  <c r="G54" i="157"/>
  <c r="M70" i="157"/>
  <c r="M100" i="157" s="1"/>
  <c r="M133" i="157" s="1"/>
  <c r="O70" i="157"/>
  <c r="O100" i="157" s="1"/>
  <c r="O133" i="157" s="1"/>
  <c r="U337" i="96"/>
  <c r="B303" i="96"/>
  <c r="B320" i="96" s="1"/>
  <c r="B337" i="96" s="1"/>
  <c r="B18" i="104"/>
  <c r="M197" i="66"/>
  <c r="M191" i="66" s="1"/>
  <c r="M198" i="66" s="1"/>
  <c r="M200" i="66" s="1"/>
  <c r="M202" i="66" s="1"/>
  <c r="J214" i="48"/>
  <c r="J208" i="48" s="1"/>
  <c r="J215" i="48" s="1"/>
  <c r="J217" i="48" s="1"/>
  <c r="J219" i="48" s="1"/>
  <c r="M197" i="65"/>
  <c r="M191" i="65" s="1"/>
  <c r="M198" i="65" s="1"/>
  <c r="M200" i="65" s="1"/>
  <c r="M202" i="65" s="1"/>
  <c r="K214" i="48"/>
  <c r="K208" i="48" s="1"/>
  <c r="K215" i="48" s="1"/>
  <c r="K217" i="48" s="1"/>
  <c r="K219" i="48" s="1"/>
  <c r="I200" i="66"/>
  <c r="I202" i="66" s="1"/>
  <c r="N213" i="76"/>
  <c r="N215" i="76" s="1"/>
  <c r="N214" i="48"/>
  <c r="N208" i="48" s="1"/>
  <c r="N215" i="48" s="1"/>
  <c r="N217" i="48" s="1"/>
  <c r="N219" i="48" s="1"/>
  <c r="L200" i="66"/>
  <c r="L202" i="66" s="1"/>
  <c r="K213" i="76"/>
  <c r="K215" i="76" s="1"/>
  <c r="J197" i="66"/>
  <c r="J191" i="66" s="1"/>
  <c r="J198" i="66" s="1"/>
  <c r="J200" i="66" s="1"/>
  <c r="J202" i="66" s="1"/>
  <c r="H187" i="66"/>
  <c r="H184" i="66"/>
  <c r="I214" i="48"/>
  <c r="I208" i="48" s="1"/>
  <c r="I215" i="48" s="1"/>
  <c r="I176" i="66"/>
  <c r="I182" i="66" s="1"/>
  <c r="I184" i="66" s="1"/>
  <c r="O176" i="66"/>
  <c r="O182" i="66" s="1"/>
  <c r="O184" i="66" s="1"/>
  <c r="E160" i="48"/>
  <c r="E178" i="48" s="1"/>
  <c r="E112" i="48"/>
  <c r="E135" i="48" s="1"/>
  <c r="K176" i="66"/>
  <c r="K182" i="66" s="1"/>
  <c r="K184" i="66" s="1"/>
  <c r="C185" i="66" s="1"/>
  <c r="C186" i="66" s="1"/>
  <c r="F301" i="58"/>
  <c r="F305" i="58" s="1"/>
  <c r="G301" i="58" s="1"/>
  <c r="Q184" i="76"/>
  <c r="Q190" i="76" s="1"/>
  <c r="Q192" i="76" s="1"/>
  <c r="M191" i="48"/>
  <c r="M196" i="48" s="1"/>
  <c r="M198" i="48" s="1"/>
  <c r="H191" i="48"/>
  <c r="H196" i="48" s="1"/>
  <c r="H198" i="48" s="1"/>
  <c r="H199" i="48" s="1"/>
  <c r="S15" i="44"/>
  <c r="S17" i="44" s="1"/>
  <c r="S19" i="44" s="1"/>
  <c r="I198" i="48"/>
  <c r="K201" i="48"/>
  <c r="O201" i="48"/>
  <c r="R212" i="76"/>
  <c r="R213" i="76" s="1"/>
  <c r="R215" i="76" s="1"/>
  <c r="F168" i="48"/>
  <c r="F51" i="48"/>
  <c r="F87" i="48" s="1"/>
  <c r="F112" i="48" s="1"/>
  <c r="F135" i="48" s="1"/>
  <c r="F13" i="48"/>
  <c r="G32" i="48"/>
  <c r="G214" i="48"/>
  <c r="G208" i="48" s="1"/>
  <c r="G215" i="48" s="1"/>
  <c r="G217" i="48" s="1"/>
  <c r="G219" i="48" s="1"/>
  <c r="J176" i="65"/>
  <c r="J182" i="65" s="1"/>
  <c r="J184" i="65" s="1"/>
  <c r="N184" i="76"/>
  <c r="N190" i="76" s="1"/>
  <c r="N192" i="76" s="1"/>
  <c r="H192" i="76"/>
  <c r="K184" i="76"/>
  <c r="K190" i="76" s="1"/>
  <c r="H217" i="48"/>
  <c r="H219" i="48" s="1"/>
  <c r="L184" i="76"/>
  <c r="L190" i="76" s="1"/>
  <c r="L192" i="76" s="1"/>
  <c r="I217" i="48"/>
  <c r="I219" i="48" s="1"/>
  <c r="K162" i="65"/>
  <c r="K162" i="66"/>
  <c r="M22" i="103"/>
  <c r="O22" i="103"/>
  <c r="J22" i="103"/>
  <c r="N22" i="103"/>
  <c r="L22" i="103"/>
  <c r="K25" i="103"/>
  <c r="K34" i="103" s="1"/>
  <c r="M12" i="100"/>
  <c r="M43" i="98" s="1"/>
  <c r="O12" i="100"/>
  <c r="O43" i="98" s="1"/>
  <c r="O34" i="98"/>
  <c r="O49" i="98" s="1"/>
  <c r="L23" i="174" s="1"/>
  <c r="N12" i="99"/>
  <c r="M12" i="99"/>
  <c r="K12" i="99"/>
  <c r="P30" i="98"/>
  <c r="J30" i="98"/>
  <c r="M19" i="97"/>
  <c r="K19" i="97"/>
  <c r="P19" i="97"/>
  <c r="N19" i="97"/>
  <c r="L19" i="97"/>
  <c r="L21" i="97" s="1"/>
  <c r="J30" i="97"/>
  <c r="P9" i="102"/>
  <c r="N17" i="98"/>
  <c r="L17" i="98"/>
  <c r="L9" i="102"/>
  <c r="Q14" i="98"/>
  <c r="Q10" i="101"/>
  <c r="O14" i="98"/>
  <c r="O10" i="101"/>
  <c r="M36" i="97"/>
  <c r="M11" i="98"/>
  <c r="L14" i="97"/>
  <c r="K36" i="97"/>
  <c r="N27" i="97"/>
  <c r="L27" i="97"/>
  <c r="K27" i="97"/>
  <c r="O14" i="97"/>
  <c r="M26" i="97"/>
  <c r="L34" i="97"/>
  <c r="L26" i="97"/>
  <c r="K9" i="98"/>
  <c r="K26" i="97"/>
  <c r="J9" i="98"/>
  <c r="K6" i="174"/>
  <c r="H6" i="174"/>
  <c r="Q70" i="157"/>
  <c r="Q100" i="157" s="1"/>
  <c r="Q133" i="157" s="1"/>
  <c r="T70" i="157"/>
  <c r="T100" i="157" s="1"/>
  <c r="T75" i="157"/>
  <c r="G75" i="157"/>
  <c r="K75" i="157"/>
  <c r="J70" i="157"/>
  <c r="J100" i="157" s="1"/>
  <c r="L75" i="157"/>
  <c r="C75" i="157"/>
  <c r="F75" i="157"/>
  <c r="J75" i="157"/>
  <c r="N75" i="157"/>
  <c r="E75" i="157"/>
  <c r="O75" i="157"/>
  <c r="G199" i="48"/>
  <c r="G204" i="48"/>
  <c r="N176" i="65"/>
  <c r="N182" i="65" s="1"/>
  <c r="N184" i="65" s="1"/>
  <c r="N197" i="65"/>
  <c r="N191" i="65" s="1"/>
  <c r="N198" i="65" s="1"/>
  <c r="N200" i="65" s="1"/>
  <c r="N202" i="65" s="1"/>
  <c r="Q160" i="66"/>
  <c r="Q181" i="66"/>
  <c r="Q160" i="65"/>
  <c r="Q181" i="65"/>
  <c r="H176" i="65"/>
  <c r="R195" i="48"/>
  <c r="R175" i="48"/>
  <c r="O181" i="65"/>
  <c r="O171" i="65"/>
  <c r="C171" i="65" s="1"/>
  <c r="D172" i="65" s="1"/>
  <c r="M201" i="48"/>
  <c r="K198" i="48"/>
  <c r="P181" i="66"/>
  <c r="E34" i="43"/>
  <c r="E36" i="43" s="1"/>
  <c r="I176" i="65"/>
  <c r="I182" i="65" s="1"/>
  <c r="I197" i="65"/>
  <c r="I191" i="65" s="1"/>
  <c r="I198" i="65" s="1"/>
  <c r="I200" i="65" s="1"/>
  <c r="I202" i="65" s="1"/>
  <c r="S16" i="45"/>
  <c r="S18" i="45" s="1"/>
  <c r="S20" i="45" s="1"/>
  <c r="D34" i="43"/>
  <c r="D36" i="43" s="1"/>
  <c r="Q217" i="48"/>
  <c r="Q219" i="48" s="1"/>
  <c r="J184" i="76"/>
  <c r="J190" i="76" s="1"/>
  <c r="J210" i="76"/>
  <c r="J204" i="76" s="1"/>
  <c r="J211" i="76" s="1"/>
  <c r="J213" i="76" s="1"/>
  <c r="J215" i="76" s="1"/>
  <c r="T17" i="42"/>
  <c r="T18" i="42" s="1"/>
  <c r="T20" i="42" s="1"/>
  <c r="C28" i="43"/>
  <c r="C30" i="43" s="1"/>
  <c r="H170" i="76"/>
  <c r="C168" i="76"/>
  <c r="C170" i="76" s="1"/>
  <c r="L191" i="48"/>
  <c r="L196" i="48" s="1"/>
  <c r="L197" i="65"/>
  <c r="L191" i="65" s="1"/>
  <c r="L198" i="65" s="1"/>
  <c r="L200" i="65" s="1"/>
  <c r="L202" i="65" s="1"/>
  <c r="L176" i="65"/>
  <c r="L182" i="65" s="1"/>
  <c r="L184" i="65" s="1"/>
  <c r="I201" i="48"/>
  <c r="I197" i="76"/>
  <c r="I192" i="76"/>
  <c r="P160" i="65"/>
  <c r="P181" i="65"/>
  <c r="T19" i="44"/>
  <c r="C179" i="76"/>
  <c r="C180" i="76" s="1"/>
  <c r="R197" i="65"/>
  <c r="R191" i="65" s="1"/>
  <c r="R198" i="65" s="1"/>
  <c r="K197" i="76"/>
  <c r="K192" i="76"/>
  <c r="C189" i="76"/>
  <c r="H210" i="76"/>
  <c r="H204" i="76" s="1"/>
  <c r="H211" i="76" s="1"/>
  <c r="H213" i="76" s="1"/>
  <c r="H215" i="76" s="1"/>
  <c r="C171" i="66"/>
  <c r="D172" i="66" s="1"/>
  <c r="P191" i="48"/>
  <c r="P196" i="48" s="1"/>
  <c r="P198" i="48" s="1"/>
  <c r="P214" i="48"/>
  <c r="P208" i="48" s="1"/>
  <c r="P215" i="48" s="1"/>
  <c r="P217" i="48" s="1"/>
  <c r="P219" i="48" s="1"/>
  <c r="I204" i="48"/>
  <c r="I199" i="48"/>
  <c r="J200" i="65"/>
  <c r="J202" i="65" s="1"/>
  <c r="I187" i="66"/>
  <c r="E205" i="66" s="1"/>
  <c r="K197" i="65"/>
  <c r="K191" i="65" s="1"/>
  <c r="K198" i="65" s="1"/>
  <c r="K200" i="65" s="1"/>
  <c r="K202" i="65" s="1"/>
  <c r="P184" i="76"/>
  <c r="P190" i="76" s="1"/>
  <c r="P192" i="76" s="1"/>
  <c r="J198" i="48"/>
  <c r="O195" i="48"/>
  <c r="I210" i="76"/>
  <c r="I204" i="76" s="1"/>
  <c r="I211" i="76" s="1"/>
  <c r="I213" i="76" s="1"/>
  <c r="I215" i="76" s="1"/>
  <c r="R181" i="66"/>
  <c r="J201" i="48"/>
  <c r="D87" i="155"/>
  <c r="K76" i="134"/>
  <c r="F76" i="156"/>
  <c r="R70" i="132"/>
  <c r="R100" i="132" s="1"/>
  <c r="S70" i="132"/>
  <c r="S100" i="132" s="1"/>
  <c r="R75" i="132"/>
  <c r="S75" i="132"/>
  <c r="T75" i="132"/>
  <c r="E52" i="132"/>
  <c r="D50" i="132"/>
  <c r="D75" i="156"/>
  <c r="T12" i="102"/>
  <c r="T20" i="103" s="1"/>
  <c r="D68" i="96"/>
  <c r="Q83" i="95"/>
  <c r="Q10" i="31"/>
  <c r="Q122" i="31" s="1"/>
  <c r="N50" i="13" s="1"/>
  <c r="G5" i="100"/>
  <c r="G35" i="100" s="1"/>
  <c r="E104" i="175" s="1"/>
  <c r="D143" i="175" s="1"/>
  <c r="L82" i="95"/>
  <c r="R184" i="31"/>
  <c r="H13" i="6"/>
  <c r="Q184" i="31"/>
  <c r="K29" i="63"/>
  <c r="K30" i="63" s="1"/>
  <c r="K42" i="63"/>
  <c r="K45" i="63" s="1"/>
  <c r="I28" i="97"/>
  <c r="Q19" i="31"/>
  <c r="N24" i="13" s="1"/>
  <c r="J83" i="95"/>
  <c r="Q186" i="31"/>
  <c r="H11" i="174"/>
  <c r="T10" i="31"/>
  <c r="T122" i="31" s="1"/>
  <c r="H36" i="95"/>
  <c r="Y9" i="95"/>
  <c r="M81" i="95"/>
  <c r="G11" i="174"/>
  <c r="L81" i="95"/>
  <c r="J26" i="97"/>
  <c r="H17" i="174"/>
  <c r="E60" i="104" s="1"/>
  <c r="I105" i="104" s="1"/>
  <c r="E28" i="68"/>
  <c r="H18" i="6"/>
  <c r="I36" i="95"/>
  <c r="I18" i="6"/>
  <c r="I14" i="6" s="1"/>
  <c r="R13" i="31" s="1"/>
  <c r="O18" i="13" s="1"/>
  <c r="D36" i="68"/>
  <c r="J49" i="95"/>
  <c r="S17" i="100"/>
  <c r="T7" i="100"/>
  <c r="T38" i="98" s="1"/>
  <c r="S38" i="98"/>
  <c r="N34" i="103"/>
  <c r="M34" i="103"/>
  <c r="L34" i="103"/>
  <c r="O25" i="103"/>
  <c r="O34" i="103" s="1"/>
  <c r="K22" i="103"/>
  <c r="O41" i="98"/>
  <c r="P12" i="100"/>
  <c r="K12" i="100"/>
  <c r="K43" i="98" s="1"/>
  <c r="J12" i="100"/>
  <c r="J43" i="98" s="1"/>
  <c r="R18" i="97"/>
  <c r="R39" i="97" s="1"/>
  <c r="P39" i="97"/>
  <c r="O19" i="97"/>
  <c r="O30" i="98"/>
  <c r="P31" i="98"/>
  <c r="P49" i="98" s="1"/>
  <c r="M23" i="174" s="1"/>
  <c r="P12" i="99"/>
  <c r="P17" i="99" s="1"/>
  <c r="P19" i="99" s="1"/>
  <c r="Q12" i="99"/>
  <c r="N31" i="98"/>
  <c r="M31" i="98"/>
  <c r="M49" i="98" s="1"/>
  <c r="H14" i="171" s="1"/>
  <c r="L12" i="99"/>
  <c r="K31" i="98"/>
  <c r="K49" i="98" s="1"/>
  <c r="J12" i="99"/>
  <c r="N38" i="97"/>
  <c r="J27" i="174"/>
  <c r="H18" i="171"/>
  <c r="M38" i="97"/>
  <c r="L38" i="97"/>
  <c r="J19" i="97"/>
  <c r="P37" i="97"/>
  <c r="O37" i="97"/>
  <c r="O28" i="98"/>
  <c r="O30" i="97"/>
  <c r="N21" i="97"/>
  <c r="P17" i="98"/>
  <c r="P14" i="98"/>
  <c r="L10" i="101"/>
  <c r="P11" i="98"/>
  <c r="P36" i="97"/>
  <c r="O36" i="97"/>
  <c r="M14" i="97"/>
  <c r="M21" i="97" s="1"/>
  <c r="K12" i="98"/>
  <c r="K26" i="98" s="1"/>
  <c r="K14" i="97"/>
  <c r="K21" i="97" s="1"/>
  <c r="L36" i="97"/>
  <c r="J28" i="97"/>
  <c r="K28" i="97" s="1"/>
  <c r="L28" i="97" s="1"/>
  <c r="M28" i="97" s="1"/>
  <c r="N28" i="97" s="1"/>
  <c r="O28" i="97" s="1"/>
  <c r="P28" i="97" s="1"/>
  <c r="O10" i="98"/>
  <c r="L26" i="174" s="1"/>
  <c r="O35" i="97"/>
  <c r="G26" i="174"/>
  <c r="K35" i="97"/>
  <c r="J35" i="97"/>
  <c r="P34" i="97"/>
  <c r="P26" i="97"/>
  <c r="O9" i="98"/>
  <c r="O26" i="97"/>
  <c r="O34" i="97"/>
  <c r="N34" i="97"/>
  <c r="N9" i="98"/>
  <c r="N12" i="98" s="1"/>
  <c r="N26" i="98" s="1"/>
  <c r="N26" i="97"/>
  <c r="J14" i="97"/>
  <c r="K34" i="97"/>
  <c r="S17" i="31"/>
  <c r="U17" i="31"/>
  <c r="V180" i="31" s="1"/>
  <c r="J18" i="6"/>
  <c r="J14" i="6" s="1"/>
  <c r="S13" i="31" s="1"/>
  <c r="O27" i="97"/>
  <c r="I12" i="6"/>
  <c r="R12" i="31" s="1"/>
  <c r="R175" i="31" s="1"/>
  <c r="J27" i="97"/>
  <c r="E61" i="68"/>
  <c r="L6" i="174"/>
  <c r="L11" i="174" s="1"/>
  <c r="M35" i="95"/>
  <c r="J6" i="174"/>
  <c r="J11" i="174" s="1"/>
  <c r="T20" i="59"/>
  <c r="L29" i="63"/>
  <c r="S27" i="59"/>
  <c r="K70" i="155"/>
  <c r="K100" i="155" s="1"/>
  <c r="K133" i="155" s="1"/>
  <c r="L70" i="155"/>
  <c r="L100" i="155" s="1"/>
  <c r="L133" i="155" s="1"/>
  <c r="O70" i="155"/>
  <c r="O100" i="155" s="1"/>
  <c r="O133" i="155" s="1"/>
  <c r="I75" i="155"/>
  <c r="H70" i="155"/>
  <c r="H100" i="155" s="1"/>
  <c r="H133" i="155" s="1"/>
  <c r="O75" i="155"/>
  <c r="Q75" i="155"/>
  <c r="L75" i="155"/>
  <c r="C100" i="155"/>
  <c r="D75" i="155"/>
  <c r="N75" i="155"/>
  <c r="P75" i="155"/>
  <c r="G75" i="155"/>
  <c r="Q70" i="155"/>
  <c r="Q100" i="155" s="1"/>
  <c r="Q133" i="155" s="1"/>
  <c r="H75" i="155"/>
  <c r="F70" i="155"/>
  <c r="F100" i="155" s="1"/>
  <c r="F133" i="155" s="1"/>
  <c r="F75" i="155"/>
  <c r="E75" i="155"/>
  <c r="N70" i="155"/>
  <c r="N100" i="155" s="1"/>
  <c r="N133" i="155" s="1"/>
  <c r="G70" i="155"/>
  <c r="G100" i="155" s="1"/>
  <c r="G133" i="155" s="1"/>
  <c r="J70" i="155"/>
  <c r="J100" i="155" s="1"/>
  <c r="J133" i="155" s="1"/>
  <c r="D70" i="155"/>
  <c r="D100" i="155" s="1"/>
  <c r="D133" i="155" s="1"/>
  <c r="M75" i="155"/>
  <c r="D7" i="155"/>
  <c r="I70" i="155"/>
  <c r="I100" i="155" s="1"/>
  <c r="I133" i="155" s="1"/>
  <c r="J75" i="155"/>
  <c r="E50" i="155"/>
  <c r="F52" i="155"/>
  <c r="Q35" i="160"/>
  <c r="Q99" i="160" s="1"/>
  <c r="Q76" i="160"/>
  <c r="R76" i="160"/>
  <c r="O133" i="160"/>
  <c r="K70" i="157"/>
  <c r="K100" i="157" s="1"/>
  <c r="D7" i="157"/>
  <c r="N70" i="157"/>
  <c r="N100" i="157" s="1"/>
  <c r="F70" i="157"/>
  <c r="F100" i="157" s="1"/>
  <c r="H70" i="157"/>
  <c r="H100" i="157" s="1"/>
  <c r="H133" i="157" s="1"/>
  <c r="I70" i="157"/>
  <c r="I100" i="157" s="1"/>
  <c r="I133" i="157" s="1"/>
  <c r="D70" i="157"/>
  <c r="D100" i="157" s="1"/>
  <c r="D133" i="157" s="1"/>
  <c r="M75" i="157"/>
  <c r="E70" i="157"/>
  <c r="E100" i="157" s="1"/>
  <c r="E133" i="157" s="1"/>
  <c r="H75" i="157"/>
  <c r="C100" i="157"/>
  <c r="I75" i="157"/>
  <c r="D75" i="157"/>
  <c r="S75" i="157"/>
  <c r="R75" i="157"/>
  <c r="R70" i="157"/>
  <c r="R100" i="157" s="1"/>
  <c r="S70" i="157"/>
  <c r="S100" i="157" s="1"/>
  <c r="P70" i="157"/>
  <c r="P100" i="157" s="1"/>
  <c r="L70" i="157"/>
  <c r="L100" i="157" s="1"/>
  <c r="L133" i="157" s="1"/>
  <c r="Q75" i="157"/>
  <c r="G70" i="157"/>
  <c r="G100" i="157" s="1"/>
  <c r="G133" i="157" s="1"/>
  <c r="P75" i="157"/>
  <c r="R59" i="157"/>
  <c r="S59" i="157"/>
  <c r="R54" i="157"/>
  <c r="S54" i="157"/>
  <c r="Q59" i="157"/>
  <c r="P59" i="157"/>
  <c r="S35" i="157"/>
  <c r="S99" i="157" s="1"/>
  <c r="R35" i="157"/>
  <c r="R99" i="157" s="1"/>
  <c r="P133" i="160"/>
  <c r="N133" i="160"/>
  <c r="D12" i="159"/>
  <c r="D12" i="176"/>
  <c r="H104" i="121"/>
  <c r="H105" i="121" s="1"/>
  <c r="D12" i="161"/>
  <c r="K104" i="121"/>
  <c r="K105" i="121" s="1"/>
  <c r="E104" i="121"/>
  <c r="E105" i="121" s="1"/>
  <c r="I104" i="121"/>
  <c r="I105" i="121" s="1"/>
  <c r="J104" i="121"/>
  <c r="J105" i="121" s="1"/>
  <c r="F104" i="121"/>
  <c r="F105" i="121" s="1"/>
  <c r="G104" i="121"/>
  <c r="G105" i="121" s="1"/>
  <c r="L104" i="121"/>
  <c r="L105" i="121" s="1"/>
  <c r="D104" i="121"/>
  <c r="D105" i="121" s="1"/>
  <c r="F16" i="159"/>
  <c r="E19" i="159"/>
  <c r="E23" i="159" s="1"/>
  <c r="G16" i="117"/>
  <c r="F19" i="117"/>
  <c r="F23" i="117" s="1"/>
  <c r="G16" i="121"/>
  <c r="F19" i="121"/>
  <c r="E19" i="156"/>
  <c r="F16" i="156"/>
  <c r="E23" i="117"/>
  <c r="F19" i="132"/>
  <c r="G16" i="132"/>
  <c r="F19" i="157"/>
  <c r="G16" i="157"/>
  <c r="K19" i="160"/>
  <c r="L16" i="160"/>
  <c r="L19" i="160" s="1"/>
  <c r="F16" i="135"/>
  <c r="E19" i="135"/>
  <c r="E23" i="135" s="1"/>
  <c r="E19" i="176"/>
  <c r="E23" i="176" s="1"/>
  <c r="F16" i="176"/>
  <c r="D23" i="176"/>
  <c r="F16" i="119"/>
  <c r="G16" i="119" s="1"/>
  <c r="E20" i="176"/>
  <c r="E16" i="155"/>
  <c r="E23" i="137"/>
  <c r="E23" i="156"/>
  <c r="E87" i="176"/>
  <c r="D23" i="132"/>
  <c r="P20" i="176"/>
  <c r="E19" i="137"/>
  <c r="C78" i="117"/>
  <c r="C87" i="117" s="1"/>
  <c r="D19" i="159"/>
  <c r="D23" i="159" s="1"/>
  <c r="F15" i="119"/>
  <c r="G15" i="119" s="1"/>
  <c r="H15" i="119" s="1"/>
  <c r="I15" i="119" s="1"/>
  <c r="J15" i="119" s="1"/>
  <c r="K15" i="119" s="1"/>
  <c r="L15" i="119" s="1"/>
  <c r="M15" i="119" s="1"/>
  <c r="N15" i="119" s="1"/>
  <c r="E23" i="119"/>
  <c r="H16" i="119"/>
  <c r="G19" i="119"/>
  <c r="G23" i="119" s="1"/>
  <c r="I8" i="119" s="1"/>
  <c r="F19" i="119"/>
  <c r="F23" i="119" s="1"/>
  <c r="E23" i="121"/>
  <c r="F15" i="121"/>
  <c r="F15" i="159"/>
  <c r="G22" i="104"/>
  <c r="F15" i="157"/>
  <c r="E23" i="157"/>
  <c r="D23" i="157"/>
  <c r="G15" i="135"/>
  <c r="H15" i="135" s="1"/>
  <c r="I15" i="135" s="1"/>
  <c r="J15" i="135" s="1"/>
  <c r="K15" i="135" s="1"/>
  <c r="L15" i="135" s="1"/>
  <c r="M15" i="135" s="1"/>
  <c r="N15" i="135" s="1"/>
  <c r="D23" i="135"/>
  <c r="E15" i="132"/>
  <c r="G16" i="133"/>
  <c r="F19" i="133"/>
  <c r="F23" i="133" s="1"/>
  <c r="G16" i="137"/>
  <c r="F19" i="137"/>
  <c r="F23" i="137" s="1"/>
  <c r="F15" i="137"/>
  <c r="G15" i="137" s="1"/>
  <c r="H15" i="137" s="1"/>
  <c r="I15" i="137" s="1"/>
  <c r="J15" i="137" s="1"/>
  <c r="K15" i="137" s="1"/>
  <c r="L15" i="137" s="1"/>
  <c r="M15" i="137" s="1"/>
  <c r="N15" i="137" s="1"/>
  <c r="O15" i="137" s="1"/>
  <c r="P15" i="137" s="1"/>
  <c r="Q15" i="137" s="1"/>
  <c r="R15" i="137" s="1"/>
  <c r="S15" i="137" s="1"/>
  <c r="T15" i="137" s="1"/>
  <c r="U15" i="137" s="1"/>
  <c r="V15" i="137" s="1"/>
  <c r="W15" i="137" s="1"/>
  <c r="G16" i="134"/>
  <c r="F19" i="134"/>
  <c r="F23" i="134" s="1"/>
  <c r="N23" i="134"/>
  <c r="N104" i="134" s="1"/>
  <c r="O15" i="134"/>
  <c r="F15" i="160"/>
  <c r="E23" i="160"/>
  <c r="G15" i="155"/>
  <c r="V104" i="96"/>
  <c r="S326" i="96"/>
  <c r="V327" i="96"/>
  <c r="V329" i="96"/>
  <c r="P336" i="96"/>
  <c r="H174" i="96"/>
  <c r="B91" i="96"/>
  <c r="B108" i="96" s="1"/>
  <c r="B302" i="96"/>
  <c r="B319" i="96" s="1"/>
  <c r="B336" i="96" s="1"/>
  <c r="N327" i="96"/>
  <c r="B17" i="104"/>
  <c r="B98" i="96"/>
  <c r="P325" i="96"/>
  <c r="T336" i="96"/>
  <c r="S68" i="96"/>
  <c r="H28" i="183" s="1"/>
  <c r="T326" i="96"/>
  <c r="R325" i="96"/>
  <c r="U326" i="96"/>
  <c r="S330" i="96"/>
  <c r="S54" i="96"/>
  <c r="S70" i="96" s="1"/>
  <c r="V337" i="96"/>
  <c r="T54" i="96"/>
  <c r="T70" i="96" s="1"/>
  <c r="R56" i="96"/>
  <c r="R72" i="96" s="1"/>
  <c r="O326" i="96"/>
  <c r="T106" i="96"/>
  <c r="T141" i="96"/>
  <c r="R324" i="96"/>
  <c r="U325" i="96"/>
  <c r="S327" i="96"/>
  <c r="V328" i="96"/>
  <c r="S324" i="96"/>
  <c r="V325" i="96"/>
  <c r="T327" i="96"/>
  <c r="T329" i="96"/>
  <c r="B109" i="96"/>
  <c r="B4" i="183"/>
  <c r="B124" i="96"/>
  <c r="Z124" i="96" s="1"/>
  <c r="B2" i="183"/>
  <c r="U54" i="96"/>
  <c r="U70" i="96" s="1"/>
  <c r="S56" i="96"/>
  <c r="S72" i="96" s="1"/>
  <c r="S136" i="96"/>
  <c r="S153" i="96" s="1"/>
  <c r="S170" i="96" s="1"/>
  <c r="H1" i="183"/>
  <c r="R178" i="96"/>
  <c r="G5" i="183"/>
  <c r="U141" i="96"/>
  <c r="I85" i="96"/>
  <c r="I102" i="96" s="1"/>
  <c r="I119" i="96" s="1"/>
  <c r="AG119" i="96" s="1"/>
  <c r="V54" i="96"/>
  <c r="V70" i="96" s="1"/>
  <c r="T56" i="96"/>
  <c r="T72" i="96" s="1"/>
  <c r="G43" i="183"/>
  <c r="H5" i="183"/>
  <c r="T330" i="96"/>
  <c r="R136" i="96"/>
  <c r="R153" i="96" s="1"/>
  <c r="R187" i="96" s="1"/>
  <c r="R204" i="96" s="1"/>
  <c r="R221" i="96" s="1"/>
  <c r="G1" i="183"/>
  <c r="R55" i="96"/>
  <c r="R71" i="96" s="1"/>
  <c r="U56" i="96"/>
  <c r="U72" i="96" s="1"/>
  <c r="H43" i="183"/>
  <c r="S143" i="96"/>
  <c r="N136" i="96"/>
  <c r="N153" i="96" s="1"/>
  <c r="C1" i="183"/>
  <c r="S55" i="96"/>
  <c r="S71" i="96" s="1"/>
  <c r="V56" i="96"/>
  <c r="V72" i="96" s="1"/>
  <c r="T105" i="96"/>
  <c r="S138" i="96"/>
  <c r="N68" i="96"/>
  <c r="C28" i="183" s="1"/>
  <c r="T55" i="96"/>
  <c r="T71" i="96" s="1"/>
  <c r="R104" i="96"/>
  <c r="U105" i="96"/>
  <c r="H4" i="183"/>
  <c r="T138" i="96"/>
  <c r="R54" i="96"/>
  <c r="R70" i="96" s="1"/>
  <c r="U55" i="96"/>
  <c r="U71" i="96" s="1"/>
  <c r="H42" i="183"/>
  <c r="S104" i="96"/>
  <c r="V105" i="96"/>
  <c r="V139" i="96"/>
  <c r="V55" i="96"/>
  <c r="V71" i="96" s="1"/>
  <c r="T104" i="96"/>
  <c r="R106" i="96"/>
  <c r="R140" i="96"/>
  <c r="V173" i="96"/>
  <c r="V336" i="96"/>
  <c r="AB99" i="182"/>
  <c r="AA99" i="182"/>
  <c r="AD99" i="182"/>
  <c r="AC99" i="182"/>
  <c r="Z99" i="182"/>
  <c r="Y99" i="182"/>
  <c r="R76" i="132"/>
  <c r="S76" i="132"/>
  <c r="T76" i="132"/>
  <c r="R76" i="156"/>
  <c r="S76" i="156"/>
  <c r="I70" i="156"/>
  <c r="I100" i="156" s="1"/>
  <c r="J70" i="156"/>
  <c r="J100" i="156" s="1"/>
  <c r="G75" i="156"/>
  <c r="R75" i="156"/>
  <c r="M75" i="156"/>
  <c r="D7" i="156"/>
  <c r="L75" i="156"/>
  <c r="E70" i="156"/>
  <c r="E100" i="156" s="1"/>
  <c r="C100" i="156"/>
  <c r="I75" i="156"/>
  <c r="K70" i="156"/>
  <c r="K100" i="156" s="1"/>
  <c r="S70" i="156"/>
  <c r="S100" i="156" s="1"/>
  <c r="E75" i="156"/>
  <c r="H70" i="156"/>
  <c r="H100" i="156" s="1"/>
  <c r="G70" i="156"/>
  <c r="G100" i="156" s="1"/>
  <c r="L70" i="156"/>
  <c r="L100" i="156" s="1"/>
  <c r="J75" i="156"/>
  <c r="C75" i="156"/>
  <c r="S75" i="156"/>
  <c r="M70" i="156"/>
  <c r="M100" i="156" s="1"/>
  <c r="D70" i="156"/>
  <c r="D100" i="156" s="1"/>
  <c r="F75" i="156"/>
  <c r="R70" i="156"/>
  <c r="R100" i="156" s="1"/>
  <c r="F51" i="98"/>
  <c r="F46" i="98"/>
  <c r="F47" i="98" s="1"/>
  <c r="F50" i="98"/>
  <c r="F53" i="98"/>
  <c r="C25" i="174" s="1"/>
  <c r="G51" i="98"/>
  <c r="C16" i="68"/>
  <c r="G50" i="98"/>
  <c r="G53" i="98"/>
  <c r="D25" i="174" s="1"/>
  <c r="G46" i="98"/>
  <c r="G47" i="98" s="1"/>
  <c r="I46" i="98"/>
  <c r="I51" i="98"/>
  <c r="I53" i="98"/>
  <c r="I50" i="98"/>
  <c r="E16" i="68"/>
  <c r="D72" i="68" s="1"/>
  <c r="H26" i="98"/>
  <c r="H26" i="174"/>
  <c r="F28" i="174"/>
  <c r="E17" i="171"/>
  <c r="C14" i="171"/>
  <c r="Z18" i="95"/>
  <c r="AB18" i="95" s="1"/>
  <c r="AC18" i="95" s="1"/>
  <c r="AD18" i="95" s="1"/>
  <c r="AE18" i="95" s="1"/>
  <c r="I27" i="174"/>
  <c r="J12" i="98"/>
  <c r="S20" i="98"/>
  <c r="E83" i="161"/>
  <c r="E96" i="161" s="1"/>
  <c r="E79" i="161"/>
  <c r="E88" i="161" s="1"/>
  <c r="D83" i="161"/>
  <c r="D96" i="161" s="1"/>
  <c r="D79" i="161"/>
  <c r="N77" i="161"/>
  <c r="H77" i="161"/>
  <c r="C77" i="161"/>
  <c r="O77" i="161"/>
  <c r="D77" i="161"/>
  <c r="E77" i="161"/>
  <c r="M77" i="161"/>
  <c r="D6" i="161"/>
  <c r="D5" i="161" s="1"/>
  <c r="J77" i="161"/>
  <c r="C35" i="161"/>
  <c r="I77" i="161"/>
  <c r="L77" i="161"/>
  <c r="G77" i="161"/>
  <c r="Y131" i="96"/>
  <c r="E34" i="175"/>
  <c r="F56" i="161"/>
  <c r="F62" i="161" s="1"/>
  <c r="F70" i="161" s="1"/>
  <c r="F75" i="161" s="1"/>
  <c r="G49" i="161"/>
  <c r="K77" i="161"/>
  <c r="F16" i="161"/>
  <c r="E19" i="161"/>
  <c r="E23" i="161" s="1"/>
  <c r="F77" i="161"/>
  <c r="G10" i="183"/>
  <c r="S6" i="161"/>
  <c r="I50" i="161"/>
  <c r="J50" i="161"/>
  <c r="F50" i="161"/>
  <c r="N50" i="161"/>
  <c r="N48" i="96" s="1"/>
  <c r="C48" i="183" s="1"/>
  <c r="D50" i="161"/>
  <c r="L50" i="161"/>
  <c r="L48" i="96" s="1"/>
  <c r="E50" i="161"/>
  <c r="H50" i="161"/>
  <c r="M50" i="161"/>
  <c r="G50" i="161"/>
  <c r="K50" i="161"/>
  <c r="I71" i="161"/>
  <c r="I101" i="161" s="1"/>
  <c r="M71" i="161"/>
  <c r="M101" i="161" s="1"/>
  <c r="H76" i="161"/>
  <c r="N71" i="161"/>
  <c r="N101" i="161" s="1"/>
  <c r="F71" i="161"/>
  <c r="F101" i="161" s="1"/>
  <c r="L76" i="161"/>
  <c r="J71" i="161"/>
  <c r="J101" i="161" s="1"/>
  <c r="D76" i="161"/>
  <c r="O71" i="161"/>
  <c r="O101" i="161" s="1"/>
  <c r="M76" i="161"/>
  <c r="D71" i="161"/>
  <c r="D101" i="161" s="1"/>
  <c r="I76" i="161"/>
  <c r="C76" i="161"/>
  <c r="K71" i="161"/>
  <c r="K101" i="161" s="1"/>
  <c r="F76" i="161"/>
  <c r="G76" i="161"/>
  <c r="E71" i="161"/>
  <c r="E101" i="161" s="1"/>
  <c r="D7" i="161"/>
  <c r="E76" i="161"/>
  <c r="N76" i="161"/>
  <c r="G71" i="161"/>
  <c r="G101" i="161" s="1"/>
  <c r="L71" i="161"/>
  <c r="L101" i="161" s="1"/>
  <c r="C101" i="161"/>
  <c r="M17" i="161"/>
  <c r="H10" i="183"/>
  <c r="U336" i="96"/>
  <c r="C59" i="161"/>
  <c r="P183" i="96"/>
  <c r="E10" i="183"/>
  <c r="B132" i="96"/>
  <c r="Z132" i="96" s="1"/>
  <c r="B10" i="183"/>
  <c r="O54" i="161"/>
  <c r="Q336" i="96"/>
  <c r="T149" i="96"/>
  <c r="U149" i="96"/>
  <c r="E128" i="175"/>
  <c r="H35" i="172"/>
  <c r="H16" i="172" s="1"/>
  <c r="G16" i="172"/>
  <c r="P81" i="95"/>
  <c r="H51" i="172"/>
  <c r="I35" i="172"/>
  <c r="J82" i="95"/>
  <c r="J76" i="95"/>
  <c r="N128" i="175"/>
  <c r="G127" i="175"/>
  <c r="I127" i="175"/>
  <c r="N127" i="175"/>
  <c r="D127" i="175"/>
  <c r="L113" i="31"/>
  <c r="L112" i="31" s="1"/>
  <c r="M14" i="29"/>
  <c r="D4" i="69"/>
  <c r="D13" i="69" s="1"/>
  <c r="D15" i="69" s="1"/>
  <c r="D32" i="6"/>
  <c r="E14" i="70" s="1"/>
  <c r="C61" i="68"/>
  <c r="C23" i="68"/>
  <c r="C88" i="68"/>
  <c r="L151" i="33"/>
  <c r="C95" i="68"/>
  <c r="L18" i="33"/>
  <c r="L102" i="33"/>
  <c r="M169" i="33"/>
  <c r="L169" i="33"/>
  <c r="C98" i="68"/>
  <c r="D96" i="68"/>
  <c r="J169" i="31"/>
  <c r="I24" i="33"/>
  <c r="E116" i="31"/>
  <c r="E165" i="31"/>
  <c r="E148" i="31"/>
  <c r="K49" i="13"/>
  <c r="E21" i="5"/>
  <c r="L23" i="29"/>
  <c r="J25" i="31"/>
  <c r="D33" i="6"/>
  <c r="L170" i="31"/>
  <c r="M189" i="31"/>
  <c r="L140" i="31"/>
  <c r="E32" i="30"/>
  <c r="E35" i="30" s="1"/>
  <c r="E12" i="5"/>
  <c r="E18" i="5" s="1"/>
  <c r="K81" i="31"/>
  <c r="K87" i="31"/>
  <c r="J138" i="31"/>
  <c r="I30" i="29"/>
  <c r="V30" i="29" s="1"/>
  <c r="I34" i="29"/>
  <c r="I180" i="33"/>
  <c r="H22" i="33"/>
  <c r="H139" i="33"/>
  <c r="H109" i="33"/>
  <c r="H156" i="33"/>
  <c r="H28" i="29"/>
  <c r="M160" i="33"/>
  <c r="I108" i="33"/>
  <c r="I13" i="29"/>
  <c r="V13" i="29" s="1"/>
  <c r="L110" i="31"/>
  <c r="I16" i="30"/>
  <c r="H34" i="29"/>
  <c r="H103" i="33"/>
  <c r="I22" i="31"/>
  <c r="J183" i="31"/>
  <c r="I148" i="31"/>
  <c r="I165" i="31"/>
  <c r="N10" i="29"/>
  <c r="W10" i="29" s="1"/>
  <c r="P108" i="33"/>
  <c r="P106" i="33" s="1"/>
  <c r="P105" i="33" s="1"/>
  <c r="P104" i="33"/>
  <c r="P24" i="33"/>
  <c r="P112" i="33"/>
  <c r="P158" i="33"/>
  <c r="M131" i="33"/>
  <c r="V23" i="29"/>
  <c r="E28" i="6"/>
  <c r="M167" i="31"/>
  <c r="M24" i="31"/>
  <c r="M119" i="31"/>
  <c r="K47" i="13" s="1"/>
  <c r="K27" i="13"/>
  <c r="D148" i="31"/>
  <c r="D115" i="31" s="1"/>
  <c r="D183" i="31"/>
  <c r="D116" i="31"/>
  <c r="D165" i="31"/>
  <c r="D22" i="31"/>
  <c r="Q176" i="33"/>
  <c r="L23" i="13"/>
  <c r="N181" i="31"/>
  <c r="L35" i="13" s="1"/>
  <c r="N20" i="31"/>
  <c r="N114" i="31"/>
  <c r="N136" i="31"/>
  <c r="L63" i="13" s="1"/>
  <c r="N27" i="31"/>
  <c r="I154" i="33"/>
  <c r="I129" i="33"/>
  <c r="D91" i="33"/>
  <c r="D182" i="33"/>
  <c r="D134" i="33"/>
  <c r="D132" i="33" s="1"/>
  <c r="D138" i="33"/>
  <c r="D36" i="29"/>
  <c r="F17" i="6"/>
  <c r="F15" i="6"/>
  <c r="J181" i="31"/>
  <c r="I149" i="31"/>
  <c r="E21" i="30"/>
  <c r="N163" i="31"/>
  <c r="D98" i="68"/>
  <c r="J94" i="33"/>
  <c r="K94" i="33"/>
  <c r="O110" i="33"/>
  <c r="O111" i="33"/>
  <c r="F94" i="68"/>
  <c r="O148" i="33"/>
  <c r="O166" i="33"/>
  <c r="O20" i="29"/>
  <c r="P166" i="33"/>
  <c r="O101" i="33"/>
  <c r="O15" i="33"/>
  <c r="F223" i="33"/>
  <c r="J103" i="31"/>
  <c r="J119" i="31" s="1"/>
  <c r="K103" i="31"/>
  <c r="E23" i="5"/>
  <c r="K51" i="13"/>
  <c r="E18" i="6"/>
  <c r="E17" i="6" s="1"/>
  <c r="E15" i="6"/>
  <c r="J156" i="33"/>
  <c r="J22" i="33"/>
  <c r="J109" i="33"/>
  <c r="N26" i="29"/>
  <c r="N129" i="33"/>
  <c r="N20" i="33"/>
  <c r="E40" i="13"/>
  <c r="M47" i="13"/>
  <c r="H40" i="4"/>
  <c r="H41" i="4" s="1"/>
  <c r="E102" i="33"/>
  <c r="E140" i="33"/>
  <c r="E151" i="33"/>
  <c r="E18" i="33"/>
  <c r="E23" i="29"/>
  <c r="E11" i="29" s="1"/>
  <c r="F169" i="33"/>
  <c r="D114" i="68"/>
  <c r="D115" i="68" s="1"/>
  <c r="J129" i="33"/>
  <c r="J169" i="33"/>
  <c r="O15" i="31"/>
  <c r="G94" i="68"/>
  <c r="L101" i="33"/>
  <c r="M166" i="33"/>
  <c r="L20" i="29"/>
  <c r="L148" i="33"/>
  <c r="M111" i="33"/>
  <c r="M110" i="33"/>
  <c r="M106" i="33" s="1"/>
  <c r="M105" i="33" s="1"/>
  <c r="D28" i="5"/>
  <c r="L162" i="31"/>
  <c r="L158" i="31"/>
  <c r="D15" i="5" s="1"/>
  <c r="L173" i="31"/>
  <c r="D11" i="5" s="1"/>
  <c r="L151" i="31"/>
  <c r="D14" i="5" s="1"/>
  <c r="L155" i="31"/>
  <c r="M173" i="31"/>
  <c r="D27" i="5"/>
  <c r="L150" i="31"/>
  <c r="J146" i="31"/>
  <c r="J191" i="31"/>
  <c r="J95" i="31"/>
  <c r="I121" i="31"/>
  <c r="I124" i="31" s="1"/>
  <c r="I125" i="31"/>
  <c r="J26" i="33"/>
  <c r="J140" i="33"/>
  <c r="J154" i="33"/>
  <c r="D108" i="68"/>
  <c r="I169" i="33"/>
  <c r="K23" i="29"/>
  <c r="K11" i="29" s="1"/>
  <c r="K18" i="33"/>
  <c r="K151" i="33"/>
  <c r="F105" i="68"/>
  <c r="V21" i="29"/>
  <c r="Q21" i="29"/>
  <c r="V20" i="29"/>
  <c r="I10" i="29"/>
  <c r="N117" i="33"/>
  <c r="Q103" i="31"/>
  <c r="O103" i="31"/>
  <c r="P114" i="33"/>
  <c r="P118" i="33"/>
  <c r="G12" i="30"/>
  <c r="F13" i="30"/>
  <c r="V10" i="29"/>
  <c r="J111" i="33"/>
  <c r="J110" i="33"/>
  <c r="H101" i="31"/>
  <c r="I101" i="31"/>
  <c r="F151" i="33"/>
  <c r="X22" i="29"/>
  <c r="R41" i="13"/>
  <c r="M30" i="31"/>
  <c r="M96" i="31" s="1"/>
  <c r="M29" i="31"/>
  <c r="M220" i="31"/>
  <c r="L228" i="31"/>
  <c r="L232" i="31" s="1"/>
  <c r="L106" i="31"/>
  <c r="L198" i="31"/>
  <c r="D24" i="5"/>
  <c r="P142" i="33"/>
  <c r="P115" i="33"/>
  <c r="P153" i="33"/>
  <c r="P157" i="33"/>
  <c r="Q164" i="33"/>
  <c r="P143" i="33"/>
  <c r="P149" i="33"/>
  <c r="P155" i="33"/>
  <c r="P146" i="33"/>
  <c r="P177" i="33"/>
  <c r="P159" i="33"/>
  <c r="J194" i="33"/>
  <c r="J48" i="29"/>
  <c r="D24" i="29"/>
  <c r="P24" i="29" s="1"/>
  <c r="D152" i="33"/>
  <c r="E170" i="33"/>
  <c r="L223" i="33"/>
  <c r="D214" i="33"/>
  <c r="D95" i="33"/>
  <c r="D126" i="33"/>
  <c r="D98" i="33"/>
  <c r="D111" i="33" s="1"/>
  <c r="M41" i="29"/>
  <c r="M187" i="33"/>
  <c r="I210" i="33"/>
  <c r="I212" i="33"/>
  <c r="I213" i="33"/>
  <c r="I208" i="33"/>
  <c r="I189" i="33"/>
  <c r="I207" i="33"/>
  <c r="I195" i="33"/>
  <c r="I124" i="33"/>
  <c r="I211" i="33"/>
  <c r="I61" i="33"/>
  <c r="I215" i="33"/>
  <c r="I190" i="33"/>
  <c r="I127" i="33"/>
  <c r="I203" i="33"/>
  <c r="I188" i="33"/>
  <c r="I206" i="33"/>
  <c r="I209" i="33"/>
  <c r="I186" i="33"/>
  <c r="I204" i="33"/>
  <c r="I97" i="33"/>
  <c r="I202" i="33"/>
  <c r="I201" i="33"/>
  <c r="E28" i="33"/>
  <c r="E65" i="29"/>
  <c r="F28" i="33"/>
  <c r="N167" i="33"/>
  <c r="N149" i="33"/>
  <c r="J121" i="33"/>
  <c r="J189" i="33"/>
  <c r="K219" i="33"/>
  <c r="K223" i="33" s="1"/>
  <c r="J43" i="29"/>
  <c r="J143" i="33"/>
  <c r="J219" i="33"/>
  <c r="J223" i="33" s="1"/>
  <c r="F80" i="33"/>
  <c r="F88" i="29" s="1"/>
  <c r="F124" i="33"/>
  <c r="F125" i="33"/>
  <c r="G222" i="33"/>
  <c r="G223" i="33" s="1"/>
  <c r="F95" i="33"/>
  <c r="F126" i="33"/>
  <c r="F222" i="33"/>
  <c r="F127" i="33"/>
  <c r="G80" i="33"/>
  <c r="G88" i="29" s="1"/>
  <c r="G186" i="33"/>
  <c r="G40" i="29"/>
  <c r="H64" i="33"/>
  <c r="O50" i="29"/>
  <c r="O196" i="33"/>
  <c r="G147" i="33"/>
  <c r="G19" i="29"/>
  <c r="P19" i="29" s="1"/>
  <c r="G165" i="33"/>
  <c r="G12" i="33"/>
  <c r="L159" i="33"/>
  <c r="L31" i="29"/>
  <c r="M177" i="33"/>
  <c r="H49" i="29"/>
  <c r="H195" i="33"/>
  <c r="D208" i="33"/>
  <c r="D62" i="29"/>
  <c r="N171" i="33"/>
  <c r="M153" i="33"/>
  <c r="M171" i="33"/>
  <c r="E128" i="33"/>
  <c r="E124" i="33"/>
  <c r="E125" i="33"/>
  <c r="E81" i="33"/>
  <c r="E89" i="29" s="1"/>
  <c r="K175" i="33"/>
  <c r="J157" i="33"/>
  <c r="J175" i="33"/>
  <c r="F48" i="29"/>
  <c r="F194" i="33"/>
  <c r="N60" i="29"/>
  <c r="N206" i="33"/>
  <c r="K150" i="33"/>
  <c r="K168" i="33"/>
  <c r="O190" i="33"/>
  <c r="O220" i="33"/>
  <c r="O223" i="33" s="1"/>
  <c r="P220" i="33"/>
  <c r="P223" i="33" s="1"/>
  <c r="K203" i="33"/>
  <c r="K57" i="29"/>
  <c r="K143" i="33"/>
  <c r="G95" i="33"/>
  <c r="H96" i="33" s="1"/>
  <c r="G214" i="33"/>
  <c r="G126" i="33"/>
  <c r="G98" i="33"/>
  <c r="G111" i="33" s="1"/>
  <c r="G125" i="33"/>
  <c r="O177" i="31"/>
  <c r="G16" i="6"/>
  <c r="M19" i="13"/>
  <c r="O159" i="31"/>
  <c r="M42" i="29"/>
  <c r="M143" i="33"/>
  <c r="N115" i="33"/>
  <c r="M218" i="33"/>
  <c r="M223" i="33" s="1"/>
  <c r="D114" i="33"/>
  <c r="D118" i="33"/>
  <c r="D12" i="33"/>
  <c r="D165" i="33"/>
  <c r="D116" i="33"/>
  <c r="N204" i="31"/>
  <c r="S25" i="13"/>
  <c r="D105" i="31"/>
  <c r="D142" i="31"/>
  <c r="D139" i="31" s="1"/>
  <c r="E105" i="31"/>
  <c r="E118" i="31" s="1"/>
  <c r="D102" i="31"/>
  <c r="D223" i="31"/>
  <c r="E66" i="31"/>
  <c r="D129" i="31"/>
  <c r="D195" i="31"/>
  <c r="N152" i="31"/>
  <c r="O228" i="31"/>
  <c r="O232" i="31" s="1"/>
  <c r="N128" i="31"/>
  <c r="L56" i="13" s="1"/>
  <c r="P106" i="31"/>
  <c r="N198" i="31"/>
  <c r="O106" i="31"/>
  <c r="J190" i="31"/>
  <c r="I151" i="31"/>
  <c r="F102" i="33"/>
  <c r="F191" i="31"/>
  <c r="S37" i="13"/>
  <c r="N216" i="31"/>
  <c r="D29" i="31"/>
  <c r="D220" i="31"/>
  <c r="M190" i="31"/>
  <c r="D34" i="6"/>
  <c r="F18" i="33"/>
  <c r="K17" i="13"/>
  <c r="N175" i="31"/>
  <c r="E12" i="6"/>
  <c r="M108" i="31"/>
  <c r="G175" i="31"/>
  <c r="G15" i="31"/>
  <c r="F22" i="5"/>
  <c r="L50" i="13"/>
  <c r="N29" i="29"/>
  <c r="N175" i="33"/>
  <c r="L155" i="33"/>
  <c r="L157" i="33"/>
  <c r="L141" i="33"/>
  <c r="L150" i="33"/>
  <c r="L142" i="33"/>
  <c r="C91" i="68"/>
  <c r="L152" i="33"/>
  <c r="L149" i="33"/>
  <c r="L146" i="33"/>
  <c r="L153" i="33"/>
  <c r="L143" i="33"/>
  <c r="L18" i="29"/>
  <c r="L147" i="33"/>
  <c r="D211" i="33"/>
  <c r="D191" i="33"/>
  <c r="D127" i="33"/>
  <c r="D194" i="33"/>
  <c r="D213" i="33"/>
  <c r="D197" i="33"/>
  <c r="D52" i="29"/>
  <c r="D201" i="33"/>
  <c r="D198" i="33"/>
  <c r="D189" i="33"/>
  <c r="D210" i="33"/>
  <c r="D212" i="33"/>
  <c r="E97" i="33"/>
  <c r="D215" i="33"/>
  <c r="D196" i="33"/>
  <c r="D192" i="33"/>
  <c r="D195" i="33"/>
  <c r="D190" i="33"/>
  <c r="D193" i="33"/>
  <c r="D61" i="33"/>
  <c r="D187" i="33"/>
  <c r="D128" i="33"/>
  <c r="M24" i="29"/>
  <c r="M152" i="33"/>
  <c r="F186" i="33"/>
  <c r="G64" i="33"/>
  <c r="F40" i="29"/>
  <c r="O173" i="33"/>
  <c r="P173" i="33"/>
  <c r="G206" i="33"/>
  <c r="G60" i="29"/>
  <c r="O25" i="29"/>
  <c r="X25" i="29" s="1"/>
  <c r="P171" i="33"/>
  <c r="Q29" i="29"/>
  <c r="G176" i="31"/>
  <c r="F176" i="31"/>
  <c r="F15" i="31"/>
  <c r="H190" i="31"/>
  <c r="H151" i="31"/>
  <c r="N219" i="31"/>
  <c r="S40" i="13"/>
  <c r="S42" i="13"/>
  <c r="N221" i="31"/>
  <c r="K168" i="31"/>
  <c r="K156" i="31"/>
  <c r="K117" i="31"/>
  <c r="K141" i="31"/>
  <c r="K151" i="31"/>
  <c r="C14" i="5" s="1"/>
  <c r="K150" i="31"/>
  <c r="K173" i="31"/>
  <c r="C11" i="5" s="1"/>
  <c r="C27" i="5"/>
  <c r="K12" i="31"/>
  <c r="K155" i="31"/>
  <c r="C11" i="30"/>
  <c r="K162" i="31"/>
  <c r="C28" i="5"/>
  <c r="K161" i="31"/>
  <c r="C17" i="5" s="1"/>
  <c r="K158" i="31"/>
  <c r="C15" i="5" s="1"/>
  <c r="L197" i="31"/>
  <c r="M122" i="31"/>
  <c r="M227" i="31"/>
  <c r="M232" i="31" s="1"/>
  <c r="L111" i="33"/>
  <c r="H111" i="33"/>
  <c r="R25" i="29"/>
  <c r="T25" i="29" s="1"/>
  <c r="N143" i="31"/>
  <c r="L68" i="13"/>
  <c r="L66" i="13" s="1"/>
  <c r="D232" i="31"/>
  <c r="I187" i="33"/>
  <c r="H127" i="31"/>
  <c r="H200" i="31"/>
  <c r="D207" i="31"/>
  <c r="D63" i="31"/>
  <c r="D212" i="31"/>
  <c r="D104" i="31"/>
  <c r="D198" i="31"/>
  <c r="D206" i="31"/>
  <c r="D224" i="31"/>
  <c r="D196" i="31"/>
  <c r="D202" i="31"/>
  <c r="F218" i="31"/>
  <c r="F202" i="31"/>
  <c r="F220" i="31"/>
  <c r="F205" i="31"/>
  <c r="F201" i="31"/>
  <c r="F221" i="31"/>
  <c r="F207" i="31"/>
  <c r="F217" i="31"/>
  <c r="F214" i="31"/>
  <c r="R31" i="13"/>
  <c r="M152" i="31"/>
  <c r="N230" i="31"/>
  <c r="N232" i="31" s="1"/>
  <c r="I180" i="31"/>
  <c r="I162" i="31"/>
  <c r="F195" i="31"/>
  <c r="F129" i="31"/>
  <c r="G66" i="31"/>
  <c r="E168" i="31"/>
  <c r="E186" i="31"/>
  <c r="D219" i="31"/>
  <c r="G195" i="31"/>
  <c r="H66" i="31"/>
  <c r="E117" i="31"/>
  <c r="E113" i="31" s="1"/>
  <c r="E162" i="31"/>
  <c r="E152" i="31"/>
  <c r="S35" i="13"/>
  <c r="N83" i="31"/>
  <c r="S63" i="13" s="1"/>
  <c r="N132" i="31"/>
  <c r="D205" i="31"/>
  <c r="R56" i="13"/>
  <c r="M150" i="31"/>
  <c r="E28" i="5"/>
  <c r="D229" i="31"/>
  <c r="D199" i="31"/>
  <c r="M105" i="31"/>
  <c r="M118" i="31" s="1"/>
  <c r="K46" i="13" s="1"/>
  <c r="R44" i="13"/>
  <c r="E156" i="31"/>
  <c r="H156" i="31"/>
  <c r="H166" i="31"/>
  <c r="H12" i="31"/>
  <c r="H168" i="31"/>
  <c r="H173" i="31"/>
  <c r="H161" i="31"/>
  <c r="S27" i="13"/>
  <c r="N206" i="31"/>
  <c r="J91" i="31"/>
  <c r="J92" i="31" s="1"/>
  <c r="D216" i="31"/>
  <c r="D174" i="31"/>
  <c r="D123" i="31"/>
  <c r="D124" i="31" s="1"/>
  <c r="H215" i="31"/>
  <c r="H128" i="175"/>
  <c r="E5" i="172"/>
  <c r="L68" i="172"/>
  <c r="L69" i="172" s="1"/>
  <c r="L70" i="172" s="1"/>
  <c r="L74" i="172" s="1"/>
  <c r="O40" i="172"/>
  <c r="K66" i="172"/>
  <c r="K68" i="172" s="1"/>
  <c r="K69" i="172" s="1"/>
  <c r="K70" i="172" s="1"/>
  <c r="K74" i="172" s="1"/>
  <c r="J81" i="95"/>
  <c r="O126" i="175"/>
  <c r="O127" i="175" s="1"/>
  <c r="L127" i="175"/>
  <c r="I128" i="175"/>
  <c r="N41" i="172"/>
  <c r="N42" i="172" s="1"/>
  <c r="O81" i="172"/>
  <c r="P81" i="172" s="1"/>
  <c r="K70" i="95"/>
  <c r="K76" i="95" s="1"/>
  <c r="N80" i="172"/>
  <c r="Q72" i="172"/>
  <c r="Q65" i="172" s="1"/>
  <c r="P65" i="172"/>
  <c r="P75" i="172" s="1"/>
  <c r="M64" i="95" s="1"/>
  <c r="M82" i="95" s="1"/>
  <c r="K81" i="95"/>
  <c r="R40" i="172"/>
  <c r="J128" i="175"/>
  <c r="K69" i="95"/>
  <c r="K75" i="95" s="1"/>
  <c r="L80" i="172"/>
  <c r="L75" i="172"/>
  <c r="M127" i="175"/>
  <c r="S40" i="172"/>
  <c r="O77" i="95"/>
  <c r="K30" i="97"/>
  <c r="H5" i="98"/>
  <c r="L30" i="97"/>
  <c r="K17" i="174"/>
  <c r="H60" i="104" s="1"/>
  <c r="L105" i="104" s="1"/>
  <c r="H5" i="103"/>
  <c r="T184" i="31"/>
  <c r="D50" i="157"/>
  <c r="V64" i="172"/>
  <c r="S52" i="95" s="1"/>
  <c r="U36" i="172"/>
  <c r="R51" i="95" s="1"/>
  <c r="D13" i="183" s="1"/>
  <c r="L46" i="172"/>
  <c r="L48" i="172"/>
  <c r="J69" i="172"/>
  <c r="J70" i="172" s="1"/>
  <c r="J74" i="172" s="1"/>
  <c r="M66" i="172"/>
  <c r="M68" i="172" s="1"/>
  <c r="N73" i="172"/>
  <c r="G63" i="172"/>
  <c r="F77" i="172"/>
  <c r="F87" i="172" s="1"/>
  <c r="G10" i="172"/>
  <c r="F5" i="172"/>
  <c r="K41" i="172"/>
  <c r="K42" i="172" s="1"/>
  <c r="P79" i="172"/>
  <c r="O78" i="172"/>
  <c r="O41" i="172"/>
  <c r="O42" i="172" s="1"/>
  <c r="I12" i="172"/>
  <c r="J12" i="172" s="1"/>
  <c r="K12" i="172" s="1"/>
  <c r="L12" i="172" s="1"/>
  <c r="O57" i="172"/>
  <c r="N56" i="172"/>
  <c r="M41" i="172"/>
  <c r="M42" i="172" s="1"/>
  <c r="Q81" i="172"/>
  <c r="M70" i="95"/>
  <c r="N54" i="172"/>
  <c r="O55" i="172"/>
  <c r="N82" i="172"/>
  <c r="O83" i="172"/>
  <c r="M53" i="172"/>
  <c r="L52" i="172"/>
  <c r="F7" i="172"/>
  <c r="E9" i="172"/>
  <c r="M56" i="172"/>
  <c r="J69" i="95"/>
  <c r="J75" i="95" s="1"/>
  <c r="O80" i="172"/>
  <c r="C13" i="183"/>
  <c r="T49" i="172"/>
  <c r="I76" i="183" s="1"/>
  <c r="L70" i="95"/>
  <c r="L76" i="95" s="1"/>
  <c r="D9" i="172"/>
  <c r="D13" i="172" s="1"/>
  <c r="M54" i="172"/>
  <c r="N78" i="172"/>
  <c r="T38" i="172"/>
  <c r="Q69" i="95" s="1"/>
  <c r="I51" i="172"/>
  <c r="G128" i="175"/>
  <c r="E77" i="172"/>
  <c r="E87" i="172" s="1"/>
  <c r="N15" i="95"/>
  <c r="E23" i="68"/>
  <c r="E63" i="68" s="1"/>
  <c r="M30" i="97"/>
  <c r="N30" i="97"/>
  <c r="J12" i="6"/>
  <c r="J13" i="6" s="1"/>
  <c r="I17" i="174"/>
  <c r="F60" i="104" s="1"/>
  <c r="J105" i="104" s="1"/>
  <c r="M32" i="63"/>
  <c r="M31" i="63"/>
  <c r="S10" i="31"/>
  <c r="S152" i="31" s="1"/>
  <c r="M42" i="63"/>
  <c r="M44" i="63" s="1"/>
  <c r="O15" i="95"/>
  <c r="O58" i="98" s="1"/>
  <c r="H26" i="70"/>
  <c r="H39" i="70" s="1"/>
  <c r="H40" i="70" s="1"/>
  <c r="K40" i="70"/>
  <c r="D26" i="70"/>
  <c r="D39" i="70" s="1"/>
  <c r="D40" i="70" s="1"/>
  <c r="O19" i="104"/>
  <c r="M19" i="104"/>
  <c r="N19" i="104"/>
  <c r="F38" i="175"/>
  <c r="F10" i="175" s="1"/>
  <c r="F42" i="175"/>
  <c r="F14" i="175" s="1"/>
  <c r="I46" i="181"/>
  <c r="H47" i="181"/>
  <c r="E46" i="70"/>
  <c r="E47" i="70" s="1"/>
  <c r="E29" i="70"/>
  <c r="E39" i="70"/>
  <c r="E40" i="70" s="1"/>
  <c r="E44" i="70"/>
  <c r="F26" i="70"/>
  <c r="G47" i="181"/>
  <c r="G26" i="70"/>
  <c r="V133" i="137"/>
  <c r="W133" i="137"/>
  <c r="R123" i="137"/>
  <c r="R108" i="137"/>
  <c r="S133" i="137"/>
  <c r="T133" i="137"/>
  <c r="U133" i="137"/>
  <c r="R133" i="137"/>
  <c r="S49" i="137"/>
  <c r="S74" i="137"/>
  <c r="S17" i="137"/>
  <c r="M123" i="137"/>
  <c r="M108" i="137"/>
  <c r="M104" i="137"/>
  <c r="N47" i="96"/>
  <c r="C47" i="183" s="1"/>
  <c r="O133" i="137"/>
  <c r="P133" i="137"/>
  <c r="Q133" i="137"/>
  <c r="O49" i="137"/>
  <c r="O52" i="137"/>
  <c r="O74" i="137"/>
  <c r="N82" i="137"/>
  <c r="N95" i="137" s="1"/>
  <c r="D42" i="137"/>
  <c r="F59" i="137"/>
  <c r="E59" i="137"/>
  <c r="I59" i="137"/>
  <c r="D59" i="137"/>
  <c r="K59" i="137"/>
  <c r="H59" i="137"/>
  <c r="J59" i="137"/>
  <c r="G59" i="137"/>
  <c r="M59" i="137"/>
  <c r="L59" i="137"/>
  <c r="L35" i="137"/>
  <c r="L99" i="137" s="1"/>
  <c r="L133" i="137" s="1"/>
  <c r="E35" i="137"/>
  <c r="E99" i="137" s="1"/>
  <c r="H35" i="137"/>
  <c r="H99" i="137" s="1"/>
  <c r="D35" i="137"/>
  <c r="D99" i="137" s="1"/>
  <c r="D133" i="137" s="1"/>
  <c r="C99" i="137"/>
  <c r="M35" i="137"/>
  <c r="M99" i="137" s="1"/>
  <c r="M133" i="137" s="1"/>
  <c r="J35" i="137"/>
  <c r="J99" i="137" s="1"/>
  <c r="J133" i="137" s="1"/>
  <c r="I35" i="137"/>
  <c r="I99" i="137" s="1"/>
  <c r="I133" i="137" s="1"/>
  <c r="F35" i="137"/>
  <c r="F99" i="137" s="1"/>
  <c r="K35" i="137"/>
  <c r="K99" i="137" s="1"/>
  <c r="K133" i="137" s="1"/>
  <c r="G35" i="137"/>
  <c r="G99" i="137" s="1"/>
  <c r="G133" i="137" s="1"/>
  <c r="H133" i="137"/>
  <c r="F133" i="137"/>
  <c r="E133" i="137"/>
  <c r="M50" i="137"/>
  <c r="H50" i="137"/>
  <c r="I50" i="137"/>
  <c r="K50" i="137"/>
  <c r="L50" i="137"/>
  <c r="L47" i="96" s="1"/>
  <c r="S6" i="137"/>
  <c r="F50" i="137"/>
  <c r="D50" i="137"/>
  <c r="G50" i="137"/>
  <c r="J50" i="137"/>
  <c r="E50" i="137"/>
  <c r="D50" i="135"/>
  <c r="Q133" i="135"/>
  <c r="P19" i="135"/>
  <c r="T133" i="135"/>
  <c r="U133" i="135"/>
  <c r="T17" i="135"/>
  <c r="Q108" i="135"/>
  <c r="Q123" i="135"/>
  <c r="R82" i="135"/>
  <c r="R95" i="135" s="1"/>
  <c r="S74" i="135"/>
  <c r="S133" i="135"/>
  <c r="R133" i="135"/>
  <c r="S49" i="135"/>
  <c r="T74" i="132"/>
  <c r="S82" i="132"/>
  <c r="S95" i="132" s="1"/>
  <c r="T17" i="132"/>
  <c r="S19" i="132"/>
  <c r="Q123" i="132"/>
  <c r="Q108" i="132"/>
  <c r="R82" i="132"/>
  <c r="R95" i="132" s="1"/>
  <c r="S49" i="132"/>
  <c r="R19" i="132"/>
  <c r="Q19" i="132"/>
  <c r="P19" i="132"/>
  <c r="N76" i="132"/>
  <c r="F76" i="132"/>
  <c r="O76" i="132"/>
  <c r="I76" i="132"/>
  <c r="D76" i="132"/>
  <c r="C76" i="132"/>
  <c r="M76" i="132"/>
  <c r="E76" i="132"/>
  <c r="K76" i="132"/>
  <c r="P76" i="132"/>
  <c r="G76" i="132"/>
  <c r="H76" i="132"/>
  <c r="Q76" i="132"/>
  <c r="J76" i="132"/>
  <c r="D6" i="132"/>
  <c r="L76" i="132"/>
  <c r="C35" i="132"/>
  <c r="T70" i="133"/>
  <c r="T100" i="133" s="1"/>
  <c r="S75" i="133"/>
  <c r="M133" i="133"/>
  <c r="U70" i="133"/>
  <c r="U100" i="133" s="1"/>
  <c r="T75" i="133"/>
  <c r="V70" i="133"/>
  <c r="V100" i="133" s="1"/>
  <c r="V133" i="133" s="1"/>
  <c r="U75" i="133"/>
  <c r="W70" i="133"/>
  <c r="W100" i="133" s="1"/>
  <c r="W133" i="133" s="1"/>
  <c r="V75" i="133"/>
  <c r="P70" i="133"/>
  <c r="P100" i="133" s="1"/>
  <c r="W75" i="133"/>
  <c r="J70" i="133"/>
  <c r="J100" i="133" s="1"/>
  <c r="J133" i="133" s="1"/>
  <c r="Q70" i="133"/>
  <c r="Q100" i="133" s="1"/>
  <c r="P75" i="133"/>
  <c r="R70" i="133"/>
  <c r="R100" i="133" s="1"/>
  <c r="R133" i="133" s="1"/>
  <c r="Q75" i="133"/>
  <c r="G133" i="133"/>
  <c r="S70" i="133"/>
  <c r="S100" i="133" s="1"/>
  <c r="R49" i="133"/>
  <c r="Q56" i="133"/>
  <c r="Q62" i="133" s="1"/>
  <c r="Q69" i="133" s="1"/>
  <c r="Q133" i="133"/>
  <c r="R52" i="133"/>
  <c r="Q50" i="133"/>
  <c r="Q126" i="133" s="1"/>
  <c r="R74" i="133"/>
  <c r="Q82" i="133"/>
  <c r="Q95" i="133" s="1"/>
  <c r="P133" i="133"/>
  <c r="P44" i="96"/>
  <c r="E44" i="183" s="1"/>
  <c r="O44" i="96"/>
  <c r="D44" i="183" s="1"/>
  <c r="S133" i="133"/>
  <c r="U133" i="133"/>
  <c r="N123" i="133"/>
  <c r="N108" i="133"/>
  <c r="T133" i="133"/>
  <c r="O63" i="133"/>
  <c r="P82" i="133"/>
  <c r="P95" i="133" s="1"/>
  <c r="P63" i="133"/>
  <c r="N298" i="96"/>
  <c r="T17" i="133"/>
  <c r="T171" i="96"/>
  <c r="T137" i="96"/>
  <c r="R173" i="96"/>
  <c r="R139" i="96"/>
  <c r="U174" i="96"/>
  <c r="U140" i="96"/>
  <c r="V177" i="96"/>
  <c r="V143" i="96"/>
  <c r="R105" i="96"/>
  <c r="U324" i="96"/>
  <c r="V324" i="96"/>
  <c r="S187" i="96"/>
  <c r="S204" i="96" s="1"/>
  <c r="S221" i="96" s="1"/>
  <c r="T68" i="96"/>
  <c r="U106" i="96"/>
  <c r="T187" i="96"/>
  <c r="T204" i="96" s="1"/>
  <c r="T221" i="96" s="1"/>
  <c r="T170" i="96"/>
  <c r="U85" i="96"/>
  <c r="U102" i="96" s="1"/>
  <c r="U119" i="96" s="1"/>
  <c r="U136" i="96" s="1"/>
  <c r="U153" i="96" s="1"/>
  <c r="U68" i="96"/>
  <c r="S171" i="96"/>
  <c r="S137" i="96"/>
  <c r="V172" i="96"/>
  <c r="V138" i="96"/>
  <c r="T174" i="96"/>
  <c r="T140" i="96"/>
  <c r="U177" i="96"/>
  <c r="U143" i="96"/>
  <c r="V85" i="96"/>
  <c r="V102" i="96" s="1"/>
  <c r="V119" i="96" s="1"/>
  <c r="V136" i="96" s="1"/>
  <c r="V153" i="96" s="1"/>
  <c r="V137" i="96"/>
  <c r="T139" i="96"/>
  <c r="U142" i="96"/>
  <c r="S144" i="96"/>
  <c r="R149" i="96"/>
  <c r="U150" i="96"/>
  <c r="V171" i="96"/>
  <c r="T173" i="96"/>
  <c r="U176" i="96"/>
  <c r="S178" i="96"/>
  <c r="R183" i="96"/>
  <c r="U184" i="96"/>
  <c r="R68" i="96"/>
  <c r="G28" i="183" s="1"/>
  <c r="U104" i="96"/>
  <c r="S106" i="96"/>
  <c r="R138" i="96"/>
  <c r="U139" i="96"/>
  <c r="V142" i="96"/>
  <c r="T144" i="96"/>
  <c r="S149" i="96"/>
  <c r="V150" i="96"/>
  <c r="R172" i="96"/>
  <c r="U173" i="96"/>
  <c r="V176" i="96"/>
  <c r="T178" i="96"/>
  <c r="S183" i="96"/>
  <c r="V184" i="96"/>
  <c r="S105" i="96"/>
  <c r="V106" i="96"/>
  <c r="R137" i="96"/>
  <c r="U138" i="96"/>
  <c r="S140" i="96"/>
  <c r="V141" i="96"/>
  <c r="T143" i="96"/>
  <c r="V149" i="96"/>
  <c r="R171" i="96"/>
  <c r="U137" i="96"/>
  <c r="S139" i="96"/>
  <c r="V140" i="96"/>
  <c r="T142" i="96"/>
  <c r="R144" i="96"/>
  <c r="N54" i="96"/>
  <c r="N70" i="96" s="1"/>
  <c r="A54" i="96"/>
  <c r="A70" i="96" s="1"/>
  <c r="N325" i="96"/>
  <c r="G172" i="96"/>
  <c r="J139" i="96"/>
  <c r="E172" i="96"/>
  <c r="B120" i="96"/>
  <c r="B137" i="96" s="1"/>
  <c r="B154" i="96" s="1"/>
  <c r="B188" i="96" s="1"/>
  <c r="B205" i="96" s="1"/>
  <c r="B222" i="96" s="1"/>
  <c r="B256" i="96" s="1"/>
  <c r="B273" i="96" s="1"/>
  <c r="B5" i="104"/>
  <c r="H138" i="96"/>
  <c r="D140" i="96"/>
  <c r="B290" i="96"/>
  <c r="B307" i="96" s="1"/>
  <c r="B324" i="96" s="1"/>
  <c r="B115" i="96"/>
  <c r="A6" i="104"/>
  <c r="O327" i="96"/>
  <c r="B99" i="96"/>
  <c r="B116" i="96" s="1"/>
  <c r="B293" i="96"/>
  <c r="B310" i="96" s="1"/>
  <c r="B327" i="96" s="1"/>
  <c r="B10" i="104"/>
  <c r="B8" i="104"/>
  <c r="D173" i="96"/>
  <c r="B295" i="96"/>
  <c r="B312" i="96" s="1"/>
  <c r="B329" i="96" s="1"/>
  <c r="N173" i="96"/>
  <c r="N326" i="96"/>
  <c r="O325" i="96"/>
  <c r="I106" i="96"/>
  <c r="B16" i="104"/>
  <c r="C34" i="175" s="1"/>
  <c r="C31" i="175"/>
  <c r="C4" i="175" s="1"/>
  <c r="B66" i="96"/>
  <c r="B82" i="96" s="1"/>
  <c r="B38" i="183" s="1"/>
  <c r="B49" i="183" s="1"/>
  <c r="K139" i="96"/>
  <c r="D106" i="96"/>
  <c r="N105" i="96"/>
  <c r="J8" i="104"/>
  <c r="J106" i="96"/>
  <c r="N55" i="96"/>
  <c r="N71" i="96" s="1"/>
  <c r="B301" i="96"/>
  <c r="B318" i="96" s="1"/>
  <c r="B335" i="96" s="1"/>
  <c r="B97" i="96"/>
  <c r="B9" i="183" s="1"/>
  <c r="A104" i="96"/>
  <c r="Q327" i="96"/>
  <c r="N52" i="134"/>
  <c r="P76" i="134"/>
  <c r="N76" i="134"/>
  <c r="U76" i="134"/>
  <c r="O76" i="134"/>
  <c r="V76" i="134"/>
  <c r="Q76" i="134"/>
  <c r="R76" i="134"/>
  <c r="S76" i="134"/>
  <c r="T76" i="134"/>
  <c r="W17" i="117"/>
  <c r="V14" i="117"/>
  <c r="W17" i="119"/>
  <c r="W19" i="119" s="1"/>
  <c r="V19" i="119"/>
  <c r="U19" i="119"/>
  <c r="U123" i="134"/>
  <c r="U108" i="134"/>
  <c r="V74" i="134"/>
  <c r="V17" i="134"/>
  <c r="V19" i="134" s="1"/>
  <c r="U56" i="134"/>
  <c r="U62" i="134" s="1"/>
  <c r="U69" i="134" s="1"/>
  <c r="S14" i="119"/>
  <c r="S14" i="134" s="1"/>
  <c r="S34" i="134" s="1"/>
  <c r="T14" i="117"/>
  <c r="T14" i="119" s="1"/>
  <c r="T14" i="134" s="1"/>
  <c r="T34" i="134" s="1"/>
  <c r="T17" i="117"/>
  <c r="Q14" i="133"/>
  <c r="Q14" i="134"/>
  <c r="Q34" i="134" s="1"/>
  <c r="Q14" i="176"/>
  <c r="Q34" i="176" s="1"/>
  <c r="Q14" i="155"/>
  <c r="Q34" i="155" s="1"/>
  <c r="R14" i="119"/>
  <c r="R14" i="134" s="1"/>
  <c r="R34" i="134" s="1"/>
  <c r="Q14" i="156"/>
  <c r="Q34" i="156" s="1"/>
  <c r="Q14" i="157"/>
  <c r="Q34" i="157" s="1"/>
  <c r="Q14" i="161"/>
  <c r="Q14" i="132"/>
  <c r="Q34" i="132" s="1"/>
  <c r="Q14" i="137"/>
  <c r="T17" i="119"/>
  <c r="T19" i="119" s="1"/>
  <c r="T17" i="134"/>
  <c r="N123" i="134"/>
  <c r="N108" i="134"/>
  <c r="O52" i="134"/>
  <c r="N50" i="134"/>
  <c r="O82" i="134"/>
  <c r="O95" i="134" s="1"/>
  <c r="P74" i="134"/>
  <c r="P49" i="134"/>
  <c r="M104" i="134"/>
  <c r="C35" i="134"/>
  <c r="G35" i="134" s="1"/>
  <c r="G99" i="134" s="1"/>
  <c r="G133" i="134" s="1"/>
  <c r="Q19" i="134"/>
  <c r="P19" i="134"/>
  <c r="J76" i="134"/>
  <c r="H35" i="134"/>
  <c r="H99" i="134" s="1"/>
  <c r="I76" i="134"/>
  <c r="H76" i="134"/>
  <c r="E76" i="134"/>
  <c r="D76" i="134"/>
  <c r="M76" i="134"/>
  <c r="G76" i="134"/>
  <c r="C76" i="134"/>
  <c r="F76" i="134"/>
  <c r="D6" i="134"/>
  <c r="D5" i="134" s="1"/>
  <c r="M75" i="134"/>
  <c r="H70" i="134"/>
  <c r="H100" i="134" s="1"/>
  <c r="K70" i="134"/>
  <c r="K100" i="134" s="1"/>
  <c r="M70" i="134"/>
  <c r="M100" i="134" s="1"/>
  <c r="F70" i="134"/>
  <c r="F100" i="134" s="1"/>
  <c r="K75" i="134"/>
  <c r="J75" i="134"/>
  <c r="I75" i="134"/>
  <c r="G70" i="134"/>
  <c r="G100" i="134" s="1"/>
  <c r="D7" i="134"/>
  <c r="L70" i="134"/>
  <c r="L100" i="134" s="1"/>
  <c r="C100" i="134"/>
  <c r="I70" i="134"/>
  <c r="I100" i="134" s="1"/>
  <c r="C75" i="134"/>
  <c r="H75" i="134"/>
  <c r="F75" i="134"/>
  <c r="G75" i="134"/>
  <c r="L75" i="134"/>
  <c r="E70" i="134"/>
  <c r="E100" i="134" s="1"/>
  <c r="J70" i="134"/>
  <c r="J100" i="134" s="1"/>
  <c r="E75" i="134"/>
  <c r="D70" i="134"/>
  <c r="D100" i="134" s="1"/>
  <c r="D75" i="134"/>
  <c r="D42" i="134"/>
  <c r="Q19" i="155"/>
  <c r="C75" i="155"/>
  <c r="E133" i="117"/>
  <c r="P133" i="117"/>
  <c r="M133" i="117"/>
  <c r="H133" i="117"/>
  <c r="O133" i="117"/>
  <c r="G133" i="117"/>
  <c r="Q133" i="117"/>
  <c r="P52" i="117"/>
  <c r="O50" i="117"/>
  <c r="D50" i="117"/>
  <c r="O59" i="117"/>
  <c r="E50" i="160"/>
  <c r="R133" i="160"/>
  <c r="R123" i="160"/>
  <c r="R108" i="160"/>
  <c r="R104" i="160"/>
  <c r="Q133" i="160"/>
  <c r="Q123" i="160"/>
  <c r="Q108" i="160"/>
  <c r="C75" i="160"/>
  <c r="P17" i="156"/>
  <c r="Q17" i="156" s="1"/>
  <c r="R17" i="156" s="1"/>
  <c r="S17" i="156" s="1"/>
  <c r="O19" i="156"/>
  <c r="P19" i="156"/>
  <c r="H15" i="156"/>
  <c r="I15" i="156" s="1"/>
  <c r="S123" i="156"/>
  <c r="S108" i="156"/>
  <c r="R123" i="156"/>
  <c r="R108" i="156"/>
  <c r="D50" i="156"/>
  <c r="M76" i="156"/>
  <c r="C35" i="156"/>
  <c r="O35" i="156" s="1"/>
  <c r="O99" i="156" s="1"/>
  <c r="D6" i="156"/>
  <c r="H76" i="156"/>
  <c r="G76" i="156"/>
  <c r="L76" i="156"/>
  <c r="J76" i="156"/>
  <c r="I76" i="156"/>
  <c r="E76" i="156"/>
  <c r="D76" i="156"/>
  <c r="K76" i="156"/>
  <c r="C76" i="156"/>
  <c r="N70" i="156"/>
  <c r="N100" i="156" s="1"/>
  <c r="O70" i="156"/>
  <c r="O100" i="156" s="1"/>
  <c r="P70" i="156"/>
  <c r="P100" i="156" s="1"/>
  <c r="N75" i="156"/>
  <c r="Q70" i="156"/>
  <c r="Q100" i="156" s="1"/>
  <c r="O75" i="156"/>
  <c r="P75" i="156"/>
  <c r="K75" i="156"/>
  <c r="F54" i="156"/>
  <c r="O59" i="156"/>
  <c r="Q59" i="156"/>
  <c r="P54" i="156"/>
  <c r="N59" i="156"/>
  <c r="P76" i="156"/>
  <c r="O76" i="156"/>
  <c r="N76" i="156"/>
  <c r="Q123" i="156"/>
  <c r="Q108" i="156"/>
  <c r="P123" i="156"/>
  <c r="P108" i="156"/>
  <c r="O123" i="156"/>
  <c r="O108" i="156"/>
  <c r="N123" i="156"/>
  <c r="N108" i="156"/>
  <c r="J34" i="103"/>
  <c r="I12" i="98"/>
  <c r="R10" i="101"/>
  <c r="R14" i="101" s="1"/>
  <c r="L12" i="98"/>
  <c r="L26" i="98" s="1"/>
  <c r="K28" i="174"/>
  <c r="J32" i="98"/>
  <c r="G27" i="174"/>
  <c r="E18" i="171"/>
  <c r="H27" i="174"/>
  <c r="F18" i="171"/>
  <c r="J38" i="97"/>
  <c r="K38" i="97"/>
  <c r="K27" i="174"/>
  <c r="M40" i="97"/>
  <c r="L32" i="98"/>
  <c r="L36" i="98" s="1"/>
  <c r="N40" i="97"/>
  <c r="R13" i="97"/>
  <c r="Q36" i="97"/>
  <c r="M12" i="98"/>
  <c r="M26" i="98" s="1"/>
  <c r="I54" i="98"/>
  <c r="I26" i="98"/>
  <c r="I47" i="98" s="1"/>
  <c r="G88" i="104"/>
  <c r="E103" i="104"/>
  <c r="S32" i="100"/>
  <c r="Q15" i="98"/>
  <c r="L11" i="101"/>
  <c r="M7" i="101"/>
  <c r="J34" i="98"/>
  <c r="S14" i="99"/>
  <c r="L49" i="98"/>
  <c r="N49" i="98"/>
  <c r="K23" i="174" s="1"/>
  <c r="N32" i="98"/>
  <c r="O32" i="98"/>
  <c r="R12" i="99"/>
  <c r="S13" i="99"/>
  <c r="F4" i="96"/>
  <c r="B14" i="104"/>
  <c r="C33" i="175" s="1"/>
  <c r="C6" i="175" s="1"/>
  <c r="Q54" i="96"/>
  <c r="Q70" i="96" s="1"/>
  <c r="B107" i="96"/>
  <c r="P149" i="96"/>
  <c r="Q55" i="96"/>
  <c r="Q71" i="96" s="1"/>
  <c r="Q104" i="96"/>
  <c r="L104" i="96"/>
  <c r="F173" i="96"/>
  <c r="E140" i="96"/>
  <c r="K68" i="96"/>
  <c r="Q56" i="96"/>
  <c r="Q72" i="96" s="1"/>
  <c r="Q105" i="96"/>
  <c r="K138" i="96"/>
  <c r="C170" i="96"/>
  <c r="L140" i="96"/>
  <c r="P326" i="96"/>
  <c r="Q106" i="96"/>
  <c r="Q149" i="96"/>
  <c r="Q183" i="96"/>
  <c r="Q85" i="96"/>
  <c r="Q102" i="96" s="1"/>
  <c r="Q119" i="96" s="1"/>
  <c r="Q138" i="96"/>
  <c r="Q172" i="96"/>
  <c r="Q139" i="96"/>
  <c r="Q173" i="96"/>
  <c r="Q140" i="96"/>
  <c r="T83" i="95"/>
  <c r="N32" i="63"/>
  <c r="N30" i="63"/>
  <c r="K16" i="6"/>
  <c r="T14" i="31" s="1"/>
  <c r="K14" i="6"/>
  <c r="T13" i="31" s="1"/>
  <c r="K77" i="95"/>
  <c r="G304" i="58"/>
  <c r="T125" i="31"/>
  <c r="H5" i="100"/>
  <c r="H35" i="100" s="1"/>
  <c r="F104" i="175" s="1"/>
  <c r="E143" i="175" s="1"/>
  <c r="T174" i="31"/>
  <c r="U182" i="31"/>
  <c r="J15" i="95"/>
  <c r="J37" i="95" s="1"/>
  <c r="J31" i="97"/>
  <c r="P75" i="95"/>
  <c r="H5" i="99"/>
  <c r="T123" i="31"/>
  <c r="L36" i="95"/>
  <c r="N42" i="63"/>
  <c r="N44" i="63" s="1"/>
  <c r="E26" i="112"/>
  <c r="E59" i="104"/>
  <c r="I104" i="104" s="1"/>
  <c r="H5" i="102"/>
  <c r="K12" i="6"/>
  <c r="K13" i="6" s="1"/>
  <c r="H15" i="95"/>
  <c r="E7" i="174" s="1"/>
  <c r="E12" i="174" s="1"/>
  <c r="H5" i="97"/>
  <c r="R77" i="95"/>
  <c r="G303" i="58"/>
  <c r="R17" i="31"/>
  <c r="O22" i="13" s="1"/>
  <c r="S83" i="95"/>
  <c r="R83" i="95"/>
  <c r="S22" i="103"/>
  <c r="S23" i="103" s="1"/>
  <c r="L77" i="178" s="1"/>
  <c r="R20" i="100"/>
  <c r="O38" i="98"/>
  <c r="P7" i="100"/>
  <c r="J39" i="98"/>
  <c r="J42" i="100"/>
  <c r="P46" i="100"/>
  <c r="Q46" i="100" s="1"/>
  <c r="R46" i="100" s="1"/>
  <c r="S46" i="100" s="1"/>
  <c r="T46" i="100" s="1"/>
  <c r="E25" i="174"/>
  <c r="C16" i="171"/>
  <c r="N24" i="100"/>
  <c r="O23" i="100"/>
  <c r="E21" i="112"/>
  <c r="M20" i="112" s="1"/>
  <c r="L20" i="112" s="1"/>
  <c r="J26" i="112"/>
  <c r="G99" i="110"/>
  <c r="Q31" i="95"/>
  <c r="J63" i="178"/>
  <c r="L20" i="100"/>
  <c r="N38" i="98"/>
  <c r="H51" i="98"/>
  <c r="M38" i="98"/>
  <c r="D16" i="68"/>
  <c r="C72" i="68" s="1"/>
  <c r="K26" i="100"/>
  <c r="H50" i="98"/>
  <c r="H46" i="98"/>
  <c r="H47" i="98" s="1"/>
  <c r="J28" i="112"/>
  <c r="E27" i="112" s="1"/>
  <c r="Y31" i="95"/>
  <c r="W19" i="100"/>
  <c r="W20" i="100"/>
  <c r="U184" i="31"/>
  <c r="V184" i="31"/>
  <c r="J61" i="95"/>
  <c r="L43" i="63"/>
  <c r="N31" i="63"/>
  <c r="K32" i="63"/>
  <c r="J35" i="95"/>
  <c r="J77" i="95"/>
  <c r="S125" i="31"/>
  <c r="Q168" i="31"/>
  <c r="K36" i="95"/>
  <c r="L75" i="95"/>
  <c r="Q141" i="31"/>
  <c r="L15" i="95"/>
  <c r="F15" i="95"/>
  <c r="S121" i="31"/>
  <c r="K15" i="95"/>
  <c r="K58" i="98" s="1"/>
  <c r="K61" i="98" s="1"/>
  <c r="O42" i="63"/>
  <c r="O45" i="63" s="1"/>
  <c r="H18" i="174"/>
  <c r="Q152" i="31"/>
  <c r="C6" i="174"/>
  <c r="C11" i="174" s="1"/>
  <c r="I15" i="95"/>
  <c r="I16" i="95" s="1"/>
  <c r="M75" i="95"/>
  <c r="O75" i="95"/>
  <c r="Q155" i="31"/>
  <c r="T168" i="31"/>
  <c r="Q108" i="31"/>
  <c r="N38" i="13" s="1"/>
  <c r="Q117" i="31"/>
  <c r="N45" i="13" s="1"/>
  <c r="Q241" i="31"/>
  <c r="F59" i="104"/>
  <c r="J104" i="104" s="1"/>
  <c r="G106" i="96"/>
  <c r="O54" i="96"/>
  <c r="O70" i="96" s="1"/>
  <c r="O55" i="96"/>
  <c r="O71" i="96" s="1"/>
  <c r="O104" i="96"/>
  <c r="P54" i="96"/>
  <c r="P70" i="96" s="1"/>
  <c r="E54" i="96"/>
  <c r="E70" i="96" s="1"/>
  <c r="G139" i="96"/>
  <c r="H105" i="96"/>
  <c r="B300" i="96"/>
  <c r="B317" i="96" s="1"/>
  <c r="B334" i="96" s="1"/>
  <c r="O56" i="96"/>
  <c r="O72" i="96" s="1"/>
  <c r="O105" i="96"/>
  <c r="P55" i="96"/>
  <c r="P71" i="96" s="1"/>
  <c r="P104" i="96"/>
  <c r="G105" i="96"/>
  <c r="K105" i="96"/>
  <c r="F123" i="68"/>
  <c r="P56" i="96"/>
  <c r="P72" i="96" s="1"/>
  <c r="P105" i="96"/>
  <c r="J105" i="96"/>
  <c r="D105" i="96"/>
  <c r="L106" i="96"/>
  <c r="B96" i="96"/>
  <c r="B130" i="96" s="1"/>
  <c r="F105" i="96"/>
  <c r="E105" i="96"/>
  <c r="I105" i="96"/>
  <c r="E106" i="96"/>
  <c r="J7" i="104"/>
  <c r="B15" i="104"/>
  <c r="C32" i="175" s="1"/>
  <c r="C5" i="175" s="1"/>
  <c r="P106" i="96"/>
  <c r="P85" i="96"/>
  <c r="P102" i="96" s="1"/>
  <c r="P119" i="96" s="1"/>
  <c r="P138" i="96"/>
  <c r="P172" i="96"/>
  <c r="P139" i="96"/>
  <c r="P173" i="96"/>
  <c r="P140" i="96"/>
  <c r="O85" i="96"/>
  <c r="O102" i="96" s="1"/>
  <c r="O119" i="96" s="1"/>
  <c r="O106" i="96"/>
  <c r="O138" i="96"/>
  <c r="O172" i="96"/>
  <c r="O139" i="96"/>
  <c r="O173" i="96"/>
  <c r="O140" i="96"/>
  <c r="B7" i="104"/>
  <c r="B299" i="96"/>
  <c r="B316" i="96" s="1"/>
  <c r="B333" i="96" s="1"/>
  <c r="B95" i="96"/>
  <c r="B7" i="183" s="1"/>
  <c r="M85" i="96"/>
  <c r="M102" i="96" s="1"/>
  <c r="M119" i="96" s="1"/>
  <c r="M136" i="96" s="1"/>
  <c r="M153" i="96" s="1"/>
  <c r="M187" i="96" s="1"/>
  <c r="M204" i="96" s="1"/>
  <c r="M221" i="96" s="1"/>
  <c r="H106" i="96"/>
  <c r="J138" i="96"/>
  <c r="I138" i="96"/>
  <c r="AE119" i="96"/>
  <c r="H219" i="96"/>
  <c r="H31" i="96" s="1"/>
  <c r="K9" i="99" s="1"/>
  <c r="B121" i="96"/>
  <c r="Z121" i="96" s="1"/>
  <c r="C270" i="96"/>
  <c r="K104" i="96"/>
  <c r="J55" i="96"/>
  <c r="J71" i="96" s="1"/>
  <c r="B126" i="96"/>
  <c r="G68" i="96"/>
  <c r="R125" i="31"/>
  <c r="O53" i="13" s="1"/>
  <c r="S174" i="31"/>
  <c r="R174" i="31"/>
  <c r="R123" i="31"/>
  <c r="O51" i="13" s="1"/>
  <c r="R121" i="31"/>
  <c r="O49" i="13" s="1"/>
  <c r="O16" i="13"/>
  <c r="U141" i="31"/>
  <c r="U117" i="31"/>
  <c r="U122" i="31"/>
  <c r="U166" i="31"/>
  <c r="U161" i="31"/>
  <c r="U155" i="31"/>
  <c r="V173" i="31"/>
  <c r="U150" i="31"/>
  <c r="U152" i="31"/>
  <c r="U164" i="31"/>
  <c r="N21" i="13"/>
  <c r="Q179" i="31"/>
  <c r="Q161" i="31"/>
  <c r="R179" i="31"/>
  <c r="S179" i="31"/>
  <c r="O21" i="13"/>
  <c r="L44" i="63"/>
  <c r="X9" i="95"/>
  <c r="T17" i="31"/>
  <c r="F6" i="174"/>
  <c r="R19" i="31"/>
  <c r="I35" i="95"/>
  <c r="G15" i="95"/>
  <c r="E134" i="68"/>
  <c r="F134" i="68" s="1"/>
  <c r="L17" i="174"/>
  <c r="I60" i="104" s="1"/>
  <c r="M105" i="104" s="1"/>
  <c r="I6" i="174"/>
  <c r="I11" i="174" s="1"/>
  <c r="M15" i="95"/>
  <c r="M23" i="95" s="1"/>
  <c r="L18" i="6"/>
  <c r="T186" i="31"/>
  <c r="L35" i="95"/>
  <c r="E6" i="174"/>
  <c r="D11" i="174"/>
  <c r="E34" i="68"/>
  <c r="G35" i="95"/>
  <c r="Q17" i="31"/>
  <c r="Q162" i="31" s="1"/>
  <c r="L77" i="95"/>
  <c r="K11" i="174"/>
  <c r="U179" i="31"/>
  <c r="K82" i="95"/>
  <c r="E136" i="68"/>
  <c r="F136" i="68" s="1"/>
  <c r="B140" i="96"/>
  <c r="B157" i="96" s="1"/>
  <c r="Z123" i="96"/>
  <c r="D54" i="96"/>
  <c r="D70" i="96" s="1"/>
  <c r="K106" i="96"/>
  <c r="F106" i="96"/>
  <c r="B55" i="96"/>
  <c r="B71" i="96" s="1"/>
  <c r="H104" i="96"/>
  <c r="F104" i="96"/>
  <c r="J6" i="104"/>
  <c r="L54" i="96"/>
  <c r="L70" i="96" s="1"/>
  <c r="M55" i="96"/>
  <c r="M71" i="96" s="1"/>
  <c r="K55" i="96"/>
  <c r="K71" i="96" s="1"/>
  <c r="B88" i="96"/>
  <c r="B94" i="96"/>
  <c r="B6" i="183" s="1"/>
  <c r="B54" i="96"/>
  <c r="B70" i="96" s="1"/>
  <c r="N172" i="96"/>
  <c r="E104" i="96"/>
  <c r="E173" i="96"/>
  <c r="H55" i="96"/>
  <c r="H71" i="96" s="1"/>
  <c r="G219" i="96"/>
  <c r="G31" i="96" s="1"/>
  <c r="J9" i="99" s="1"/>
  <c r="F68" i="96"/>
  <c r="C287" i="96"/>
  <c r="E219" i="96"/>
  <c r="E31" i="96" s="1"/>
  <c r="L172" i="96"/>
  <c r="M139" i="96"/>
  <c r="E139" i="96"/>
  <c r="L55" i="96"/>
  <c r="L71" i="96" s="1"/>
  <c r="F55" i="96"/>
  <c r="F71" i="96" s="1"/>
  <c r="B106" i="96"/>
  <c r="B13" i="104"/>
  <c r="L138" i="96"/>
  <c r="H54" i="96"/>
  <c r="H70" i="96" s="1"/>
  <c r="D55" i="96"/>
  <c r="D71" i="96" s="1"/>
  <c r="X50" i="96"/>
  <c r="B298" i="96"/>
  <c r="B315" i="96" s="1"/>
  <c r="B332" i="96" s="1"/>
  <c r="G54" i="96"/>
  <c r="G70" i="96" s="1"/>
  <c r="I55" i="96"/>
  <c r="I71" i="96" s="1"/>
  <c r="E55" i="96"/>
  <c r="E71" i="96" s="1"/>
  <c r="K140" i="96"/>
  <c r="C202" i="96"/>
  <c r="G55" i="96"/>
  <c r="G71" i="96" s="1"/>
  <c r="E142" i="68"/>
  <c r="G104" i="96"/>
  <c r="I104" i="96"/>
  <c r="M104" i="96"/>
  <c r="N104" i="96"/>
  <c r="J104" i="96"/>
  <c r="L139" i="96"/>
  <c r="L173" i="96"/>
  <c r="K54" i="96"/>
  <c r="K70" i="96" s="1"/>
  <c r="L85" i="96"/>
  <c r="L102" i="96" s="1"/>
  <c r="L119" i="96" s="1"/>
  <c r="L68" i="96"/>
  <c r="A7" i="104"/>
  <c r="A39" i="96"/>
  <c r="A55" i="96"/>
  <c r="A71" i="96" s="1"/>
  <c r="AF119" i="96"/>
  <c r="H136" i="96"/>
  <c r="H153" i="96" s="1"/>
  <c r="AD119" i="96"/>
  <c r="F136" i="96"/>
  <c r="F153" i="96" s="1"/>
  <c r="M54" i="96"/>
  <c r="M70" i="96" s="1"/>
  <c r="L105" i="96"/>
  <c r="D172" i="96"/>
  <c r="D104" i="96"/>
  <c r="C238" i="96"/>
  <c r="C255" i="96"/>
  <c r="C272" i="96" s="1"/>
  <c r="F54" i="96"/>
  <c r="F70" i="96" s="1"/>
  <c r="I56" i="96"/>
  <c r="I72" i="96" s="1"/>
  <c r="G56" i="96"/>
  <c r="G72" i="96" s="1"/>
  <c r="L56" i="96"/>
  <c r="L72" i="96" s="1"/>
  <c r="E56" i="96"/>
  <c r="E72" i="96" s="1"/>
  <c r="D56" i="96"/>
  <c r="F56" i="96"/>
  <c r="F72" i="96" s="1"/>
  <c r="H56" i="96"/>
  <c r="H72" i="96" s="1"/>
  <c r="J56" i="96"/>
  <c r="J72" i="96" s="1"/>
  <c r="F138" i="96"/>
  <c r="I140" i="96"/>
  <c r="I174" i="96"/>
  <c r="C83" i="96"/>
  <c r="I54" i="96"/>
  <c r="I70" i="96" s="1"/>
  <c r="E136" i="96"/>
  <c r="E153" i="96" s="1"/>
  <c r="AC119" i="96"/>
  <c r="B60" i="96"/>
  <c r="B76" i="96" s="1"/>
  <c r="B32" i="183" s="1"/>
  <c r="B43" i="183" s="1"/>
  <c r="B93" i="96"/>
  <c r="B5" i="183" s="1"/>
  <c r="B12" i="104"/>
  <c r="B297" i="96"/>
  <c r="B314" i="96" s="1"/>
  <c r="B331" i="96" s="1"/>
  <c r="D219" i="96"/>
  <c r="AB119" i="96"/>
  <c r="D136" i="96"/>
  <c r="D153" i="96" s="1"/>
  <c r="N56" i="96"/>
  <c r="N72" i="96" s="1"/>
  <c r="J85" i="96"/>
  <c r="J102" i="96" s="1"/>
  <c r="J119" i="96" s="1"/>
  <c r="J68" i="96"/>
  <c r="F219" i="96"/>
  <c r="F31" i="96" s="1"/>
  <c r="I9" i="99" s="1"/>
  <c r="M105" i="96"/>
  <c r="K136" i="96"/>
  <c r="K153" i="96" s="1"/>
  <c r="AI119" i="96"/>
  <c r="B185" i="96"/>
  <c r="B202" i="96"/>
  <c r="B219" i="96" s="1"/>
  <c r="B236" i="96" s="1"/>
  <c r="M56" i="96"/>
  <c r="M72" i="96" s="1"/>
  <c r="K56" i="96"/>
  <c r="K72" i="96" s="1"/>
  <c r="A89" i="96"/>
  <c r="A105" i="96"/>
  <c r="J54" i="96"/>
  <c r="J70" i="96" s="1"/>
  <c r="G170" i="96"/>
  <c r="G187" i="96"/>
  <c r="G204" i="96" s="1"/>
  <c r="G221" i="96" s="1"/>
  <c r="N187" i="96"/>
  <c r="N204" i="96" s="1"/>
  <c r="N221" i="96" s="1"/>
  <c r="N170" i="96"/>
  <c r="H59" i="104"/>
  <c r="L104" i="104" s="1"/>
  <c r="U168" i="31"/>
  <c r="U186" i="31"/>
  <c r="V186" i="31"/>
  <c r="S184" i="31"/>
  <c r="O26" i="13"/>
  <c r="P37" i="46"/>
  <c r="T34" i="46"/>
  <c r="T25" i="46"/>
  <c r="N75" i="95"/>
  <c r="Z11" i="95"/>
  <c r="Z17" i="95" s="1"/>
  <c r="I5" i="95"/>
  <c r="H5" i="101"/>
  <c r="U11" i="31"/>
  <c r="L12" i="6"/>
  <c r="AE13" i="95"/>
  <c r="AF12" i="95"/>
  <c r="R23" i="31"/>
  <c r="E36" i="68"/>
  <c r="I43" i="95"/>
  <c r="I37" i="95"/>
  <c r="F7" i="174"/>
  <c r="I58" i="98"/>
  <c r="E22" i="68"/>
  <c r="R10" i="31"/>
  <c r="Q121" i="31"/>
  <c r="Q174" i="31"/>
  <c r="Q156" i="31"/>
  <c r="Q123" i="31"/>
  <c r="N51" i="13" s="1"/>
  <c r="Q157" i="31"/>
  <c r="N17" i="13"/>
  <c r="T182" i="31"/>
  <c r="H26" i="97"/>
  <c r="D22" i="68"/>
  <c r="I84" i="68"/>
  <c r="Q166" i="31"/>
  <c r="N15" i="13"/>
  <c r="H27" i="97"/>
  <c r="D23" i="68"/>
  <c r="D63" i="68" s="1"/>
  <c r="G5" i="102"/>
  <c r="I31" i="97"/>
  <c r="G5" i="99"/>
  <c r="C235" i="63"/>
  <c r="G5" i="97"/>
  <c r="D61" i="68"/>
  <c r="I30" i="97"/>
  <c r="H31" i="97"/>
  <c r="I87" i="68"/>
  <c r="Q150" i="31"/>
  <c r="D17" i="174"/>
  <c r="J17" i="174"/>
  <c r="G60" i="104" s="1"/>
  <c r="K105" i="104" s="1"/>
  <c r="G5" i="98"/>
  <c r="M17" i="174"/>
  <c r="J60" i="104" s="1"/>
  <c r="E26" i="13"/>
  <c r="H16" i="29"/>
  <c r="H8" i="29" s="1"/>
  <c r="Q8" i="29" s="1"/>
  <c r="Q16" i="29" s="1"/>
  <c r="A11" i="13"/>
  <c r="C66" i="32"/>
  <c r="D9" i="31"/>
  <c r="E9" i="31" s="1"/>
  <c r="F9" i="31" s="1"/>
  <c r="G9" i="31" s="1"/>
  <c r="H9" i="31" s="1"/>
  <c r="I9" i="31" s="1"/>
  <c r="J9" i="31" s="1"/>
  <c r="K9" i="31" s="1"/>
  <c r="L9" i="31" s="1"/>
  <c r="B66" i="32"/>
  <c r="D16" i="29"/>
  <c r="D8" i="29" s="1"/>
  <c r="P8" i="29" s="1"/>
  <c r="P16" i="29" s="1"/>
  <c r="B3" i="32"/>
  <c r="C16" i="15"/>
  <c r="C10" i="23"/>
  <c r="E10" i="15"/>
  <c r="I10" i="15" s="1"/>
  <c r="E7" i="15"/>
  <c r="E6" i="15"/>
  <c r="E5" i="15"/>
  <c r="E3" i="15"/>
  <c r="E4" i="15"/>
  <c r="E11" i="15"/>
  <c r="I11" i="15" s="1"/>
  <c r="V35" i="132" l="1"/>
  <c r="V99" i="132" s="1"/>
  <c r="V133" i="132" s="1"/>
  <c r="R35" i="132"/>
  <c r="W35" i="132"/>
  <c r="W99" i="132" s="1"/>
  <c r="W133" i="132" s="1"/>
  <c r="J133" i="157"/>
  <c r="F82" i="157"/>
  <c r="F95" i="157" s="1"/>
  <c r="F78" i="157"/>
  <c r="F87" i="157" s="1"/>
  <c r="F133" i="157"/>
  <c r="H56" i="157"/>
  <c r="H62" i="157" s="1"/>
  <c r="H69" i="157" s="1"/>
  <c r="H74" i="157" s="1"/>
  <c r="I49" i="157"/>
  <c r="P133" i="157"/>
  <c r="K133" i="157"/>
  <c r="P17" i="157"/>
  <c r="O19" i="157"/>
  <c r="G82" i="157"/>
  <c r="G95" i="157" s="1"/>
  <c r="G78" i="157"/>
  <c r="G87" i="157" s="1"/>
  <c r="N36" i="157"/>
  <c r="N35" i="157" s="1"/>
  <c r="N99" i="157" s="1"/>
  <c r="N133" i="157" s="1"/>
  <c r="C36" i="157"/>
  <c r="E104" i="157"/>
  <c r="E105" i="157" s="1"/>
  <c r="E113" i="157"/>
  <c r="E123" i="157"/>
  <c r="E108" i="157"/>
  <c r="H204" i="48"/>
  <c r="S26" i="44"/>
  <c r="M199" i="48"/>
  <c r="M204" i="48"/>
  <c r="C191" i="48"/>
  <c r="C196" i="48" s="1"/>
  <c r="C216" i="76"/>
  <c r="C217" i="76" s="1"/>
  <c r="F160" i="48"/>
  <c r="F178" i="48" s="1"/>
  <c r="G13" i="48"/>
  <c r="G51" i="48"/>
  <c r="G87" i="48" s="1"/>
  <c r="G168" i="48"/>
  <c r="H32" i="48"/>
  <c r="Q17" i="99"/>
  <c r="Q19" i="99" s="1"/>
  <c r="I66" i="183"/>
  <c r="J66" i="183" s="1"/>
  <c r="J23" i="174"/>
  <c r="M32" i="98"/>
  <c r="M36" i="98" s="1"/>
  <c r="O21" i="97"/>
  <c r="T20" i="98"/>
  <c r="L21" i="178"/>
  <c r="R36" i="97"/>
  <c r="O40" i="97"/>
  <c r="O12" i="98"/>
  <c r="O26" i="98" s="1"/>
  <c r="O23" i="97"/>
  <c r="S168" i="31"/>
  <c r="Q28" i="97"/>
  <c r="R28" i="97" s="1"/>
  <c r="S28" i="97" s="1"/>
  <c r="T28" i="97" s="1"/>
  <c r="T133" i="157"/>
  <c r="Q176" i="65"/>
  <c r="Q182" i="65" s="1"/>
  <c r="Q184" i="65" s="1"/>
  <c r="Q197" i="65"/>
  <c r="Q191" i="65" s="1"/>
  <c r="Q198" i="65" s="1"/>
  <c r="Q200" i="65" s="1"/>
  <c r="Q202" i="65" s="1"/>
  <c r="C184" i="76"/>
  <c r="N201" i="48"/>
  <c r="L198" i="48"/>
  <c r="P176" i="66"/>
  <c r="P197" i="66"/>
  <c r="P191" i="66" s="1"/>
  <c r="P198" i="66" s="1"/>
  <c r="P200" i="66" s="1"/>
  <c r="P202" i="66" s="1"/>
  <c r="H182" i="65"/>
  <c r="T20" i="45"/>
  <c r="K199" i="48"/>
  <c r="K204" i="48"/>
  <c r="C190" i="76"/>
  <c r="S27" i="45"/>
  <c r="I187" i="65"/>
  <c r="I184" i="65"/>
  <c r="R176" i="66"/>
  <c r="R182" i="66" s="1"/>
  <c r="R184" i="66" s="1"/>
  <c r="R197" i="66"/>
  <c r="R191" i="66" s="1"/>
  <c r="R198" i="66" s="1"/>
  <c r="O176" i="65"/>
  <c r="O182" i="65" s="1"/>
  <c r="O184" i="65" s="1"/>
  <c r="O197" i="65"/>
  <c r="O191" i="65" s="1"/>
  <c r="O198" i="65" s="1"/>
  <c r="O200" i="65" s="1"/>
  <c r="O202" i="65" s="1"/>
  <c r="Q176" i="66"/>
  <c r="Q182" i="66" s="1"/>
  <c r="Q184" i="66" s="1"/>
  <c r="Q197" i="66"/>
  <c r="Q191" i="66" s="1"/>
  <c r="Q198" i="66" s="1"/>
  <c r="Q200" i="66" s="1"/>
  <c r="Q202" i="66" s="1"/>
  <c r="R199" i="65"/>
  <c r="R200" i="65" s="1"/>
  <c r="R202" i="65" s="1"/>
  <c r="J204" i="48"/>
  <c r="J199" i="48"/>
  <c r="P197" i="65"/>
  <c r="P191" i="65" s="1"/>
  <c r="P198" i="65" s="1"/>
  <c r="P200" i="65" s="1"/>
  <c r="P202" i="65" s="1"/>
  <c r="P176" i="65"/>
  <c r="P182" i="65" s="1"/>
  <c r="P184" i="65" s="1"/>
  <c r="F202" i="48"/>
  <c r="O191" i="48"/>
  <c r="O196" i="48" s="1"/>
  <c r="O198" i="48" s="1"/>
  <c r="O214" i="48"/>
  <c r="O208" i="48" s="1"/>
  <c r="O215" i="48" s="1"/>
  <c r="O217" i="48" s="1"/>
  <c r="O219" i="48" s="1"/>
  <c r="J192" i="76"/>
  <c r="C193" i="76" s="1"/>
  <c r="C194" i="76" s="1"/>
  <c r="T11" i="46" s="1"/>
  <c r="J197" i="76"/>
  <c r="D198" i="76" s="1"/>
  <c r="R191" i="48"/>
  <c r="R196" i="48" s="1"/>
  <c r="R198" i="48" s="1"/>
  <c r="R214" i="48"/>
  <c r="R208" i="48" s="1"/>
  <c r="R215" i="48" s="1"/>
  <c r="C99" i="134"/>
  <c r="E35" i="134"/>
  <c r="E99" i="134" s="1"/>
  <c r="D45" i="96"/>
  <c r="D126" i="132"/>
  <c r="F52" i="132"/>
  <c r="E50" i="132"/>
  <c r="E45" i="96" s="1"/>
  <c r="S10" i="101"/>
  <c r="S14" i="101" s="1"/>
  <c r="T10" i="101" s="1"/>
  <c r="T14" i="101" s="1"/>
  <c r="T14" i="98" s="1"/>
  <c r="B141" i="96"/>
  <c r="B158" i="96" s="1"/>
  <c r="I136" i="96"/>
  <c r="I153" i="96" s="1"/>
  <c r="B3" i="183"/>
  <c r="B125" i="96"/>
  <c r="B142" i="96" s="1"/>
  <c r="B159" i="96" s="1"/>
  <c r="B193" i="96" s="1"/>
  <c r="B210" i="96" s="1"/>
  <c r="B227" i="96" s="1"/>
  <c r="H7" i="174"/>
  <c r="H12" i="174" s="1"/>
  <c r="S150" i="31"/>
  <c r="S156" i="31"/>
  <c r="K43" i="63"/>
  <c r="Q164" i="31"/>
  <c r="S164" i="31"/>
  <c r="O17" i="13"/>
  <c r="Q151" i="31"/>
  <c r="Q182" i="31"/>
  <c r="S161" i="31"/>
  <c r="I19" i="6"/>
  <c r="I20" i="6" s="1"/>
  <c r="K18" i="174"/>
  <c r="Q173" i="31"/>
  <c r="N33" i="13" s="1"/>
  <c r="T141" i="31"/>
  <c r="K44" i="63"/>
  <c r="K47" i="63" s="1"/>
  <c r="K48" i="63" s="1"/>
  <c r="J49" i="63" s="1"/>
  <c r="K31" i="63"/>
  <c r="K34" i="63" s="1"/>
  <c r="K36" i="63" s="1"/>
  <c r="J37" i="63" s="1"/>
  <c r="I16" i="6"/>
  <c r="E25" i="68"/>
  <c r="T156" i="31"/>
  <c r="T161" i="31"/>
  <c r="T158" i="31"/>
  <c r="S162" i="31"/>
  <c r="S158" i="31"/>
  <c r="S117" i="31"/>
  <c r="T159" i="31"/>
  <c r="L18" i="174"/>
  <c r="S166" i="31"/>
  <c r="T150" i="31"/>
  <c r="U162" i="31"/>
  <c r="H23" i="95"/>
  <c r="I13" i="6"/>
  <c r="H58" i="98"/>
  <c r="H59" i="98" s="1"/>
  <c r="H14" i="6"/>
  <c r="H16" i="6"/>
  <c r="K19" i="6"/>
  <c r="K20" i="6" s="1"/>
  <c r="C48" i="68"/>
  <c r="J19" i="6"/>
  <c r="J20" i="6" s="1"/>
  <c r="J79" i="95"/>
  <c r="T152" i="31"/>
  <c r="T166" i="31"/>
  <c r="M34" i="63"/>
  <c r="M36" i="63" s="1"/>
  <c r="T155" i="31"/>
  <c r="U173" i="31"/>
  <c r="H19" i="6"/>
  <c r="H26" i="6" s="1"/>
  <c r="H28" i="6" s="1"/>
  <c r="J16" i="6"/>
  <c r="S14" i="31" s="1"/>
  <c r="S159" i="31" s="1"/>
  <c r="I23" i="95"/>
  <c r="I26" i="95" s="1"/>
  <c r="S155" i="31"/>
  <c r="H37" i="95"/>
  <c r="T124" i="31"/>
  <c r="T164" i="31"/>
  <c r="S122" i="31"/>
  <c r="S124" i="31" s="1"/>
  <c r="T117" i="31"/>
  <c r="U180" i="31"/>
  <c r="S33" i="100"/>
  <c r="T32" i="100"/>
  <c r="T31" i="95" s="1"/>
  <c r="T17" i="100"/>
  <c r="T19" i="100" s="1"/>
  <c r="T20" i="100" s="1"/>
  <c r="T29" i="103" s="1"/>
  <c r="S19" i="100"/>
  <c r="S20" i="100" s="1"/>
  <c r="S29" i="103" s="1"/>
  <c r="J44" i="98"/>
  <c r="F16" i="68" s="1"/>
  <c r="E72" i="68" s="1"/>
  <c r="P43" i="98"/>
  <c r="S18" i="97"/>
  <c r="S39" i="97" s="1"/>
  <c r="H23" i="174"/>
  <c r="F14" i="171"/>
  <c r="N23" i="97"/>
  <c r="L23" i="97"/>
  <c r="M23" i="97"/>
  <c r="J40" i="97"/>
  <c r="J21" i="97"/>
  <c r="J23" i="97" s="1"/>
  <c r="J54" i="98"/>
  <c r="M54" i="98"/>
  <c r="X15" i="95"/>
  <c r="M37" i="95"/>
  <c r="G7" i="174"/>
  <c r="J43" i="95"/>
  <c r="O23" i="95"/>
  <c r="O46" i="95" s="1"/>
  <c r="T12" i="31"/>
  <c r="T108" i="31" s="1"/>
  <c r="S12" i="31"/>
  <c r="K43" i="95"/>
  <c r="D48" i="68"/>
  <c r="J23" i="95"/>
  <c r="J26" i="95" s="1"/>
  <c r="J58" i="98"/>
  <c r="J61" i="98" s="1"/>
  <c r="L7" i="174"/>
  <c r="L12" i="174" s="1"/>
  <c r="O37" i="95"/>
  <c r="O43" i="95"/>
  <c r="O44" i="63"/>
  <c r="O43" i="63"/>
  <c r="N34" i="63"/>
  <c r="N36" i="63" s="1"/>
  <c r="K37" i="95"/>
  <c r="K23" i="95"/>
  <c r="K46" i="95" s="1"/>
  <c r="S141" i="31"/>
  <c r="T173" i="31"/>
  <c r="E48" i="68"/>
  <c r="L32" i="63"/>
  <c r="L31" i="63"/>
  <c r="L30" i="63"/>
  <c r="F50" i="155"/>
  <c r="G52" i="155"/>
  <c r="E126" i="155"/>
  <c r="F126" i="155" s="1"/>
  <c r="F63" i="155"/>
  <c r="E40" i="96"/>
  <c r="R133" i="157"/>
  <c r="S133" i="157"/>
  <c r="D104" i="176"/>
  <c r="D105" i="176" s="1"/>
  <c r="F104" i="176"/>
  <c r="F105" i="176" s="1"/>
  <c r="I104" i="176"/>
  <c r="I105" i="176" s="1"/>
  <c r="K104" i="176"/>
  <c r="K105" i="176" s="1"/>
  <c r="H104" i="176"/>
  <c r="H105" i="176" s="1"/>
  <c r="G104" i="176"/>
  <c r="G105" i="176" s="1"/>
  <c r="L104" i="176"/>
  <c r="L105" i="176" s="1"/>
  <c r="J104" i="176"/>
  <c r="J105" i="176" s="1"/>
  <c r="E104" i="176"/>
  <c r="E105" i="176" s="1"/>
  <c r="I104" i="159"/>
  <c r="I105" i="159" s="1"/>
  <c r="J104" i="159"/>
  <c r="J105" i="159" s="1"/>
  <c r="F104" i="159"/>
  <c r="F105" i="159" s="1"/>
  <c r="D104" i="159"/>
  <c r="D105" i="159" s="1"/>
  <c r="E104" i="159"/>
  <c r="E105" i="159" s="1"/>
  <c r="K104" i="159"/>
  <c r="K105" i="159" s="1"/>
  <c r="G104" i="159"/>
  <c r="G105" i="159" s="1"/>
  <c r="H104" i="159"/>
  <c r="H105" i="159" s="1"/>
  <c r="L104" i="159"/>
  <c r="L105" i="159" s="1"/>
  <c r="F19" i="156"/>
  <c r="F23" i="156" s="1"/>
  <c r="G16" i="156"/>
  <c r="F16" i="155"/>
  <c r="E19" i="155"/>
  <c r="E23" i="155" s="1"/>
  <c r="G16" i="135"/>
  <c r="F19" i="135"/>
  <c r="F23" i="135" s="1"/>
  <c r="H16" i="157"/>
  <c r="G19" i="157"/>
  <c r="H16" i="121"/>
  <c r="G19" i="121"/>
  <c r="F19" i="176"/>
  <c r="F23" i="176" s="1"/>
  <c r="G16" i="176"/>
  <c r="G19" i="132"/>
  <c r="H16" i="132"/>
  <c r="H16" i="117"/>
  <c r="G19" i="117"/>
  <c r="G23" i="117" s="1"/>
  <c r="I8" i="117" s="1"/>
  <c r="G16" i="159"/>
  <c r="F19" i="159"/>
  <c r="I16" i="119"/>
  <c r="H19" i="119"/>
  <c r="H23" i="119" s="1"/>
  <c r="N23" i="119"/>
  <c r="O15" i="119"/>
  <c r="F23" i="121"/>
  <c r="G15" i="121"/>
  <c r="G15" i="159"/>
  <c r="F23" i="159"/>
  <c r="F23" i="157"/>
  <c r="G15" i="157"/>
  <c r="N23" i="135"/>
  <c r="N104" i="135" s="1"/>
  <c r="O15" i="135"/>
  <c r="E23" i="132"/>
  <c r="F15" i="132"/>
  <c r="H16" i="133"/>
  <c r="G19" i="133"/>
  <c r="G23" i="133" s="1"/>
  <c r="I8" i="133" s="1"/>
  <c r="H16" i="137"/>
  <c r="G19" i="137"/>
  <c r="G23" i="137" s="1"/>
  <c r="I8" i="137" s="1"/>
  <c r="P23" i="134"/>
  <c r="O23" i="134"/>
  <c r="P15" i="134"/>
  <c r="Q15" i="134" s="1"/>
  <c r="R15" i="134" s="1"/>
  <c r="G19" i="134"/>
  <c r="G23" i="134" s="1"/>
  <c r="I8" i="134" s="1"/>
  <c r="H16" i="134"/>
  <c r="F23" i="160"/>
  <c r="G15" i="160"/>
  <c r="H15" i="155"/>
  <c r="R170" i="96"/>
  <c r="B171" i="96"/>
  <c r="P136" i="96"/>
  <c r="P153" i="96" s="1"/>
  <c r="P187" i="96" s="1"/>
  <c r="P204" i="96" s="1"/>
  <c r="P221" i="96" s="1"/>
  <c r="E1" i="183"/>
  <c r="B113" i="96"/>
  <c r="B8" i="183"/>
  <c r="Q136" i="96"/>
  <c r="Q153" i="96" s="1"/>
  <c r="Q170" i="96" s="1"/>
  <c r="F1" i="183"/>
  <c r="O136" i="96"/>
  <c r="O153" i="96" s="1"/>
  <c r="O187" i="96" s="1"/>
  <c r="O204" i="96" s="1"/>
  <c r="O221" i="96" s="1"/>
  <c r="D1" i="183"/>
  <c r="Z120" i="96"/>
  <c r="B133" i="96"/>
  <c r="B11" i="183"/>
  <c r="R99" i="132"/>
  <c r="R133" i="132" s="1"/>
  <c r="S35" i="132"/>
  <c r="S99" i="132" s="1"/>
  <c r="S133" i="132" s="1"/>
  <c r="U35" i="132"/>
  <c r="U99" i="132" s="1"/>
  <c r="U133" i="132" s="1"/>
  <c r="T35" i="132"/>
  <c r="T99" i="132" s="1"/>
  <c r="T133" i="132" s="1"/>
  <c r="Q35" i="156"/>
  <c r="Q99" i="156" s="1"/>
  <c r="Q133" i="156" s="1"/>
  <c r="R35" i="156"/>
  <c r="R99" i="156" s="1"/>
  <c r="R133" i="156" s="1"/>
  <c r="S35" i="156"/>
  <c r="S99" i="156" s="1"/>
  <c r="S133" i="156" s="1"/>
  <c r="O133" i="156"/>
  <c r="N35" i="156"/>
  <c r="N99" i="156" s="1"/>
  <c r="G52" i="98"/>
  <c r="D24" i="174"/>
  <c r="K59" i="98"/>
  <c r="I52" i="98"/>
  <c r="D15" i="171"/>
  <c r="F24" i="174"/>
  <c r="F25" i="174"/>
  <c r="D16" i="171"/>
  <c r="F52" i="98"/>
  <c r="C24" i="174"/>
  <c r="Q60" i="98"/>
  <c r="R17" i="99"/>
  <c r="R18" i="99" s="1"/>
  <c r="S14" i="103"/>
  <c r="T14" i="103"/>
  <c r="S13" i="103"/>
  <c r="S22" i="98"/>
  <c r="G56" i="161"/>
  <c r="G62" i="161" s="1"/>
  <c r="G70" i="161" s="1"/>
  <c r="G75" i="161" s="1"/>
  <c r="H49" i="161"/>
  <c r="C50" i="161"/>
  <c r="D48" i="96"/>
  <c r="D127" i="161"/>
  <c r="E127" i="161" s="1"/>
  <c r="F127" i="161" s="1"/>
  <c r="G127" i="161" s="1"/>
  <c r="H127" i="161" s="1"/>
  <c r="I127" i="161" s="1"/>
  <c r="J127" i="161" s="1"/>
  <c r="K127" i="161" s="1"/>
  <c r="L127" i="161" s="1"/>
  <c r="M127" i="161" s="1"/>
  <c r="N127" i="161" s="1"/>
  <c r="O127" i="161" s="1"/>
  <c r="F83" i="161"/>
  <c r="F96" i="161" s="1"/>
  <c r="F79" i="161"/>
  <c r="F88" i="161" s="1"/>
  <c r="K35" i="161"/>
  <c r="K100" i="161" s="1"/>
  <c r="K134" i="161" s="1"/>
  <c r="E35" i="161"/>
  <c r="E100" i="161" s="1"/>
  <c r="E134" i="161" s="1"/>
  <c r="C100" i="161"/>
  <c r="G35" i="161"/>
  <c r="G100" i="161" s="1"/>
  <c r="G134" i="161" s="1"/>
  <c r="J35" i="161"/>
  <c r="J100" i="161" s="1"/>
  <c r="J134" i="161" s="1"/>
  <c r="L35" i="161"/>
  <c r="L100" i="161" s="1"/>
  <c r="L134" i="161" s="1"/>
  <c r="H35" i="161"/>
  <c r="H100" i="161" s="1"/>
  <c r="H134" i="161" s="1"/>
  <c r="I35" i="161"/>
  <c r="I100" i="161" s="1"/>
  <c r="I134" i="161" s="1"/>
  <c r="N35" i="161"/>
  <c r="N100" i="161" s="1"/>
  <c r="N134" i="161" s="1"/>
  <c r="F35" i="161"/>
  <c r="F100" i="161" s="1"/>
  <c r="F134" i="161" s="1"/>
  <c r="M35" i="161"/>
  <c r="M100" i="161" s="1"/>
  <c r="M134" i="161" s="1"/>
  <c r="D35" i="161"/>
  <c r="D100" i="161" s="1"/>
  <c r="D134" i="161" s="1"/>
  <c r="O35" i="161"/>
  <c r="O100" i="161" s="1"/>
  <c r="O134" i="161" s="1"/>
  <c r="N17" i="161"/>
  <c r="B149" i="96"/>
  <c r="B166" i="96" s="1"/>
  <c r="B200" i="96" s="1"/>
  <c r="B217" i="96" s="1"/>
  <c r="B234" i="96" s="1"/>
  <c r="K48" i="96"/>
  <c r="F48" i="96"/>
  <c r="D88" i="161"/>
  <c r="E48" i="96"/>
  <c r="O59" i="161"/>
  <c r="G59" i="161"/>
  <c r="D59" i="161"/>
  <c r="E59" i="161"/>
  <c r="J59" i="161"/>
  <c r="F59" i="161"/>
  <c r="K59" i="161"/>
  <c r="H59" i="161"/>
  <c r="I59" i="161"/>
  <c r="M59" i="161"/>
  <c r="L59" i="161"/>
  <c r="N59" i="161"/>
  <c r="G48" i="96"/>
  <c r="J48" i="96"/>
  <c r="D109" i="161"/>
  <c r="D105" i="161"/>
  <c r="D106" i="161" s="1"/>
  <c r="D124" i="161"/>
  <c r="D114" i="161"/>
  <c r="M48" i="96"/>
  <c r="I48" i="96"/>
  <c r="H48" i="96"/>
  <c r="G16" i="161"/>
  <c r="F19" i="161"/>
  <c r="F23" i="161" s="1"/>
  <c r="E109" i="161"/>
  <c r="E105" i="161"/>
  <c r="E106" i="161" s="1"/>
  <c r="E124" i="161"/>
  <c r="E114" i="161"/>
  <c r="R72" i="172"/>
  <c r="J35" i="172"/>
  <c r="I16" i="172"/>
  <c r="E13" i="172"/>
  <c r="M76" i="95"/>
  <c r="E112" i="31"/>
  <c r="L10" i="29"/>
  <c r="R20" i="29"/>
  <c r="U20" i="29"/>
  <c r="D111" i="31"/>
  <c r="D24" i="31"/>
  <c r="D167" i="31"/>
  <c r="D185" i="31"/>
  <c r="E185" i="31"/>
  <c r="F26" i="29"/>
  <c r="F13" i="29" s="1"/>
  <c r="F154" i="33"/>
  <c r="F107" i="33"/>
  <c r="F26" i="33"/>
  <c r="F129" i="33"/>
  <c r="F20" i="33"/>
  <c r="F172" i="33"/>
  <c r="U31" i="29"/>
  <c r="R31" i="29"/>
  <c r="T31" i="29" s="1"/>
  <c r="H85" i="33"/>
  <c r="H93" i="29" s="1"/>
  <c r="H72" i="29"/>
  <c r="H79" i="33"/>
  <c r="H87" i="29" s="1"/>
  <c r="P117" i="33"/>
  <c r="J34" i="29"/>
  <c r="J133" i="33"/>
  <c r="J103" i="33"/>
  <c r="J161" i="33"/>
  <c r="J180" i="33"/>
  <c r="E11" i="5"/>
  <c r="K33" i="13"/>
  <c r="N170" i="31"/>
  <c r="L31" i="13"/>
  <c r="F33" i="6"/>
  <c r="N110" i="31"/>
  <c r="N189" i="31"/>
  <c r="N140" i="31"/>
  <c r="H108" i="33"/>
  <c r="H106" i="33" s="1"/>
  <c r="H105" i="33" s="1"/>
  <c r="H30" i="29"/>
  <c r="H158" i="33"/>
  <c r="H112" i="33"/>
  <c r="H24" i="33"/>
  <c r="H104" i="33"/>
  <c r="C63" i="68"/>
  <c r="C24" i="68"/>
  <c r="M97" i="31"/>
  <c r="M98" i="31" s="1"/>
  <c r="M99" i="31"/>
  <c r="M138" i="31"/>
  <c r="H157" i="31"/>
  <c r="H108" i="31"/>
  <c r="H15" i="31"/>
  <c r="H175" i="31"/>
  <c r="I175" i="31"/>
  <c r="G87" i="31"/>
  <c r="G81" i="31"/>
  <c r="I111" i="33"/>
  <c r="I110" i="33"/>
  <c r="D96" i="33"/>
  <c r="E96" i="33"/>
  <c r="M95" i="31"/>
  <c r="M91" i="31"/>
  <c r="M92" i="31" s="1"/>
  <c r="M146" i="31"/>
  <c r="M191" i="31"/>
  <c r="N191" i="31"/>
  <c r="J112" i="33"/>
  <c r="J104" i="33"/>
  <c r="J30" i="29"/>
  <c r="J158" i="33"/>
  <c r="J108" i="33"/>
  <c r="J106" i="33" s="1"/>
  <c r="J105" i="33" s="1"/>
  <c r="J24" i="33"/>
  <c r="J176" i="33"/>
  <c r="M25" i="31"/>
  <c r="M26" i="31"/>
  <c r="M169" i="31"/>
  <c r="K29" i="13"/>
  <c r="E30" i="6"/>
  <c r="M187" i="31"/>
  <c r="M239" i="31"/>
  <c r="M245" i="31" s="1"/>
  <c r="M246" i="31" s="1"/>
  <c r="M247" i="31" s="1"/>
  <c r="I111" i="31"/>
  <c r="I24" i="31"/>
  <c r="I167" i="31"/>
  <c r="I119" i="31"/>
  <c r="I115" i="31"/>
  <c r="I113" i="31" s="1"/>
  <c r="I112" i="31" s="1"/>
  <c r="J185" i="31"/>
  <c r="C64" i="68"/>
  <c r="V24" i="29"/>
  <c r="R24" i="29"/>
  <c r="T24" i="29" s="1"/>
  <c r="K26" i="33"/>
  <c r="K172" i="33"/>
  <c r="K107" i="33"/>
  <c r="K154" i="33"/>
  <c r="K20" i="33"/>
  <c r="K26" i="29"/>
  <c r="K129" i="33"/>
  <c r="P25" i="33"/>
  <c r="C86" i="68"/>
  <c r="P131" i="33"/>
  <c r="P160" i="33"/>
  <c r="Q178" i="33"/>
  <c r="C12" i="30"/>
  <c r="D21" i="30" s="1"/>
  <c r="C13" i="30"/>
  <c r="D22" i="30" s="1"/>
  <c r="D23" i="30"/>
  <c r="O125" i="31"/>
  <c r="M53" i="13" s="1"/>
  <c r="O121" i="31"/>
  <c r="E81" i="31"/>
  <c r="E87" i="31"/>
  <c r="G13" i="30"/>
  <c r="H13" i="30" s="1"/>
  <c r="I13" i="30" s="1"/>
  <c r="J13" i="30" s="1"/>
  <c r="K13" i="30" s="1"/>
  <c r="L13" i="30" s="1"/>
  <c r="M13" i="30" s="1"/>
  <c r="N13" i="30" s="1"/>
  <c r="O13" i="30" s="1"/>
  <c r="P13" i="30" s="1"/>
  <c r="F22" i="30"/>
  <c r="F10" i="5"/>
  <c r="O102" i="33"/>
  <c r="O18" i="33"/>
  <c r="O23" i="29"/>
  <c r="F98" i="68"/>
  <c r="F95" i="68"/>
  <c r="O151" i="33"/>
  <c r="P169" i="33"/>
  <c r="O169" i="33"/>
  <c r="L42" i="13"/>
  <c r="M112" i="31"/>
  <c r="K40" i="13" s="1"/>
  <c r="G160" i="31"/>
  <c r="G18" i="31"/>
  <c r="G178" i="31"/>
  <c r="G109" i="31"/>
  <c r="G149" i="31"/>
  <c r="F112" i="68"/>
  <c r="F113" i="68" s="1"/>
  <c r="H166" i="33"/>
  <c r="G101" i="33"/>
  <c r="G15" i="33"/>
  <c r="G166" i="33"/>
  <c r="G20" i="29"/>
  <c r="G10" i="29" s="1"/>
  <c r="G148" i="33"/>
  <c r="I106" i="33"/>
  <c r="I105" i="33" s="1"/>
  <c r="H81" i="31"/>
  <c r="H87" i="31"/>
  <c r="C32" i="30"/>
  <c r="C35" i="30" s="1"/>
  <c r="C12" i="5"/>
  <c r="F109" i="31"/>
  <c r="F160" i="31"/>
  <c r="F149" i="31"/>
  <c r="F178" i="31"/>
  <c r="F18" i="31"/>
  <c r="E110" i="33"/>
  <c r="E111" i="33"/>
  <c r="E33" i="30"/>
  <c r="E13" i="5"/>
  <c r="K38" i="13"/>
  <c r="D146" i="31"/>
  <c r="D191" i="31"/>
  <c r="D95" i="31"/>
  <c r="D91" i="31"/>
  <c r="D92" i="31" s="1"/>
  <c r="E191" i="31"/>
  <c r="F36" i="29"/>
  <c r="F182" i="33"/>
  <c r="F91" i="33"/>
  <c r="F134" i="33"/>
  <c r="F132" i="33" s="1"/>
  <c r="G182" i="33"/>
  <c r="F138" i="33"/>
  <c r="G11" i="30"/>
  <c r="H12" i="30"/>
  <c r="L25" i="13"/>
  <c r="N165" i="31"/>
  <c r="N183" i="31"/>
  <c r="F19" i="5"/>
  <c r="N148" i="31"/>
  <c r="N149" i="31" s="1"/>
  <c r="G39" i="4" s="1"/>
  <c r="N116" i="31"/>
  <c r="L44" i="13" s="1"/>
  <c r="N22" i="31"/>
  <c r="H12" i="29"/>
  <c r="L11" i="29"/>
  <c r="U23" i="29"/>
  <c r="R23" i="29"/>
  <c r="I32" i="29"/>
  <c r="I160" i="33"/>
  <c r="D106" i="68"/>
  <c r="I25" i="33"/>
  <c r="I178" i="33"/>
  <c r="I131" i="33"/>
  <c r="L172" i="33"/>
  <c r="L26" i="33"/>
  <c r="L20" i="33"/>
  <c r="L26" i="29"/>
  <c r="L154" i="33"/>
  <c r="L107" i="33"/>
  <c r="L129" i="33"/>
  <c r="M172" i="33"/>
  <c r="U18" i="29"/>
  <c r="R18" i="29"/>
  <c r="T18" i="29" s="1"/>
  <c r="G36" i="4"/>
  <c r="G43" i="4" s="1"/>
  <c r="L59" i="13"/>
  <c r="E22" i="5"/>
  <c r="K50" i="13"/>
  <c r="K15" i="31"/>
  <c r="K157" i="31"/>
  <c r="K175" i="31"/>
  <c r="K108" i="31"/>
  <c r="C12" i="6"/>
  <c r="L175" i="31"/>
  <c r="P125" i="31"/>
  <c r="P121" i="31"/>
  <c r="P124" i="31" s="1"/>
  <c r="E103" i="31"/>
  <c r="E119" i="31" s="1"/>
  <c r="D103" i="31"/>
  <c r="D119" i="31" s="1"/>
  <c r="C112" i="68"/>
  <c r="D15" i="33"/>
  <c r="D101" i="33"/>
  <c r="D148" i="33"/>
  <c r="D20" i="29"/>
  <c r="E166" i="33"/>
  <c r="D166" i="33"/>
  <c r="N156" i="33"/>
  <c r="N22" i="33"/>
  <c r="N109" i="33"/>
  <c r="N28" i="29"/>
  <c r="W28" i="29" s="1"/>
  <c r="N139" i="33"/>
  <c r="N140" i="33" s="1"/>
  <c r="N174" i="33"/>
  <c r="D92" i="33"/>
  <c r="Q23" i="29"/>
  <c r="Q11" i="29" s="1"/>
  <c r="M124" i="31"/>
  <c r="K52" i="13" s="1"/>
  <c r="I176" i="33"/>
  <c r="G18" i="6"/>
  <c r="G15" i="6" s="1"/>
  <c r="C26" i="68"/>
  <c r="G17" i="6"/>
  <c r="E182" i="33"/>
  <c r="E134" i="33"/>
  <c r="E132" i="33" s="1"/>
  <c r="E36" i="29"/>
  <c r="P36" i="29" s="1"/>
  <c r="E91" i="33"/>
  <c r="E138" i="33"/>
  <c r="L125" i="31"/>
  <c r="L121" i="31"/>
  <c r="G95" i="68"/>
  <c r="O178" i="31"/>
  <c r="M34" i="13" s="1"/>
  <c r="M20" i="13"/>
  <c r="O160" i="31"/>
  <c r="G98" i="68"/>
  <c r="O109" i="31"/>
  <c r="O18" i="31"/>
  <c r="G19" i="6"/>
  <c r="E107" i="33"/>
  <c r="E154" i="33"/>
  <c r="E26" i="29"/>
  <c r="E13" i="29" s="1"/>
  <c r="E129" i="33"/>
  <c r="E26" i="33"/>
  <c r="E20" i="33"/>
  <c r="X20" i="29"/>
  <c r="O10" i="29"/>
  <c r="X10" i="29" s="1"/>
  <c r="J16" i="30"/>
  <c r="I15" i="30"/>
  <c r="V34" i="29"/>
  <c r="I12" i="29"/>
  <c r="V12" i="29" s="1"/>
  <c r="D117" i="31"/>
  <c r="D113" i="31" s="1"/>
  <c r="D118" i="31"/>
  <c r="C10" i="5"/>
  <c r="D10" i="5"/>
  <c r="E10" i="5"/>
  <c r="G79" i="33"/>
  <c r="G87" i="29" s="1"/>
  <c r="G72" i="29"/>
  <c r="G85" i="33"/>
  <c r="G93" i="29" s="1"/>
  <c r="W29" i="29"/>
  <c r="R29" i="29"/>
  <c r="T29" i="29" s="1"/>
  <c r="D117" i="33"/>
  <c r="G96" i="33"/>
  <c r="F96" i="33"/>
  <c r="N13" i="29"/>
  <c r="W13" i="29" s="1"/>
  <c r="W26" i="29"/>
  <c r="E28" i="70"/>
  <c r="P41" i="172"/>
  <c r="P42" i="172" s="1"/>
  <c r="P88" i="172" s="1"/>
  <c r="P89" i="172" s="1"/>
  <c r="H46" i="70"/>
  <c r="D46" i="70"/>
  <c r="N46" i="172"/>
  <c r="N88" i="172"/>
  <c r="N89" i="172" s="1"/>
  <c r="P80" i="172"/>
  <c r="S176" i="31"/>
  <c r="T176" i="31"/>
  <c r="R158" i="31"/>
  <c r="Q75" i="95"/>
  <c r="D126" i="157"/>
  <c r="D49" i="96"/>
  <c r="E50" i="157"/>
  <c r="U38" i="172"/>
  <c r="R69" i="95" s="1"/>
  <c r="V36" i="172"/>
  <c r="S51" i="95" s="1"/>
  <c r="E13" i="183" s="1"/>
  <c r="U37" i="172"/>
  <c r="W64" i="172"/>
  <c r="Q81" i="95"/>
  <c r="P46" i="172"/>
  <c r="M52" i="172"/>
  <c r="N53" i="172"/>
  <c r="P57" i="172"/>
  <c r="O56" i="172"/>
  <c r="G5" i="172"/>
  <c r="H10" i="172"/>
  <c r="O73" i="172"/>
  <c r="N66" i="172"/>
  <c r="N68" i="172" s="1"/>
  <c r="O82" i="172"/>
  <c r="P83" i="172"/>
  <c r="M12" i="172"/>
  <c r="N12" i="172" s="1"/>
  <c r="O12" i="172" s="1"/>
  <c r="P12" i="172" s="1"/>
  <c r="Q12" i="172" s="1"/>
  <c r="R12" i="172" s="1"/>
  <c r="S12" i="172" s="1"/>
  <c r="T12" i="172" s="1"/>
  <c r="S41" i="172"/>
  <c r="S42" i="172" s="1"/>
  <c r="M69" i="172"/>
  <c r="M70" i="172" s="1"/>
  <c r="M74" i="172" s="1"/>
  <c r="R81" i="172"/>
  <c r="N70" i="95"/>
  <c r="Q80" i="172"/>
  <c r="R41" i="172"/>
  <c r="R42" i="172" s="1"/>
  <c r="Q79" i="172"/>
  <c r="P78" i="172"/>
  <c r="H63" i="172"/>
  <c r="G77" i="172"/>
  <c r="G87" i="172" s="1"/>
  <c r="M48" i="172"/>
  <c r="N48" i="172" s="1"/>
  <c r="O48" i="172" s="1"/>
  <c r="P48" i="172" s="1"/>
  <c r="Q48" i="172" s="1"/>
  <c r="R48" i="172" s="1"/>
  <c r="M46" i="172"/>
  <c r="M88" i="172"/>
  <c r="M89" i="172" s="1"/>
  <c r="K48" i="172"/>
  <c r="K46" i="172"/>
  <c r="O46" i="172"/>
  <c r="O88" i="172"/>
  <c r="O89" i="172" s="1"/>
  <c r="G7" i="172"/>
  <c r="F9" i="172"/>
  <c r="F13" i="172" s="1"/>
  <c r="Q41" i="172"/>
  <c r="Q42" i="172" s="1"/>
  <c r="R65" i="172"/>
  <c r="S72" i="172"/>
  <c r="T40" i="172"/>
  <c r="P55" i="172"/>
  <c r="O54" i="172"/>
  <c r="Q75" i="172"/>
  <c r="N64" i="95" s="1"/>
  <c r="S180" i="31"/>
  <c r="L43" i="95"/>
  <c r="N23" i="95"/>
  <c r="N58" i="98"/>
  <c r="N61" i="98" s="1"/>
  <c r="K7" i="174"/>
  <c r="K12" i="174" s="1"/>
  <c r="N37" i="95"/>
  <c r="M45" i="63"/>
  <c r="M43" i="63"/>
  <c r="L47" i="63"/>
  <c r="L48" i="63" s="1"/>
  <c r="I7" i="174"/>
  <c r="M43" i="95"/>
  <c r="L23" i="95"/>
  <c r="L26" i="95" s="1"/>
  <c r="M58" i="98"/>
  <c r="M61" i="98" s="1"/>
  <c r="L37" i="95"/>
  <c r="L58" i="98"/>
  <c r="L59" i="98" s="1"/>
  <c r="G39" i="70"/>
  <c r="G40" i="70" s="1"/>
  <c r="G46" i="70"/>
  <c r="E45" i="70"/>
  <c r="E35" i="70"/>
  <c r="F39" i="70"/>
  <c r="F40" i="70" s="1"/>
  <c r="F46" i="70"/>
  <c r="J46" i="181"/>
  <c r="I47" i="181"/>
  <c r="S82" i="137"/>
  <c r="S95" i="137" s="1"/>
  <c r="T74" i="137"/>
  <c r="T17" i="137"/>
  <c r="S56" i="137"/>
  <c r="S62" i="137" s="1"/>
  <c r="S69" i="137" s="1"/>
  <c r="T49" i="137"/>
  <c r="P74" i="137"/>
  <c r="O82" i="137"/>
  <c r="O95" i="137" s="1"/>
  <c r="M47" i="96"/>
  <c r="N63" i="137"/>
  <c r="O50" i="137"/>
  <c r="P52" i="137"/>
  <c r="O56" i="137"/>
  <c r="O62" i="137" s="1"/>
  <c r="O69" i="137" s="1"/>
  <c r="P49" i="137"/>
  <c r="N123" i="137"/>
  <c r="N108" i="137"/>
  <c r="F63" i="137"/>
  <c r="D126" i="137"/>
  <c r="E126" i="137" s="1"/>
  <c r="F126" i="137" s="1"/>
  <c r="G126" i="137" s="1"/>
  <c r="H126" i="137" s="1"/>
  <c r="I126" i="137" s="1"/>
  <c r="J126" i="137" s="1"/>
  <c r="K126" i="137" s="1"/>
  <c r="L126" i="137" s="1"/>
  <c r="M126" i="137" s="1"/>
  <c r="N126" i="137" s="1"/>
  <c r="O126" i="137" s="1"/>
  <c r="D47" i="96"/>
  <c r="F47" i="96"/>
  <c r="H63" i="137"/>
  <c r="M63" i="137"/>
  <c r="K47" i="96"/>
  <c r="G63" i="137"/>
  <c r="E47" i="96"/>
  <c r="K63" i="137"/>
  <c r="I47" i="96"/>
  <c r="L63" i="137"/>
  <c r="J47" i="96"/>
  <c r="J63" i="137"/>
  <c r="H47" i="96"/>
  <c r="G47" i="96"/>
  <c r="I63" i="137"/>
  <c r="D126" i="135"/>
  <c r="D46" i="96"/>
  <c r="E50" i="135"/>
  <c r="Q19" i="135"/>
  <c r="S82" i="135"/>
  <c r="S95" i="135" s="1"/>
  <c r="T74" i="135"/>
  <c r="U17" i="135"/>
  <c r="R108" i="135"/>
  <c r="R123" i="135"/>
  <c r="S56" i="135"/>
  <c r="S62" i="135" s="1"/>
  <c r="S69" i="135" s="1"/>
  <c r="T49" i="135"/>
  <c r="U17" i="132"/>
  <c r="U19" i="132" s="1"/>
  <c r="T19" i="132"/>
  <c r="U74" i="132"/>
  <c r="T82" i="132"/>
  <c r="T95" i="132" s="1"/>
  <c r="S108" i="132"/>
  <c r="S123" i="132"/>
  <c r="S56" i="132"/>
  <c r="S62" i="132" s="1"/>
  <c r="S69" i="132" s="1"/>
  <c r="T49" i="132"/>
  <c r="R108" i="132"/>
  <c r="R123" i="132"/>
  <c r="L35" i="132"/>
  <c r="L99" i="132" s="1"/>
  <c r="L133" i="132" s="1"/>
  <c r="D35" i="132"/>
  <c r="D99" i="132" s="1"/>
  <c r="D133" i="132" s="1"/>
  <c r="O35" i="132"/>
  <c r="O99" i="132" s="1"/>
  <c r="O133" i="132" s="1"/>
  <c r="J35" i="132"/>
  <c r="J99" i="132" s="1"/>
  <c r="J133" i="132" s="1"/>
  <c r="E35" i="132"/>
  <c r="E99" i="132" s="1"/>
  <c r="E133" i="132" s="1"/>
  <c r="G35" i="132"/>
  <c r="G99" i="132" s="1"/>
  <c r="G133" i="132" s="1"/>
  <c r="H35" i="132"/>
  <c r="H99" i="132" s="1"/>
  <c r="H133" i="132" s="1"/>
  <c r="I35" i="132"/>
  <c r="I99" i="132" s="1"/>
  <c r="I133" i="132" s="1"/>
  <c r="C99" i="132"/>
  <c r="M35" i="132"/>
  <c r="M99" i="132" s="1"/>
  <c r="M133" i="132" s="1"/>
  <c r="Q35" i="132"/>
  <c r="Q99" i="132" s="1"/>
  <c r="Q133" i="132" s="1"/>
  <c r="F35" i="132"/>
  <c r="F99" i="132" s="1"/>
  <c r="F133" i="132" s="1"/>
  <c r="P35" i="132"/>
  <c r="P99" i="132" s="1"/>
  <c r="P133" i="132" s="1"/>
  <c r="N35" i="132"/>
  <c r="N99" i="132" s="1"/>
  <c r="N133" i="132" s="1"/>
  <c r="K35" i="132"/>
  <c r="K99" i="132" s="1"/>
  <c r="K133" i="132" s="1"/>
  <c r="S74" i="133"/>
  <c r="R82" i="133"/>
  <c r="R95" i="133" s="1"/>
  <c r="S52" i="133"/>
  <c r="R50" i="133"/>
  <c r="Q44" i="96"/>
  <c r="F44" i="183" s="1"/>
  <c r="P298" i="96"/>
  <c r="P96" i="133"/>
  <c r="P123" i="133"/>
  <c r="P108" i="133"/>
  <c r="O124" i="133"/>
  <c r="O298" i="96"/>
  <c r="C63" i="133"/>
  <c r="O96" i="133"/>
  <c r="Q63" i="133"/>
  <c r="Q123" i="133"/>
  <c r="Q108" i="133"/>
  <c r="S49" i="133"/>
  <c r="R56" i="133"/>
  <c r="R62" i="133" s="1"/>
  <c r="R69" i="133" s="1"/>
  <c r="U17" i="133"/>
  <c r="R255" i="96"/>
  <c r="R272" i="96" s="1"/>
  <c r="R238" i="96"/>
  <c r="T255" i="96"/>
  <c r="T272" i="96" s="1"/>
  <c r="T238" i="96"/>
  <c r="V187" i="96"/>
  <c r="V204" i="96" s="1"/>
  <c r="V221" i="96" s="1"/>
  <c r="V170" i="96"/>
  <c r="S255" i="96"/>
  <c r="S272" i="96" s="1"/>
  <c r="S238" i="96"/>
  <c r="U187" i="96"/>
  <c r="U204" i="96" s="1"/>
  <c r="U221" i="96" s="1"/>
  <c r="U170" i="96"/>
  <c r="B138" i="96"/>
  <c r="B155" i="96" s="1"/>
  <c r="B114" i="96"/>
  <c r="B131" i="96"/>
  <c r="M170" i="96"/>
  <c r="L35" i="134"/>
  <c r="L99" i="134" s="1"/>
  <c r="L133" i="134" s="1"/>
  <c r="D35" i="134"/>
  <c r="D99" i="134" s="1"/>
  <c r="D133" i="134" s="1"/>
  <c r="E133" i="134"/>
  <c r="K35" i="134"/>
  <c r="K99" i="134" s="1"/>
  <c r="K133" i="134" s="1"/>
  <c r="S35" i="134"/>
  <c r="S99" i="134" s="1"/>
  <c r="S133" i="134" s="1"/>
  <c r="R35" i="134"/>
  <c r="R99" i="134" s="1"/>
  <c r="R133" i="134" s="1"/>
  <c r="Q35" i="134"/>
  <c r="Q99" i="134" s="1"/>
  <c r="Q133" i="134" s="1"/>
  <c r="P35" i="134"/>
  <c r="P99" i="134" s="1"/>
  <c r="P133" i="134" s="1"/>
  <c r="V35" i="134"/>
  <c r="V99" i="134" s="1"/>
  <c r="V133" i="134" s="1"/>
  <c r="O35" i="134"/>
  <c r="O99" i="134" s="1"/>
  <c r="O133" i="134" s="1"/>
  <c r="U35" i="134"/>
  <c r="U99" i="134" s="1"/>
  <c r="U133" i="134" s="1"/>
  <c r="N35" i="134"/>
  <c r="N99" i="134" s="1"/>
  <c r="N133" i="134" s="1"/>
  <c r="T35" i="134"/>
  <c r="T99" i="134" s="1"/>
  <c r="T133" i="134" s="1"/>
  <c r="H133" i="134"/>
  <c r="W14" i="117"/>
  <c r="V14" i="119"/>
  <c r="V14" i="134" s="1"/>
  <c r="V34" i="134" s="1"/>
  <c r="X17" i="117"/>
  <c r="V82" i="134"/>
  <c r="V95" i="134" s="1"/>
  <c r="S19" i="119"/>
  <c r="S19" i="134"/>
  <c r="T19" i="134"/>
  <c r="P52" i="134"/>
  <c r="O50" i="134"/>
  <c r="P82" i="134"/>
  <c r="P95" i="134" s="1"/>
  <c r="Q74" i="134"/>
  <c r="O104" i="134"/>
  <c r="O123" i="134"/>
  <c r="O108" i="134"/>
  <c r="Q49" i="134"/>
  <c r="P56" i="134"/>
  <c r="P62" i="134" s="1"/>
  <c r="P69" i="134" s="1"/>
  <c r="N43" i="96"/>
  <c r="C43" i="183" s="1"/>
  <c r="M35" i="134"/>
  <c r="M99" i="134" s="1"/>
  <c r="M133" i="134" s="1"/>
  <c r="F35" i="134"/>
  <c r="F99" i="134" s="1"/>
  <c r="F133" i="134" s="1"/>
  <c r="I35" i="134"/>
  <c r="I99" i="134" s="1"/>
  <c r="I133" i="134" s="1"/>
  <c r="J35" i="134"/>
  <c r="J99" i="134" s="1"/>
  <c r="J133" i="134" s="1"/>
  <c r="D50" i="134"/>
  <c r="I50" i="134"/>
  <c r="K50" i="134"/>
  <c r="H50" i="134"/>
  <c r="S6" i="134"/>
  <c r="F50" i="134"/>
  <c r="L50" i="134"/>
  <c r="L43" i="96" s="1"/>
  <c r="J50" i="134"/>
  <c r="G50" i="134"/>
  <c r="E50" i="134"/>
  <c r="M50" i="134"/>
  <c r="O36" i="96"/>
  <c r="Q52" i="117"/>
  <c r="Q50" i="117" s="1"/>
  <c r="Q36" i="96" s="1"/>
  <c r="P50" i="117"/>
  <c r="P36" i="96" s="1"/>
  <c r="E50" i="117"/>
  <c r="E63" i="117" s="1"/>
  <c r="D63" i="117"/>
  <c r="D36" i="96"/>
  <c r="D126" i="117"/>
  <c r="E126" i="117" s="1"/>
  <c r="E126" i="160"/>
  <c r="E42" i="96"/>
  <c r="F50" i="160"/>
  <c r="B239" i="96"/>
  <c r="Q19" i="156"/>
  <c r="J15" i="156"/>
  <c r="N133" i="156"/>
  <c r="D126" i="156"/>
  <c r="D41" i="96"/>
  <c r="E50" i="156"/>
  <c r="P35" i="156"/>
  <c r="P99" i="156" s="1"/>
  <c r="P133" i="156" s="1"/>
  <c r="D35" i="156"/>
  <c r="D99" i="156" s="1"/>
  <c r="D133" i="156" s="1"/>
  <c r="L35" i="156"/>
  <c r="L99" i="156" s="1"/>
  <c r="L133" i="156" s="1"/>
  <c r="M35" i="156"/>
  <c r="M99" i="156" s="1"/>
  <c r="M133" i="156" s="1"/>
  <c r="J35" i="156"/>
  <c r="J99" i="156" s="1"/>
  <c r="J133" i="156" s="1"/>
  <c r="C99" i="156"/>
  <c r="E35" i="156"/>
  <c r="E99" i="156" s="1"/>
  <c r="E133" i="156" s="1"/>
  <c r="I35" i="156"/>
  <c r="I99" i="156" s="1"/>
  <c r="I133" i="156" s="1"/>
  <c r="K35" i="156"/>
  <c r="K99" i="156" s="1"/>
  <c r="K133" i="156" s="1"/>
  <c r="G35" i="156"/>
  <c r="G99" i="156" s="1"/>
  <c r="G133" i="156" s="1"/>
  <c r="H35" i="156"/>
  <c r="H99" i="156" s="1"/>
  <c r="H133" i="156" s="1"/>
  <c r="F35" i="156"/>
  <c r="F99" i="156" s="1"/>
  <c r="F133" i="156" s="1"/>
  <c r="S14" i="98"/>
  <c r="L18" i="178" s="1"/>
  <c r="L54" i="98"/>
  <c r="K31" i="97"/>
  <c r="L31" i="97" s="1"/>
  <c r="M31" i="97" s="1"/>
  <c r="N31" i="97" s="1"/>
  <c r="O31" i="97" s="1"/>
  <c r="P31" i="97" s="1"/>
  <c r="K39" i="97"/>
  <c r="K40" i="97" s="1"/>
  <c r="K30" i="98"/>
  <c r="K32" i="98" s="1"/>
  <c r="L39" i="97"/>
  <c r="L40" i="97" s="1"/>
  <c r="S13" i="97"/>
  <c r="E107" i="104"/>
  <c r="E109" i="104"/>
  <c r="G90" i="104"/>
  <c r="S31" i="95"/>
  <c r="M11" i="101"/>
  <c r="J49" i="98"/>
  <c r="J36" i="98"/>
  <c r="Q49" i="98"/>
  <c r="T14" i="99"/>
  <c r="S34" i="98"/>
  <c r="L33" i="178" s="1"/>
  <c r="L32" i="178" s="1"/>
  <c r="G14" i="171"/>
  <c r="I23" i="174"/>
  <c r="I14" i="171"/>
  <c r="O36" i="98"/>
  <c r="O54" i="98"/>
  <c r="N36" i="98"/>
  <c r="N54" i="98"/>
  <c r="S12" i="99"/>
  <c r="S17" i="99" s="1"/>
  <c r="S18" i="99" s="1"/>
  <c r="S19" i="95" s="1"/>
  <c r="S18" i="95" s="1"/>
  <c r="L52" i="178" s="1"/>
  <c r="L53" i="178" s="1"/>
  <c r="T13" i="99"/>
  <c r="U13" i="99" s="1"/>
  <c r="S31" i="98"/>
  <c r="L30" i="178" s="1"/>
  <c r="G4" i="96"/>
  <c r="F22" i="96"/>
  <c r="N45" i="63"/>
  <c r="N43" i="63"/>
  <c r="D18" i="174"/>
  <c r="E28" i="112"/>
  <c r="J53" i="98"/>
  <c r="E24" i="174"/>
  <c r="C15" i="171"/>
  <c r="H52" i="98"/>
  <c r="G97" i="110"/>
  <c r="G109" i="110" s="1"/>
  <c r="G115" i="110" s="1"/>
  <c r="B115" i="110" s="1"/>
  <c r="I10" i="110" s="1"/>
  <c r="C99" i="110"/>
  <c r="C97" i="110" s="1"/>
  <c r="C109" i="110" s="1"/>
  <c r="P23" i="100"/>
  <c r="O24" i="100"/>
  <c r="P38" i="98"/>
  <c r="F12" i="68"/>
  <c r="J47" i="100"/>
  <c r="K39" i="98"/>
  <c r="K44" i="98" s="1"/>
  <c r="K42" i="100"/>
  <c r="K47" i="100" s="1"/>
  <c r="E66" i="104" s="1"/>
  <c r="I111" i="104" s="1"/>
  <c r="W21" i="100"/>
  <c r="W22" i="100" s="1"/>
  <c r="E26" i="68"/>
  <c r="R14" i="31"/>
  <c r="R159" i="31" s="1"/>
  <c r="H20" i="6"/>
  <c r="I18" i="174"/>
  <c r="S108" i="31"/>
  <c r="S157" i="31"/>
  <c r="S175" i="31"/>
  <c r="F58" i="98"/>
  <c r="F16" i="95"/>
  <c r="F23" i="95"/>
  <c r="F37" i="95"/>
  <c r="C7" i="174"/>
  <c r="C12" i="174" s="1"/>
  <c r="C105" i="96"/>
  <c r="C106" i="96"/>
  <c r="Z126" i="96"/>
  <c r="B143" i="96"/>
  <c r="B160" i="96" s="1"/>
  <c r="B129" i="96"/>
  <c r="B112" i="96"/>
  <c r="F11" i="174"/>
  <c r="F18" i="174"/>
  <c r="G18" i="174"/>
  <c r="O61" i="98"/>
  <c r="O59" i="98"/>
  <c r="T162" i="31"/>
  <c r="T180" i="31"/>
  <c r="L14" i="6"/>
  <c r="U13" i="31" s="1"/>
  <c r="L16" i="6"/>
  <c r="U14" i="31" s="1"/>
  <c r="G16" i="95"/>
  <c r="G37" i="95"/>
  <c r="G43" i="95"/>
  <c r="G58" i="98"/>
  <c r="G23" i="95"/>
  <c r="D7" i="174"/>
  <c r="Y15" i="95"/>
  <c r="N43" i="95"/>
  <c r="J7" i="174"/>
  <c r="N22" i="13"/>
  <c r="R180" i="31"/>
  <c r="Q180" i="31"/>
  <c r="H43" i="95"/>
  <c r="R166" i="31"/>
  <c r="E11" i="174"/>
  <c r="E18" i="174"/>
  <c r="R241" i="31"/>
  <c r="O24" i="13"/>
  <c r="R182" i="31"/>
  <c r="S182" i="31"/>
  <c r="J18" i="174"/>
  <c r="B147" i="96"/>
  <c r="B164" i="96" s="1"/>
  <c r="Z130" i="96"/>
  <c r="B122" i="96"/>
  <c r="B105" i="96"/>
  <c r="B175" i="96"/>
  <c r="B192" i="96"/>
  <c r="B209" i="96" s="1"/>
  <c r="B226" i="96" s="1"/>
  <c r="P29" i="98"/>
  <c r="M27" i="174" s="1"/>
  <c r="B174" i="96"/>
  <c r="B191" i="96"/>
  <c r="B208" i="96" s="1"/>
  <c r="B225" i="96" s="1"/>
  <c r="P38" i="97"/>
  <c r="C104" i="96"/>
  <c r="C55" i="96"/>
  <c r="B128" i="96"/>
  <c r="B111" i="96"/>
  <c r="N255" i="96"/>
  <c r="N272" i="96" s="1"/>
  <c r="N238" i="96"/>
  <c r="B253" i="96"/>
  <c r="B270" i="96"/>
  <c r="B287" i="96" s="1"/>
  <c r="E170" i="96"/>
  <c r="E187" i="96"/>
  <c r="E204" i="96" s="1"/>
  <c r="E221" i="96" s="1"/>
  <c r="H170" i="96"/>
  <c r="H187" i="96"/>
  <c r="H204" i="96" s="1"/>
  <c r="H221" i="96" s="1"/>
  <c r="C56" i="96"/>
  <c r="D72" i="96"/>
  <c r="M238" i="96"/>
  <c r="M255" i="96"/>
  <c r="M272" i="96" s="1"/>
  <c r="A90" i="96"/>
  <c r="A106" i="96"/>
  <c r="C54" i="96"/>
  <c r="D187" i="96"/>
  <c r="D204" i="96" s="1"/>
  <c r="D221" i="96" s="1"/>
  <c r="D170" i="96"/>
  <c r="AJ119" i="96"/>
  <c r="L136" i="96"/>
  <c r="L153" i="96" s="1"/>
  <c r="G238" i="96"/>
  <c r="G255" i="96"/>
  <c r="G272" i="96" s="1"/>
  <c r="K187" i="96"/>
  <c r="K204" i="96" s="1"/>
  <c r="K221" i="96" s="1"/>
  <c r="K170" i="96"/>
  <c r="AH119" i="96"/>
  <c r="J136" i="96"/>
  <c r="J153" i="96" s="1"/>
  <c r="A8" i="104"/>
  <c r="A56" i="96"/>
  <c r="A72" i="96" s="1"/>
  <c r="A40" i="96"/>
  <c r="F170" i="96"/>
  <c r="F187" i="96"/>
  <c r="F204" i="96" s="1"/>
  <c r="F221" i="96" s="1"/>
  <c r="I187" i="96"/>
  <c r="I204" i="96" s="1"/>
  <c r="I221" i="96" s="1"/>
  <c r="I170" i="96"/>
  <c r="B127" i="96"/>
  <c r="B110" i="96"/>
  <c r="R162" i="31"/>
  <c r="R164" i="31"/>
  <c r="R155" i="31"/>
  <c r="R150" i="31"/>
  <c r="R152" i="31"/>
  <c r="O15" i="13"/>
  <c r="R122" i="31"/>
  <c r="R173" i="31"/>
  <c r="O33" i="13" s="1"/>
  <c r="R141" i="31"/>
  <c r="R157" i="31"/>
  <c r="R108" i="31"/>
  <c r="O38" i="13" s="1"/>
  <c r="R156" i="31"/>
  <c r="R117" i="31"/>
  <c r="O45" i="13" s="1"/>
  <c r="F19" i="174"/>
  <c r="F12" i="174"/>
  <c r="R161" i="31"/>
  <c r="I61" i="98"/>
  <c r="I59" i="98"/>
  <c r="P41" i="46"/>
  <c r="P38" i="46"/>
  <c r="P40" i="46" s="1"/>
  <c r="M26" i="95"/>
  <c r="M46" i="95"/>
  <c r="O28" i="13"/>
  <c r="R186" i="31"/>
  <c r="R168" i="31"/>
  <c r="S186" i="31"/>
  <c r="AA11" i="95"/>
  <c r="AA17" i="95" s="1"/>
  <c r="I5" i="101"/>
  <c r="I5" i="97"/>
  <c r="I5" i="103"/>
  <c r="I5" i="102"/>
  <c r="J5" i="95"/>
  <c r="I5" i="181"/>
  <c r="I5" i="100"/>
  <c r="I5" i="99"/>
  <c r="I5" i="98"/>
  <c r="H61" i="98"/>
  <c r="Q124" i="31"/>
  <c r="N52" i="13" s="1"/>
  <c r="N49" i="13"/>
  <c r="S173" i="31"/>
  <c r="E62" i="68"/>
  <c r="E64" i="68" s="1"/>
  <c r="E24" i="68"/>
  <c r="D62" i="68"/>
  <c r="D64" i="68" s="1"/>
  <c r="D24" i="68"/>
  <c r="AF13" i="95"/>
  <c r="AG12" i="95"/>
  <c r="T27" i="46"/>
  <c r="F15" i="13"/>
  <c r="U125" i="31"/>
  <c r="V174" i="31"/>
  <c r="U123" i="31"/>
  <c r="U121" i="31"/>
  <c r="U124" i="31" s="1"/>
  <c r="U174" i="31"/>
  <c r="U156" i="31"/>
  <c r="H26" i="95"/>
  <c r="H46" i="95"/>
  <c r="X23" i="95"/>
  <c r="U12" i="31"/>
  <c r="L13" i="6"/>
  <c r="L19" i="6"/>
  <c r="C9" i="30"/>
  <c r="C9" i="5"/>
  <c r="C9" i="6"/>
  <c r="E9" i="15"/>
  <c r="I9" i="15" s="1"/>
  <c r="M9" i="31"/>
  <c r="D9" i="6"/>
  <c r="D9" i="5"/>
  <c r="E9" i="5" s="1"/>
  <c r="F9" i="5" s="1"/>
  <c r="G9" i="5" s="1"/>
  <c r="H9" i="5" s="1"/>
  <c r="I9" i="5" s="1"/>
  <c r="J9" i="5" s="1"/>
  <c r="K9" i="5" s="1"/>
  <c r="L9" i="5" s="1"/>
  <c r="M9" i="5" s="1"/>
  <c r="N9" i="5" s="1"/>
  <c r="O9" i="5" s="1"/>
  <c r="P9" i="5" s="1"/>
  <c r="D9" i="30"/>
  <c r="E9" i="30" s="1"/>
  <c r="F9" i="30" s="1"/>
  <c r="G9" i="30" s="1"/>
  <c r="H9" i="30" s="1"/>
  <c r="I9" i="30" s="1"/>
  <c r="J9" i="30" s="1"/>
  <c r="K9" i="30" s="1"/>
  <c r="L9" i="30" s="1"/>
  <c r="M9" i="30" s="1"/>
  <c r="N9" i="30" s="1"/>
  <c r="O9" i="30" s="1"/>
  <c r="P9" i="30" s="1"/>
  <c r="G113" i="157" l="1"/>
  <c r="G108" i="157"/>
  <c r="G104" i="157"/>
  <c r="G105" i="157" s="1"/>
  <c r="G123" i="157"/>
  <c r="J49" i="157"/>
  <c r="I56" i="157"/>
  <c r="I62" i="157" s="1"/>
  <c r="I69" i="157" s="1"/>
  <c r="I74" i="157" s="1"/>
  <c r="H78" i="157"/>
  <c r="H87" i="157" s="1"/>
  <c r="H82" i="157"/>
  <c r="H95" i="157" s="1"/>
  <c r="F104" i="157"/>
  <c r="F105" i="157" s="1"/>
  <c r="F108" i="157"/>
  <c r="F123" i="157"/>
  <c r="F113" i="157"/>
  <c r="Q17" i="157"/>
  <c r="P19" i="157"/>
  <c r="C199" i="48"/>
  <c r="C200" i="48" s="1"/>
  <c r="S4" i="59" s="1"/>
  <c r="H168" i="48"/>
  <c r="H51" i="48"/>
  <c r="H87" i="48" s="1"/>
  <c r="H13" i="48"/>
  <c r="I32" i="48"/>
  <c r="C203" i="65"/>
  <c r="C204" i="65" s="1"/>
  <c r="G160" i="48"/>
  <c r="G178" i="48" s="1"/>
  <c r="G112" i="48"/>
  <c r="G135" i="48" s="1"/>
  <c r="C176" i="65"/>
  <c r="C182" i="65" s="1"/>
  <c r="J50" i="98"/>
  <c r="J46" i="98"/>
  <c r="J51" i="98"/>
  <c r="T22" i="98"/>
  <c r="L23" i="178"/>
  <c r="S36" i="97"/>
  <c r="K23" i="97"/>
  <c r="H19" i="174"/>
  <c r="I19" i="174"/>
  <c r="Q31" i="97"/>
  <c r="R31" i="97" s="1"/>
  <c r="S31" i="97" s="1"/>
  <c r="T31" i="97" s="1"/>
  <c r="R199" i="66"/>
  <c r="R200" i="66" s="1"/>
  <c r="R202" i="66" s="1"/>
  <c r="C203" i="66" s="1"/>
  <c r="C204" i="66" s="1"/>
  <c r="H187" i="65"/>
  <c r="E205" i="65" s="1"/>
  <c r="H184" i="65"/>
  <c r="C185" i="65" s="1"/>
  <c r="C186" i="65" s="1"/>
  <c r="R216" i="48"/>
  <c r="R217" i="48" s="1"/>
  <c r="R219" i="48" s="1"/>
  <c r="C220" i="48" s="1"/>
  <c r="C221" i="48" s="1"/>
  <c r="P182" i="66"/>
  <c r="P184" i="66" s="1"/>
  <c r="C176" i="66"/>
  <c r="C182" i="66" s="1"/>
  <c r="L204" i="48"/>
  <c r="L199" i="48"/>
  <c r="E126" i="132"/>
  <c r="G52" i="132"/>
  <c r="F50" i="132"/>
  <c r="T33" i="100"/>
  <c r="B176" i="96"/>
  <c r="Z125" i="96"/>
  <c r="B183" i="96"/>
  <c r="P170" i="96"/>
  <c r="J19" i="174"/>
  <c r="G12" i="174"/>
  <c r="I85" i="68"/>
  <c r="T15" i="31"/>
  <c r="T160" i="31" s="1"/>
  <c r="H33" i="6"/>
  <c r="T157" i="31"/>
  <c r="T175" i="31"/>
  <c r="I26" i="6"/>
  <c r="E49" i="68" s="1"/>
  <c r="T17" i="46"/>
  <c r="F302" i="58" s="1"/>
  <c r="G302" i="58" s="1"/>
  <c r="G37" i="63"/>
  <c r="L34" i="63"/>
  <c r="L36" i="63" s="1"/>
  <c r="H35" i="6"/>
  <c r="T177" i="31"/>
  <c r="G19" i="174"/>
  <c r="Y23" i="95"/>
  <c r="E131" i="68"/>
  <c r="D25" i="68"/>
  <c r="C228" i="63"/>
  <c r="Q13" i="31"/>
  <c r="K26" i="6"/>
  <c r="K28" i="6" s="1"/>
  <c r="Q34" i="63"/>
  <c r="Q36" i="63" s="1"/>
  <c r="M47" i="63"/>
  <c r="M48" i="63" s="1"/>
  <c r="J26" i="6"/>
  <c r="J35" i="6" s="1"/>
  <c r="S15" i="31"/>
  <c r="I46" i="95"/>
  <c r="E132" i="68"/>
  <c r="Q14" i="31"/>
  <c r="D26" i="68"/>
  <c r="N47" i="63"/>
  <c r="Q47" i="63" s="1"/>
  <c r="I28" i="6"/>
  <c r="R22" i="31" s="1"/>
  <c r="R12" i="100"/>
  <c r="T18" i="97"/>
  <c r="T39" i="97" s="1"/>
  <c r="S30" i="98"/>
  <c r="L31" i="178" s="1"/>
  <c r="S11" i="98"/>
  <c r="L16" i="178" s="1"/>
  <c r="T13" i="97"/>
  <c r="T36" i="97" s="1"/>
  <c r="J46" i="95"/>
  <c r="O26" i="95"/>
  <c r="O29" i="95" s="1"/>
  <c r="O30" i="95" s="1"/>
  <c r="L46" i="95"/>
  <c r="K26" i="95"/>
  <c r="J59" i="98"/>
  <c r="L19" i="174"/>
  <c r="M59" i="98"/>
  <c r="L61" i="98"/>
  <c r="I12" i="174"/>
  <c r="G50" i="155"/>
  <c r="H52" i="155"/>
  <c r="F96" i="155"/>
  <c r="F294" i="96"/>
  <c r="F124" i="155"/>
  <c r="G126" i="155"/>
  <c r="F40" i="96"/>
  <c r="I16" i="117"/>
  <c r="H19" i="117"/>
  <c r="H23" i="117" s="1"/>
  <c r="H19" i="157"/>
  <c r="I16" i="157"/>
  <c r="I16" i="132"/>
  <c r="H19" i="132"/>
  <c r="G19" i="176"/>
  <c r="G23" i="176" s="1"/>
  <c r="I8" i="176" s="1"/>
  <c r="H16" i="176"/>
  <c r="H16" i="135"/>
  <c r="G19" i="135"/>
  <c r="G23" i="135" s="1"/>
  <c r="I8" i="135" s="1"/>
  <c r="F19" i="155"/>
  <c r="F23" i="155" s="1"/>
  <c r="G16" i="155"/>
  <c r="G19" i="159"/>
  <c r="G23" i="159" s="1"/>
  <c r="I8" i="159" s="1"/>
  <c r="H16" i="159"/>
  <c r="I16" i="121"/>
  <c r="H19" i="121"/>
  <c r="H16" i="156"/>
  <c r="G19" i="156"/>
  <c r="G23" i="156" s="1"/>
  <c r="I8" i="156" s="1"/>
  <c r="P15" i="119"/>
  <c r="O23" i="119"/>
  <c r="I19" i="119"/>
  <c r="I23" i="119" s="1"/>
  <c r="J16" i="119"/>
  <c r="G23" i="121"/>
  <c r="I8" i="121" s="1"/>
  <c r="H15" i="121"/>
  <c r="H15" i="159"/>
  <c r="G23" i="157"/>
  <c r="I8" i="157" s="1"/>
  <c r="H15" i="157"/>
  <c r="O23" i="135"/>
  <c r="O104" i="135" s="1"/>
  <c r="P15" i="135"/>
  <c r="F23" i="132"/>
  <c r="G15" i="132"/>
  <c r="H19" i="133"/>
  <c r="H23" i="133" s="1"/>
  <c r="I16" i="133"/>
  <c r="I16" i="137"/>
  <c r="H19" i="137"/>
  <c r="H23" i="137" s="1"/>
  <c r="H19" i="134"/>
  <c r="H23" i="134" s="1"/>
  <c r="I16" i="134"/>
  <c r="S15" i="134"/>
  <c r="T15" i="134" s="1"/>
  <c r="U15" i="134" s="1"/>
  <c r="R23" i="134"/>
  <c r="T23" i="134"/>
  <c r="S23" i="134"/>
  <c r="Q23" i="134"/>
  <c r="G23" i="160"/>
  <c r="I8" i="160" s="1"/>
  <c r="H15" i="160"/>
  <c r="I15" i="155"/>
  <c r="O170" i="96"/>
  <c r="Z133" i="96"/>
  <c r="B150" i="96"/>
  <c r="B167" i="96" s="1"/>
  <c r="Q187" i="96"/>
  <c r="Q204" i="96" s="1"/>
  <c r="Q221" i="96" s="1"/>
  <c r="Q255" i="96" s="1"/>
  <c r="Q272" i="96" s="1"/>
  <c r="N59" i="98"/>
  <c r="T34" i="98"/>
  <c r="U14" i="99"/>
  <c r="V14" i="99" s="1"/>
  <c r="W14" i="99" s="1"/>
  <c r="S60" i="98"/>
  <c r="V13" i="99"/>
  <c r="T22" i="103"/>
  <c r="T23" i="103" s="1"/>
  <c r="T13" i="103"/>
  <c r="K302" i="96"/>
  <c r="K97" i="161"/>
  <c r="L97" i="161"/>
  <c r="L302" i="96"/>
  <c r="G302" i="96"/>
  <c r="G97" i="161"/>
  <c r="O17" i="161"/>
  <c r="F105" i="161"/>
  <c r="F106" i="161" s="1"/>
  <c r="F114" i="161"/>
  <c r="F109" i="161"/>
  <c r="F124" i="161"/>
  <c r="O302" i="96"/>
  <c r="O97" i="161"/>
  <c r="I97" i="161"/>
  <c r="I302" i="96"/>
  <c r="H302" i="96"/>
  <c r="H97" i="161"/>
  <c r="C48" i="96"/>
  <c r="C57" i="161"/>
  <c r="I11" i="161"/>
  <c r="I12" i="161"/>
  <c r="H16" i="161"/>
  <c r="G19" i="161"/>
  <c r="G23" i="161" s="1"/>
  <c r="I8" i="161" s="1"/>
  <c r="C63" i="161"/>
  <c r="F302" i="96"/>
  <c r="F97" i="161"/>
  <c r="F125" i="161"/>
  <c r="J97" i="161"/>
  <c r="J302" i="96"/>
  <c r="H56" i="161"/>
  <c r="H62" i="161" s="1"/>
  <c r="H70" i="161" s="1"/>
  <c r="H75" i="161" s="1"/>
  <c r="I49" i="161"/>
  <c r="M97" i="161"/>
  <c r="M302" i="96"/>
  <c r="G79" i="161"/>
  <c r="G88" i="161" s="1"/>
  <c r="G83" i="161"/>
  <c r="G96" i="161" s="1"/>
  <c r="J16" i="172"/>
  <c r="K35" i="172"/>
  <c r="J51" i="172"/>
  <c r="K16" i="30"/>
  <c r="J15" i="30"/>
  <c r="C19" i="6"/>
  <c r="C20" i="6" s="1"/>
  <c r="K18" i="31"/>
  <c r="K178" i="31"/>
  <c r="K160" i="31"/>
  <c r="L178" i="31"/>
  <c r="K109" i="31"/>
  <c r="T11" i="29"/>
  <c r="U11" i="29"/>
  <c r="F92" i="33"/>
  <c r="F133" i="33" s="1"/>
  <c r="K109" i="33"/>
  <c r="K156" i="33"/>
  <c r="K139" i="33"/>
  <c r="K140" i="33" s="1"/>
  <c r="K22" i="33"/>
  <c r="K174" i="33"/>
  <c r="K28" i="29"/>
  <c r="Q28" i="29" s="1"/>
  <c r="J12" i="29"/>
  <c r="W12" i="29" s="1"/>
  <c r="W34" i="29"/>
  <c r="F174" i="33"/>
  <c r="F156" i="33"/>
  <c r="F109" i="33"/>
  <c r="F22" i="33"/>
  <c r="F139" i="33"/>
  <c r="F28" i="29"/>
  <c r="G33" i="6"/>
  <c r="C39" i="68" s="1"/>
  <c r="C55" i="68" s="1"/>
  <c r="G26" i="6"/>
  <c r="G20" i="6"/>
  <c r="I33" i="29"/>
  <c r="V33" i="29" s="1"/>
  <c r="G136" i="31"/>
  <c r="G27" i="31"/>
  <c r="G163" i="31"/>
  <c r="G181" i="31"/>
  <c r="G20" i="31"/>
  <c r="G114" i="31"/>
  <c r="J160" i="33"/>
  <c r="E106" i="68"/>
  <c r="J32" i="29"/>
  <c r="J14" i="29" s="1"/>
  <c r="J131" i="33"/>
  <c r="J178" i="33"/>
  <c r="J25" i="33"/>
  <c r="M235" i="31"/>
  <c r="M147" i="31"/>
  <c r="M141" i="31"/>
  <c r="M140" i="31"/>
  <c r="K67" i="13" s="1"/>
  <c r="D21" i="5"/>
  <c r="L124" i="31"/>
  <c r="F42" i="70"/>
  <c r="F44" i="70" s="1"/>
  <c r="E32" i="6"/>
  <c r="F14" i="70" s="1"/>
  <c r="E4" i="69"/>
  <c r="E13" i="69" s="1"/>
  <c r="E15" i="69" s="1"/>
  <c r="F34" i="29"/>
  <c r="F12" i="29" s="1"/>
  <c r="F103" i="33"/>
  <c r="F180" i="33"/>
  <c r="F161" i="33"/>
  <c r="D112" i="31"/>
  <c r="E28" i="29"/>
  <c r="E109" i="33"/>
  <c r="E139" i="33"/>
  <c r="E22" i="33"/>
  <c r="E156" i="33"/>
  <c r="O27" i="31"/>
  <c r="O114" i="31"/>
  <c r="O20" i="31"/>
  <c r="M23" i="13"/>
  <c r="O136" i="31"/>
  <c r="O163" i="31"/>
  <c r="O181" i="31"/>
  <c r="M35" i="13" s="1"/>
  <c r="H11" i="30"/>
  <c r="I12" i="30"/>
  <c r="X23" i="29"/>
  <c r="O11" i="29"/>
  <c r="X11" i="29" s="1"/>
  <c r="M49" i="13"/>
  <c r="O124" i="31"/>
  <c r="M52" i="13" s="1"/>
  <c r="C27" i="68"/>
  <c r="C53" i="68"/>
  <c r="L13" i="29"/>
  <c r="U26" i="29"/>
  <c r="L27" i="13"/>
  <c r="F28" i="6"/>
  <c r="N24" i="31"/>
  <c r="N115" i="31"/>
  <c r="N185" i="31"/>
  <c r="N167" i="31"/>
  <c r="N111" i="31"/>
  <c r="L39" i="13" s="1"/>
  <c r="N119" i="31"/>
  <c r="G30" i="30"/>
  <c r="G29" i="30"/>
  <c r="G32" i="30" s="1"/>
  <c r="G31" i="30"/>
  <c r="G23" i="30"/>
  <c r="G11" i="5" s="1"/>
  <c r="O20" i="33"/>
  <c r="O26" i="33"/>
  <c r="O107" i="33"/>
  <c r="P172" i="33"/>
  <c r="O26" i="29"/>
  <c r="O154" i="33"/>
  <c r="O129" i="33"/>
  <c r="O172" i="33"/>
  <c r="H109" i="31"/>
  <c r="H160" i="31"/>
  <c r="I178" i="31"/>
  <c r="H149" i="31"/>
  <c r="H18" i="31"/>
  <c r="H178" i="31"/>
  <c r="L67" i="13"/>
  <c r="D37" i="13"/>
  <c r="G18" i="33"/>
  <c r="F108" i="68"/>
  <c r="G151" i="33"/>
  <c r="G23" i="29"/>
  <c r="G11" i="29" s="1"/>
  <c r="G169" i="33"/>
  <c r="F114" i="68"/>
  <c r="F115" i="68" s="1"/>
  <c r="H169" i="33"/>
  <c r="G140" i="33"/>
  <c r="G102" i="33"/>
  <c r="D138" i="31"/>
  <c r="D187" i="31"/>
  <c r="D25" i="31"/>
  <c r="D188" i="31" s="1"/>
  <c r="D169" i="31"/>
  <c r="E187" i="31"/>
  <c r="E161" i="33"/>
  <c r="E34" i="29"/>
  <c r="E12" i="29" s="1"/>
  <c r="E103" i="33"/>
  <c r="E92" i="33"/>
  <c r="E133" i="33" s="1"/>
  <c r="D151" i="33"/>
  <c r="D23" i="29"/>
  <c r="D18" i="33"/>
  <c r="D102" i="33"/>
  <c r="D140" i="33"/>
  <c r="C108" i="68"/>
  <c r="C114" i="68"/>
  <c r="D169" i="33"/>
  <c r="E169" i="33"/>
  <c r="C13" i="5"/>
  <c r="C33" i="30"/>
  <c r="L109" i="33"/>
  <c r="L156" i="33"/>
  <c r="L139" i="33"/>
  <c r="L140" i="33" s="1"/>
  <c r="L22" i="33"/>
  <c r="L174" i="33"/>
  <c r="L28" i="29"/>
  <c r="M174" i="33"/>
  <c r="I14" i="29"/>
  <c r="V14" i="29" s="1"/>
  <c r="V32" i="29"/>
  <c r="F163" i="31"/>
  <c r="F136" i="31"/>
  <c r="F20" i="31"/>
  <c r="F27" i="31"/>
  <c r="F114" i="31"/>
  <c r="F181" i="31"/>
  <c r="Q179" i="33"/>
  <c r="K34" i="29"/>
  <c r="K161" i="33"/>
  <c r="K133" i="33"/>
  <c r="K180" i="33"/>
  <c r="K103" i="33"/>
  <c r="I25" i="31"/>
  <c r="I169" i="31"/>
  <c r="I138" i="31"/>
  <c r="J187" i="31"/>
  <c r="T20" i="29"/>
  <c r="R10" i="29"/>
  <c r="N30" i="29"/>
  <c r="W30" i="29" s="1"/>
  <c r="N104" i="33"/>
  <c r="N158" i="33"/>
  <c r="N112" i="33"/>
  <c r="N108" i="33"/>
  <c r="N106" i="33" s="1"/>
  <c r="N105" i="33" s="1"/>
  <c r="N176" i="33"/>
  <c r="N24" i="33"/>
  <c r="C113" i="68"/>
  <c r="G112" i="68"/>
  <c r="G113" i="68" s="1"/>
  <c r="L161" i="33"/>
  <c r="L34" i="29"/>
  <c r="L180" i="33"/>
  <c r="L133" i="33"/>
  <c r="M180" i="33"/>
  <c r="L103" i="33"/>
  <c r="R11" i="29"/>
  <c r="T23" i="29"/>
  <c r="M188" i="31"/>
  <c r="K36" i="13" s="1"/>
  <c r="K30" i="13"/>
  <c r="K65" i="13" s="1"/>
  <c r="U10" i="29"/>
  <c r="T10" i="29"/>
  <c r="D10" i="29"/>
  <c r="P20" i="29"/>
  <c r="P10" i="29" s="1"/>
  <c r="I88" i="68"/>
  <c r="K13" i="29"/>
  <c r="Q26" i="29"/>
  <c r="Q13" i="29" s="1"/>
  <c r="C106" i="68"/>
  <c r="H25" i="33"/>
  <c r="I179" i="33" s="1"/>
  <c r="H131" i="33"/>
  <c r="H32" i="29"/>
  <c r="H160" i="33"/>
  <c r="T52" i="95"/>
  <c r="X64" i="172"/>
  <c r="S48" i="172"/>
  <c r="T48" i="172" s="1"/>
  <c r="U48" i="172" s="1"/>
  <c r="V48" i="172" s="1"/>
  <c r="W48" i="172" s="1"/>
  <c r="X48" i="172" s="1"/>
  <c r="Y48" i="172" s="1"/>
  <c r="Z48" i="172" s="1"/>
  <c r="U40" i="172"/>
  <c r="U41" i="172" s="1"/>
  <c r="U42" i="172" s="1"/>
  <c r="F50" i="157"/>
  <c r="E49" i="96"/>
  <c r="E126" i="157"/>
  <c r="U49" i="172"/>
  <c r="R63" i="95" s="1"/>
  <c r="V38" i="172"/>
  <c r="V37" i="172"/>
  <c r="W36" i="172"/>
  <c r="S65" i="172"/>
  <c r="T72" i="172"/>
  <c r="I63" i="172"/>
  <c r="H77" i="172"/>
  <c r="H87" i="172" s="1"/>
  <c r="P56" i="172"/>
  <c r="Q57" i="172"/>
  <c r="R75" i="172"/>
  <c r="O64" i="95" s="1"/>
  <c r="S81" i="172"/>
  <c r="O70" i="95"/>
  <c r="R80" i="172"/>
  <c r="Q83" i="172"/>
  <c r="P82" i="172"/>
  <c r="N52" i="172"/>
  <c r="O53" i="172"/>
  <c r="N82" i="95"/>
  <c r="N76" i="95"/>
  <c r="Q88" i="172"/>
  <c r="Q89" i="172" s="1"/>
  <c r="Q46" i="172"/>
  <c r="R79" i="172"/>
  <c r="Q78" i="172"/>
  <c r="T41" i="172"/>
  <c r="T42" i="172" s="1"/>
  <c r="R88" i="172"/>
  <c r="R89" i="172" s="1"/>
  <c r="R46" i="172"/>
  <c r="R47" i="172"/>
  <c r="O86" i="95" s="1"/>
  <c r="N69" i="172"/>
  <c r="N70" i="172" s="1"/>
  <c r="N74" i="172" s="1"/>
  <c r="I10" i="172"/>
  <c r="H5" i="172"/>
  <c r="S47" i="172"/>
  <c r="S46" i="172"/>
  <c r="S88" i="172"/>
  <c r="S89" i="172" s="1"/>
  <c r="Q55" i="172"/>
  <c r="P54" i="172"/>
  <c r="G9" i="172"/>
  <c r="G13" i="172" s="1"/>
  <c r="H7" i="172"/>
  <c r="P73" i="172"/>
  <c r="O66" i="172"/>
  <c r="O68" i="172" s="1"/>
  <c r="N46" i="95"/>
  <c r="N26" i="95"/>
  <c r="K46" i="181"/>
  <c r="J47" i="181"/>
  <c r="U17" i="137"/>
  <c r="T82" i="137"/>
  <c r="T95" i="137" s="1"/>
  <c r="U74" i="137"/>
  <c r="S108" i="137"/>
  <c r="S123" i="137"/>
  <c r="U49" i="137"/>
  <c r="T56" i="137"/>
  <c r="T62" i="137" s="1"/>
  <c r="T69" i="137" s="1"/>
  <c r="P50" i="137"/>
  <c r="P47" i="96" s="1"/>
  <c r="E47" i="183" s="1"/>
  <c r="Q52" i="137"/>
  <c r="N96" i="137"/>
  <c r="N301" i="96"/>
  <c r="O47" i="96"/>
  <c r="D47" i="183" s="1"/>
  <c r="P63" i="137"/>
  <c r="O63" i="137"/>
  <c r="P56" i="137"/>
  <c r="P62" i="137" s="1"/>
  <c r="P69" i="137" s="1"/>
  <c r="Q49" i="137"/>
  <c r="Q56" i="137" s="1"/>
  <c r="Q62" i="137" s="1"/>
  <c r="Q69" i="137" s="1"/>
  <c r="O108" i="137"/>
  <c r="O123" i="137"/>
  <c r="P126" i="137"/>
  <c r="Q74" i="137"/>
  <c r="P82" i="137"/>
  <c r="P95" i="137" s="1"/>
  <c r="J96" i="137"/>
  <c r="J301" i="96"/>
  <c r="M301" i="96"/>
  <c r="M96" i="137"/>
  <c r="H301" i="96"/>
  <c r="H96" i="137"/>
  <c r="L96" i="137"/>
  <c r="L301" i="96"/>
  <c r="K96" i="137"/>
  <c r="K301" i="96"/>
  <c r="I96" i="137"/>
  <c r="I301" i="96"/>
  <c r="F124" i="137"/>
  <c r="F96" i="137"/>
  <c r="F301" i="96"/>
  <c r="G96" i="137"/>
  <c r="G301" i="96"/>
  <c r="E46" i="96"/>
  <c r="F50" i="135"/>
  <c r="F63" i="135" s="1"/>
  <c r="E126" i="135"/>
  <c r="R19" i="135"/>
  <c r="T56" i="135"/>
  <c r="T62" i="135" s="1"/>
  <c r="T69" i="135" s="1"/>
  <c r="U49" i="135"/>
  <c r="V17" i="135"/>
  <c r="U74" i="135"/>
  <c r="T82" i="135"/>
  <c r="T95" i="135" s="1"/>
  <c r="S123" i="135"/>
  <c r="S108" i="135"/>
  <c r="T108" i="132"/>
  <c r="T123" i="132"/>
  <c r="U82" i="132"/>
  <c r="U95" i="132" s="1"/>
  <c r="T56" i="132"/>
  <c r="T62" i="132" s="1"/>
  <c r="T69" i="132" s="1"/>
  <c r="U49" i="132"/>
  <c r="U56" i="132" s="1"/>
  <c r="U62" i="132" s="1"/>
  <c r="U69" i="132" s="1"/>
  <c r="Q298" i="96"/>
  <c r="Q96" i="133"/>
  <c r="C96" i="133"/>
  <c r="C298" i="96"/>
  <c r="T52" i="133"/>
  <c r="S50" i="133"/>
  <c r="R44" i="96"/>
  <c r="G44" i="183" s="1"/>
  <c r="T49" i="133"/>
  <c r="S56" i="133"/>
  <c r="S62" i="133" s="1"/>
  <c r="S69" i="133" s="1"/>
  <c r="O127" i="133"/>
  <c r="P124" i="133"/>
  <c r="R123" i="133"/>
  <c r="R108" i="133"/>
  <c r="R63" i="133"/>
  <c r="T74" i="133"/>
  <c r="S82" i="133"/>
  <c r="S95" i="133" s="1"/>
  <c r="R126" i="133"/>
  <c r="S126" i="133" s="1"/>
  <c r="V17" i="133"/>
  <c r="U238" i="96"/>
  <c r="U255" i="96"/>
  <c r="U272" i="96" s="1"/>
  <c r="V238" i="96"/>
  <c r="V255" i="96"/>
  <c r="V272" i="96" s="1"/>
  <c r="B172" i="96"/>
  <c r="B189" i="96"/>
  <c r="B206" i="96" s="1"/>
  <c r="B223" i="96" s="1"/>
  <c r="B148" i="96"/>
  <c r="B165" i="96" s="1"/>
  <c r="Z131" i="96"/>
  <c r="W14" i="119"/>
  <c r="X14" i="117"/>
  <c r="V123" i="134"/>
  <c r="V108" i="134"/>
  <c r="Q82" i="134"/>
  <c r="Q95" i="134" s="1"/>
  <c r="R74" i="134"/>
  <c r="O63" i="134"/>
  <c r="O96" i="134" s="1"/>
  <c r="N63" i="134"/>
  <c r="N96" i="134" s="1"/>
  <c r="P123" i="134"/>
  <c r="P108" i="134"/>
  <c r="P104" i="134"/>
  <c r="R49" i="134"/>
  <c r="Q56" i="134"/>
  <c r="Q62" i="134" s="1"/>
  <c r="Q69" i="134" s="1"/>
  <c r="Q52" i="134"/>
  <c r="P50" i="134"/>
  <c r="P63" i="134" s="1"/>
  <c r="P96" i="134" s="1"/>
  <c r="M43" i="96"/>
  <c r="O43" i="96"/>
  <c r="D43" i="183" s="1"/>
  <c r="F43" i="96"/>
  <c r="H63" i="134"/>
  <c r="J63" i="134"/>
  <c r="H43" i="96"/>
  <c r="M63" i="134"/>
  <c r="K43" i="96"/>
  <c r="L63" i="134"/>
  <c r="J43" i="96"/>
  <c r="E43" i="96"/>
  <c r="G63" i="134"/>
  <c r="I43" i="96"/>
  <c r="K63" i="134"/>
  <c r="I63" i="134"/>
  <c r="G43" i="96"/>
  <c r="D126" i="134"/>
  <c r="E126" i="134" s="1"/>
  <c r="F126" i="134" s="1"/>
  <c r="G126" i="134" s="1"/>
  <c r="H126" i="134" s="1"/>
  <c r="I126" i="134" s="1"/>
  <c r="J126" i="134" s="1"/>
  <c r="K126" i="134" s="1"/>
  <c r="L126" i="134" s="1"/>
  <c r="M126" i="134" s="1"/>
  <c r="N126" i="134" s="1"/>
  <c r="O126" i="134" s="1"/>
  <c r="D43" i="96"/>
  <c r="D50" i="96" s="1"/>
  <c r="F63" i="134"/>
  <c r="Q63" i="117"/>
  <c r="E290" i="96"/>
  <c r="E304" i="96" s="1"/>
  <c r="E26" i="96" s="1"/>
  <c r="C19" i="171" s="1"/>
  <c r="E96" i="117"/>
  <c r="D290" i="96"/>
  <c r="D304" i="96" s="1"/>
  <c r="D124" i="117"/>
  <c r="D96" i="117"/>
  <c r="F126" i="117"/>
  <c r="E36" i="96"/>
  <c r="F50" i="117"/>
  <c r="F42" i="96"/>
  <c r="G50" i="160"/>
  <c r="G63" i="160" s="1"/>
  <c r="F63" i="160"/>
  <c r="F126" i="160"/>
  <c r="G126" i="160" s="1"/>
  <c r="R19" i="156"/>
  <c r="S19" i="156"/>
  <c r="K15" i="156"/>
  <c r="E41" i="96"/>
  <c r="F50" i="156"/>
  <c r="E126" i="156"/>
  <c r="K54" i="98"/>
  <c r="K36" i="98"/>
  <c r="K46" i="98" s="1"/>
  <c r="K47" i="98" s="1"/>
  <c r="E14" i="171"/>
  <c r="G23" i="174"/>
  <c r="S30" i="103"/>
  <c r="S32" i="103" s="1"/>
  <c r="L82" i="178" s="1"/>
  <c r="S49" i="98"/>
  <c r="T31" i="98"/>
  <c r="T12" i="99"/>
  <c r="P32" i="98"/>
  <c r="P36" i="98" s="1"/>
  <c r="H4" i="96"/>
  <c r="G22" i="96"/>
  <c r="Q238" i="96"/>
  <c r="J52" i="98"/>
  <c r="E15" i="171"/>
  <c r="G24" i="174"/>
  <c r="L42" i="100"/>
  <c r="L47" i="100" s="1"/>
  <c r="F66" i="104" s="1"/>
  <c r="J111" i="104" s="1"/>
  <c r="L39" i="98"/>
  <c r="L44" i="98" s="1"/>
  <c r="Q23" i="100"/>
  <c r="Q24" i="100" s="1"/>
  <c r="P24" i="100"/>
  <c r="K50" i="98"/>
  <c r="K53" i="98"/>
  <c r="K51" i="98"/>
  <c r="G25" i="174"/>
  <c r="E16" i="171"/>
  <c r="O19" i="13"/>
  <c r="R177" i="31"/>
  <c r="S177" i="31"/>
  <c r="F46" i="95"/>
  <c r="F26" i="95"/>
  <c r="F61" i="98"/>
  <c r="F59" i="98"/>
  <c r="R15" i="31"/>
  <c r="E140" i="68"/>
  <c r="D39" i="68"/>
  <c r="D55" i="68" s="1"/>
  <c r="Q27" i="31"/>
  <c r="P255" i="96"/>
  <c r="P272" i="96" s="1"/>
  <c r="P238" i="96"/>
  <c r="O255" i="96"/>
  <c r="O272" i="96" s="1"/>
  <c r="O238" i="96"/>
  <c r="Z129" i="96"/>
  <c r="B146" i="96"/>
  <c r="B163" i="96" s="1"/>
  <c r="B194" i="96"/>
  <c r="B211" i="96" s="1"/>
  <c r="B228" i="96" s="1"/>
  <c r="B177" i="96"/>
  <c r="E138" i="68"/>
  <c r="F138" i="68" s="1"/>
  <c r="Q22" i="31"/>
  <c r="H30" i="6"/>
  <c r="U158" i="31"/>
  <c r="V176" i="31"/>
  <c r="U176" i="31"/>
  <c r="V177" i="31"/>
  <c r="U159" i="31"/>
  <c r="U177" i="31"/>
  <c r="D12" i="174"/>
  <c r="D19" i="174"/>
  <c r="E19" i="174"/>
  <c r="G46" i="95"/>
  <c r="G26" i="95"/>
  <c r="J12" i="174"/>
  <c r="K19" i="174"/>
  <c r="G59" i="98"/>
  <c r="G61" i="98"/>
  <c r="Z122" i="96"/>
  <c r="B139" i="96"/>
  <c r="B156" i="96" s="1"/>
  <c r="B145" i="96"/>
  <c r="B162" i="96" s="1"/>
  <c r="Z128" i="96"/>
  <c r="B260" i="96"/>
  <c r="B277" i="96" s="1"/>
  <c r="B243" i="96"/>
  <c r="B198" i="96"/>
  <c r="B215" i="96" s="1"/>
  <c r="B232" i="96" s="1"/>
  <c r="B181" i="96"/>
  <c r="B242" i="96"/>
  <c r="B259" i="96"/>
  <c r="B276" i="96" s="1"/>
  <c r="L170" i="96"/>
  <c r="L187" i="96"/>
  <c r="L204" i="96" s="1"/>
  <c r="L221" i="96" s="1"/>
  <c r="B244" i="96"/>
  <c r="B261" i="96"/>
  <c r="B278" i="96" s="1"/>
  <c r="E255" i="96"/>
  <c r="E272" i="96" s="1"/>
  <c r="E238" i="96"/>
  <c r="F255" i="96"/>
  <c r="F272" i="96" s="1"/>
  <c r="F238" i="96"/>
  <c r="A41" i="96"/>
  <c r="A9" i="104"/>
  <c r="A57" i="96"/>
  <c r="A73" i="96" s="1"/>
  <c r="K255" i="96"/>
  <c r="K272" i="96" s="1"/>
  <c r="K238" i="96"/>
  <c r="J170" i="96"/>
  <c r="J187" i="96"/>
  <c r="J204" i="96" s="1"/>
  <c r="J221" i="96" s="1"/>
  <c r="D255" i="96"/>
  <c r="D272" i="96" s="1"/>
  <c r="D238" i="96"/>
  <c r="A91" i="96"/>
  <c r="A107" i="96"/>
  <c r="Z127" i="96"/>
  <c r="B144" i="96"/>
  <c r="B161" i="96" s="1"/>
  <c r="B251" i="96"/>
  <c r="B268" i="96"/>
  <c r="B285" i="96" s="1"/>
  <c r="I255" i="96"/>
  <c r="I272" i="96" s="1"/>
  <c r="I238" i="96"/>
  <c r="H238" i="96"/>
  <c r="H255" i="96"/>
  <c r="H272" i="96" s="1"/>
  <c r="E8" i="174"/>
  <c r="H29" i="95"/>
  <c r="H38" i="95"/>
  <c r="X26" i="95"/>
  <c r="C24" i="102"/>
  <c r="I19" i="102"/>
  <c r="Y26" i="95"/>
  <c r="I29" i="95"/>
  <c r="F8" i="174"/>
  <c r="I38" i="95"/>
  <c r="O50" i="13"/>
  <c r="R124" i="31"/>
  <c r="O52" i="13" s="1"/>
  <c r="J5" i="98"/>
  <c r="J5" i="101"/>
  <c r="J20" i="101" s="1"/>
  <c r="J5" i="99"/>
  <c r="J5" i="100"/>
  <c r="J5" i="102"/>
  <c r="J19" i="102" s="1"/>
  <c r="K5" i="95"/>
  <c r="J5" i="181"/>
  <c r="J5" i="97"/>
  <c r="AB11" i="95"/>
  <c r="AB17" i="95" s="1"/>
  <c r="J5" i="103"/>
  <c r="L20" i="6"/>
  <c r="L26" i="6"/>
  <c r="P90" i="31"/>
  <c r="F16" i="13"/>
  <c r="C13" i="13" s="1"/>
  <c r="I20" i="101"/>
  <c r="C25" i="101"/>
  <c r="L8" i="174"/>
  <c r="J38" i="95"/>
  <c r="J29" i="95"/>
  <c r="J30" i="95" s="1"/>
  <c r="G8" i="174"/>
  <c r="D53" i="68"/>
  <c r="D27" i="68"/>
  <c r="E53" i="68"/>
  <c r="E27" i="68"/>
  <c r="U15" i="31"/>
  <c r="U175" i="31"/>
  <c r="U108" i="31"/>
  <c r="U157" i="31"/>
  <c r="V175" i="31"/>
  <c r="I15" i="100"/>
  <c r="I35" i="100"/>
  <c r="G104" i="175" s="1"/>
  <c r="F143" i="175" s="1"/>
  <c r="AG13" i="95"/>
  <c r="AH12" i="95"/>
  <c r="I15" i="181"/>
  <c r="I35" i="181"/>
  <c r="L29" i="95"/>
  <c r="L30" i="95" s="1"/>
  <c r="I8" i="174"/>
  <c r="L38" i="95"/>
  <c r="J8" i="174"/>
  <c r="M38" i="95"/>
  <c r="M29" i="95"/>
  <c r="M30" i="95" s="1"/>
  <c r="K14" i="13"/>
  <c r="N9" i="31"/>
  <c r="E9" i="6"/>
  <c r="S4" i="44" l="1"/>
  <c r="S4" i="45"/>
  <c r="T7" i="46"/>
  <c r="T4" i="42"/>
  <c r="I82" i="157"/>
  <c r="I95" i="157" s="1"/>
  <c r="I78" i="157"/>
  <c r="I87" i="157" s="1"/>
  <c r="J74" i="157"/>
  <c r="R17" i="157"/>
  <c r="Q19" i="157"/>
  <c r="H123" i="157"/>
  <c r="H108" i="157"/>
  <c r="H113" i="157"/>
  <c r="H104" i="157"/>
  <c r="H105" i="157" s="1"/>
  <c r="K49" i="157"/>
  <c r="J56" i="157"/>
  <c r="J62" i="157" s="1"/>
  <c r="J69" i="157" s="1"/>
  <c r="I51" i="48"/>
  <c r="I87" i="48" s="1"/>
  <c r="I168" i="48"/>
  <c r="I13" i="48"/>
  <c r="J32" i="48"/>
  <c r="H112" i="48"/>
  <c r="H135" i="48" s="1"/>
  <c r="H160" i="48"/>
  <c r="H178" i="48" s="1"/>
  <c r="F63" i="132"/>
  <c r="F45" i="96"/>
  <c r="F126" i="132"/>
  <c r="G50" i="132"/>
  <c r="H52" i="132"/>
  <c r="S11" i="45"/>
  <c r="S11" i="59" s="1"/>
  <c r="I35" i="6"/>
  <c r="T18" i="31"/>
  <c r="T163" i="31" s="1"/>
  <c r="T109" i="31"/>
  <c r="N48" i="63"/>
  <c r="K35" i="6"/>
  <c r="I30" i="6"/>
  <c r="J28" i="6"/>
  <c r="J30" i="6" s="1"/>
  <c r="K15" i="70" s="1"/>
  <c r="C244" i="63"/>
  <c r="C245" i="63" s="1"/>
  <c r="C223" i="63"/>
  <c r="C224" i="63" s="1"/>
  <c r="C232" i="63"/>
  <c r="C237" i="63" s="1"/>
  <c r="C238" i="63" s="1"/>
  <c r="F228" i="63"/>
  <c r="E228" i="63"/>
  <c r="S18" i="31"/>
  <c r="S109" i="31"/>
  <c r="S160" i="31"/>
  <c r="Q15" i="31"/>
  <c r="Q176" i="31"/>
  <c r="N18" i="13"/>
  <c r="Q158" i="31"/>
  <c r="R176" i="31"/>
  <c r="T178" i="31"/>
  <c r="N19" i="13"/>
  <c r="Q177" i="31"/>
  <c r="Q159" i="31"/>
  <c r="F131" i="68"/>
  <c r="E133" i="68"/>
  <c r="E146" i="68"/>
  <c r="F132" i="68"/>
  <c r="E147" i="68"/>
  <c r="S22" i="31"/>
  <c r="S119" i="31" s="1"/>
  <c r="K40" i="4" s="1"/>
  <c r="H8" i="174"/>
  <c r="H13" i="174" s="1"/>
  <c r="K29" i="95"/>
  <c r="K36" i="100" s="1"/>
  <c r="K38" i="95"/>
  <c r="O38" i="95"/>
  <c r="S12" i="100"/>
  <c r="T30" i="98"/>
  <c r="T11" i="98"/>
  <c r="F127" i="155"/>
  <c r="I52" i="155"/>
  <c r="H50" i="155"/>
  <c r="G40" i="96"/>
  <c r="G63" i="155"/>
  <c r="J16" i="121"/>
  <c r="I19" i="121"/>
  <c r="H19" i="159"/>
  <c r="I16" i="159"/>
  <c r="J16" i="132"/>
  <c r="I19" i="132"/>
  <c r="G19" i="155"/>
  <c r="G23" i="155" s="1"/>
  <c r="I8" i="155" s="1"/>
  <c r="H16" i="155"/>
  <c r="I19" i="157"/>
  <c r="J16" i="157"/>
  <c r="H19" i="156"/>
  <c r="H23" i="156" s="1"/>
  <c r="I16" i="156"/>
  <c r="I16" i="135"/>
  <c r="H19" i="135"/>
  <c r="H23" i="135" s="1"/>
  <c r="I19" i="117"/>
  <c r="I23" i="117" s="1"/>
  <c r="J16" i="117"/>
  <c r="H19" i="176"/>
  <c r="H23" i="176" s="1"/>
  <c r="I16" i="176"/>
  <c r="J19" i="119"/>
  <c r="J23" i="119" s="1"/>
  <c r="K16" i="119"/>
  <c r="Q15" i="119"/>
  <c r="P23" i="119"/>
  <c r="F126" i="135"/>
  <c r="I15" i="121"/>
  <c r="H23" i="121"/>
  <c r="I15" i="159"/>
  <c r="H23" i="159"/>
  <c r="H23" i="157"/>
  <c r="I15" i="157"/>
  <c r="Q15" i="135"/>
  <c r="P23" i="135"/>
  <c r="P104" i="135" s="1"/>
  <c r="G23" i="132"/>
  <c r="I8" i="132" s="1"/>
  <c r="H15" i="132"/>
  <c r="J16" i="133"/>
  <c r="I19" i="133"/>
  <c r="I23" i="133" s="1"/>
  <c r="I19" i="137"/>
  <c r="I23" i="137" s="1"/>
  <c r="J16" i="137"/>
  <c r="V15" i="134"/>
  <c r="V23" i="134" s="1"/>
  <c r="V104" i="134" s="1"/>
  <c r="U23" i="134"/>
  <c r="U104" i="134" s="1"/>
  <c r="I19" i="134"/>
  <c r="I23" i="134" s="1"/>
  <c r="J16" i="134"/>
  <c r="I15" i="160"/>
  <c r="H23" i="160"/>
  <c r="J15" i="155"/>
  <c r="B184" i="96"/>
  <c r="B201" i="96"/>
  <c r="B218" i="96" s="1"/>
  <c r="B235" i="96" s="1"/>
  <c r="F126" i="156"/>
  <c r="U12" i="99"/>
  <c r="U17" i="99" s="1"/>
  <c r="U18" i="99" s="1"/>
  <c r="U19" i="95" s="1"/>
  <c r="U18" i="95" s="1"/>
  <c r="W13" i="99"/>
  <c r="W12" i="99" s="1"/>
  <c r="V12" i="99"/>
  <c r="H83" i="161"/>
  <c r="H96" i="161" s="1"/>
  <c r="H79" i="161"/>
  <c r="H88" i="161" s="1"/>
  <c r="I16" i="161"/>
  <c r="H19" i="161"/>
  <c r="H23" i="161" s="1"/>
  <c r="P17" i="161"/>
  <c r="G109" i="161"/>
  <c r="G124" i="161"/>
  <c r="G114" i="161"/>
  <c r="G105" i="161"/>
  <c r="G106" i="161" s="1"/>
  <c r="F128" i="161"/>
  <c r="G125" i="161"/>
  <c r="G57" i="161"/>
  <c r="K57" i="161"/>
  <c r="H57" i="161"/>
  <c r="I57" i="161"/>
  <c r="F57" i="161"/>
  <c r="M57" i="161"/>
  <c r="D57" i="161"/>
  <c r="N57" i="161"/>
  <c r="E57" i="161"/>
  <c r="O57" i="161"/>
  <c r="C84" i="161"/>
  <c r="J57" i="161"/>
  <c r="L57" i="161"/>
  <c r="C80" i="161"/>
  <c r="C97" i="161"/>
  <c r="C302" i="96"/>
  <c r="J49" i="161"/>
  <c r="I56" i="161"/>
  <c r="I62" i="161" s="1"/>
  <c r="I70" i="161" s="1"/>
  <c r="I75" i="161" s="1"/>
  <c r="K16" i="172"/>
  <c r="AF51" i="172"/>
  <c r="K51" i="172"/>
  <c r="L35" i="172"/>
  <c r="J188" i="31"/>
  <c r="D172" i="33"/>
  <c r="D20" i="33"/>
  <c r="D129" i="33"/>
  <c r="D26" i="33"/>
  <c r="D154" i="33"/>
  <c r="D107" i="33"/>
  <c r="D26" i="29"/>
  <c r="E172" i="33"/>
  <c r="G10" i="5"/>
  <c r="L43" i="13"/>
  <c r="F18" i="5"/>
  <c r="N113" i="31"/>
  <c r="H31" i="30"/>
  <c r="H30" i="30"/>
  <c r="H23" i="30"/>
  <c r="H11" i="5" s="1"/>
  <c r="H29" i="30"/>
  <c r="M31" i="13"/>
  <c r="O110" i="31"/>
  <c r="O189" i="31"/>
  <c r="O140" i="31"/>
  <c r="M67" i="13" s="1"/>
  <c r="O170" i="31"/>
  <c r="H14" i="29"/>
  <c r="P23" i="29"/>
  <c r="P11" i="29" s="1"/>
  <c r="D11" i="29"/>
  <c r="L29" i="13"/>
  <c r="F30" i="6"/>
  <c r="N187" i="31"/>
  <c r="G106" i="68"/>
  <c r="N26" i="31"/>
  <c r="N98" i="31" s="1"/>
  <c r="N239" i="31"/>
  <c r="N245" i="31" s="1"/>
  <c r="N246" i="31" s="1"/>
  <c r="N247" i="31" s="1"/>
  <c r="N25" i="31"/>
  <c r="N138" i="31"/>
  <c r="D35" i="13" s="1"/>
  <c r="N169" i="31"/>
  <c r="C54" i="68"/>
  <c r="C73" i="68"/>
  <c r="M63" i="13" s="1"/>
  <c r="C33" i="68"/>
  <c r="C35" i="68" s="1"/>
  <c r="C37" i="68" s="1"/>
  <c r="G140" i="31"/>
  <c r="G170" i="31"/>
  <c r="G110" i="31"/>
  <c r="G189" i="31"/>
  <c r="G33" i="30"/>
  <c r="G12" i="5"/>
  <c r="G13" i="5" s="1"/>
  <c r="G35" i="30"/>
  <c r="C49" i="68"/>
  <c r="G35" i="6"/>
  <c r="D49" i="68"/>
  <c r="O13" i="29"/>
  <c r="X13" i="29" s="1"/>
  <c r="X26" i="29"/>
  <c r="F165" i="31"/>
  <c r="F22" i="31"/>
  <c r="F116" i="31"/>
  <c r="F148" i="31"/>
  <c r="F183" i="31"/>
  <c r="L158" i="33"/>
  <c r="L108" i="33"/>
  <c r="L106" i="33" s="1"/>
  <c r="L105" i="33" s="1"/>
  <c r="L30" i="29"/>
  <c r="L112" i="33"/>
  <c r="L176" i="33"/>
  <c r="L104" i="33"/>
  <c r="M176" i="33"/>
  <c r="L24" i="33"/>
  <c r="C115" i="68"/>
  <c r="G114" i="68"/>
  <c r="G115" i="68" s="1"/>
  <c r="D40" i="13"/>
  <c r="G40" i="4"/>
  <c r="G41" i="4" s="1"/>
  <c r="L47" i="13"/>
  <c r="R26" i="29"/>
  <c r="U28" i="29"/>
  <c r="E158" i="33"/>
  <c r="E112" i="33"/>
  <c r="E104" i="33"/>
  <c r="E108" i="33"/>
  <c r="E106" i="33" s="1"/>
  <c r="E105" i="33" s="1"/>
  <c r="E30" i="29"/>
  <c r="E24" i="33"/>
  <c r="H33" i="29"/>
  <c r="L12" i="29"/>
  <c r="U34" i="29"/>
  <c r="R34" i="29"/>
  <c r="K12" i="29"/>
  <c r="Q34" i="29"/>
  <c r="Q12" i="29" s="1"/>
  <c r="G26" i="33"/>
  <c r="G107" i="33"/>
  <c r="G26" i="29"/>
  <c r="G13" i="29" s="1"/>
  <c r="G172" i="33"/>
  <c r="H172" i="33"/>
  <c r="G129" i="33"/>
  <c r="G154" i="33"/>
  <c r="G20" i="33"/>
  <c r="O103" i="33"/>
  <c r="O161" i="33"/>
  <c r="O34" i="29"/>
  <c r="P180" i="33"/>
  <c r="O180" i="33"/>
  <c r="O133" i="33"/>
  <c r="T13" i="29"/>
  <c r="U13" i="29"/>
  <c r="O183" i="31"/>
  <c r="M25" i="13"/>
  <c r="O165" i="31"/>
  <c r="O148" i="31"/>
  <c r="O149" i="31" s="1"/>
  <c r="O22" i="31"/>
  <c r="O116" i="31"/>
  <c r="M44" i="13" s="1"/>
  <c r="F28" i="70"/>
  <c r="F31" i="70" s="1"/>
  <c r="F33" i="70"/>
  <c r="F29" i="70"/>
  <c r="G116" i="31"/>
  <c r="G148" i="31"/>
  <c r="G183" i="31"/>
  <c r="G22" i="31"/>
  <c r="G165" i="31"/>
  <c r="F112" i="33"/>
  <c r="F104" i="33"/>
  <c r="F30" i="29"/>
  <c r="F108" i="33"/>
  <c r="F106" i="33" s="1"/>
  <c r="F105" i="33" s="1"/>
  <c r="F158" i="33"/>
  <c r="F176" i="33"/>
  <c r="F24" i="33"/>
  <c r="K108" i="33"/>
  <c r="K106" i="33" s="1"/>
  <c r="K105" i="33" s="1"/>
  <c r="K24" i="33"/>
  <c r="K104" i="33"/>
  <c r="K30" i="29"/>
  <c r="Q30" i="29" s="1"/>
  <c r="K176" i="33"/>
  <c r="K112" i="33"/>
  <c r="K158" i="33"/>
  <c r="K15" i="30"/>
  <c r="L16" i="30"/>
  <c r="N25" i="33"/>
  <c r="N131" i="33"/>
  <c r="N178" i="33"/>
  <c r="E96" i="68"/>
  <c r="N160" i="33"/>
  <c r="N32" i="29"/>
  <c r="H27" i="31"/>
  <c r="H163" i="31"/>
  <c r="H136" i="31"/>
  <c r="H181" i="31"/>
  <c r="H20" i="31"/>
  <c r="H114" i="31"/>
  <c r="I181" i="31"/>
  <c r="K114" i="31"/>
  <c r="K136" i="31"/>
  <c r="K20" i="31"/>
  <c r="K27" i="31"/>
  <c r="K181" i="31"/>
  <c r="K163" i="31"/>
  <c r="L181" i="31"/>
  <c r="F140" i="31"/>
  <c r="F110" i="31"/>
  <c r="F189" i="31"/>
  <c r="F170" i="31"/>
  <c r="O109" i="33"/>
  <c r="P174" i="33"/>
  <c r="O156" i="33"/>
  <c r="O28" i="29"/>
  <c r="X28" i="29" s="1"/>
  <c r="O174" i="33"/>
  <c r="O139" i="33"/>
  <c r="O140" i="33" s="1"/>
  <c r="O22" i="33"/>
  <c r="J12" i="30"/>
  <c r="I11" i="30"/>
  <c r="M42" i="13"/>
  <c r="J33" i="29"/>
  <c r="J179" i="33"/>
  <c r="F47" i="70"/>
  <c r="Y64" i="172"/>
  <c r="U52" i="95"/>
  <c r="T51" i="95"/>
  <c r="F13" i="183" s="1"/>
  <c r="X36" i="172"/>
  <c r="T65" i="172"/>
  <c r="T75" i="172" s="1"/>
  <c r="U72" i="172"/>
  <c r="V40" i="172"/>
  <c r="V41" i="172" s="1"/>
  <c r="V42" i="172" s="1"/>
  <c r="S69" i="95"/>
  <c r="R75" i="95"/>
  <c r="R81" i="95"/>
  <c r="T17" i="99"/>
  <c r="T18" i="99" s="1"/>
  <c r="T19" i="95" s="1"/>
  <c r="T18" i="95" s="1"/>
  <c r="F126" i="157"/>
  <c r="F63" i="157"/>
  <c r="F124" i="157" s="1"/>
  <c r="F49" i="96"/>
  <c r="G50" i="157"/>
  <c r="U88" i="172"/>
  <c r="U89" i="172" s="1"/>
  <c r="U47" i="172"/>
  <c r="U46" i="172"/>
  <c r="W37" i="172"/>
  <c r="W38" i="172"/>
  <c r="T69" i="95" s="1"/>
  <c r="V49" i="172"/>
  <c r="S63" i="95" s="1"/>
  <c r="T46" i="172"/>
  <c r="T47" i="172"/>
  <c r="T88" i="172"/>
  <c r="T89" i="172" s="1"/>
  <c r="R78" i="172"/>
  <c r="S79" i="172"/>
  <c r="P53" i="172"/>
  <c r="O52" i="172"/>
  <c r="O82" i="95"/>
  <c r="O76" i="95"/>
  <c r="P66" i="172"/>
  <c r="P68" i="172" s="1"/>
  <c r="Q73" i="172"/>
  <c r="Q56" i="172"/>
  <c r="R57" i="172"/>
  <c r="Q82" i="172"/>
  <c r="R83" i="172"/>
  <c r="R55" i="172"/>
  <c r="Q54" i="172"/>
  <c r="H9" i="172"/>
  <c r="H13" i="172" s="1"/>
  <c r="I7" i="172"/>
  <c r="J10" i="172"/>
  <c r="I5" i="172"/>
  <c r="I77" i="172"/>
  <c r="I87" i="172" s="1"/>
  <c r="J63" i="172"/>
  <c r="S80" i="172"/>
  <c r="T81" i="172"/>
  <c r="U81" i="172" s="1"/>
  <c r="P70" i="95"/>
  <c r="O69" i="172"/>
  <c r="O70" i="172" s="1"/>
  <c r="O74" i="172" s="1"/>
  <c r="S75" i="172"/>
  <c r="N29" i="95"/>
  <c r="N38" i="95"/>
  <c r="K8" i="174"/>
  <c r="K13" i="174" s="1"/>
  <c r="K47" i="181"/>
  <c r="L46" i="181"/>
  <c r="T108" i="137"/>
  <c r="T123" i="137"/>
  <c r="Q50" i="137"/>
  <c r="R52" i="137"/>
  <c r="V49" i="137"/>
  <c r="U56" i="137"/>
  <c r="U62" i="137" s="1"/>
  <c r="U69" i="137" s="1"/>
  <c r="U82" i="137"/>
  <c r="U95" i="137" s="1"/>
  <c r="V74" i="137"/>
  <c r="V17" i="137"/>
  <c r="O301" i="96"/>
  <c r="O96" i="137"/>
  <c r="P301" i="96"/>
  <c r="P96" i="137"/>
  <c r="Q82" i="137"/>
  <c r="Q95" i="137" s="1"/>
  <c r="P108" i="137"/>
  <c r="P123" i="137"/>
  <c r="C96" i="137"/>
  <c r="C301" i="96"/>
  <c r="F127" i="137"/>
  <c r="G124" i="137"/>
  <c r="F124" i="135"/>
  <c r="F127" i="135" s="1"/>
  <c r="F96" i="135"/>
  <c r="F300" i="96"/>
  <c r="G50" i="135"/>
  <c r="F46" i="96"/>
  <c r="S19" i="135"/>
  <c r="V49" i="135"/>
  <c r="V56" i="135" s="1"/>
  <c r="V62" i="135" s="1"/>
  <c r="V69" i="135" s="1"/>
  <c r="U56" i="135"/>
  <c r="U62" i="135" s="1"/>
  <c r="U69" i="135" s="1"/>
  <c r="T123" i="135"/>
  <c r="T108" i="135"/>
  <c r="V74" i="135"/>
  <c r="U82" i="135"/>
  <c r="U95" i="135" s="1"/>
  <c r="U108" i="132"/>
  <c r="U123" i="132"/>
  <c r="S123" i="133"/>
  <c r="S108" i="133"/>
  <c r="Q124" i="133"/>
  <c r="P127" i="133"/>
  <c r="U52" i="133"/>
  <c r="T50" i="133"/>
  <c r="U74" i="133"/>
  <c r="T82" i="133"/>
  <c r="T95" i="133" s="1"/>
  <c r="S44" i="96"/>
  <c r="H44" i="183" s="1"/>
  <c r="R96" i="133"/>
  <c r="R298" i="96"/>
  <c r="U49" i="133"/>
  <c r="T56" i="133"/>
  <c r="T62" i="133" s="1"/>
  <c r="T69" i="133" s="1"/>
  <c r="S63" i="133"/>
  <c r="W17" i="133"/>
  <c r="B240" i="96"/>
  <c r="B257" i="96"/>
  <c r="B274" i="96" s="1"/>
  <c r="B182" i="96"/>
  <c r="B199" i="96"/>
  <c r="B216" i="96" s="1"/>
  <c r="B233" i="96" s="1"/>
  <c r="R52" i="134"/>
  <c r="Q50" i="134"/>
  <c r="R82" i="134"/>
  <c r="R95" i="134" s="1"/>
  <c r="S74" i="134"/>
  <c r="Q123" i="134"/>
  <c r="Q108" i="134"/>
  <c r="Q104" i="134"/>
  <c r="S49" i="134"/>
  <c r="R56" i="134"/>
  <c r="R62" i="134" s="1"/>
  <c r="R69" i="134" s="1"/>
  <c r="P126" i="134"/>
  <c r="Q126" i="134" s="1"/>
  <c r="O297" i="96"/>
  <c r="P43" i="96"/>
  <c r="E43" i="183" s="1"/>
  <c r="N297" i="96"/>
  <c r="L96" i="134"/>
  <c r="L297" i="96"/>
  <c r="I297" i="96"/>
  <c r="I96" i="134"/>
  <c r="M96" i="134"/>
  <c r="M297" i="96"/>
  <c r="K297" i="96"/>
  <c r="K96" i="134"/>
  <c r="F297" i="96"/>
  <c r="F96" i="134"/>
  <c r="F124" i="134"/>
  <c r="G96" i="134"/>
  <c r="G297" i="96"/>
  <c r="J297" i="96"/>
  <c r="J96" i="134"/>
  <c r="H297" i="96"/>
  <c r="H96" i="134"/>
  <c r="Q290" i="96"/>
  <c r="Q96" i="117"/>
  <c r="E124" i="117"/>
  <c r="D127" i="117"/>
  <c r="F36" i="96"/>
  <c r="F63" i="117"/>
  <c r="G50" i="117"/>
  <c r="G126" i="117" s="1"/>
  <c r="G296" i="96"/>
  <c r="G96" i="160"/>
  <c r="F96" i="160"/>
  <c r="F296" i="96"/>
  <c r="F124" i="160"/>
  <c r="G42" i="96"/>
  <c r="H50" i="160"/>
  <c r="H63" i="160" s="1"/>
  <c r="L15" i="156"/>
  <c r="M15" i="156" s="1"/>
  <c r="M23" i="156" s="1"/>
  <c r="D144" i="175"/>
  <c r="B5" i="171"/>
  <c r="D30" i="174"/>
  <c r="G50" i="156"/>
  <c r="F41" i="96"/>
  <c r="F63" i="156"/>
  <c r="E50" i="96"/>
  <c r="T49" i="98"/>
  <c r="T30" i="103"/>
  <c r="T32" i="103" s="1"/>
  <c r="I4" i="96"/>
  <c r="H22" i="96"/>
  <c r="P40" i="98"/>
  <c r="M39" i="98"/>
  <c r="M44" i="98" s="1"/>
  <c r="M42" i="100"/>
  <c r="M47" i="100" s="1"/>
  <c r="G66" i="104" s="1"/>
  <c r="K111" i="104" s="1"/>
  <c r="L46" i="98"/>
  <c r="L47" i="98" s="1"/>
  <c r="L51" i="98"/>
  <c r="L56" i="98" s="1"/>
  <c r="F68" i="104" s="1"/>
  <c r="J112" i="104" s="1"/>
  <c r="L53" i="98"/>
  <c r="L50" i="98"/>
  <c r="F16" i="171"/>
  <c r="H25" i="174"/>
  <c r="F15" i="171"/>
  <c r="K52" i="98"/>
  <c r="E69" i="104" s="1"/>
  <c r="H24" i="174"/>
  <c r="C8" i="174"/>
  <c r="C13" i="174" s="1"/>
  <c r="F29" i="95"/>
  <c r="F38" i="95"/>
  <c r="Q110" i="31"/>
  <c r="Q140" i="31"/>
  <c r="Q190" i="31"/>
  <c r="Q170" i="31"/>
  <c r="N31" i="13"/>
  <c r="F140" i="68"/>
  <c r="E150" i="68"/>
  <c r="O20" i="13"/>
  <c r="R18" i="31"/>
  <c r="R160" i="31"/>
  <c r="S178" i="31"/>
  <c r="R109" i="31"/>
  <c r="B245" i="96"/>
  <c r="B262" i="96"/>
  <c r="B279" i="96" s="1"/>
  <c r="B180" i="96"/>
  <c r="B197" i="96"/>
  <c r="B214" i="96" s="1"/>
  <c r="B231" i="96" s="1"/>
  <c r="K30" i="6"/>
  <c r="T22" i="31"/>
  <c r="H32" i="6"/>
  <c r="D38" i="68" s="1"/>
  <c r="Q24" i="31"/>
  <c r="I86" i="68"/>
  <c r="E139" i="68"/>
  <c r="J38" i="6"/>
  <c r="J3" i="58"/>
  <c r="H4" i="69"/>
  <c r="H13" i="69" s="1"/>
  <c r="H15" i="69" s="1"/>
  <c r="I42" i="70"/>
  <c r="I44" i="70" s="1"/>
  <c r="I15" i="70"/>
  <c r="I14" i="70" s="1"/>
  <c r="Q167" i="31"/>
  <c r="N27" i="13"/>
  <c r="Q185" i="31"/>
  <c r="Q119" i="31"/>
  <c r="Q111" i="31"/>
  <c r="N39" i="13" s="1"/>
  <c r="G38" i="95"/>
  <c r="D8" i="174"/>
  <c r="E20" i="174" s="1"/>
  <c r="G29" i="95"/>
  <c r="D7" i="68" s="1"/>
  <c r="B266" i="96"/>
  <c r="B283" i="96" s="1"/>
  <c r="B249" i="96"/>
  <c r="B173" i="96"/>
  <c r="B190" i="96"/>
  <c r="B207" i="96" s="1"/>
  <c r="B224" i="96" s="1"/>
  <c r="B179" i="96"/>
  <c r="B196" i="96"/>
  <c r="B213" i="96" s="1"/>
  <c r="B230" i="96" s="1"/>
  <c r="B178" i="96"/>
  <c r="B195" i="96"/>
  <c r="B212" i="96" s="1"/>
  <c r="B229" i="96" s="1"/>
  <c r="J255" i="96"/>
  <c r="J272" i="96" s="1"/>
  <c r="J238" i="96"/>
  <c r="A92" i="96"/>
  <c r="A108" i="96"/>
  <c r="A42" i="96"/>
  <c r="A10" i="104"/>
  <c r="A58" i="96"/>
  <c r="A74" i="96" s="1"/>
  <c r="L255" i="96"/>
  <c r="L272" i="96" s="1"/>
  <c r="L238" i="96"/>
  <c r="L27" i="181"/>
  <c r="L28" i="181" s="1"/>
  <c r="L36" i="181"/>
  <c r="I9" i="174"/>
  <c r="L36" i="100"/>
  <c r="L8" i="103"/>
  <c r="L10" i="103" s="1"/>
  <c r="L39" i="95"/>
  <c r="G13" i="171" s="1"/>
  <c r="L27" i="100"/>
  <c r="L28" i="100" s="1"/>
  <c r="U178" i="31"/>
  <c r="V178" i="31"/>
  <c r="U109" i="31"/>
  <c r="U18" i="31"/>
  <c r="U160" i="31"/>
  <c r="F6" i="68"/>
  <c r="G9" i="174"/>
  <c r="J56" i="98"/>
  <c r="J8" i="103"/>
  <c r="J39" i="95"/>
  <c r="E13" i="171" s="1"/>
  <c r="J36" i="100"/>
  <c r="J44" i="95"/>
  <c r="F7" i="68"/>
  <c r="F13" i="68"/>
  <c r="E57" i="68" s="1"/>
  <c r="J55" i="98"/>
  <c r="J27" i="181"/>
  <c r="J28" i="181" s="1"/>
  <c r="J27" i="100"/>
  <c r="J28" i="100" s="1"/>
  <c r="J36" i="181"/>
  <c r="K5" i="181"/>
  <c r="K5" i="98"/>
  <c r="L5" i="95"/>
  <c r="K5" i="97"/>
  <c r="K5" i="99"/>
  <c r="K5" i="103"/>
  <c r="K5" i="102"/>
  <c r="K19" i="102" s="1"/>
  <c r="AC11" i="95"/>
  <c r="AC17" i="95" s="1"/>
  <c r="K5" i="101"/>
  <c r="K20" i="101" s="1"/>
  <c r="K5" i="100"/>
  <c r="H39" i="95"/>
  <c r="C13" i="171" s="1"/>
  <c r="D6" i="68"/>
  <c r="D13" i="68"/>
  <c r="C57" i="68" s="1"/>
  <c r="E9" i="174"/>
  <c r="H36" i="181"/>
  <c r="H55" i="98"/>
  <c r="H36" i="100"/>
  <c r="H56" i="98"/>
  <c r="I13" i="174"/>
  <c r="G20" i="174"/>
  <c r="G13" i="174"/>
  <c r="E13" i="174"/>
  <c r="R119" i="31"/>
  <c r="R111" i="31"/>
  <c r="O39" i="13" s="1"/>
  <c r="R167" i="31"/>
  <c r="O27" i="13"/>
  <c r="R185" i="31"/>
  <c r="E33" i="68"/>
  <c r="E35" i="68" s="1"/>
  <c r="E37" i="68" s="1"/>
  <c r="E54" i="68"/>
  <c r="E73" i="68"/>
  <c r="J15" i="100"/>
  <c r="J35" i="100"/>
  <c r="H104" i="175" s="1"/>
  <c r="G143" i="175" s="1"/>
  <c r="F20" i="174"/>
  <c r="F13" i="174"/>
  <c r="C25" i="102"/>
  <c r="C26" i="101"/>
  <c r="D25" i="101"/>
  <c r="M39" i="95"/>
  <c r="H13" i="171" s="1"/>
  <c r="M36" i="181"/>
  <c r="M44" i="95"/>
  <c r="M36" i="100"/>
  <c r="J9" i="174"/>
  <c r="M8" i="103"/>
  <c r="M10" i="103" s="1"/>
  <c r="M27" i="181"/>
  <c r="M28" i="181" s="1"/>
  <c r="M27" i="100"/>
  <c r="M28" i="100" s="1"/>
  <c r="J42" i="70"/>
  <c r="J44" i="70" s="1"/>
  <c r="I32" i="6"/>
  <c r="R24" i="31"/>
  <c r="J15" i="70"/>
  <c r="I4" i="69"/>
  <c r="I13" i="69" s="1"/>
  <c r="I15" i="69" s="1"/>
  <c r="K3" i="58"/>
  <c r="I44" i="95"/>
  <c r="F9" i="174"/>
  <c r="E13" i="68"/>
  <c r="D57" i="68" s="1"/>
  <c r="E7" i="68"/>
  <c r="I36" i="181"/>
  <c r="I27" i="100"/>
  <c r="I28" i="100" s="1"/>
  <c r="I39" i="95"/>
  <c r="D13" i="171" s="1"/>
  <c r="I36" i="100"/>
  <c r="I27" i="181"/>
  <c r="I28" i="181" s="1"/>
  <c r="I56" i="98"/>
  <c r="I55" i="98"/>
  <c r="I8" i="103"/>
  <c r="I12" i="103" s="1"/>
  <c r="E6" i="68"/>
  <c r="J4" i="69"/>
  <c r="J13" i="69" s="1"/>
  <c r="J15" i="69" s="1"/>
  <c r="D54" i="68"/>
  <c r="D73" i="68"/>
  <c r="N63" i="13" s="1"/>
  <c r="D33" i="68"/>
  <c r="D35" i="68" s="1"/>
  <c r="D37" i="68" s="1"/>
  <c r="P139" i="31"/>
  <c r="E36" i="13" s="1"/>
  <c r="Q90" i="31"/>
  <c r="P95" i="31"/>
  <c r="P92" i="31"/>
  <c r="J15" i="181"/>
  <c r="J35" i="181"/>
  <c r="AI12" i="95"/>
  <c r="AH13" i="95"/>
  <c r="J20" i="174"/>
  <c r="J13" i="174"/>
  <c r="L13" i="174"/>
  <c r="O8" i="103"/>
  <c r="O10" i="103" s="1"/>
  <c r="O39" i="95"/>
  <c r="O36" i="181"/>
  <c r="L9" i="174"/>
  <c r="O27" i="100"/>
  <c r="O28" i="100" s="1"/>
  <c r="O27" i="181"/>
  <c r="O28" i="181" s="1"/>
  <c r="O36" i="100"/>
  <c r="L28" i="6"/>
  <c r="L35" i="6"/>
  <c r="F9" i="6"/>
  <c r="L14" i="13"/>
  <c r="P9" i="31"/>
  <c r="G11" i="4"/>
  <c r="K37" i="13"/>
  <c r="K48" i="13" s="1"/>
  <c r="K64" i="13" s="1"/>
  <c r="K54" i="13"/>
  <c r="R14" i="13"/>
  <c r="R48" i="13" s="1"/>
  <c r="J82" i="157" l="1"/>
  <c r="J95" i="157" s="1"/>
  <c r="K74" i="157"/>
  <c r="J78" i="157"/>
  <c r="J87" i="157" s="1"/>
  <c r="K56" i="157"/>
  <c r="K62" i="157" s="1"/>
  <c r="K69" i="157" s="1"/>
  <c r="L49" i="157"/>
  <c r="S17" i="157"/>
  <c r="R19" i="157"/>
  <c r="I123" i="157"/>
  <c r="I104" i="157"/>
  <c r="I105" i="157" s="1"/>
  <c r="I108" i="157"/>
  <c r="I113" i="157"/>
  <c r="J113" i="157" s="1"/>
  <c r="K113" i="157" s="1"/>
  <c r="L113" i="157" s="1"/>
  <c r="M113" i="157" s="1"/>
  <c r="N113" i="157" s="1"/>
  <c r="O113" i="157" s="1"/>
  <c r="P113" i="157" s="1"/>
  <c r="Q113" i="157" s="1"/>
  <c r="R113" i="157" s="1"/>
  <c r="S113" i="157" s="1"/>
  <c r="T113" i="157" s="1"/>
  <c r="J51" i="48"/>
  <c r="J87" i="48" s="1"/>
  <c r="J13" i="48"/>
  <c r="J168" i="48"/>
  <c r="K32" i="48"/>
  <c r="I160" i="48"/>
  <c r="I178" i="48" s="1"/>
  <c r="I112" i="48"/>
  <c r="I135" i="48" s="1"/>
  <c r="L44" i="95"/>
  <c r="T114" i="31"/>
  <c r="T20" i="31"/>
  <c r="K39" i="95"/>
  <c r="F13" i="171" s="1"/>
  <c r="K42" i="70"/>
  <c r="K44" i="70" s="1"/>
  <c r="S24" i="31"/>
  <c r="S26" i="31" s="1"/>
  <c r="G124" i="155"/>
  <c r="G127" i="155" s="1"/>
  <c r="I52" i="132"/>
  <c r="H50" i="132"/>
  <c r="H45" i="96" s="1"/>
  <c r="G45" i="96"/>
  <c r="G63" i="132"/>
  <c r="G126" i="132"/>
  <c r="F96" i="132"/>
  <c r="F124" i="132"/>
  <c r="F299" i="96"/>
  <c r="H9" i="174"/>
  <c r="H21" i="174" s="1"/>
  <c r="E62" i="104" s="1"/>
  <c r="I107" i="104" s="1"/>
  <c r="K8" i="103"/>
  <c r="K10" i="103" s="1"/>
  <c r="T136" i="31"/>
  <c r="J32" i="6"/>
  <c r="K14" i="70" s="1"/>
  <c r="K47" i="70" s="1"/>
  <c r="F133" i="68"/>
  <c r="E135" i="68"/>
  <c r="E148" i="68"/>
  <c r="S136" i="31"/>
  <c r="S20" i="31"/>
  <c r="T183" i="31" s="1"/>
  <c r="S163" i="31"/>
  <c r="S114" i="31"/>
  <c r="S185" i="31"/>
  <c r="I20" i="174"/>
  <c r="G228" i="63"/>
  <c r="E223" i="63"/>
  <c r="E224" i="63" s="1"/>
  <c r="E232" i="63"/>
  <c r="F223" i="63"/>
  <c r="F224" i="63" s="1"/>
  <c r="F232" i="63"/>
  <c r="S167" i="31"/>
  <c r="O44" i="95"/>
  <c r="N30" i="95"/>
  <c r="N20" i="13"/>
  <c r="Q18" i="31"/>
  <c r="Q109" i="31"/>
  <c r="Q178" i="31"/>
  <c r="N34" i="13" s="1"/>
  <c r="Q160" i="31"/>
  <c r="R181" i="31"/>
  <c r="O35" i="13" s="1"/>
  <c r="H20" i="174"/>
  <c r="S111" i="31"/>
  <c r="T181" i="31"/>
  <c r="K36" i="181"/>
  <c r="K38" i="181" s="1"/>
  <c r="K37" i="181" s="1"/>
  <c r="K39" i="181" s="1"/>
  <c r="K30" i="95"/>
  <c r="R178" i="31"/>
  <c r="O34" i="13" s="1"/>
  <c r="K56" i="98"/>
  <c r="E68" i="104" s="1"/>
  <c r="I112" i="104" s="1"/>
  <c r="K55" i="98"/>
  <c r="E67" i="104" s="1"/>
  <c r="K44" i="95"/>
  <c r="H44" i="95"/>
  <c r="K27" i="181"/>
  <c r="K28" i="181" s="1"/>
  <c r="K27" i="100"/>
  <c r="K28" i="100" s="1"/>
  <c r="N44" i="95"/>
  <c r="AH106" i="175"/>
  <c r="S43" i="98"/>
  <c r="L39" i="178" s="1"/>
  <c r="T12" i="100"/>
  <c r="T43" i="98" s="1"/>
  <c r="W17" i="99"/>
  <c r="W18" i="99" s="1"/>
  <c r="L20" i="174"/>
  <c r="K20" i="174"/>
  <c r="G96" i="155"/>
  <c r="G294" i="96"/>
  <c r="H40" i="96"/>
  <c r="H63" i="155"/>
  <c r="J52" i="155"/>
  <c r="I50" i="155"/>
  <c r="H126" i="155"/>
  <c r="I126" i="155" s="1"/>
  <c r="K16" i="117"/>
  <c r="J19" i="117"/>
  <c r="J23" i="117" s="1"/>
  <c r="I19" i="135"/>
  <c r="I23" i="135" s="1"/>
  <c r="J16" i="135"/>
  <c r="J19" i="132"/>
  <c r="K16" i="132"/>
  <c r="H19" i="155"/>
  <c r="H23" i="155" s="1"/>
  <c r="I16" i="155"/>
  <c r="I19" i="156"/>
  <c r="I23" i="156" s="1"/>
  <c r="J16" i="156"/>
  <c r="I19" i="159"/>
  <c r="J16" i="159"/>
  <c r="I19" i="176"/>
  <c r="I23" i="176" s="1"/>
  <c r="J16" i="176"/>
  <c r="K16" i="157"/>
  <c r="J19" i="157"/>
  <c r="K16" i="121"/>
  <c r="J19" i="121"/>
  <c r="L16" i="119"/>
  <c r="K19" i="119"/>
  <c r="K23" i="119" s="1"/>
  <c r="R15" i="119"/>
  <c r="Q23" i="119"/>
  <c r="J15" i="121"/>
  <c r="I23" i="121"/>
  <c r="I23" i="159"/>
  <c r="J15" i="159"/>
  <c r="G126" i="157"/>
  <c r="F303" i="96"/>
  <c r="I23" i="157"/>
  <c r="J15" i="157"/>
  <c r="R15" i="135"/>
  <c r="Q23" i="135"/>
  <c r="Q104" i="135" s="1"/>
  <c r="I15" i="132"/>
  <c r="H23" i="132"/>
  <c r="J19" i="133"/>
  <c r="J23" i="133" s="1"/>
  <c r="K16" i="133"/>
  <c r="J19" i="137"/>
  <c r="J23" i="137" s="1"/>
  <c r="K16" i="137"/>
  <c r="J19" i="134"/>
  <c r="J23" i="134" s="1"/>
  <c r="K16" i="134"/>
  <c r="J15" i="160"/>
  <c r="I23" i="160"/>
  <c r="K15" i="155"/>
  <c r="B252" i="96"/>
  <c r="B269" i="96"/>
  <c r="B286" i="96" s="1"/>
  <c r="G126" i="156"/>
  <c r="V17" i="99"/>
  <c r="V18" i="99" s="1"/>
  <c r="V19" i="95" s="1"/>
  <c r="V18" i="95" s="1"/>
  <c r="C98" i="96"/>
  <c r="N5" i="161"/>
  <c r="H84" i="161"/>
  <c r="H80" i="161"/>
  <c r="J75" i="161"/>
  <c r="I83" i="161"/>
  <c r="I96" i="161" s="1"/>
  <c r="I79" i="161"/>
  <c r="O84" i="161"/>
  <c r="O80" i="161"/>
  <c r="K84" i="161"/>
  <c r="K80" i="161"/>
  <c r="Q17" i="161"/>
  <c r="N84" i="161"/>
  <c r="N98" i="96" s="1"/>
  <c r="N80" i="161"/>
  <c r="G84" i="161"/>
  <c r="G80" i="161"/>
  <c r="D126" i="161"/>
  <c r="D84" i="161"/>
  <c r="D80" i="161"/>
  <c r="G128" i="161"/>
  <c r="H125" i="161"/>
  <c r="C102" i="161"/>
  <c r="D8" i="161"/>
  <c r="C87" i="161"/>
  <c r="M84" i="161"/>
  <c r="M80" i="161"/>
  <c r="J16" i="161"/>
  <c r="I19" i="161"/>
  <c r="I23" i="161" s="1"/>
  <c r="K49" i="161"/>
  <c r="J56" i="161"/>
  <c r="J62" i="161" s="1"/>
  <c r="J70" i="161" s="1"/>
  <c r="L84" i="161"/>
  <c r="L80" i="161"/>
  <c r="F84" i="161"/>
  <c r="F80" i="161"/>
  <c r="E84" i="161"/>
  <c r="E80" i="161"/>
  <c r="J84" i="161"/>
  <c r="J80" i="161"/>
  <c r="I84" i="161"/>
  <c r="I80" i="161"/>
  <c r="H105" i="161"/>
  <c r="H106" i="161" s="1"/>
  <c r="H114" i="161"/>
  <c r="H124" i="161"/>
  <c r="H109" i="161"/>
  <c r="L16" i="172"/>
  <c r="M35" i="172"/>
  <c r="L51" i="172"/>
  <c r="AG51" i="172"/>
  <c r="N14" i="29"/>
  <c r="W14" i="29" s="1"/>
  <c r="W32" i="29"/>
  <c r="F32" i="29"/>
  <c r="F14" i="29" s="1"/>
  <c r="E116" i="68"/>
  <c r="E117" i="68" s="1"/>
  <c r="F160" i="33"/>
  <c r="F178" i="33"/>
  <c r="F25" i="33"/>
  <c r="F131" i="33"/>
  <c r="G111" i="31"/>
  <c r="G119" i="31"/>
  <c r="G115" i="31"/>
  <c r="G113" i="31" s="1"/>
  <c r="G112" i="31" s="1"/>
  <c r="G167" i="31"/>
  <c r="G24" i="31"/>
  <c r="G185" i="31"/>
  <c r="O24" i="31"/>
  <c r="M27" i="13"/>
  <c r="G28" i="6"/>
  <c r="O185" i="31"/>
  <c r="O167" i="31"/>
  <c r="O115" i="31"/>
  <c r="O119" i="31"/>
  <c r="O111" i="31"/>
  <c r="M39" i="13" s="1"/>
  <c r="F111" i="31"/>
  <c r="F119" i="31"/>
  <c r="F24" i="31"/>
  <c r="F115" i="31"/>
  <c r="F113" i="31" s="1"/>
  <c r="F112" i="31" s="1"/>
  <c r="F167" i="31"/>
  <c r="F185" i="31"/>
  <c r="D39" i="13"/>
  <c r="L41" i="13"/>
  <c r="N112" i="31"/>
  <c r="E160" i="33"/>
  <c r="D116" i="68"/>
  <c r="D117" i="68" s="1"/>
  <c r="E32" i="29"/>
  <c r="E14" i="29" s="1"/>
  <c r="E25" i="33"/>
  <c r="E131" i="33"/>
  <c r="T12" i="29"/>
  <c r="U12" i="29"/>
  <c r="G42" i="70"/>
  <c r="G44" i="70" s="1"/>
  <c r="F4" i="69"/>
  <c r="F13" i="69" s="1"/>
  <c r="F15" i="69" s="1"/>
  <c r="F32" i="6"/>
  <c r="G14" i="70" s="1"/>
  <c r="D34" i="29"/>
  <c r="D161" i="33"/>
  <c r="D180" i="33"/>
  <c r="D103" i="33"/>
  <c r="E180" i="33"/>
  <c r="D133" i="33"/>
  <c r="O12" i="29"/>
  <c r="X12" i="29" s="1"/>
  <c r="X34" i="29"/>
  <c r="R30" i="29"/>
  <c r="T30" i="29" s="1"/>
  <c r="U30" i="29"/>
  <c r="H10" i="5"/>
  <c r="T26" i="29"/>
  <c r="R13" i="29"/>
  <c r="H116" i="31"/>
  <c r="H148" i="31"/>
  <c r="H22" i="31"/>
  <c r="H183" i="31"/>
  <c r="H165" i="31"/>
  <c r="I183" i="31"/>
  <c r="I10" i="5"/>
  <c r="D28" i="29"/>
  <c r="D22" i="33"/>
  <c r="D139" i="33"/>
  <c r="D108" i="33" s="1"/>
  <c r="D106" i="33" s="1"/>
  <c r="D105" i="33" s="1"/>
  <c r="D174" i="33"/>
  <c r="D156" i="33"/>
  <c r="D109" i="33"/>
  <c r="E174" i="33"/>
  <c r="I30" i="30"/>
  <c r="I23" i="30"/>
  <c r="I11" i="5" s="1"/>
  <c r="I31" i="30"/>
  <c r="I29" i="30"/>
  <c r="I32" i="30" s="1"/>
  <c r="K170" i="31"/>
  <c r="C33" i="6"/>
  <c r="K140" i="31"/>
  <c r="K110" i="31"/>
  <c r="K189" i="31"/>
  <c r="L189" i="31"/>
  <c r="F35" i="70"/>
  <c r="F45" i="70"/>
  <c r="F32" i="70"/>
  <c r="G180" i="33"/>
  <c r="G133" i="33"/>
  <c r="G103" i="33"/>
  <c r="G34" i="29"/>
  <c r="G12" i="29" s="1"/>
  <c r="G161" i="33"/>
  <c r="H180" i="33"/>
  <c r="L30" i="13"/>
  <c r="L65" i="13" s="1"/>
  <c r="D32" i="13"/>
  <c r="N188" i="31"/>
  <c r="H32" i="30"/>
  <c r="H170" i="31"/>
  <c r="H110" i="31"/>
  <c r="H189" i="31"/>
  <c r="H140" i="31"/>
  <c r="I189" i="31"/>
  <c r="K12" i="30"/>
  <c r="J11" i="30"/>
  <c r="N33" i="29"/>
  <c r="W33" i="29" s="1"/>
  <c r="N179" i="33"/>
  <c r="G109" i="33"/>
  <c r="G139" i="33"/>
  <c r="G28" i="29"/>
  <c r="G156" i="33"/>
  <c r="G174" i="33"/>
  <c r="H174" i="33"/>
  <c r="G22" i="33"/>
  <c r="L32" i="29"/>
  <c r="L25" i="33"/>
  <c r="L131" i="33"/>
  <c r="C96" i="68"/>
  <c r="L160" i="33"/>
  <c r="L178" i="33"/>
  <c r="M178" i="33"/>
  <c r="R12" i="29"/>
  <c r="T34" i="29"/>
  <c r="C58" i="68"/>
  <c r="H56" i="68"/>
  <c r="H60" i="68" s="1"/>
  <c r="H70" i="68" s="1"/>
  <c r="H71" i="68" s="1"/>
  <c r="C56" i="68"/>
  <c r="O30" i="29"/>
  <c r="X30" i="29" s="1"/>
  <c r="O176" i="33"/>
  <c r="O158" i="33"/>
  <c r="O104" i="33"/>
  <c r="O112" i="33"/>
  <c r="O24" i="33"/>
  <c r="O108" i="33"/>
  <c r="O106" i="33" s="1"/>
  <c r="O105" i="33" s="1"/>
  <c r="P176" i="33"/>
  <c r="C19" i="5"/>
  <c r="K148" i="31"/>
  <c r="K149" i="31" s="1"/>
  <c r="K165" i="31"/>
  <c r="K183" i="31"/>
  <c r="L183" i="31"/>
  <c r="K22" i="31"/>
  <c r="K116" i="31"/>
  <c r="L15" i="30"/>
  <c r="M16" i="30"/>
  <c r="F106" i="68"/>
  <c r="K131" i="33"/>
  <c r="K32" i="29"/>
  <c r="K160" i="33"/>
  <c r="K178" i="33"/>
  <c r="K25" i="33"/>
  <c r="R28" i="29"/>
  <c r="T28" i="29" s="1"/>
  <c r="P26" i="29"/>
  <c r="P13" i="29" s="1"/>
  <c r="D13" i="29"/>
  <c r="Z64" i="172"/>
  <c r="V52" i="95"/>
  <c r="Q86" i="95"/>
  <c r="Q85" i="95" s="1"/>
  <c r="Y36" i="172"/>
  <c r="X37" i="172"/>
  <c r="X38" i="172"/>
  <c r="U69" i="95" s="1"/>
  <c r="U51" i="95"/>
  <c r="G13" i="183" s="1"/>
  <c r="R86" i="95"/>
  <c r="R85" i="95" s="1"/>
  <c r="V81" i="172"/>
  <c r="R70" i="95"/>
  <c r="V72" i="172"/>
  <c r="U65" i="172"/>
  <c r="S75" i="95"/>
  <c r="S81" i="95"/>
  <c r="W40" i="172"/>
  <c r="W41" i="172" s="1"/>
  <c r="W42" i="172" s="1"/>
  <c r="T60" i="98"/>
  <c r="R25" i="101"/>
  <c r="T25" i="101"/>
  <c r="S25" i="101"/>
  <c r="AI13" i="95"/>
  <c r="AJ12" i="95"/>
  <c r="F96" i="157"/>
  <c r="H50" i="157"/>
  <c r="H63" i="157" s="1"/>
  <c r="G49" i="96"/>
  <c r="F127" i="157"/>
  <c r="G63" i="157"/>
  <c r="V88" i="172"/>
  <c r="V89" i="172" s="1"/>
  <c r="V47" i="172"/>
  <c r="V46" i="172"/>
  <c r="W49" i="172"/>
  <c r="T63" i="95" s="1"/>
  <c r="J5" i="172"/>
  <c r="K10" i="172"/>
  <c r="R82" i="172"/>
  <c r="S83" i="172"/>
  <c r="T80" i="172"/>
  <c r="Q70" i="95"/>
  <c r="Q76" i="95" s="1"/>
  <c r="I9" i="172"/>
  <c r="I13" i="172" s="1"/>
  <c r="J7" i="172"/>
  <c r="Q53" i="172"/>
  <c r="P52" i="172"/>
  <c r="P82" i="95"/>
  <c r="P76" i="95"/>
  <c r="T79" i="172"/>
  <c r="S78" i="172"/>
  <c r="J77" i="172"/>
  <c r="J87" i="172" s="1"/>
  <c r="K63" i="172"/>
  <c r="R73" i="172"/>
  <c r="Q66" i="172"/>
  <c r="Q68" i="172" s="1"/>
  <c r="S57" i="172"/>
  <c r="R56" i="172"/>
  <c r="Q82" i="95"/>
  <c r="P69" i="172"/>
  <c r="P70" i="172" s="1"/>
  <c r="P74" i="172" s="1"/>
  <c r="R54" i="172"/>
  <c r="S55" i="172"/>
  <c r="N10" i="181"/>
  <c r="N27" i="100"/>
  <c r="N28" i="100" s="1"/>
  <c r="N36" i="100"/>
  <c r="N37" i="100" s="1"/>
  <c r="N39" i="100" s="1"/>
  <c r="N39" i="95"/>
  <c r="N27" i="181"/>
  <c r="N28" i="181" s="1"/>
  <c r="N36" i="181"/>
  <c r="N38" i="181" s="1"/>
  <c r="N37" i="181" s="1"/>
  <c r="N39" i="181" s="1"/>
  <c r="K9" i="174"/>
  <c r="K21" i="174" s="1"/>
  <c r="H62" i="104" s="1"/>
  <c r="L107" i="104" s="1"/>
  <c r="N8" i="103"/>
  <c r="N10" i="103" s="1"/>
  <c r="L47" i="181"/>
  <c r="M46" i="181"/>
  <c r="W49" i="137"/>
  <c r="W56" i="137" s="1"/>
  <c r="W62" i="137" s="1"/>
  <c r="W69" i="137" s="1"/>
  <c r="V56" i="137"/>
  <c r="V62" i="137" s="1"/>
  <c r="V69" i="137" s="1"/>
  <c r="R50" i="137"/>
  <c r="R63" i="137" s="1"/>
  <c r="S52" i="137"/>
  <c r="Q47" i="96"/>
  <c r="F47" i="183" s="1"/>
  <c r="W17" i="137"/>
  <c r="W74" i="137"/>
  <c r="V82" i="137"/>
  <c r="V95" i="137" s="1"/>
  <c r="U108" i="137"/>
  <c r="U123" i="137"/>
  <c r="Q63" i="137"/>
  <c r="Q126" i="137"/>
  <c r="Q96" i="137"/>
  <c r="Q301" i="96"/>
  <c r="Q108" i="137"/>
  <c r="Q123" i="137"/>
  <c r="H124" i="137"/>
  <c r="G127" i="137"/>
  <c r="G46" i="96"/>
  <c r="H50" i="135"/>
  <c r="G126" i="135"/>
  <c r="G63" i="135"/>
  <c r="T19" i="135"/>
  <c r="V82" i="135"/>
  <c r="V95" i="135" s="1"/>
  <c r="U123" i="135"/>
  <c r="U108" i="135"/>
  <c r="T123" i="133"/>
  <c r="T108" i="133"/>
  <c r="V74" i="133"/>
  <c r="U82" i="133"/>
  <c r="U95" i="133" s="1"/>
  <c r="T44" i="96"/>
  <c r="V52" i="133"/>
  <c r="U50" i="133"/>
  <c r="V49" i="133"/>
  <c r="U56" i="133"/>
  <c r="U62" i="133" s="1"/>
  <c r="U69" i="133" s="1"/>
  <c r="R124" i="133"/>
  <c r="Q127" i="133"/>
  <c r="T126" i="133"/>
  <c r="S96" i="133"/>
  <c r="S298" i="96"/>
  <c r="T63" i="133"/>
  <c r="B250" i="96"/>
  <c r="B267" i="96"/>
  <c r="B284" i="96" s="1"/>
  <c r="Q63" i="134"/>
  <c r="S56" i="134"/>
  <c r="S62" i="134" s="1"/>
  <c r="S69" i="134" s="1"/>
  <c r="T49" i="134"/>
  <c r="T56" i="134" s="1"/>
  <c r="T62" i="134" s="1"/>
  <c r="T69" i="134" s="1"/>
  <c r="Q43" i="96"/>
  <c r="F43" i="183" s="1"/>
  <c r="S52" i="134"/>
  <c r="R50" i="134"/>
  <c r="R63" i="134" s="1"/>
  <c r="R96" i="134" s="1"/>
  <c r="S82" i="134"/>
  <c r="S95" i="134" s="1"/>
  <c r="T74" i="134"/>
  <c r="R123" i="134"/>
  <c r="R108" i="134"/>
  <c r="R104" i="134"/>
  <c r="P297" i="96"/>
  <c r="Q297" i="96"/>
  <c r="F127" i="134"/>
  <c r="G124" i="134"/>
  <c r="F290" i="96"/>
  <c r="F96" i="117"/>
  <c r="H50" i="117"/>
  <c r="H126" i="117" s="1"/>
  <c r="F124" i="117"/>
  <c r="E127" i="117"/>
  <c r="G36" i="96"/>
  <c r="G63" i="117"/>
  <c r="G124" i="160"/>
  <c r="F127" i="160"/>
  <c r="H96" i="160"/>
  <c r="H296" i="96"/>
  <c r="H42" i="96"/>
  <c r="I50" i="160"/>
  <c r="H126" i="160"/>
  <c r="I126" i="160" s="1"/>
  <c r="H50" i="156"/>
  <c r="F50" i="96"/>
  <c r="G41" i="96"/>
  <c r="E30" i="174"/>
  <c r="E144" i="175"/>
  <c r="C5" i="171"/>
  <c r="G63" i="156"/>
  <c r="F295" i="96"/>
  <c r="F96" i="156"/>
  <c r="F124" i="156"/>
  <c r="R9" i="100"/>
  <c r="L55" i="98"/>
  <c r="F67" i="104" s="1"/>
  <c r="I22" i="96"/>
  <c r="J4" i="96"/>
  <c r="D24" i="102"/>
  <c r="Q24" i="102" s="1"/>
  <c r="G16" i="171"/>
  <c r="I25" i="174"/>
  <c r="M51" i="98"/>
  <c r="M50" i="98"/>
  <c r="M53" i="98"/>
  <c r="M46" i="98"/>
  <c r="N39" i="98"/>
  <c r="N44" i="98" s="1"/>
  <c r="N42" i="100"/>
  <c r="N47" i="100" s="1"/>
  <c r="H66" i="104" s="1"/>
  <c r="L111" i="104" s="1"/>
  <c r="L52" i="98"/>
  <c r="F69" i="104" s="1"/>
  <c r="I24" i="174"/>
  <c r="G15" i="171"/>
  <c r="F37" i="13"/>
  <c r="N67" i="13"/>
  <c r="R163" i="31"/>
  <c r="R114" i="31"/>
  <c r="O42" i="13" s="1"/>
  <c r="O23" i="13"/>
  <c r="R20" i="31"/>
  <c r="R136" i="31"/>
  <c r="O63" i="13" s="1"/>
  <c r="S181" i="31"/>
  <c r="F39" i="95"/>
  <c r="C9" i="174"/>
  <c r="C14" i="174" s="1"/>
  <c r="F36" i="181"/>
  <c r="F36" i="100"/>
  <c r="B248" i="96"/>
  <c r="B265" i="96"/>
  <c r="B282" i="96" s="1"/>
  <c r="G36" i="181"/>
  <c r="G39" i="95"/>
  <c r="C7" i="68"/>
  <c r="D9" i="174"/>
  <c r="E21" i="174" s="1"/>
  <c r="G36" i="100"/>
  <c r="C6" i="68"/>
  <c r="G56" i="98"/>
  <c r="G55" i="98"/>
  <c r="G44" i="95"/>
  <c r="C13" i="68"/>
  <c r="E151" i="68"/>
  <c r="F139" i="68"/>
  <c r="D20" i="174"/>
  <c r="D13" i="174"/>
  <c r="Q3" i="31"/>
  <c r="Q4" i="31" s="1"/>
  <c r="Q169" i="31"/>
  <c r="Q25" i="31"/>
  <c r="Q145" i="31"/>
  <c r="Q187" i="31"/>
  <c r="Q239" i="31"/>
  <c r="Q245" i="31" s="1"/>
  <c r="Q246" i="31" s="1"/>
  <c r="Q247" i="31" s="1"/>
  <c r="N29" i="13"/>
  <c r="I47" i="70"/>
  <c r="I28" i="70"/>
  <c r="I29" i="70"/>
  <c r="T116" i="31"/>
  <c r="T165" i="31"/>
  <c r="T148" i="31"/>
  <c r="T149" i="31" s="1"/>
  <c r="L39" i="4" s="1"/>
  <c r="T115" i="31"/>
  <c r="T167" i="31"/>
  <c r="T111" i="31"/>
  <c r="T185" i="31"/>
  <c r="T119" i="31"/>
  <c r="L40" i="4" s="1"/>
  <c r="F40" i="13"/>
  <c r="I40" i="4"/>
  <c r="N47" i="13"/>
  <c r="K32" i="6"/>
  <c r="T24" i="31"/>
  <c r="K4" i="69"/>
  <c r="K13" i="69" s="1"/>
  <c r="K15" i="69" s="1"/>
  <c r="B258" i="96"/>
  <c r="B275" i="96" s="1"/>
  <c r="B241" i="96"/>
  <c r="B247" i="96"/>
  <c r="B264" i="96"/>
  <c r="B281" i="96" s="1"/>
  <c r="A93" i="96"/>
  <c r="A109" i="96"/>
  <c r="B246" i="96"/>
  <c r="B263" i="96"/>
  <c r="B280" i="96" s="1"/>
  <c r="A11" i="104"/>
  <c r="A43" i="96"/>
  <c r="A59" i="96"/>
  <c r="A75" i="96" s="1"/>
  <c r="Q139" i="31"/>
  <c r="F36" i="13" s="1"/>
  <c r="Q92" i="31"/>
  <c r="F34" i="13" s="1"/>
  <c r="R90" i="31"/>
  <c r="Q95" i="31"/>
  <c r="F21" i="174"/>
  <c r="F14" i="174"/>
  <c r="J40" i="4"/>
  <c r="O47" i="13"/>
  <c r="G14" i="174"/>
  <c r="G21" i="174"/>
  <c r="M38" i="181"/>
  <c r="M37" i="181" s="1"/>
  <c r="M39" i="181" s="1"/>
  <c r="L5" i="103"/>
  <c r="L5" i="100"/>
  <c r="L5" i="97"/>
  <c r="L5" i="99"/>
  <c r="AD11" i="95"/>
  <c r="AD17" i="95" s="1"/>
  <c r="L5" i="98"/>
  <c r="L5" i="181"/>
  <c r="L5" i="102"/>
  <c r="L19" i="102" s="1"/>
  <c r="M5" i="95"/>
  <c r="L5" i="101"/>
  <c r="L20" i="101" s="1"/>
  <c r="D58" i="68"/>
  <c r="D56" i="68"/>
  <c r="I56" i="68"/>
  <c r="I60" i="68" s="1"/>
  <c r="I70" i="68" s="1"/>
  <c r="I71" i="68" s="1"/>
  <c r="E56" i="68"/>
  <c r="J56" i="68"/>
  <c r="J60" i="68" s="1"/>
  <c r="J70" i="68" s="1"/>
  <c r="J71" i="68" s="1"/>
  <c r="E58" i="68"/>
  <c r="K35" i="100"/>
  <c r="I104" i="175" s="1"/>
  <c r="H143" i="175" s="1"/>
  <c r="K15" i="100"/>
  <c r="I21" i="174"/>
  <c r="F62" i="104" s="1"/>
  <c r="J107" i="104" s="1"/>
  <c r="I14" i="174"/>
  <c r="F61" i="104"/>
  <c r="J106" i="104" s="1"/>
  <c r="Q25" i="101"/>
  <c r="L25" i="101"/>
  <c r="J25" i="101"/>
  <c r="K25" i="101"/>
  <c r="N25" i="101"/>
  <c r="O25" i="101"/>
  <c r="M25" i="101"/>
  <c r="P25" i="101"/>
  <c r="I25" i="101"/>
  <c r="H38" i="181"/>
  <c r="H37" i="181" s="1"/>
  <c r="H39" i="181" s="1"/>
  <c r="K15" i="181"/>
  <c r="K35" i="181"/>
  <c r="L38" i="181"/>
  <c r="L37" i="181" s="1"/>
  <c r="L39" i="181" s="1"/>
  <c r="I61" i="104"/>
  <c r="M106" i="104" s="1"/>
  <c r="L14" i="174"/>
  <c r="I38" i="181"/>
  <c r="I37" i="181" s="1"/>
  <c r="I39" i="181" s="1"/>
  <c r="D26" i="101"/>
  <c r="C27" i="101"/>
  <c r="E14" i="174"/>
  <c r="J38" i="181"/>
  <c r="J37" i="181" s="1"/>
  <c r="J39" i="181" s="1"/>
  <c r="R145" i="31"/>
  <c r="R187" i="31"/>
  <c r="R25" i="31"/>
  <c r="R169" i="31"/>
  <c r="O29" i="13"/>
  <c r="R3" i="31"/>
  <c r="R4" i="31" s="1"/>
  <c r="R239" i="31"/>
  <c r="R245" i="31" s="1"/>
  <c r="R246" i="31" s="1"/>
  <c r="R247" i="31" s="1"/>
  <c r="R26" i="31"/>
  <c r="P138" i="31"/>
  <c r="E35" i="13" s="1"/>
  <c r="P144" i="31"/>
  <c r="L30" i="6"/>
  <c r="U22" i="31"/>
  <c r="O38" i="181"/>
  <c r="O37" i="181" s="1"/>
  <c r="O39" i="181" s="1"/>
  <c r="E38" i="68"/>
  <c r="J14" i="70"/>
  <c r="J14" i="174"/>
  <c r="J21" i="174"/>
  <c r="G62" i="104" s="1"/>
  <c r="K107" i="104" s="1"/>
  <c r="G61" i="104"/>
  <c r="K106" i="104" s="1"/>
  <c r="D25" i="102"/>
  <c r="C26" i="102"/>
  <c r="U181" i="31"/>
  <c r="U20" i="31"/>
  <c r="U136" i="31"/>
  <c r="U114" i="31"/>
  <c r="U163" i="31"/>
  <c r="V181" i="31"/>
  <c r="G23" i="4"/>
  <c r="H11" i="4"/>
  <c r="G9" i="4"/>
  <c r="G37" i="4" s="1"/>
  <c r="M14" i="13"/>
  <c r="Q9" i="31"/>
  <c r="D31" i="13"/>
  <c r="S14" i="13"/>
  <c r="S48" i="13" s="1"/>
  <c r="L37" i="13"/>
  <c r="L48" i="13" s="1"/>
  <c r="L64" i="13" s="1"/>
  <c r="L54" i="13"/>
  <c r="T17" i="157" l="1"/>
  <c r="T19" i="157" s="1"/>
  <c r="S19" i="157"/>
  <c r="M49" i="157"/>
  <c r="L56" i="157"/>
  <c r="L62" i="157" s="1"/>
  <c r="L69" i="157" s="1"/>
  <c r="K82" i="157"/>
  <c r="K95" i="157" s="1"/>
  <c r="L74" i="157"/>
  <c r="K78" i="157"/>
  <c r="K87" i="157" s="1"/>
  <c r="J108" i="157"/>
  <c r="J104" i="157"/>
  <c r="J105" i="157" s="1"/>
  <c r="J123" i="157"/>
  <c r="L32" i="48"/>
  <c r="K13" i="48"/>
  <c r="K51" i="48"/>
  <c r="K87" i="48" s="1"/>
  <c r="K168" i="48"/>
  <c r="J112" i="48"/>
  <c r="J135" i="48" s="1"/>
  <c r="J160" i="48"/>
  <c r="J178" i="48" s="1"/>
  <c r="T187" i="31"/>
  <c r="S25" i="31"/>
  <c r="S188" i="31" s="1"/>
  <c r="S145" i="31"/>
  <c r="S169" i="31"/>
  <c r="S187" i="31"/>
  <c r="E61" i="104"/>
  <c r="I106" i="104" s="1"/>
  <c r="H14" i="174"/>
  <c r="S115" i="31"/>
  <c r="H124" i="155"/>
  <c r="G299" i="96"/>
  <c r="G96" i="132"/>
  <c r="F127" i="132"/>
  <c r="G124" i="132"/>
  <c r="H126" i="132"/>
  <c r="H63" i="132"/>
  <c r="J52" i="132"/>
  <c r="I50" i="132"/>
  <c r="J24" i="102"/>
  <c r="P24" i="102"/>
  <c r="N24" i="102"/>
  <c r="K24" i="102"/>
  <c r="G223" i="63"/>
  <c r="G224" i="63" s="1"/>
  <c r="G232" i="63"/>
  <c r="L24" i="102"/>
  <c r="F234" i="63"/>
  <c r="F235" i="63"/>
  <c r="E234" i="63"/>
  <c r="G234" i="63" s="1"/>
  <c r="E235" i="63"/>
  <c r="G235" i="63" s="1"/>
  <c r="O24" i="102"/>
  <c r="R183" i="31"/>
  <c r="I24" i="102"/>
  <c r="F237" i="63"/>
  <c r="S116" i="31"/>
  <c r="S165" i="31"/>
  <c r="S148" i="31"/>
  <c r="S149" i="31" s="1"/>
  <c r="K39" i="4" s="1"/>
  <c r="K41" i="4" s="1"/>
  <c r="M24" i="102"/>
  <c r="Q136" i="31"/>
  <c r="Q181" i="31"/>
  <c r="N35" i="13" s="1"/>
  <c r="Q20" i="31"/>
  <c r="Q163" i="31"/>
  <c r="N23" i="13"/>
  <c r="Q114" i="31"/>
  <c r="N42" i="13" s="1"/>
  <c r="F135" i="68"/>
  <c r="E149" i="68"/>
  <c r="E137" i="68"/>
  <c r="E237" i="63"/>
  <c r="M206" i="63" s="1"/>
  <c r="M208" i="63" s="1"/>
  <c r="C19" i="183"/>
  <c r="I71" i="183"/>
  <c r="K29" i="70"/>
  <c r="K45" i="70" s="1"/>
  <c r="T113" i="31"/>
  <c r="T112" i="31" s="1"/>
  <c r="K28" i="70"/>
  <c r="I40" i="96"/>
  <c r="I63" i="155"/>
  <c r="I124" i="155" s="1"/>
  <c r="H127" i="155"/>
  <c r="K52" i="155"/>
  <c r="J50" i="155"/>
  <c r="H96" i="155"/>
  <c r="H294" i="96"/>
  <c r="I19" i="155"/>
  <c r="I23" i="155" s="1"/>
  <c r="J16" i="155"/>
  <c r="L16" i="157"/>
  <c r="K19" i="157"/>
  <c r="L16" i="132"/>
  <c r="K19" i="132"/>
  <c r="J19" i="159"/>
  <c r="K16" i="159"/>
  <c r="K16" i="135"/>
  <c r="J19" i="135"/>
  <c r="J23" i="135" s="1"/>
  <c r="K19" i="121"/>
  <c r="L16" i="121"/>
  <c r="K16" i="176"/>
  <c r="J19" i="176"/>
  <c r="J23" i="176" s="1"/>
  <c r="J19" i="156"/>
  <c r="J23" i="156" s="1"/>
  <c r="K16" i="156"/>
  <c r="L16" i="117"/>
  <c r="K19" i="117"/>
  <c r="K23" i="117" s="1"/>
  <c r="L19" i="119"/>
  <c r="L23" i="119" s="1"/>
  <c r="M16" i="119"/>
  <c r="M19" i="119" s="1"/>
  <c r="M23" i="119" s="1"/>
  <c r="M104" i="119" s="1"/>
  <c r="S15" i="119"/>
  <c r="R23" i="119"/>
  <c r="H126" i="135"/>
  <c r="K15" i="121"/>
  <c r="J23" i="121"/>
  <c r="J23" i="159"/>
  <c r="K15" i="159"/>
  <c r="J23" i="157"/>
  <c r="K15" i="157"/>
  <c r="S15" i="135"/>
  <c r="R23" i="135"/>
  <c r="R104" i="135" s="1"/>
  <c r="J15" i="132"/>
  <c r="I23" i="132"/>
  <c r="L16" i="133"/>
  <c r="K19" i="133"/>
  <c r="K23" i="133" s="1"/>
  <c r="K19" i="137"/>
  <c r="K23" i="137" s="1"/>
  <c r="L16" i="137"/>
  <c r="L16" i="134"/>
  <c r="K19" i="134"/>
  <c r="K23" i="134" s="1"/>
  <c r="K15" i="160"/>
  <c r="J23" i="160"/>
  <c r="L15" i="155"/>
  <c r="D19" i="183"/>
  <c r="I88" i="161"/>
  <c r="E102" i="161"/>
  <c r="E87" i="161"/>
  <c r="H128" i="161"/>
  <c r="I125" i="161"/>
  <c r="C10" i="183"/>
  <c r="N115" i="96"/>
  <c r="I105" i="161"/>
  <c r="I106" i="161" s="1"/>
  <c r="I109" i="161"/>
  <c r="I124" i="161"/>
  <c r="I114" i="161"/>
  <c r="J114" i="161" s="1"/>
  <c r="K114" i="161" s="1"/>
  <c r="L114" i="161" s="1"/>
  <c r="M114" i="161" s="1"/>
  <c r="N114" i="161" s="1"/>
  <c r="O114" i="161" s="1"/>
  <c r="J87" i="161"/>
  <c r="J102" i="161"/>
  <c r="E92" i="161"/>
  <c r="E93" i="161"/>
  <c r="E98" i="96"/>
  <c r="K16" i="161"/>
  <c r="J19" i="161"/>
  <c r="J23" i="161" s="1"/>
  <c r="J79" i="161"/>
  <c r="J88" i="161" s="1"/>
  <c r="K75" i="161"/>
  <c r="J83" i="161"/>
  <c r="J96" i="161" s="1"/>
  <c r="O98" i="96"/>
  <c r="J98" i="96"/>
  <c r="J93" i="161"/>
  <c r="J92" i="161"/>
  <c r="F102" i="161"/>
  <c r="F87" i="161"/>
  <c r="M87" i="161"/>
  <c r="M102" i="161"/>
  <c r="D102" i="161"/>
  <c r="D87" i="161"/>
  <c r="H87" i="161"/>
  <c r="H102" i="161"/>
  <c r="F92" i="161"/>
  <c r="F93" i="161"/>
  <c r="F98" i="96"/>
  <c r="M98" i="96"/>
  <c r="M93" i="161"/>
  <c r="M92" i="161"/>
  <c r="D92" i="161"/>
  <c r="D93" i="161"/>
  <c r="D98" i="96"/>
  <c r="K87" i="161"/>
  <c r="K102" i="161"/>
  <c r="H98" i="96"/>
  <c r="H115" i="96" s="1"/>
  <c r="H92" i="161"/>
  <c r="H93" i="161"/>
  <c r="G93" i="161"/>
  <c r="G92" i="161"/>
  <c r="G98" i="96"/>
  <c r="L49" i="161"/>
  <c r="K56" i="161"/>
  <c r="K62" i="161" s="1"/>
  <c r="K70" i="161" s="1"/>
  <c r="I102" i="161"/>
  <c r="I87" i="161"/>
  <c r="L87" i="161"/>
  <c r="L102" i="161"/>
  <c r="D130" i="161"/>
  <c r="D129" i="161"/>
  <c r="D285" i="96" s="1"/>
  <c r="E126" i="161"/>
  <c r="K93" i="161"/>
  <c r="K92" i="161"/>
  <c r="K98" i="96"/>
  <c r="N87" i="161"/>
  <c r="N102" i="161"/>
  <c r="I93" i="161"/>
  <c r="I92" i="161"/>
  <c r="I98" i="96"/>
  <c r="L92" i="161"/>
  <c r="L93" i="161"/>
  <c r="L98" i="96"/>
  <c r="G102" i="161"/>
  <c r="G87" i="161"/>
  <c r="O102" i="161"/>
  <c r="O87" i="161"/>
  <c r="V115" i="96"/>
  <c r="J17" i="104"/>
  <c r="P115" i="96"/>
  <c r="Q115" i="96"/>
  <c r="T115" i="96"/>
  <c r="R115" i="96"/>
  <c r="U115" i="96"/>
  <c r="S115" i="96"/>
  <c r="X40" i="172"/>
  <c r="X41" i="172" s="1"/>
  <c r="X42" i="172" s="1"/>
  <c r="M16" i="172"/>
  <c r="N35" i="172"/>
  <c r="M51" i="172"/>
  <c r="K14" i="29"/>
  <c r="Q32" i="29"/>
  <c r="Q14" i="29" s="1"/>
  <c r="M179" i="33"/>
  <c r="L179" i="33"/>
  <c r="L33" i="29"/>
  <c r="D24" i="33"/>
  <c r="D104" i="33"/>
  <c r="D158" i="33"/>
  <c r="D112" i="33"/>
  <c r="D30" i="29"/>
  <c r="D176" i="33"/>
  <c r="E176" i="33"/>
  <c r="H111" i="31"/>
  <c r="H167" i="31"/>
  <c r="H24" i="31"/>
  <c r="H115" i="31"/>
  <c r="H113" i="31" s="1"/>
  <c r="H112" i="31" s="1"/>
  <c r="H119" i="31"/>
  <c r="H185" i="31"/>
  <c r="I185" i="31"/>
  <c r="D12" i="29"/>
  <c r="P34" i="29"/>
  <c r="P12" i="29" s="1"/>
  <c r="G169" i="31"/>
  <c r="G25" i="31"/>
  <c r="G188" i="31" s="1"/>
  <c r="G138" i="31"/>
  <c r="G187" i="31"/>
  <c r="F96" i="68"/>
  <c r="O25" i="33"/>
  <c r="O160" i="33"/>
  <c r="O178" i="33"/>
  <c r="O32" i="29"/>
  <c r="R32" i="29" s="1"/>
  <c r="O131" i="33"/>
  <c r="P178" i="33"/>
  <c r="I35" i="30"/>
  <c r="I12" i="5"/>
  <c r="I13" i="5" s="1"/>
  <c r="I33" i="30"/>
  <c r="L14" i="29"/>
  <c r="U32" i="29"/>
  <c r="P28" i="29"/>
  <c r="M43" i="13"/>
  <c r="O113" i="31"/>
  <c r="G28" i="70"/>
  <c r="G31" i="70" s="1"/>
  <c r="G33" i="70"/>
  <c r="G29" i="70"/>
  <c r="G47" i="70"/>
  <c r="E33" i="29"/>
  <c r="G104" i="33"/>
  <c r="G158" i="33"/>
  <c r="G108" i="33"/>
  <c r="G106" i="33" s="1"/>
  <c r="G105" i="33" s="1"/>
  <c r="G24" i="33"/>
  <c r="G112" i="33"/>
  <c r="G30" i="29"/>
  <c r="G176" i="33"/>
  <c r="H176" i="33"/>
  <c r="J10" i="5"/>
  <c r="N16" i="30"/>
  <c r="M15" i="30"/>
  <c r="J31" i="30"/>
  <c r="J23" i="30"/>
  <c r="J11" i="5" s="1"/>
  <c r="J30" i="30"/>
  <c r="J29" i="30"/>
  <c r="H33" i="30"/>
  <c r="H35" i="30"/>
  <c r="H12" i="5"/>
  <c r="H13" i="5" s="1"/>
  <c r="F169" i="31"/>
  <c r="F25" i="31"/>
  <c r="F188" i="31" s="1"/>
  <c r="F138" i="31"/>
  <c r="F187" i="31"/>
  <c r="K111" i="31"/>
  <c r="K167" i="31"/>
  <c r="K24" i="31"/>
  <c r="C28" i="6"/>
  <c r="K119" i="31"/>
  <c r="K115" i="31"/>
  <c r="K185" i="31"/>
  <c r="L185" i="31"/>
  <c r="K179" i="33"/>
  <c r="K33" i="29"/>
  <c r="Q33" i="29" s="1"/>
  <c r="L12" i="30"/>
  <c r="K11" i="30"/>
  <c r="L36" i="13"/>
  <c r="D33" i="13"/>
  <c r="L40" i="13"/>
  <c r="D38" i="13"/>
  <c r="O26" i="31"/>
  <c r="O98" i="31" s="1"/>
  <c r="O138" i="31"/>
  <c r="G30" i="6"/>
  <c r="G96" i="68"/>
  <c r="O25" i="31"/>
  <c r="M29" i="13"/>
  <c r="O187" i="31"/>
  <c r="O239" i="31"/>
  <c r="O245" i="31" s="1"/>
  <c r="O246" i="31" s="1"/>
  <c r="O247" i="31" s="1"/>
  <c r="O169" i="31"/>
  <c r="F33" i="29"/>
  <c r="F179" i="33"/>
  <c r="X49" i="172"/>
  <c r="U63" i="95" s="1"/>
  <c r="S86" i="95"/>
  <c r="L59" i="178" s="1"/>
  <c r="Z36" i="172"/>
  <c r="V51" i="95"/>
  <c r="Y38" i="172"/>
  <c r="Y37" i="172"/>
  <c r="Y49" i="172" s="1"/>
  <c r="V63" i="95" s="1"/>
  <c r="V75" i="95" s="1"/>
  <c r="U75" i="172"/>
  <c r="R64" i="95" s="1"/>
  <c r="W72" i="172"/>
  <c r="V65" i="172"/>
  <c r="U80" i="172"/>
  <c r="T78" i="172"/>
  <c r="U79" i="172"/>
  <c r="S70" i="95"/>
  <c r="W81" i="172"/>
  <c r="X81" i="172" s="1"/>
  <c r="T75" i="95"/>
  <c r="T81" i="95"/>
  <c r="AJ13" i="95"/>
  <c r="AK12" i="95"/>
  <c r="R26" i="101"/>
  <c r="T26" i="101"/>
  <c r="S26" i="101"/>
  <c r="T25" i="102"/>
  <c r="S25" i="102"/>
  <c r="R25" i="102"/>
  <c r="T24" i="102"/>
  <c r="S24" i="102"/>
  <c r="R24" i="102"/>
  <c r="G124" i="157"/>
  <c r="H124" i="157" s="1"/>
  <c r="H96" i="157"/>
  <c r="H303" i="96"/>
  <c r="G303" i="96"/>
  <c r="G96" i="157"/>
  <c r="H49" i="96"/>
  <c r="I50" i="157"/>
  <c r="H126" i="157"/>
  <c r="W47" i="172"/>
  <c r="W46" i="172"/>
  <c r="W88" i="172"/>
  <c r="W89" i="172" s="1"/>
  <c r="S54" i="172"/>
  <c r="T55" i="172"/>
  <c r="S56" i="172"/>
  <c r="T57" i="172"/>
  <c r="K77" i="172"/>
  <c r="K87" i="172" s="1"/>
  <c r="L63" i="172"/>
  <c r="J9" i="172"/>
  <c r="J13" i="172" s="1"/>
  <c r="K7" i="172"/>
  <c r="Q69" i="172"/>
  <c r="Q70" i="172" s="1"/>
  <c r="Q74" i="172" s="1"/>
  <c r="T83" i="172"/>
  <c r="S82" i="172"/>
  <c r="R66" i="172"/>
  <c r="R68" i="172" s="1"/>
  <c r="S73" i="172"/>
  <c r="K5" i="172"/>
  <c r="L10" i="172"/>
  <c r="R53" i="172"/>
  <c r="Q52" i="172"/>
  <c r="L21" i="174"/>
  <c r="I62" i="104" s="1"/>
  <c r="M107" i="104" s="1"/>
  <c r="K14" i="174"/>
  <c r="H61" i="104"/>
  <c r="L106" i="104" s="1"/>
  <c r="H63" i="104"/>
  <c r="L108" i="104" s="1"/>
  <c r="N48" i="100"/>
  <c r="H65" i="104" s="1"/>
  <c r="L110" i="104" s="1"/>
  <c r="N33" i="95"/>
  <c r="N13" i="181"/>
  <c r="N42" i="181" s="1"/>
  <c r="O10" i="181"/>
  <c r="O13" i="181" s="1"/>
  <c r="O42" i="181" s="1"/>
  <c r="M47" i="181"/>
  <c r="N46" i="181"/>
  <c r="R126" i="137"/>
  <c r="R96" i="137"/>
  <c r="R301" i="96"/>
  <c r="V108" i="137"/>
  <c r="V123" i="137"/>
  <c r="S50" i="137"/>
  <c r="T52" i="137"/>
  <c r="W82" i="137"/>
  <c r="W95" i="137" s="1"/>
  <c r="R47" i="96"/>
  <c r="G47" i="183" s="1"/>
  <c r="I124" i="137"/>
  <c r="H127" i="137"/>
  <c r="G124" i="135"/>
  <c r="G300" i="96"/>
  <c r="G96" i="135"/>
  <c r="H46" i="96"/>
  <c r="H63" i="135"/>
  <c r="I50" i="135"/>
  <c r="I63" i="135" s="1"/>
  <c r="V19" i="135"/>
  <c r="U19" i="135"/>
  <c r="V108" i="135"/>
  <c r="V123" i="135"/>
  <c r="U126" i="133"/>
  <c r="S124" i="133"/>
  <c r="R127" i="133"/>
  <c r="T96" i="133"/>
  <c r="T298" i="96"/>
  <c r="W49" i="133"/>
  <c r="W56" i="133" s="1"/>
  <c r="W62" i="133" s="1"/>
  <c r="W69" i="133" s="1"/>
  <c r="V56" i="133"/>
  <c r="V62" i="133" s="1"/>
  <c r="V69" i="133" s="1"/>
  <c r="U44" i="96"/>
  <c r="U63" i="133"/>
  <c r="W52" i="133"/>
  <c r="W50" i="133" s="1"/>
  <c r="V50" i="133"/>
  <c r="V44" i="96" s="1"/>
  <c r="U123" i="133"/>
  <c r="U108" i="133"/>
  <c r="W74" i="133"/>
  <c r="V82" i="133"/>
  <c r="V95" i="133" s="1"/>
  <c r="Q96" i="134"/>
  <c r="T52" i="134"/>
  <c r="S50" i="134"/>
  <c r="S63" i="134" s="1"/>
  <c r="S96" i="134" s="1"/>
  <c r="T82" i="134"/>
  <c r="T95" i="134" s="1"/>
  <c r="S123" i="134"/>
  <c r="S108" i="134"/>
  <c r="S104" i="134"/>
  <c r="R126" i="134"/>
  <c r="H124" i="134"/>
  <c r="G127" i="134"/>
  <c r="F127" i="117"/>
  <c r="G124" i="117"/>
  <c r="H36" i="96"/>
  <c r="H63" i="117"/>
  <c r="F304" i="96"/>
  <c r="F26" i="96" s="1"/>
  <c r="D19" i="171" s="1"/>
  <c r="I50" i="117"/>
  <c r="I63" i="117" s="1"/>
  <c r="G290" i="96"/>
  <c r="G96" i="117"/>
  <c r="I42" i="96"/>
  <c r="I63" i="160"/>
  <c r="H124" i="160"/>
  <c r="G127" i="160"/>
  <c r="J50" i="160"/>
  <c r="N15" i="156"/>
  <c r="G50" i="96"/>
  <c r="F144" i="175"/>
  <c r="F19" i="96"/>
  <c r="F30" i="174"/>
  <c r="D5" i="171"/>
  <c r="G96" i="156"/>
  <c r="G295" i="96"/>
  <c r="C6" i="171"/>
  <c r="C20" i="171"/>
  <c r="I50" i="156"/>
  <c r="H41" i="96"/>
  <c r="H63" i="156"/>
  <c r="F127" i="156"/>
  <c r="G124" i="156"/>
  <c r="H126" i="156"/>
  <c r="S9" i="100"/>
  <c r="K4" i="96"/>
  <c r="J22" i="96"/>
  <c r="M47" i="98"/>
  <c r="M55" i="98"/>
  <c r="G67" i="104" s="1"/>
  <c r="J25" i="174"/>
  <c r="H16" i="171"/>
  <c r="J24" i="174"/>
  <c r="M52" i="98"/>
  <c r="G69" i="104" s="1"/>
  <c r="H15" i="171"/>
  <c r="M56" i="98"/>
  <c r="G68" i="104" s="1"/>
  <c r="K112" i="104" s="1"/>
  <c r="O39" i="98"/>
  <c r="O44" i="98" s="1"/>
  <c r="O42" i="100"/>
  <c r="O47" i="100" s="1"/>
  <c r="I66" i="104" s="1"/>
  <c r="M111" i="104" s="1"/>
  <c r="N50" i="98"/>
  <c r="N46" i="98"/>
  <c r="N53" i="98"/>
  <c r="N51" i="98"/>
  <c r="R148" i="31"/>
  <c r="R149" i="31" s="1"/>
  <c r="J39" i="4" s="1"/>
  <c r="J41" i="4" s="1"/>
  <c r="R165" i="31"/>
  <c r="R116" i="31"/>
  <c r="O44" i="13" s="1"/>
  <c r="O25" i="13"/>
  <c r="R115" i="31"/>
  <c r="S183" i="31"/>
  <c r="F38" i="181"/>
  <c r="F37" i="181" s="1"/>
  <c r="F39" i="181" s="1"/>
  <c r="F48" i="181" s="1"/>
  <c r="L41" i="4"/>
  <c r="T145" i="31"/>
  <c r="T25" i="31"/>
  <c r="T188" i="31" s="1"/>
  <c r="T169" i="31"/>
  <c r="I45" i="70"/>
  <c r="I35" i="70"/>
  <c r="N30" i="13"/>
  <c r="N65" i="13" s="1"/>
  <c r="F32" i="13"/>
  <c r="Q188" i="31"/>
  <c r="D14" i="174"/>
  <c r="D21" i="174"/>
  <c r="G38" i="181"/>
  <c r="G37" i="181" s="1"/>
  <c r="G39" i="181" s="1"/>
  <c r="Q5" i="31"/>
  <c r="Q6" i="31"/>
  <c r="Q26" i="31"/>
  <c r="Q189" i="31" s="1"/>
  <c r="A12" i="104"/>
  <c r="A44" i="96"/>
  <c r="A60" i="96"/>
  <c r="A76" i="96" s="1"/>
  <c r="A94" i="96"/>
  <c r="A110" i="96"/>
  <c r="I48" i="181"/>
  <c r="I40" i="181"/>
  <c r="U116" i="31"/>
  <c r="U165" i="31"/>
  <c r="V183" i="31"/>
  <c r="U148" i="31"/>
  <c r="U149" i="31" s="1"/>
  <c r="M39" i="4" s="1"/>
  <c r="U183" i="31"/>
  <c r="J48" i="181"/>
  <c r="J40" i="181"/>
  <c r="L35" i="100"/>
  <c r="J104" i="175" s="1"/>
  <c r="I143" i="175" s="1"/>
  <c r="L15" i="100"/>
  <c r="M40" i="181"/>
  <c r="M48" i="181"/>
  <c r="N40" i="181"/>
  <c r="O30" i="13"/>
  <c r="O65" i="13" s="1"/>
  <c r="R188" i="31"/>
  <c r="O36" i="13" s="1"/>
  <c r="K40" i="181"/>
  <c r="K48" i="181"/>
  <c r="AE11" i="95"/>
  <c r="AE17" i="95" s="1"/>
  <c r="M5" i="101"/>
  <c r="M20" i="101" s="1"/>
  <c r="N5" i="95"/>
  <c r="M5" i="103"/>
  <c r="M5" i="100"/>
  <c r="M5" i="102"/>
  <c r="M19" i="102" s="1"/>
  <c r="M5" i="181"/>
  <c r="M5" i="97"/>
  <c r="M5" i="98"/>
  <c r="M5" i="99"/>
  <c r="Q138" i="31"/>
  <c r="F35" i="13" s="1"/>
  <c r="Q144" i="31"/>
  <c r="O40" i="181"/>
  <c r="R139" i="31"/>
  <c r="S90" i="31"/>
  <c r="R92" i="31"/>
  <c r="R95" i="31"/>
  <c r="H48" i="181"/>
  <c r="J29" i="70"/>
  <c r="J33" i="70"/>
  <c r="J28" i="70"/>
  <c r="J31" i="70" s="1"/>
  <c r="J47" i="70"/>
  <c r="U119" i="31"/>
  <c r="M40" i="4" s="1"/>
  <c r="U167" i="31"/>
  <c r="V185" i="31"/>
  <c r="U111" i="31"/>
  <c r="U115" i="31"/>
  <c r="U185" i="31"/>
  <c r="D27" i="101"/>
  <c r="C28" i="101"/>
  <c r="L40" i="181"/>
  <c r="L48" i="181"/>
  <c r="L15" i="181"/>
  <c r="L35" i="181"/>
  <c r="U24" i="31"/>
  <c r="L4" i="69"/>
  <c r="L13" i="69" s="1"/>
  <c r="L15" i="69" s="1"/>
  <c r="L32" i="6"/>
  <c r="M26" i="101"/>
  <c r="L26" i="101"/>
  <c r="J26" i="101"/>
  <c r="J12" i="101" s="1"/>
  <c r="N26" i="101"/>
  <c r="K26" i="101"/>
  <c r="P26" i="101"/>
  <c r="Q26" i="101"/>
  <c r="O26" i="101"/>
  <c r="K33" i="70"/>
  <c r="C27" i="102"/>
  <c r="D26" i="102"/>
  <c r="J25" i="102"/>
  <c r="J11" i="102" s="1"/>
  <c r="Q25" i="102"/>
  <c r="P25" i="102"/>
  <c r="L25" i="102"/>
  <c r="O25" i="102"/>
  <c r="K25" i="102"/>
  <c r="M25" i="102"/>
  <c r="N25" i="102"/>
  <c r="R7" i="31"/>
  <c r="R6" i="31"/>
  <c r="R5" i="31"/>
  <c r="N14" i="13"/>
  <c r="H9" i="6"/>
  <c r="H7" i="6" s="1"/>
  <c r="H35" i="5" s="1"/>
  <c r="R9" i="31"/>
  <c r="M37" i="13"/>
  <c r="M48" i="13" s="1"/>
  <c r="M64" i="13" s="1"/>
  <c r="T14" i="13"/>
  <c r="T48" i="13" s="1"/>
  <c r="M54" i="13"/>
  <c r="E31" i="13"/>
  <c r="G25" i="4"/>
  <c r="G38" i="4"/>
  <c r="G13" i="4"/>
  <c r="H23" i="4"/>
  <c r="I11" i="4"/>
  <c r="H9" i="4"/>
  <c r="K123" i="157" l="1"/>
  <c r="K108" i="157"/>
  <c r="K104" i="157"/>
  <c r="K105" i="157" s="1"/>
  <c r="N49" i="157"/>
  <c r="M56" i="157"/>
  <c r="M62" i="157" s="1"/>
  <c r="M69" i="157" s="1"/>
  <c r="L82" i="157"/>
  <c r="L95" i="157" s="1"/>
  <c r="L78" i="157"/>
  <c r="L87" i="157" s="1"/>
  <c r="M74" i="157"/>
  <c r="K160" i="48"/>
  <c r="K178" i="48" s="1"/>
  <c r="K112" i="48"/>
  <c r="K135" i="48" s="1"/>
  <c r="L13" i="48"/>
  <c r="L168" i="48"/>
  <c r="L51" i="48"/>
  <c r="L87" i="48" s="1"/>
  <c r="M32" i="48"/>
  <c r="S113" i="31"/>
  <c r="S112" i="31" s="1"/>
  <c r="I63" i="132"/>
  <c r="I45" i="96"/>
  <c r="J50" i="132"/>
  <c r="J45" i="96" s="1"/>
  <c r="K52" i="132"/>
  <c r="I126" i="132"/>
  <c r="J126" i="132" s="1"/>
  <c r="H299" i="96"/>
  <c r="H96" i="132"/>
  <c r="H124" i="132"/>
  <c r="H127" i="132" s="1"/>
  <c r="G127" i="132"/>
  <c r="J63" i="132"/>
  <c r="J299" i="96" s="1"/>
  <c r="K35" i="70"/>
  <c r="D253" i="63"/>
  <c r="E253" i="63"/>
  <c r="F238" i="63"/>
  <c r="N207" i="63" s="1"/>
  <c r="N206" i="63"/>
  <c r="N208" i="63" s="1"/>
  <c r="F137" i="68"/>
  <c r="E152" i="68"/>
  <c r="E238" i="63"/>
  <c r="M207" i="63" s="1"/>
  <c r="G237" i="63"/>
  <c r="Q183" i="31"/>
  <c r="Q116" i="31"/>
  <c r="N44" i="13" s="1"/>
  <c r="Q115" i="31"/>
  <c r="Q148" i="31"/>
  <c r="Q149" i="31" s="1"/>
  <c r="I39" i="4" s="1"/>
  <c r="I41" i="4" s="1"/>
  <c r="N25" i="13"/>
  <c r="Q165" i="31"/>
  <c r="K32" i="70"/>
  <c r="S40" i="98"/>
  <c r="L36" i="178" s="1"/>
  <c r="T9" i="100"/>
  <c r="T40" i="98" s="1"/>
  <c r="J40" i="96"/>
  <c r="J63" i="155"/>
  <c r="L52" i="155"/>
  <c r="K50" i="155"/>
  <c r="K40" i="96" s="1"/>
  <c r="J124" i="155"/>
  <c r="I127" i="155"/>
  <c r="I96" i="155"/>
  <c r="I294" i="96"/>
  <c r="J126" i="155"/>
  <c r="O61" i="157"/>
  <c r="K19" i="156"/>
  <c r="K23" i="156" s="1"/>
  <c r="L16" i="156"/>
  <c r="L19" i="156" s="1"/>
  <c r="L23" i="156" s="1"/>
  <c r="K19" i="159"/>
  <c r="L16" i="159"/>
  <c r="L16" i="176"/>
  <c r="K19" i="176"/>
  <c r="K23" i="176" s="1"/>
  <c r="L19" i="121"/>
  <c r="M16" i="121"/>
  <c r="M19" i="121" s="1"/>
  <c r="L19" i="132"/>
  <c r="M16" i="132"/>
  <c r="M19" i="132" s="1"/>
  <c r="M16" i="157"/>
  <c r="M19" i="157" s="1"/>
  <c r="L19" i="157"/>
  <c r="K16" i="155"/>
  <c r="J19" i="155"/>
  <c r="J23" i="155" s="1"/>
  <c r="L19" i="117"/>
  <c r="L23" i="117" s="1"/>
  <c r="M16" i="117"/>
  <c r="L16" i="135"/>
  <c r="K19" i="135"/>
  <c r="K23" i="135" s="1"/>
  <c r="T15" i="119"/>
  <c r="S23" i="119"/>
  <c r="L15" i="121"/>
  <c r="K23" i="121"/>
  <c r="L15" i="159"/>
  <c r="K23" i="159"/>
  <c r="I126" i="157"/>
  <c r="G127" i="157"/>
  <c r="K23" i="157"/>
  <c r="L15" i="157"/>
  <c r="T15" i="135"/>
  <c r="S23" i="135"/>
  <c r="S104" i="135" s="1"/>
  <c r="K15" i="132"/>
  <c r="J23" i="132"/>
  <c r="M16" i="133"/>
  <c r="L19" i="133"/>
  <c r="L23" i="133" s="1"/>
  <c r="M16" i="137"/>
  <c r="L19" i="137"/>
  <c r="L23" i="137" s="1"/>
  <c r="M16" i="134"/>
  <c r="M19" i="134" s="1"/>
  <c r="M23" i="134" s="1"/>
  <c r="L19" i="134"/>
  <c r="L23" i="134" s="1"/>
  <c r="K23" i="160"/>
  <c r="L15" i="160"/>
  <c r="M15" i="155"/>
  <c r="L56" i="161"/>
  <c r="L62" i="161" s="1"/>
  <c r="L70" i="161" s="1"/>
  <c r="M49" i="161"/>
  <c r="G149" i="96"/>
  <c r="G183" i="96"/>
  <c r="G115" i="96"/>
  <c r="D149" i="96"/>
  <c r="D183" i="96"/>
  <c r="D115" i="96"/>
  <c r="J109" i="161"/>
  <c r="J124" i="161"/>
  <c r="J105" i="161"/>
  <c r="J106" i="161" s="1"/>
  <c r="K79" i="161"/>
  <c r="K88" i="161" s="1"/>
  <c r="L75" i="161"/>
  <c r="K83" i="161"/>
  <c r="K96" i="161" s="1"/>
  <c r="J125" i="161"/>
  <c r="I128" i="161"/>
  <c r="F126" i="161"/>
  <c r="E130" i="161"/>
  <c r="E129" i="161"/>
  <c r="E285" i="96" s="1"/>
  <c r="I149" i="96"/>
  <c r="I183" i="96"/>
  <c r="I115" i="96"/>
  <c r="L183" i="96"/>
  <c r="L149" i="96"/>
  <c r="L115" i="96"/>
  <c r="K183" i="96"/>
  <c r="K115" i="96"/>
  <c r="K149" i="96"/>
  <c r="J183" i="96"/>
  <c r="J115" i="96"/>
  <c r="J149" i="96"/>
  <c r="K19" i="161"/>
  <c r="K23" i="161" s="1"/>
  <c r="L16" i="161"/>
  <c r="D10" i="183"/>
  <c r="O115" i="96"/>
  <c r="H183" i="96"/>
  <c r="H149" i="96"/>
  <c r="M149" i="96"/>
  <c r="M115" i="96"/>
  <c r="M183" i="96"/>
  <c r="E149" i="96"/>
  <c r="E183" i="96"/>
  <c r="E115" i="96"/>
  <c r="F149" i="96"/>
  <c r="F115" i="96"/>
  <c r="F183" i="96"/>
  <c r="N16" i="172"/>
  <c r="O35" i="172"/>
  <c r="N51" i="172"/>
  <c r="T32" i="29"/>
  <c r="R14" i="29"/>
  <c r="G32" i="6"/>
  <c r="H42" i="70"/>
  <c r="H44" i="70" s="1"/>
  <c r="G4" i="69"/>
  <c r="G13" i="69" s="1"/>
  <c r="G15" i="69" s="1"/>
  <c r="L11" i="30"/>
  <c r="M12" i="30"/>
  <c r="G45" i="70"/>
  <c r="G35" i="70"/>
  <c r="G32" i="70"/>
  <c r="H187" i="31"/>
  <c r="H25" i="31"/>
  <c r="H169" i="31"/>
  <c r="H138" i="31"/>
  <c r="I187" i="31"/>
  <c r="D25" i="33"/>
  <c r="C116" i="68"/>
  <c r="D178" i="33"/>
  <c r="D160" i="33"/>
  <c r="D32" i="29"/>
  <c r="D131" i="33"/>
  <c r="E178" i="33"/>
  <c r="N15" i="30"/>
  <c r="O16" i="30"/>
  <c r="U33" i="29"/>
  <c r="K31" i="30"/>
  <c r="K30" i="30"/>
  <c r="K23" i="30"/>
  <c r="K11" i="5" s="1"/>
  <c r="K29" i="30"/>
  <c r="K32" i="30" s="1"/>
  <c r="O112" i="31"/>
  <c r="M40" i="13" s="1"/>
  <c r="M41" i="13"/>
  <c r="T14" i="29"/>
  <c r="U14" i="29"/>
  <c r="K26" i="31"/>
  <c r="K169" i="31"/>
  <c r="K138" i="31"/>
  <c r="K25" i="31"/>
  <c r="L187" i="31"/>
  <c r="C30" i="6"/>
  <c r="K187" i="31"/>
  <c r="G131" i="33"/>
  <c r="G32" i="29"/>
  <c r="G14" i="29" s="1"/>
  <c r="G160" i="33"/>
  <c r="G25" i="33"/>
  <c r="F116" i="68"/>
  <c r="F117" i="68" s="1"/>
  <c r="G178" i="33"/>
  <c r="H178" i="33"/>
  <c r="J32" i="30"/>
  <c r="O179" i="33"/>
  <c r="O33" i="29"/>
  <c r="X33" i="29" s="1"/>
  <c r="P179" i="33"/>
  <c r="O14" i="29"/>
  <c r="X14" i="29" s="1"/>
  <c r="X32" i="29"/>
  <c r="P30" i="29"/>
  <c r="O188" i="31"/>
  <c r="M36" i="13" s="1"/>
  <c r="E32" i="13"/>
  <c r="M30" i="13"/>
  <c r="M65" i="13" s="1"/>
  <c r="C18" i="5"/>
  <c r="K113" i="31"/>
  <c r="K112" i="31" s="1"/>
  <c r="Y81" i="172"/>
  <c r="U70" i="95"/>
  <c r="W65" i="172"/>
  <c r="W75" i="172" s="1"/>
  <c r="T64" i="95" s="1"/>
  <c r="X72" i="172"/>
  <c r="Y40" i="172"/>
  <c r="Y41" i="172" s="1"/>
  <c r="Y42" i="172" s="1"/>
  <c r="Y46" i="172" s="1"/>
  <c r="S11" i="103"/>
  <c r="E19" i="183"/>
  <c r="Z37" i="172"/>
  <c r="Z38" i="172"/>
  <c r="U81" i="95"/>
  <c r="U75" i="95"/>
  <c r="T86" i="95"/>
  <c r="T85" i="95" s="1"/>
  <c r="T28" i="95" s="1"/>
  <c r="H13" i="183"/>
  <c r="V81" i="95"/>
  <c r="X88" i="172"/>
  <c r="X89" i="172" s="1"/>
  <c r="X46" i="172"/>
  <c r="X47" i="172"/>
  <c r="V79" i="172"/>
  <c r="U78" i="172"/>
  <c r="V75" i="172"/>
  <c r="S64" i="95" s="1"/>
  <c r="T54" i="172"/>
  <c r="U55" i="172"/>
  <c r="V80" i="172"/>
  <c r="T56" i="172"/>
  <c r="U57" i="172"/>
  <c r="T70" i="95"/>
  <c r="R82" i="95"/>
  <c r="R76" i="95"/>
  <c r="T82" i="172"/>
  <c r="U83" i="172"/>
  <c r="R27" i="101"/>
  <c r="T27" i="101"/>
  <c r="S27" i="101"/>
  <c r="T26" i="102"/>
  <c r="S26" i="102"/>
  <c r="R26" i="102"/>
  <c r="AK13" i="95"/>
  <c r="AL12" i="95"/>
  <c r="J50" i="157"/>
  <c r="I49" i="96"/>
  <c r="H127" i="157"/>
  <c r="S66" i="172"/>
  <c r="S68" i="172" s="1"/>
  <c r="T73" i="172"/>
  <c r="M63" i="172"/>
  <c r="L77" i="172"/>
  <c r="L87" i="172" s="1"/>
  <c r="R69" i="172"/>
  <c r="R70" i="172" s="1"/>
  <c r="R74" i="172" s="1"/>
  <c r="S53" i="172"/>
  <c r="R52" i="172"/>
  <c r="L5" i="172"/>
  <c r="M10" i="172"/>
  <c r="L7" i="172"/>
  <c r="K9" i="172"/>
  <c r="K13" i="172" s="1"/>
  <c r="O46" i="181"/>
  <c r="N47" i="181"/>
  <c r="N48" i="181"/>
  <c r="S47" i="96"/>
  <c r="H47" i="183" s="1"/>
  <c r="S63" i="137"/>
  <c r="S126" i="137"/>
  <c r="W108" i="137"/>
  <c r="W123" i="137"/>
  <c r="U52" i="137"/>
  <c r="J124" i="137"/>
  <c r="I127" i="137"/>
  <c r="I96" i="135"/>
  <c r="I300" i="96"/>
  <c r="H300" i="96"/>
  <c r="H96" i="135"/>
  <c r="I46" i="96"/>
  <c r="H124" i="135"/>
  <c r="G127" i="135"/>
  <c r="J50" i="135"/>
  <c r="I126" i="135"/>
  <c r="C50" i="133"/>
  <c r="W82" i="133"/>
  <c r="W95" i="133" s="1"/>
  <c r="U96" i="133"/>
  <c r="U298" i="96"/>
  <c r="T124" i="133"/>
  <c r="S127" i="133"/>
  <c r="W63" i="133"/>
  <c r="W96" i="133" s="1"/>
  <c r="V126" i="133"/>
  <c r="W126" i="133" s="1"/>
  <c r="V123" i="133"/>
  <c r="V108" i="133"/>
  <c r="V63" i="133"/>
  <c r="T50" i="134"/>
  <c r="U52" i="134"/>
  <c r="S126" i="134"/>
  <c r="T126" i="134" s="1"/>
  <c r="T104" i="134"/>
  <c r="T123" i="134"/>
  <c r="T108" i="134"/>
  <c r="I124" i="134"/>
  <c r="H127" i="134"/>
  <c r="D20" i="171"/>
  <c r="I126" i="117"/>
  <c r="I290" i="96"/>
  <c r="I96" i="117"/>
  <c r="H96" i="117"/>
  <c r="H290" i="96"/>
  <c r="J126" i="117"/>
  <c r="G304" i="96"/>
  <c r="G26" i="96" s="1"/>
  <c r="E19" i="171" s="1"/>
  <c r="I36" i="96"/>
  <c r="J50" i="117"/>
  <c r="G127" i="117"/>
  <c r="H124" i="117"/>
  <c r="I124" i="160"/>
  <c r="H127" i="160"/>
  <c r="I296" i="96"/>
  <c r="I96" i="160"/>
  <c r="J42" i="96"/>
  <c r="J63" i="160"/>
  <c r="J126" i="160"/>
  <c r="K50" i="160"/>
  <c r="N23" i="156"/>
  <c r="N104" i="156" s="1"/>
  <c r="O15" i="156"/>
  <c r="H50" i="96"/>
  <c r="I126" i="156"/>
  <c r="G127" i="156"/>
  <c r="H124" i="156"/>
  <c r="G144" i="175"/>
  <c r="G19" i="96"/>
  <c r="E5" i="171"/>
  <c r="D6" i="171"/>
  <c r="I41" i="96"/>
  <c r="I63" i="156"/>
  <c r="J50" i="156"/>
  <c r="H96" i="156"/>
  <c r="H295" i="96"/>
  <c r="L4" i="96"/>
  <c r="K22" i="96"/>
  <c r="I15" i="171"/>
  <c r="N52" i="98"/>
  <c r="H69" i="104" s="1"/>
  <c r="K24" i="174"/>
  <c r="K25" i="174"/>
  <c r="I16" i="171"/>
  <c r="N47" i="98"/>
  <c r="P39" i="98"/>
  <c r="O50" i="98"/>
  <c r="O53" i="98"/>
  <c r="L25" i="174" s="1"/>
  <c r="O46" i="98"/>
  <c r="O47" i="98" s="1"/>
  <c r="O51" i="98"/>
  <c r="N55" i="98"/>
  <c r="H67" i="104" s="1"/>
  <c r="O56" i="98"/>
  <c r="I68" i="104" s="1"/>
  <c r="M112" i="104" s="1"/>
  <c r="N56" i="98"/>
  <c r="H68" i="104" s="1"/>
  <c r="L112" i="104" s="1"/>
  <c r="O43" i="13"/>
  <c r="R113" i="31"/>
  <c r="U113" i="31"/>
  <c r="U112" i="31" s="1"/>
  <c r="G48" i="181"/>
  <c r="G40" i="181"/>
  <c r="H40" i="181"/>
  <c r="K31" i="70"/>
  <c r="N36" i="13"/>
  <c r="F33" i="13"/>
  <c r="A95" i="96"/>
  <c r="A111" i="96"/>
  <c r="A13" i="104"/>
  <c r="A45" i="96"/>
  <c r="A61" i="96"/>
  <c r="A77" i="96" s="1"/>
  <c r="J16" i="95"/>
  <c r="I34" i="6"/>
  <c r="J17" i="101"/>
  <c r="J15" i="98"/>
  <c r="J18" i="98"/>
  <c r="J16" i="102"/>
  <c r="C29" i="101"/>
  <c r="D29" i="101" s="1"/>
  <c r="D28" i="101"/>
  <c r="P27" i="101"/>
  <c r="L27" i="101"/>
  <c r="Q27" i="101"/>
  <c r="K27" i="101"/>
  <c r="K12" i="101" s="1"/>
  <c r="O27" i="101"/>
  <c r="M27" i="101"/>
  <c r="N27" i="101"/>
  <c r="N5" i="181"/>
  <c r="AF11" i="95"/>
  <c r="O5" i="95"/>
  <c r="N5" i="98"/>
  <c r="N5" i="101"/>
  <c r="N20" i="101" s="1"/>
  <c r="N5" i="99"/>
  <c r="N5" i="103"/>
  <c r="N5" i="97"/>
  <c r="N5" i="100"/>
  <c r="N5" i="102"/>
  <c r="N19" i="102" s="1"/>
  <c r="M35" i="181"/>
  <c r="M15" i="181"/>
  <c r="S92" i="31"/>
  <c r="T90" i="31"/>
  <c r="S139" i="31"/>
  <c r="S95" i="31"/>
  <c r="V187" i="31"/>
  <c r="U25" i="31"/>
  <c r="U188" i="31" s="1"/>
  <c r="U145" i="31"/>
  <c r="U187" i="31"/>
  <c r="U169" i="31"/>
  <c r="J32" i="70"/>
  <c r="J45" i="70"/>
  <c r="J35" i="70"/>
  <c r="Q26" i="102"/>
  <c r="M26" i="102"/>
  <c r="L26" i="102"/>
  <c r="O26" i="102"/>
  <c r="N26" i="102"/>
  <c r="P26" i="102"/>
  <c r="K26" i="102"/>
  <c r="K11" i="102" s="1"/>
  <c r="R138" i="31"/>
  <c r="R144" i="31"/>
  <c r="M35" i="100"/>
  <c r="K104" i="175" s="1"/>
  <c r="J143" i="175" s="1"/>
  <c r="M15" i="100"/>
  <c r="M41" i="4"/>
  <c r="C28" i="102"/>
  <c r="D28" i="102" s="1"/>
  <c r="D27" i="102"/>
  <c r="I23" i="4"/>
  <c r="I9" i="4"/>
  <c r="J11" i="4"/>
  <c r="H32" i="4"/>
  <c r="H37" i="4"/>
  <c r="H42" i="4"/>
  <c r="O14" i="13"/>
  <c r="I9" i="6"/>
  <c r="I7" i="6" s="1"/>
  <c r="I35" i="5" s="1"/>
  <c r="S9" i="31"/>
  <c r="F31" i="13"/>
  <c r="U14" i="13"/>
  <c r="U48" i="13" s="1"/>
  <c r="N37" i="13"/>
  <c r="N48" i="13" s="1"/>
  <c r="N64" i="13" s="1"/>
  <c r="N54" i="13"/>
  <c r="N74" i="157" l="1"/>
  <c r="M78" i="157"/>
  <c r="M87" i="157" s="1"/>
  <c r="M82" i="157"/>
  <c r="M95" i="157" s="1"/>
  <c r="L108" i="157"/>
  <c r="L123" i="157"/>
  <c r="L104" i="157"/>
  <c r="L105" i="157" s="1"/>
  <c r="O49" i="157"/>
  <c r="N56" i="157"/>
  <c r="N62" i="157" s="1"/>
  <c r="N69" i="157" s="1"/>
  <c r="M168" i="48"/>
  <c r="N32" i="48"/>
  <c r="M51" i="48"/>
  <c r="M87" i="48" s="1"/>
  <c r="M13" i="48"/>
  <c r="L112" i="48"/>
  <c r="L135" i="48" s="1"/>
  <c r="L160" i="48"/>
  <c r="L178" i="48" s="1"/>
  <c r="J96" i="132"/>
  <c r="K50" i="132"/>
  <c r="L52" i="132"/>
  <c r="I124" i="132"/>
  <c r="I96" i="132"/>
  <c r="I299" i="96"/>
  <c r="N43" i="13"/>
  <c r="Q113" i="31"/>
  <c r="F253" i="63"/>
  <c r="O206" i="63"/>
  <c r="O208" i="63" s="1"/>
  <c r="G238" i="63"/>
  <c r="O207" i="63" s="1"/>
  <c r="AL13" i="95"/>
  <c r="AM12" i="95"/>
  <c r="K126" i="155"/>
  <c r="K63" i="155"/>
  <c r="K124" i="155" s="1"/>
  <c r="J127" i="155"/>
  <c r="M52" i="155"/>
  <c r="L50" i="155"/>
  <c r="L63" i="155" s="1"/>
  <c r="J96" i="155"/>
  <c r="J294" i="96"/>
  <c r="M19" i="117"/>
  <c r="M23" i="117" s="1"/>
  <c r="M104" i="117" s="1"/>
  <c r="L16" i="155"/>
  <c r="K19" i="155"/>
  <c r="K23" i="155" s="1"/>
  <c r="M16" i="176"/>
  <c r="L19" i="176"/>
  <c r="L23" i="176" s="1"/>
  <c r="M16" i="135"/>
  <c r="M19" i="135" s="1"/>
  <c r="M23" i="135" s="1"/>
  <c r="L19" i="135"/>
  <c r="L23" i="135" s="1"/>
  <c r="M16" i="159"/>
  <c r="M19" i="159" s="1"/>
  <c r="L19" i="159"/>
  <c r="L23" i="159" s="1"/>
  <c r="U15" i="119"/>
  <c r="T23" i="119"/>
  <c r="L23" i="121"/>
  <c r="M15" i="121"/>
  <c r="M15" i="159"/>
  <c r="M15" i="157"/>
  <c r="L23" i="157"/>
  <c r="U15" i="135"/>
  <c r="T23" i="135"/>
  <c r="T104" i="135" s="1"/>
  <c r="L15" i="132"/>
  <c r="K23" i="132"/>
  <c r="M19" i="133"/>
  <c r="M23" i="133" s="1"/>
  <c r="M19" i="137"/>
  <c r="M23" i="137" s="1"/>
  <c r="M15" i="160"/>
  <c r="L23" i="160"/>
  <c r="N15" i="155"/>
  <c r="H304" i="96"/>
  <c r="H26" i="96" s="1"/>
  <c r="F19" i="171" s="1"/>
  <c r="R8" i="100"/>
  <c r="C115" i="96"/>
  <c r="J128" i="161"/>
  <c r="K125" i="161"/>
  <c r="K109" i="161"/>
  <c r="K124" i="161"/>
  <c r="K105" i="161"/>
  <c r="K106" i="161" s="1"/>
  <c r="M75" i="161"/>
  <c r="L83" i="161"/>
  <c r="L96" i="161" s="1"/>
  <c r="L79" i="161"/>
  <c r="L88" i="161" s="1"/>
  <c r="M16" i="161"/>
  <c r="L19" i="161"/>
  <c r="L23" i="161" s="1"/>
  <c r="F130" i="161"/>
  <c r="G126" i="161"/>
  <c r="F129" i="161"/>
  <c r="F285" i="96" s="1"/>
  <c r="N49" i="161"/>
  <c r="M56" i="161"/>
  <c r="M62" i="161" s="1"/>
  <c r="M70" i="161" s="1"/>
  <c r="O51" i="172"/>
  <c r="O16" i="172"/>
  <c r="W80" i="172"/>
  <c r="G33" i="29"/>
  <c r="G179" i="33"/>
  <c r="H179" i="33"/>
  <c r="K10" i="5"/>
  <c r="N12" i="30"/>
  <c r="M11" i="30"/>
  <c r="K33" i="30"/>
  <c r="K12" i="5"/>
  <c r="K13" i="5" s="1"/>
  <c r="K35" i="30"/>
  <c r="L30" i="30"/>
  <c r="L31" i="30"/>
  <c r="L23" i="30"/>
  <c r="L11" i="5" s="1"/>
  <c r="L29" i="30"/>
  <c r="K188" i="31"/>
  <c r="L188" i="31"/>
  <c r="D14" i="29"/>
  <c r="P32" i="29"/>
  <c r="P14" i="29" s="1"/>
  <c r="H188" i="31"/>
  <c r="I188" i="31"/>
  <c r="J35" i="30"/>
  <c r="J33" i="30"/>
  <c r="J12" i="5"/>
  <c r="J13" i="5" s="1"/>
  <c r="R33" i="29"/>
  <c r="T33" i="29" s="1"/>
  <c r="H14" i="70"/>
  <c r="C38" i="68"/>
  <c r="C4" i="69"/>
  <c r="C13" i="69" s="1"/>
  <c r="C15" i="69" s="1"/>
  <c r="C32" i="6"/>
  <c r="D14" i="70" s="1"/>
  <c r="D42" i="70"/>
  <c r="D44" i="70" s="1"/>
  <c r="O15" i="30"/>
  <c r="P16" i="30"/>
  <c r="C117" i="68"/>
  <c r="G116" i="68"/>
  <c r="G117" i="68" s="1"/>
  <c r="D179" i="33"/>
  <c r="D33" i="29"/>
  <c r="P33" i="29" s="1"/>
  <c r="E179" i="33"/>
  <c r="Y72" i="172"/>
  <c r="X65" i="172"/>
  <c r="Z81" i="172"/>
  <c r="Y88" i="172"/>
  <c r="Y89" i="172" s="1"/>
  <c r="Y47" i="172"/>
  <c r="V86" i="95" s="1"/>
  <c r="V85" i="95" s="1"/>
  <c r="V28" i="95" s="1"/>
  <c r="H19" i="183" s="1"/>
  <c r="F19" i="183"/>
  <c r="T11" i="103"/>
  <c r="Z49" i="172"/>
  <c r="U86" i="95"/>
  <c r="U85" i="95" s="1"/>
  <c r="U28" i="95" s="1"/>
  <c r="G19" i="183" s="1"/>
  <c r="Z40" i="172"/>
  <c r="Z41" i="172" s="1"/>
  <c r="Z42" i="172" s="1"/>
  <c r="V55" i="172"/>
  <c r="U54" i="172"/>
  <c r="V57" i="172"/>
  <c r="U56" i="172"/>
  <c r="S76" i="95"/>
  <c r="S82" i="95"/>
  <c r="T66" i="172"/>
  <c r="T68" i="172" s="1"/>
  <c r="T69" i="172" s="1"/>
  <c r="U73" i="172"/>
  <c r="V83" i="172"/>
  <c r="U82" i="172"/>
  <c r="W79" i="172"/>
  <c r="V78" i="172"/>
  <c r="T76" i="95"/>
  <c r="T82" i="95"/>
  <c r="T28" i="102"/>
  <c r="S28" i="102"/>
  <c r="R28" i="102"/>
  <c r="R28" i="101"/>
  <c r="S28" i="101"/>
  <c r="T28" i="101"/>
  <c r="R29" i="101"/>
  <c r="S29" i="101"/>
  <c r="T29" i="101"/>
  <c r="T27" i="102"/>
  <c r="S27" i="102"/>
  <c r="R27" i="102"/>
  <c r="I96" i="157"/>
  <c r="I303" i="96"/>
  <c r="I124" i="157"/>
  <c r="J49" i="96"/>
  <c r="K50" i="157"/>
  <c r="J126" i="157"/>
  <c r="M7" i="172"/>
  <c r="L9" i="172"/>
  <c r="L13" i="172" s="1"/>
  <c r="N10" i="172"/>
  <c r="M5" i="172"/>
  <c r="N63" i="172"/>
  <c r="M77" i="172"/>
  <c r="M87" i="172" s="1"/>
  <c r="M90" i="172" s="1"/>
  <c r="T53" i="172"/>
  <c r="S52" i="172"/>
  <c r="S69" i="172"/>
  <c r="S70" i="172" s="1"/>
  <c r="S74" i="172" s="1"/>
  <c r="P46" i="181"/>
  <c r="O47" i="181"/>
  <c r="O48" i="181"/>
  <c r="T63" i="137"/>
  <c r="T96" i="137" s="1"/>
  <c r="T301" i="96"/>
  <c r="T126" i="137"/>
  <c r="T47" i="96"/>
  <c r="V52" i="137"/>
  <c r="S96" i="137"/>
  <c r="S301" i="96"/>
  <c r="J127" i="137"/>
  <c r="K124" i="137"/>
  <c r="J126" i="135"/>
  <c r="K50" i="135"/>
  <c r="J46" i="96"/>
  <c r="J63" i="135"/>
  <c r="I124" i="135"/>
  <c r="H127" i="135"/>
  <c r="I12" i="133"/>
  <c r="I11" i="133"/>
  <c r="C44" i="96"/>
  <c r="C57" i="133"/>
  <c r="U124" i="133"/>
  <c r="T127" i="133"/>
  <c r="V96" i="133"/>
  <c r="V298" i="96"/>
  <c r="W123" i="133"/>
  <c r="W108" i="133"/>
  <c r="V52" i="134"/>
  <c r="V50" i="134" s="1"/>
  <c r="U50" i="134"/>
  <c r="U126" i="134" s="1"/>
  <c r="T63" i="134"/>
  <c r="J124" i="134"/>
  <c r="I127" i="134"/>
  <c r="E20" i="171"/>
  <c r="H127" i="117"/>
  <c r="I124" i="117"/>
  <c r="J36" i="96"/>
  <c r="J63" i="117"/>
  <c r="K50" i="117"/>
  <c r="K126" i="117" s="1"/>
  <c r="K126" i="160"/>
  <c r="L50" i="160"/>
  <c r="K42" i="96"/>
  <c r="L126" i="160"/>
  <c r="K63" i="160"/>
  <c r="J96" i="160"/>
  <c r="J296" i="96"/>
  <c r="J124" i="160"/>
  <c r="I127" i="160"/>
  <c r="O23" i="156"/>
  <c r="O104" i="156" s="1"/>
  <c r="P15" i="156"/>
  <c r="I50" i="96"/>
  <c r="I295" i="96"/>
  <c r="I96" i="156"/>
  <c r="I124" i="156"/>
  <c r="H127" i="156"/>
  <c r="J41" i="96"/>
  <c r="J63" i="156"/>
  <c r="E6" i="171"/>
  <c r="J126" i="156"/>
  <c r="K50" i="156"/>
  <c r="H19" i="96"/>
  <c r="H144" i="175"/>
  <c r="F5" i="171"/>
  <c r="O55" i="98"/>
  <c r="I67" i="104" s="1"/>
  <c r="M4" i="96"/>
  <c r="L22" i="96"/>
  <c r="O52" i="98"/>
  <c r="I69" i="104" s="1"/>
  <c r="L24" i="174"/>
  <c r="K17" i="101"/>
  <c r="K16" i="101" s="1"/>
  <c r="O41" i="13"/>
  <c r="R112" i="31"/>
  <c r="O40" i="13" s="1"/>
  <c r="A62" i="96"/>
  <c r="A78" i="96" s="1"/>
  <c r="A14" i="104"/>
  <c r="A46" i="96"/>
  <c r="A96" i="96"/>
  <c r="A112" i="96"/>
  <c r="K18" i="98"/>
  <c r="K16" i="102"/>
  <c r="Q28" i="101"/>
  <c r="P28" i="101"/>
  <c r="O28" i="101"/>
  <c r="M28" i="101"/>
  <c r="L28" i="101"/>
  <c r="L12" i="101" s="1"/>
  <c r="N28" i="101"/>
  <c r="K10" i="101"/>
  <c r="J14" i="98"/>
  <c r="J16" i="101"/>
  <c r="J17" i="98"/>
  <c r="J15" i="102"/>
  <c r="K9" i="102"/>
  <c r="Q29" i="101"/>
  <c r="O29" i="101"/>
  <c r="N29" i="101"/>
  <c r="P29" i="101"/>
  <c r="M29" i="101"/>
  <c r="S144" i="31"/>
  <c r="S138" i="31"/>
  <c r="AG11" i="95"/>
  <c r="O5" i="98"/>
  <c r="P5" i="95"/>
  <c r="O5" i="99"/>
  <c r="O5" i="102"/>
  <c r="O19" i="102" s="1"/>
  <c r="O5" i="97"/>
  <c r="O5" i="103"/>
  <c r="O5" i="100"/>
  <c r="O5" i="101"/>
  <c r="O20" i="101" s="1"/>
  <c r="O5" i="181"/>
  <c r="N27" i="102"/>
  <c r="M27" i="102"/>
  <c r="Q27" i="102"/>
  <c r="P27" i="102"/>
  <c r="O27" i="102"/>
  <c r="L27" i="102"/>
  <c r="L11" i="102" s="1"/>
  <c r="P28" i="102"/>
  <c r="Q28" i="102"/>
  <c r="N28" i="102"/>
  <c r="M28" i="102"/>
  <c r="O28" i="102"/>
  <c r="J26" i="4"/>
  <c r="J33" i="4" s="1"/>
  <c r="J34" i="4" s="1"/>
  <c r="J14" i="4"/>
  <c r="J20" i="4" s="1"/>
  <c r="J21" i="4" s="1"/>
  <c r="I33" i="6"/>
  <c r="R28" i="31"/>
  <c r="T95" i="31"/>
  <c r="T139" i="31"/>
  <c r="T92" i="31"/>
  <c r="U90" i="31"/>
  <c r="N35" i="100"/>
  <c r="N15" i="100"/>
  <c r="N15" i="181"/>
  <c r="N35" i="181"/>
  <c r="K15" i="98"/>
  <c r="J34" i="6"/>
  <c r="K16" i="95"/>
  <c r="O54" i="13"/>
  <c r="O37" i="13"/>
  <c r="O48" i="13" s="1"/>
  <c r="O64" i="13" s="1"/>
  <c r="V14" i="13"/>
  <c r="V48" i="13" s="1"/>
  <c r="J9" i="4"/>
  <c r="J23" i="4"/>
  <c r="K11" i="4"/>
  <c r="I42" i="4"/>
  <c r="I32" i="4"/>
  <c r="I37" i="4"/>
  <c r="J9" i="6"/>
  <c r="J7" i="6" s="1"/>
  <c r="J35" i="5" s="1"/>
  <c r="T9" i="31"/>
  <c r="H38" i="4"/>
  <c r="H13" i="4"/>
  <c r="H25" i="4"/>
  <c r="P49" i="157" l="1"/>
  <c r="O56" i="157"/>
  <c r="O62" i="157" s="1"/>
  <c r="O69" i="157" s="1"/>
  <c r="M108" i="157"/>
  <c r="M104" i="157"/>
  <c r="M123" i="157"/>
  <c r="N82" i="157"/>
  <c r="N95" i="157" s="1"/>
  <c r="O74" i="157"/>
  <c r="N78" i="157"/>
  <c r="N87" i="157" s="1"/>
  <c r="M112" i="48"/>
  <c r="M135" i="48" s="1"/>
  <c r="M160" i="48"/>
  <c r="M178" i="48" s="1"/>
  <c r="N168" i="48"/>
  <c r="O32" i="48"/>
  <c r="N51" i="48"/>
  <c r="N87" i="48" s="1"/>
  <c r="N13" i="48"/>
  <c r="L126" i="155"/>
  <c r="I127" i="132"/>
  <c r="J124" i="132"/>
  <c r="M52" i="132"/>
  <c r="L50" i="132"/>
  <c r="L45" i="96" s="1"/>
  <c r="L63" i="132"/>
  <c r="K126" i="132"/>
  <c r="L126" i="132" s="1"/>
  <c r="K45" i="96"/>
  <c r="K63" i="132"/>
  <c r="R11" i="102"/>
  <c r="T11" i="102"/>
  <c r="T18" i="98" s="1"/>
  <c r="M11" i="102"/>
  <c r="M18" i="98" s="1"/>
  <c r="S11" i="102"/>
  <c r="S18" i="98" s="1"/>
  <c r="AM13" i="95"/>
  <c r="AN12" i="95"/>
  <c r="P11" i="102"/>
  <c r="F39" i="13"/>
  <c r="N41" i="13"/>
  <c r="Q112" i="31"/>
  <c r="N52" i="155"/>
  <c r="M50" i="155"/>
  <c r="L96" i="155"/>
  <c r="L294" i="96"/>
  <c r="L40" i="96"/>
  <c r="K127" i="155"/>
  <c r="L124" i="155"/>
  <c r="K96" i="155"/>
  <c r="K294" i="96"/>
  <c r="M126" i="155"/>
  <c r="M19" i="176"/>
  <c r="M23" i="176" s="1"/>
  <c r="M104" i="176" s="1"/>
  <c r="N16" i="176"/>
  <c r="N19" i="117"/>
  <c r="N23" i="117" s="1"/>
  <c r="N104" i="117" s="1"/>
  <c r="M16" i="155"/>
  <c r="M19" i="155" s="1"/>
  <c r="M23" i="155" s="1"/>
  <c r="L19" i="155"/>
  <c r="L23" i="155" s="1"/>
  <c r="V15" i="119"/>
  <c r="U23" i="119"/>
  <c r="N15" i="121"/>
  <c r="M23" i="121"/>
  <c r="M104" i="121" s="1"/>
  <c r="N15" i="159"/>
  <c r="M23" i="159"/>
  <c r="M104" i="159" s="1"/>
  <c r="K126" i="157"/>
  <c r="M23" i="157"/>
  <c r="N15" i="157"/>
  <c r="V15" i="135"/>
  <c r="V23" i="135" s="1"/>
  <c r="V104" i="135" s="1"/>
  <c r="U23" i="135"/>
  <c r="U104" i="135" s="1"/>
  <c r="L23" i="132"/>
  <c r="M15" i="132"/>
  <c r="N19" i="133"/>
  <c r="N23" i="133" s="1"/>
  <c r="N104" i="133" s="1"/>
  <c r="N19" i="137"/>
  <c r="N23" i="137" s="1"/>
  <c r="N104" i="137" s="1"/>
  <c r="N15" i="160"/>
  <c r="M23" i="160"/>
  <c r="N23" i="155"/>
  <c r="N104" i="155" s="1"/>
  <c r="O15" i="155"/>
  <c r="I304" i="96"/>
  <c r="I26" i="96" s="1"/>
  <c r="G19" i="171" s="1"/>
  <c r="F20" i="171"/>
  <c r="J26" i="98"/>
  <c r="J47" i="98" s="1"/>
  <c r="S8" i="100"/>
  <c r="O49" i="161"/>
  <c r="O56" i="161" s="1"/>
  <c r="O62" i="161" s="1"/>
  <c r="O70" i="161" s="1"/>
  <c r="N56" i="161"/>
  <c r="N62" i="161" s="1"/>
  <c r="N70" i="161" s="1"/>
  <c r="M83" i="161"/>
  <c r="M96" i="161" s="1"/>
  <c r="M79" i="161"/>
  <c r="N75" i="161"/>
  <c r="M19" i="161"/>
  <c r="M23" i="161" s="1"/>
  <c r="L125" i="161"/>
  <c r="K128" i="161"/>
  <c r="G130" i="161"/>
  <c r="H126" i="161"/>
  <c r="G129" i="161"/>
  <c r="G285" i="96" s="1"/>
  <c r="L124" i="161"/>
  <c r="L105" i="161"/>
  <c r="L106" i="161" s="1"/>
  <c r="L109" i="161"/>
  <c r="D28" i="70"/>
  <c r="E31" i="70" s="1"/>
  <c r="E33" i="70"/>
  <c r="D29" i="70"/>
  <c r="D47" i="70"/>
  <c r="M10" i="5"/>
  <c r="H33" i="70"/>
  <c r="H28" i="70"/>
  <c r="H29" i="70"/>
  <c r="H47" i="70"/>
  <c r="I33" i="70"/>
  <c r="L10" i="5"/>
  <c r="P15" i="30"/>
  <c r="M23" i="30"/>
  <c r="M11" i="5" s="1"/>
  <c r="M30" i="30"/>
  <c r="M31" i="30"/>
  <c r="M29" i="30"/>
  <c r="M32" i="30" s="1"/>
  <c r="L32" i="30"/>
  <c r="O12" i="30"/>
  <c r="N11" i="30"/>
  <c r="W78" i="172"/>
  <c r="X79" i="172"/>
  <c r="X75" i="172"/>
  <c r="U64" i="95" s="1"/>
  <c r="X80" i="172"/>
  <c r="Z72" i="172"/>
  <c r="Z65" i="172" s="1"/>
  <c r="Y65" i="172"/>
  <c r="Z47" i="172"/>
  <c r="Z46" i="172"/>
  <c r="Z88" i="172"/>
  <c r="Z89" i="172" s="1"/>
  <c r="T70" i="172"/>
  <c r="T74" i="172" s="1"/>
  <c r="W57" i="172"/>
  <c r="V56" i="172"/>
  <c r="V73" i="172"/>
  <c r="U66" i="172"/>
  <c r="U68" i="172" s="1"/>
  <c r="T52" i="172"/>
  <c r="U53" i="172"/>
  <c r="W83" i="172"/>
  <c r="V82" i="172"/>
  <c r="W55" i="172"/>
  <c r="V54" i="172"/>
  <c r="S10" i="103"/>
  <c r="T10" i="103"/>
  <c r="N12" i="101"/>
  <c r="N15" i="98" s="1"/>
  <c r="I127" i="157"/>
  <c r="J124" i="157"/>
  <c r="J303" i="96"/>
  <c r="J96" i="157"/>
  <c r="L50" i="157"/>
  <c r="K49" i="96"/>
  <c r="O63" i="172"/>
  <c r="N77" i="172"/>
  <c r="N87" i="172" s="1"/>
  <c r="N90" i="172" s="1"/>
  <c r="O10" i="172"/>
  <c r="N5" i="172"/>
  <c r="N7" i="172"/>
  <c r="M9" i="172"/>
  <c r="M13" i="172" s="1"/>
  <c r="U47" i="96"/>
  <c r="V50" i="137"/>
  <c r="W52" i="137"/>
  <c r="W50" i="137" s="1"/>
  <c r="U126" i="137"/>
  <c r="V126" i="137" s="1"/>
  <c r="U63" i="137"/>
  <c r="K127" i="137"/>
  <c r="L124" i="137"/>
  <c r="J96" i="135"/>
  <c r="J300" i="96"/>
  <c r="L50" i="135"/>
  <c r="K46" i="96"/>
  <c r="K63" i="135"/>
  <c r="K126" i="135"/>
  <c r="I127" i="135"/>
  <c r="J124" i="135"/>
  <c r="W57" i="133"/>
  <c r="K57" i="133"/>
  <c r="C83" i="133"/>
  <c r="N57" i="133"/>
  <c r="T57" i="133"/>
  <c r="Q57" i="133"/>
  <c r="L57" i="133"/>
  <c r="E57" i="133"/>
  <c r="H57" i="133"/>
  <c r="G57" i="133"/>
  <c r="J57" i="133"/>
  <c r="V57" i="133"/>
  <c r="D57" i="133"/>
  <c r="P57" i="133"/>
  <c r="F57" i="133"/>
  <c r="M57" i="133"/>
  <c r="S57" i="133"/>
  <c r="O57" i="133"/>
  <c r="C79" i="133"/>
  <c r="R57" i="133"/>
  <c r="U57" i="133"/>
  <c r="I57" i="133"/>
  <c r="L61" i="96"/>
  <c r="L77" i="96" s="1"/>
  <c r="Q61" i="96"/>
  <c r="Q77" i="96" s="1"/>
  <c r="F33" i="183" s="1"/>
  <c r="N61" i="96"/>
  <c r="N77" i="96" s="1"/>
  <c r="C33" i="183" s="1"/>
  <c r="J61" i="96"/>
  <c r="J77" i="96" s="1"/>
  <c r="O61" i="96"/>
  <c r="O77" i="96" s="1"/>
  <c r="D33" i="183" s="1"/>
  <c r="D61" i="96"/>
  <c r="M61" i="96"/>
  <c r="M77" i="96" s="1"/>
  <c r="G61" i="96"/>
  <c r="G77" i="96" s="1"/>
  <c r="K61" i="96"/>
  <c r="K77" i="96" s="1"/>
  <c r="H61" i="96"/>
  <c r="H77" i="96" s="1"/>
  <c r="F61" i="96"/>
  <c r="F77" i="96" s="1"/>
  <c r="E61" i="96"/>
  <c r="E77" i="96" s="1"/>
  <c r="I61" i="96"/>
  <c r="I77" i="96" s="1"/>
  <c r="P61" i="96"/>
  <c r="P77" i="96" s="1"/>
  <c r="E33" i="183" s="1"/>
  <c r="R61" i="96"/>
  <c r="R77" i="96" s="1"/>
  <c r="G33" i="183" s="1"/>
  <c r="S61" i="96"/>
  <c r="S77" i="96" s="1"/>
  <c r="H33" i="183" s="1"/>
  <c r="T61" i="96"/>
  <c r="T77" i="96" s="1"/>
  <c r="V61" i="96"/>
  <c r="V77" i="96" s="1"/>
  <c r="U61" i="96"/>
  <c r="U77" i="96" s="1"/>
  <c r="V124" i="133"/>
  <c r="U127" i="133"/>
  <c r="T96" i="134"/>
  <c r="C50" i="134"/>
  <c r="I11" i="134" s="1"/>
  <c r="V126" i="134"/>
  <c r="U63" i="134"/>
  <c r="U96" i="134" s="1"/>
  <c r="C43" i="96"/>
  <c r="C57" i="134"/>
  <c r="I12" i="134"/>
  <c r="V63" i="134"/>
  <c r="V96" i="134" s="1"/>
  <c r="J127" i="134"/>
  <c r="K124" i="134"/>
  <c r="J96" i="117"/>
  <c r="J290" i="96"/>
  <c r="L50" i="117"/>
  <c r="J124" i="117"/>
  <c r="I127" i="117"/>
  <c r="K36" i="96"/>
  <c r="K63" i="117"/>
  <c r="K296" i="96"/>
  <c r="K96" i="160"/>
  <c r="K124" i="160"/>
  <c r="J127" i="160"/>
  <c r="L42" i="96"/>
  <c r="L63" i="160"/>
  <c r="M50" i="160"/>
  <c r="Q15" i="156"/>
  <c r="P23" i="156"/>
  <c r="P104" i="156" s="1"/>
  <c r="K126" i="156"/>
  <c r="F6" i="171"/>
  <c r="J124" i="156"/>
  <c r="I127" i="156"/>
  <c r="J295" i="96"/>
  <c r="J96" i="156"/>
  <c r="J50" i="96"/>
  <c r="K41" i="96"/>
  <c r="K63" i="156"/>
  <c r="L50" i="156"/>
  <c r="I19" i="96"/>
  <c r="I30" i="174"/>
  <c r="G5" i="171"/>
  <c r="I144" i="175"/>
  <c r="M12" i="101"/>
  <c r="M15" i="98" s="1"/>
  <c r="P15" i="98"/>
  <c r="N4" i="96"/>
  <c r="M22" i="96"/>
  <c r="P12" i="101"/>
  <c r="O15" i="98" s="1"/>
  <c r="O12" i="101"/>
  <c r="N11" i="102"/>
  <c r="N18" i="98" s="1"/>
  <c r="O11" i="102"/>
  <c r="O18" i="98" s="1"/>
  <c r="A97" i="96"/>
  <c r="A113" i="96"/>
  <c r="A47" i="96"/>
  <c r="A63" i="96"/>
  <c r="A79" i="96" s="1"/>
  <c r="A15" i="104"/>
  <c r="L18" i="98"/>
  <c r="K34" i="6"/>
  <c r="L16" i="95"/>
  <c r="L15" i="98"/>
  <c r="L17" i="101"/>
  <c r="P18" i="98"/>
  <c r="T138" i="31"/>
  <c r="T144" i="31"/>
  <c r="R151" i="31"/>
  <c r="R190" i="31"/>
  <c r="O32" i="13"/>
  <c r="P5" i="99"/>
  <c r="Q5" i="95"/>
  <c r="P5" i="103"/>
  <c r="P5" i="101"/>
  <c r="P20" i="101" s="1"/>
  <c r="AH11" i="95"/>
  <c r="P5" i="100"/>
  <c r="P5" i="97"/>
  <c r="P5" i="98"/>
  <c r="P5" i="181"/>
  <c r="P5" i="102"/>
  <c r="P19" i="102" s="1"/>
  <c r="R27" i="31"/>
  <c r="E39" i="68"/>
  <c r="E55" i="68" s="1"/>
  <c r="O15" i="181"/>
  <c r="O35" i="181"/>
  <c r="L16" i="102"/>
  <c r="K15" i="102"/>
  <c r="O15" i="100"/>
  <c r="O35" i="100"/>
  <c r="U139" i="31"/>
  <c r="U92" i="31"/>
  <c r="U95" i="31"/>
  <c r="V90" i="31"/>
  <c r="K14" i="4"/>
  <c r="K20" i="4" s="1"/>
  <c r="K21" i="4" s="1"/>
  <c r="J33" i="6"/>
  <c r="S27" i="31" s="1"/>
  <c r="S28" i="31"/>
  <c r="K26" i="4"/>
  <c r="K33" i="4" s="1"/>
  <c r="K34" i="4" s="1"/>
  <c r="L11" i="4"/>
  <c r="K9" i="4"/>
  <c r="K23" i="4"/>
  <c r="U9" i="31"/>
  <c r="K9" i="6"/>
  <c r="K7" i="6" s="1"/>
  <c r="K35" i="5" s="1"/>
  <c r="I38" i="4"/>
  <c r="I18" i="4" s="1"/>
  <c r="I13" i="4"/>
  <c r="I25" i="4"/>
  <c r="J42" i="4"/>
  <c r="J37" i="4"/>
  <c r="J32" i="4"/>
  <c r="H18" i="4"/>
  <c r="O82" i="157" l="1"/>
  <c r="O95" i="157" s="1"/>
  <c r="P74" i="157"/>
  <c r="N123" i="157"/>
  <c r="N108" i="157"/>
  <c r="P56" i="157"/>
  <c r="P62" i="157" s="1"/>
  <c r="P69" i="157" s="1"/>
  <c r="Q49" i="157"/>
  <c r="N112" i="48"/>
  <c r="N135" i="48" s="1"/>
  <c r="N160" i="48"/>
  <c r="N178" i="48" s="1"/>
  <c r="O168" i="48"/>
  <c r="P32" i="48"/>
  <c r="O51" i="48"/>
  <c r="O87" i="48" s="1"/>
  <c r="O13" i="48"/>
  <c r="N52" i="132"/>
  <c r="M50" i="132"/>
  <c r="M45" i="96" s="1"/>
  <c r="L299" i="96"/>
  <c r="L96" i="132"/>
  <c r="K124" i="132"/>
  <c r="J127" i="132"/>
  <c r="K299" i="96"/>
  <c r="K96" i="132"/>
  <c r="O16" i="95"/>
  <c r="Q16" i="95"/>
  <c r="N40" i="13"/>
  <c r="F38" i="13"/>
  <c r="M16" i="95"/>
  <c r="L34" i="6"/>
  <c r="AN13" i="95"/>
  <c r="AO12" i="95"/>
  <c r="AO13" i="95" s="1"/>
  <c r="L127" i="155"/>
  <c r="M63" i="155"/>
  <c r="M40" i="96"/>
  <c r="N50" i="155"/>
  <c r="O52" i="155"/>
  <c r="O16" i="176"/>
  <c r="N19" i="176"/>
  <c r="N23" i="176" s="1"/>
  <c r="N104" i="176" s="1"/>
  <c r="O19" i="117"/>
  <c r="O23" i="117" s="1"/>
  <c r="O104" i="117" s="1"/>
  <c r="W15" i="119"/>
  <c r="W23" i="119" s="1"/>
  <c r="V23" i="119"/>
  <c r="N23" i="121"/>
  <c r="O15" i="121"/>
  <c r="N23" i="159"/>
  <c r="O15" i="159"/>
  <c r="L126" i="157"/>
  <c r="O15" i="157"/>
  <c r="N23" i="157"/>
  <c r="N104" i="157" s="1"/>
  <c r="N15" i="132"/>
  <c r="M23" i="132"/>
  <c r="O19" i="133"/>
  <c r="O23" i="133" s="1"/>
  <c r="O104" i="133" s="1"/>
  <c r="O19" i="137"/>
  <c r="O23" i="137" s="1"/>
  <c r="O104" i="137" s="1"/>
  <c r="N23" i="160"/>
  <c r="N104" i="160" s="1"/>
  <c r="O15" i="160"/>
  <c r="O23" i="155"/>
  <c r="O104" i="155" s="1"/>
  <c r="P15" i="155"/>
  <c r="U60" i="96"/>
  <c r="U76" i="96" s="1"/>
  <c r="V60" i="96"/>
  <c r="V76" i="96" s="1"/>
  <c r="R60" i="96"/>
  <c r="R76" i="96" s="1"/>
  <c r="G32" i="183" s="1"/>
  <c r="S60" i="96"/>
  <c r="S76" i="96" s="1"/>
  <c r="H32" i="183" s="1"/>
  <c r="T60" i="96"/>
  <c r="T76" i="96" s="1"/>
  <c r="S39" i="98"/>
  <c r="L37" i="178" s="1"/>
  <c r="T8" i="100"/>
  <c r="T39" i="98" s="1"/>
  <c r="M125" i="161"/>
  <c r="L128" i="161"/>
  <c r="N19" i="161"/>
  <c r="N23" i="161" s="1"/>
  <c r="N83" i="161"/>
  <c r="N96" i="161" s="1"/>
  <c r="O75" i="161"/>
  <c r="O83" i="161" s="1"/>
  <c r="O96" i="161" s="1"/>
  <c r="H130" i="161"/>
  <c r="I126" i="161"/>
  <c r="H129" i="161"/>
  <c r="H285" i="96" s="1"/>
  <c r="M88" i="161"/>
  <c r="C79" i="161"/>
  <c r="C88" i="161" s="1"/>
  <c r="M109" i="161"/>
  <c r="M124" i="161"/>
  <c r="M105" i="161"/>
  <c r="N30" i="30"/>
  <c r="N23" i="30"/>
  <c r="N11" i="5" s="1"/>
  <c r="N31" i="30"/>
  <c r="N29" i="30"/>
  <c r="N32" i="30" s="1"/>
  <c r="L33" i="30"/>
  <c r="L12" i="5"/>
  <c r="L13" i="5" s="1"/>
  <c r="L35" i="30"/>
  <c r="D45" i="70"/>
  <c r="E32" i="70"/>
  <c r="M35" i="30"/>
  <c r="M33" i="30"/>
  <c r="M12" i="5"/>
  <c r="M13" i="5" s="1"/>
  <c r="H35" i="70"/>
  <c r="H45" i="70"/>
  <c r="I32" i="70"/>
  <c r="H32" i="70"/>
  <c r="O11" i="30"/>
  <c r="P12" i="30"/>
  <c r="P11" i="30" s="1"/>
  <c r="H31" i="70"/>
  <c r="I31" i="70"/>
  <c r="Z75" i="172"/>
  <c r="Y75" i="172"/>
  <c r="V64" i="95" s="1"/>
  <c r="Y80" i="172"/>
  <c r="W54" i="172"/>
  <c r="X55" i="172"/>
  <c r="W56" i="172"/>
  <c r="X57" i="172"/>
  <c r="U76" i="95"/>
  <c r="U82" i="95"/>
  <c r="W82" i="172"/>
  <c r="X83" i="172"/>
  <c r="Z80" i="172"/>
  <c r="X78" i="172"/>
  <c r="Y79" i="172"/>
  <c r="V53" i="172"/>
  <c r="U52" i="172"/>
  <c r="U69" i="172"/>
  <c r="U70" i="172" s="1"/>
  <c r="U74" i="172" s="1"/>
  <c r="W73" i="172"/>
  <c r="V66" i="172"/>
  <c r="V68" i="172" s="1"/>
  <c r="V69" i="172" s="1"/>
  <c r="V70" i="172" s="1"/>
  <c r="V74" i="172" s="1"/>
  <c r="Q17" i="98"/>
  <c r="R9" i="102"/>
  <c r="R13" i="102" s="1"/>
  <c r="R5" i="97"/>
  <c r="AJ11" i="95"/>
  <c r="R5" i="101"/>
  <c r="R20" i="101" s="1"/>
  <c r="R5" i="102"/>
  <c r="R19" i="102" s="1"/>
  <c r="R5" i="99"/>
  <c r="Q18" i="98"/>
  <c r="K96" i="157"/>
  <c r="K303" i="96"/>
  <c r="K124" i="157"/>
  <c r="J127" i="157"/>
  <c r="L49" i="96"/>
  <c r="L63" i="157"/>
  <c r="M50" i="157"/>
  <c r="O7" i="172"/>
  <c r="N9" i="172"/>
  <c r="N13" i="172" s="1"/>
  <c r="O5" i="172"/>
  <c r="P10" i="172"/>
  <c r="P63" i="172"/>
  <c r="O77" i="172"/>
  <c r="O87" i="172" s="1"/>
  <c r="O90" i="172" s="1"/>
  <c r="V47" i="96"/>
  <c r="C50" i="137"/>
  <c r="U96" i="137"/>
  <c r="U301" i="96"/>
  <c r="W126" i="137"/>
  <c r="V63" i="137"/>
  <c r="W63" i="137"/>
  <c r="W96" i="137" s="1"/>
  <c r="M124" i="137"/>
  <c r="N124" i="137" s="1"/>
  <c r="L127" i="137"/>
  <c r="M50" i="135"/>
  <c r="L46" i="96"/>
  <c r="L63" i="135"/>
  <c r="J127" i="135"/>
  <c r="K124" i="135"/>
  <c r="L126" i="135"/>
  <c r="K96" i="135"/>
  <c r="K300" i="96"/>
  <c r="F83" i="133"/>
  <c r="F79" i="133"/>
  <c r="L83" i="133"/>
  <c r="L79" i="133"/>
  <c r="I79" i="133"/>
  <c r="I83" i="133"/>
  <c r="P79" i="133"/>
  <c r="P83" i="133"/>
  <c r="P94" i="96" s="1"/>
  <c r="Q79" i="133"/>
  <c r="Q83" i="133"/>
  <c r="Q94" i="96" s="1"/>
  <c r="F6" i="183" s="1"/>
  <c r="U83" i="133"/>
  <c r="U94" i="96" s="1"/>
  <c r="U79" i="133"/>
  <c r="D79" i="133"/>
  <c r="D83" i="133"/>
  <c r="D125" i="133"/>
  <c r="T83" i="133"/>
  <c r="T94" i="96" s="1"/>
  <c r="T79" i="133"/>
  <c r="E79" i="133"/>
  <c r="E83" i="133"/>
  <c r="D77" i="96"/>
  <c r="C61" i="96"/>
  <c r="R83" i="133"/>
  <c r="R94" i="96" s="1"/>
  <c r="G6" i="183" s="1"/>
  <c r="R79" i="133"/>
  <c r="V83" i="133"/>
  <c r="V94" i="96" s="1"/>
  <c r="V79" i="133"/>
  <c r="N79" i="133"/>
  <c r="N83" i="133"/>
  <c r="D8" i="133"/>
  <c r="C86" i="133"/>
  <c r="C101" i="133"/>
  <c r="J83" i="133"/>
  <c r="J79" i="133"/>
  <c r="C94" i="96"/>
  <c r="J13" i="104" s="1"/>
  <c r="N5" i="133"/>
  <c r="O79" i="133"/>
  <c r="O83" i="133"/>
  <c r="O94" i="96" s="1"/>
  <c r="G79" i="133"/>
  <c r="G83" i="133"/>
  <c r="K83" i="133"/>
  <c r="K79" i="133"/>
  <c r="M79" i="133"/>
  <c r="M83" i="133"/>
  <c r="S83" i="133"/>
  <c r="S94" i="96" s="1"/>
  <c r="H6" i="183" s="1"/>
  <c r="S79" i="133"/>
  <c r="H79" i="133"/>
  <c r="H83" i="133"/>
  <c r="W79" i="133"/>
  <c r="W83" i="133"/>
  <c r="W124" i="133"/>
  <c r="V127" i="133"/>
  <c r="J304" i="96"/>
  <c r="J26" i="96" s="1"/>
  <c r="H19" i="171" s="1"/>
  <c r="C63" i="134"/>
  <c r="V57" i="134"/>
  <c r="U57" i="134"/>
  <c r="N57" i="134"/>
  <c r="C83" i="134"/>
  <c r="J57" i="134"/>
  <c r="Q57" i="134"/>
  <c r="F57" i="134"/>
  <c r="T57" i="134"/>
  <c r="K57" i="134"/>
  <c r="R57" i="134"/>
  <c r="L57" i="134"/>
  <c r="O57" i="134"/>
  <c r="S57" i="134"/>
  <c r="D57" i="134"/>
  <c r="I57" i="134"/>
  <c r="G57" i="134"/>
  <c r="H57" i="134"/>
  <c r="P57" i="134"/>
  <c r="M57" i="134"/>
  <c r="C79" i="134"/>
  <c r="E57" i="134"/>
  <c r="H60" i="96"/>
  <c r="H76" i="96" s="1"/>
  <c r="D60" i="96"/>
  <c r="J60" i="96"/>
  <c r="J76" i="96" s="1"/>
  <c r="G60" i="96"/>
  <c r="G76" i="96" s="1"/>
  <c r="E60" i="96"/>
  <c r="E76" i="96" s="1"/>
  <c r="L60" i="96"/>
  <c r="L76" i="96" s="1"/>
  <c r="F60" i="96"/>
  <c r="F76" i="96" s="1"/>
  <c r="O60" i="96"/>
  <c r="O76" i="96" s="1"/>
  <c r="D32" i="183" s="1"/>
  <c r="N60" i="96"/>
  <c r="N76" i="96" s="1"/>
  <c r="C32" i="183" s="1"/>
  <c r="I60" i="96"/>
  <c r="I76" i="96" s="1"/>
  <c r="P60" i="96"/>
  <c r="P76" i="96" s="1"/>
  <c r="E32" i="183" s="1"/>
  <c r="K60" i="96"/>
  <c r="K76" i="96" s="1"/>
  <c r="M60" i="96"/>
  <c r="M76" i="96" s="1"/>
  <c r="Q60" i="96"/>
  <c r="Q76" i="96" s="1"/>
  <c r="F32" i="183" s="1"/>
  <c r="L124" i="134"/>
  <c r="K127" i="134"/>
  <c r="J127" i="117"/>
  <c r="K124" i="117"/>
  <c r="N50" i="117"/>
  <c r="M50" i="117"/>
  <c r="M63" i="117" s="1"/>
  <c r="K290" i="96"/>
  <c r="K96" i="117"/>
  <c r="L36" i="96"/>
  <c r="L63" i="117"/>
  <c r="L126" i="117"/>
  <c r="L124" i="160"/>
  <c r="K127" i="160"/>
  <c r="M42" i="96"/>
  <c r="M63" i="160"/>
  <c r="O52" i="160"/>
  <c r="N50" i="160"/>
  <c r="M126" i="160"/>
  <c r="L296" i="96"/>
  <c r="L96" i="160"/>
  <c r="R15" i="156"/>
  <c r="Q23" i="156"/>
  <c r="Q104" i="156" s="1"/>
  <c r="G20" i="171"/>
  <c r="G6" i="171"/>
  <c r="L41" i="96"/>
  <c r="L63" i="156"/>
  <c r="M50" i="156"/>
  <c r="M63" i="156" s="1"/>
  <c r="L126" i="156"/>
  <c r="K96" i="156"/>
  <c r="K295" i="96"/>
  <c r="K50" i="96"/>
  <c r="K124" i="156"/>
  <c r="J127" i="156"/>
  <c r="J19" i="96"/>
  <c r="H5" i="171"/>
  <c r="H6" i="171" s="1"/>
  <c r="J144" i="175"/>
  <c r="O4" i="96"/>
  <c r="N22" i="96"/>
  <c r="S5" i="95"/>
  <c r="R5" i="100"/>
  <c r="N16" i="95"/>
  <c r="A48" i="96"/>
  <c r="A16" i="104"/>
  <c r="A64" i="96"/>
  <c r="A80" i="96" s="1"/>
  <c r="A114" i="96"/>
  <c r="A98" i="96"/>
  <c r="L14" i="4"/>
  <c r="L20" i="4" s="1"/>
  <c r="L21" i="4" s="1"/>
  <c r="T28" i="31"/>
  <c r="L26" i="4"/>
  <c r="L33" i="4" s="1"/>
  <c r="L34" i="4" s="1"/>
  <c r="K33" i="6"/>
  <c r="T27" i="31" s="1"/>
  <c r="M16" i="102"/>
  <c r="L15" i="102"/>
  <c r="U144" i="31"/>
  <c r="U138" i="31"/>
  <c r="R189" i="31"/>
  <c r="R170" i="31"/>
  <c r="O31" i="13"/>
  <c r="R110" i="31"/>
  <c r="R140" i="31"/>
  <c r="O67" i="13" s="1"/>
  <c r="V92" i="31"/>
  <c r="W90" i="31"/>
  <c r="V95" i="31"/>
  <c r="V139" i="31"/>
  <c r="P35" i="100"/>
  <c r="P15" i="100"/>
  <c r="S190" i="31"/>
  <c r="S151" i="31"/>
  <c r="AI11" i="95"/>
  <c r="Q5" i="98"/>
  <c r="Q5" i="99"/>
  <c r="Q5" i="103"/>
  <c r="Q5" i="97"/>
  <c r="Q5" i="100"/>
  <c r="Q5" i="102"/>
  <c r="Q19" i="102" s="1"/>
  <c r="Q5" i="101"/>
  <c r="Q20" i="101" s="1"/>
  <c r="M17" i="101"/>
  <c r="L16" i="101"/>
  <c r="S170" i="31"/>
  <c r="S140" i="31"/>
  <c r="S189" i="31"/>
  <c r="S110" i="31"/>
  <c r="P15" i="181"/>
  <c r="P35" i="181"/>
  <c r="U28" i="31"/>
  <c r="M26" i="4"/>
  <c r="M33" i="4" s="1"/>
  <c r="M34" i="4" s="1"/>
  <c r="M14" i="4"/>
  <c r="M20" i="4" s="1"/>
  <c r="M21" i="4" s="1"/>
  <c r="L33" i="6"/>
  <c r="U27" i="31" s="1"/>
  <c r="H19" i="4"/>
  <c r="I19" i="4"/>
  <c r="J13" i="4"/>
  <c r="J25" i="4"/>
  <c r="J38" i="4"/>
  <c r="L9" i="6"/>
  <c r="L7" i="6" s="1"/>
  <c r="L35" i="5" s="1"/>
  <c r="V9" i="31"/>
  <c r="W9" i="31" s="1"/>
  <c r="J19" i="4"/>
  <c r="K42" i="4"/>
  <c r="K37" i="4"/>
  <c r="K19" i="4"/>
  <c r="K32" i="4"/>
  <c r="M11" i="4"/>
  <c r="L9" i="4"/>
  <c r="L23" i="4"/>
  <c r="R49" i="157" l="1"/>
  <c r="Q56" i="157"/>
  <c r="Q62" i="157" s="1"/>
  <c r="Q69" i="157" s="1"/>
  <c r="Q74" i="157"/>
  <c r="P82" i="157"/>
  <c r="P95" i="157" s="1"/>
  <c r="O123" i="157"/>
  <c r="O108" i="157"/>
  <c r="O160" i="48"/>
  <c r="O178" i="48" s="1"/>
  <c r="O112" i="48"/>
  <c r="O135" i="48" s="1"/>
  <c r="P51" i="48"/>
  <c r="P87" i="48" s="1"/>
  <c r="P13" i="48"/>
  <c r="Q32" i="48"/>
  <c r="P168" i="48"/>
  <c r="L124" i="132"/>
  <c r="K127" i="132"/>
  <c r="O52" i="132"/>
  <c r="N50" i="132"/>
  <c r="N63" i="132" s="1"/>
  <c r="M63" i="132"/>
  <c r="M126" i="132"/>
  <c r="V76" i="95"/>
  <c r="V82" i="95"/>
  <c r="N40" i="96"/>
  <c r="N63" i="155"/>
  <c r="N96" i="155" s="1"/>
  <c r="N126" i="155"/>
  <c r="M96" i="155"/>
  <c r="M294" i="96"/>
  <c r="O50" i="155"/>
  <c r="O63" i="155" s="1"/>
  <c r="M124" i="155"/>
  <c r="P19" i="117"/>
  <c r="P23" i="117" s="1"/>
  <c r="P104" i="117" s="1"/>
  <c r="O19" i="176"/>
  <c r="O23" i="176" s="1"/>
  <c r="O104" i="176" s="1"/>
  <c r="P16" i="176"/>
  <c r="O23" i="121"/>
  <c r="P15" i="121"/>
  <c r="O23" i="159"/>
  <c r="P15" i="159"/>
  <c r="P15" i="157"/>
  <c r="O23" i="157"/>
  <c r="O104" i="157" s="1"/>
  <c r="O15" i="132"/>
  <c r="N23" i="132"/>
  <c r="N104" i="132" s="1"/>
  <c r="P19" i="133"/>
  <c r="P23" i="133" s="1"/>
  <c r="P104" i="133" s="1"/>
  <c r="P19" i="137"/>
  <c r="P23" i="137" s="1"/>
  <c r="P104" i="137" s="1"/>
  <c r="O23" i="160"/>
  <c r="O104" i="160" s="1"/>
  <c r="P15" i="160"/>
  <c r="Q15" i="155"/>
  <c r="Q23" i="155" s="1"/>
  <c r="Q104" i="155" s="1"/>
  <c r="P23" i="155"/>
  <c r="P104" i="155" s="1"/>
  <c r="O111" i="96"/>
  <c r="D6" i="183"/>
  <c r="P111" i="96"/>
  <c r="E6" i="183"/>
  <c r="O109" i="161"/>
  <c r="O124" i="161"/>
  <c r="N109" i="161"/>
  <c r="N124" i="161"/>
  <c r="N105" i="161"/>
  <c r="O19" i="161"/>
  <c r="O23" i="161" s="1"/>
  <c r="O105" i="161" s="1"/>
  <c r="I130" i="161"/>
  <c r="J126" i="161"/>
  <c r="I129" i="161"/>
  <c r="I285" i="96" s="1"/>
  <c r="M128" i="161"/>
  <c r="N125" i="161"/>
  <c r="N35" i="30"/>
  <c r="N12" i="5"/>
  <c r="N13" i="5" s="1"/>
  <c r="N33" i="30"/>
  <c r="P30" i="30"/>
  <c r="P31" i="30"/>
  <c r="P23" i="30"/>
  <c r="P11" i="5" s="1"/>
  <c r="P29" i="30"/>
  <c r="P32" i="30" s="1"/>
  <c r="P10" i="5"/>
  <c r="O31" i="30"/>
  <c r="O23" i="30"/>
  <c r="O11" i="5" s="1"/>
  <c r="O10" i="5" s="1"/>
  <c r="O30" i="30"/>
  <c r="O29" i="30"/>
  <c r="O32" i="30" s="1"/>
  <c r="N10" i="5"/>
  <c r="Y83" i="172"/>
  <c r="X82" i="172"/>
  <c r="Y78" i="172"/>
  <c r="Z79" i="172"/>
  <c r="Z78" i="172" s="1"/>
  <c r="W66" i="172"/>
  <c r="W68" i="172" s="1"/>
  <c r="W69" i="172" s="1"/>
  <c r="W70" i="172" s="1"/>
  <c r="W74" i="172" s="1"/>
  <c r="X73" i="172"/>
  <c r="Y55" i="172"/>
  <c r="X54" i="172"/>
  <c r="Y57" i="172"/>
  <c r="X56" i="172"/>
  <c r="W53" i="172"/>
  <c r="V52" i="172"/>
  <c r="S5" i="101"/>
  <c r="S20" i="101" s="1"/>
  <c r="T5" i="95"/>
  <c r="AK11" i="95"/>
  <c r="S5" i="102"/>
  <c r="S19" i="102" s="1"/>
  <c r="S5" i="99"/>
  <c r="S5" i="97"/>
  <c r="S9" i="102"/>
  <c r="S13" i="102" s="1"/>
  <c r="M49" i="96"/>
  <c r="M63" i="157"/>
  <c r="L124" i="157"/>
  <c r="K127" i="157"/>
  <c r="N50" i="157"/>
  <c r="L303" i="96"/>
  <c r="L96" i="157"/>
  <c r="M126" i="157"/>
  <c r="Q63" i="172"/>
  <c r="P77" i="172"/>
  <c r="P87" i="172" s="1"/>
  <c r="P90" i="172" s="1"/>
  <c r="Q10" i="172"/>
  <c r="P5" i="172"/>
  <c r="P7" i="172"/>
  <c r="O9" i="172"/>
  <c r="O13" i="172" s="1"/>
  <c r="C47" i="96"/>
  <c r="C57" i="137"/>
  <c r="I11" i="137"/>
  <c r="I12" i="137"/>
  <c r="V301" i="96"/>
  <c r="V96" i="137"/>
  <c r="O124" i="137"/>
  <c r="N127" i="137"/>
  <c r="M127" i="137"/>
  <c r="M46" i="96"/>
  <c r="L96" i="135"/>
  <c r="L300" i="96"/>
  <c r="M126" i="135"/>
  <c r="O52" i="135"/>
  <c r="N50" i="135"/>
  <c r="M63" i="135"/>
  <c r="K304" i="96"/>
  <c r="K26" i="96" s="1"/>
  <c r="I19" i="171" s="1"/>
  <c r="K127" i="135"/>
  <c r="L124" i="135"/>
  <c r="Q111" i="96"/>
  <c r="J86" i="133"/>
  <c r="J101" i="133"/>
  <c r="W101" i="133"/>
  <c r="W86" i="133"/>
  <c r="K94" i="96"/>
  <c r="K91" i="133"/>
  <c r="K92" i="133"/>
  <c r="J94" i="96"/>
  <c r="J92" i="133"/>
  <c r="J91" i="133"/>
  <c r="R101" i="133"/>
  <c r="R86" i="133"/>
  <c r="D129" i="133"/>
  <c r="D128" i="133"/>
  <c r="D281" i="96" s="1"/>
  <c r="E125" i="133"/>
  <c r="P101" i="133"/>
  <c r="P86" i="133"/>
  <c r="H94" i="96"/>
  <c r="H92" i="133"/>
  <c r="H91" i="133"/>
  <c r="G91" i="133"/>
  <c r="G94" i="96"/>
  <c r="G92" i="133"/>
  <c r="R111" i="96"/>
  <c r="D94" i="96"/>
  <c r="D92" i="133"/>
  <c r="D91" i="133"/>
  <c r="I91" i="133"/>
  <c r="I94" i="96"/>
  <c r="I92" i="133"/>
  <c r="H86" i="133"/>
  <c r="H101" i="133"/>
  <c r="G86" i="133"/>
  <c r="G101" i="133"/>
  <c r="D86" i="133"/>
  <c r="D101" i="133"/>
  <c r="I101" i="133"/>
  <c r="I86" i="133"/>
  <c r="T111" i="96"/>
  <c r="S86" i="133"/>
  <c r="S101" i="133"/>
  <c r="U101" i="133"/>
  <c r="U86" i="133"/>
  <c r="L86" i="133"/>
  <c r="L101" i="133"/>
  <c r="K86" i="133"/>
  <c r="K101" i="133"/>
  <c r="S111" i="96"/>
  <c r="O86" i="133"/>
  <c r="O101" i="133"/>
  <c r="N94" i="96"/>
  <c r="C6" i="183" s="1"/>
  <c r="N91" i="133"/>
  <c r="N92" i="133"/>
  <c r="E91" i="133"/>
  <c r="E92" i="133"/>
  <c r="E94" i="96"/>
  <c r="U111" i="96"/>
  <c r="L94" i="96"/>
  <c r="L91" i="133"/>
  <c r="L92" i="133"/>
  <c r="M91" i="133"/>
  <c r="M94" i="96"/>
  <c r="M92" i="133"/>
  <c r="N86" i="133"/>
  <c r="N101" i="133"/>
  <c r="E101" i="133"/>
  <c r="E86" i="133"/>
  <c r="F86" i="133"/>
  <c r="F101" i="133"/>
  <c r="V111" i="96"/>
  <c r="M101" i="133"/>
  <c r="M86" i="133"/>
  <c r="V101" i="133"/>
  <c r="V86" i="133"/>
  <c r="T101" i="133"/>
  <c r="T86" i="133"/>
  <c r="Q101" i="133"/>
  <c r="Q86" i="133"/>
  <c r="F94" i="96"/>
  <c r="F91" i="133"/>
  <c r="F92" i="133"/>
  <c r="W127" i="133"/>
  <c r="C297" i="96"/>
  <c r="C96" i="134"/>
  <c r="D76" i="96"/>
  <c r="C60" i="96"/>
  <c r="G79" i="134"/>
  <c r="G83" i="134"/>
  <c r="T79" i="134"/>
  <c r="T83" i="134"/>
  <c r="I83" i="134"/>
  <c r="I93" i="96" s="1"/>
  <c r="I79" i="134"/>
  <c r="F79" i="134"/>
  <c r="F83" i="134"/>
  <c r="D83" i="134"/>
  <c r="D79" i="134"/>
  <c r="D125" i="134"/>
  <c r="E83" i="134"/>
  <c r="E79" i="134"/>
  <c r="S79" i="134"/>
  <c r="S83" i="134"/>
  <c r="J79" i="134"/>
  <c r="J83" i="134"/>
  <c r="C101" i="134"/>
  <c r="D8" i="134"/>
  <c r="C86" i="134"/>
  <c r="O83" i="134"/>
  <c r="O79" i="134"/>
  <c r="N5" i="134"/>
  <c r="C93" i="96"/>
  <c r="Q79" i="134"/>
  <c r="Q83" i="134"/>
  <c r="M83" i="134"/>
  <c r="M79" i="134"/>
  <c r="L83" i="134"/>
  <c r="L79" i="134"/>
  <c r="N83" i="134"/>
  <c r="N79" i="134"/>
  <c r="P79" i="134"/>
  <c r="P83" i="134"/>
  <c r="R79" i="134"/>
  <c r="R83" i="134"/>
  <c r="U79" i="134"/>
  <c r="U83" i="134"/>
  <c r="H83" i="134"/>
  <c r="H79" i="134"/>
  <c r="K83" i="134"/>
  <c r="K79" i="134"/>
  <c r="V79" i="134"/>
  <c r="V83" i="134"/>
  <c r="L127" i="134"/>
  <c r="M124" i="134"/>
  <c r="N124" i="134" s="1"/>
  <c r="O63" i="117"/>
  <c r="M36" i="96"/>
  <c r="M126" i="117"/>
  <c r="N126" i="117" s="1"/>
  <c r="O126" i="117" s="1"/>
  <c r="P126" i="117" s="1"/>
  <c r="Q126" i="117" s="1"/>
  <c r="P63" i="117"/>
  <c r="N36" i="96"/>
  <c r="C50" i="117"/>
  <c r="L96" i="117"/>
  <c r="L290" i="96"/>
  <c r="K127" i="117"/>
  <c r="L124" i="117"/>
  <c r="M290" i="96"/>
  <c r="M96" i="117"/>
  <c r="N63" i="117"/>
  <c r="N126" i="160"/>
  <c r="N42" i="96"/>
  <c r="C42" i="183" s="1"/>
  <c r="O50" i="160"/>
  <c r="P52" i="160"/>
  <c r="M296" i="96"/>
  <c r="M96" i="160"/>
  <c r="N63" i="160"/>
  <c r="L127" i="160"/>
  <c r="M124" i="160"/>
  <c r="S15" i="156"/>
  <c r="S23" i="156" s="1"/>
  <c r="S104" i="156" s="1"/>
  <c r="R23" i="156"/>
  <c r="R104" i="156" s="1"/>
  <c r="H20" i="171"/>
  <c r="M295" i="96"/>
  <c r="M96" i="156"/>
  <c r="M41" i="96"/>
  <c r="I5" i="171"/>
  <c r="I6" i="171" s="1"/>
  <c r="K19" i="96"/>
  <c r="L96" i="156"/>
  <c r="L295" i="96"/>
  <c r="L50" i="96"/>
  <c r="L19" i="96" s="1"/>
  <c r="N50" i="156"/>
  <c r="O52" i="156"/>
  <c r="L124" i="156"/>
  <c r="K127" i="156"/>
  <c r="M126" i="156"/>
  <c r="O22" i="96"/>
  <c r="P4" i="96"/>
  <c r="R35" i="100"/>
  <c r="R15" i="100"/>
  <c r="S5" i="98"/>
  <c r="S5" i="103"/>
  <c r="S5" i="100"/>
  <c r="A99" i="96"/>
  <c r="A116" i="96" s="1"/>
  <c r="A115" i="96"/>
  <c r="A49" i="96"/>
  <c r="A17" i="104"/>
  <c r="A65" i="96"/>
  <c r="A81" i="96" s="1"/>
  <c r="W95" i="31"/>
  <c r="W92" i="31"/>
  <c r="W139" i="31"/>
  <c r="X90" i="31"/>
  <c r="N17" i="101"/>
  <c r="M16" i="101"/>
  <c r="N16" i="102"/>
  <c r="M15" i="102"/>
  <c r="T189" i="31"/>
  <c r="T110" i="31"/>
  <c r="T170" i="31"/>
  <c r="T140" i="31"/>
  <c r="V138" i="31"/>
  <c r="V144" i="31"/>
  <c r="U190" i="31"/>
  <c r="V190" i="31"/>
  <c r="U151" i="31"/>
  <c r="Q15" i="100"/>
  <c r="Q35" i="100"/>
  <c r="T190" i="31"/>
  <c r="T151" i="31"/>
  <c r="U170" i="31"/>
  <c r="U189" i="31"/>
  <c r="V189" i="31"/>
  <c r="U110" i="31"/>
  <c r="U140" i="31"/>
  <c r="L37" i="4"/>
  <c r="L32" i="4"/>
  <c r="L42" i="4"/>
  <c r="L19" i="4"/>
  <c r="N9" i="6"/>
  <c r="N7" i="6" s="1"/>
  <c r="X9" i="31"/>
  <c r="M23" i="4"/>
  <c r="N11" i="4"/>
  <c r="M9" i="4"/>
  <c r="K13" i="4"/>
  <c r="K38" i="4"/>
  <c r="K18" i="4" s="1"/>
  <c r="K25" i="4"/>
  <c r="J18" i="4"/>
  <c r="N96" i="132" l="1"/>
  <c r="N299" i="96"/>
  <c r="P108" i="157"/>
  <c r="P123" i="157"/>
  <c r="Q78" i="157"/>
  <c r="R74" i="157"/>
  <c r="Q82" i="157"/>
  <c r="Q95" i="157" s="1"/>
  <c r="S49" i="157"/>
  <c r="R56" i="157"/>
  <c r="R62" i="157" s="1"/>
  <c r="R69" i="157" s="1"/>
  <c r="R32" i="48"/>
  <c r="Q168" i="48"/>
  <c r="Q13" i="48"/>
  <c r="Q51" i="48"/>
  <c r="Q87" i="48" s="1"/>
  <c r="P160" i="48"/>
  <c r="P178" i="48" s="1"/>
  <c r="P112" i="48"/>
  <c r="P135" i="48" s="1"/>
  <c r="N126" i="132"/>
  <c r="M96" i="132"/>
  <c r="M299" i="96"/>
  <c r="N45" i="96"/>
  <c r="C45" i="183" s="1"/>
  <c r="O50" i="132"/>
  <c r="O45" i="96" s="1"/>
  <c r="P52" i="132"/>
  <c r="M124" i="132"/>
  <c r="L127" i="132"/>
  <c r="T5" i="97"/>
  <c r="U5" i="95"/>
  <c r="M127" i="155"/>
  <c r="N124" i="155"/>
  <c r="O96" i="155"/>
  <c r="O294" i="96"/>
  <c r="Q52" i="155"/>
  <c r="P50" i="155"/>
  <c r="O126" i="155"/>
  <c r="C40" i="183"/>
  <c r="O40" i="96"/>
  <c r="N294" i="96"/>
  <c r="P19" i="176"/>
  <c r="P23" i="176" s="1"/>
  <c r="P104" i="176" s="1"/>
  <c r="Q16" i="176"/>
  <c r="Q19" i="176" s="1"/>
  <c r="Q23" i="176" s="1"/>
  <c r="Q104" i="176" s="1"/>
  <c r="Q19" i="117"/>
  <c r="Q23" i="117" s="1"/>
  <c r="Q104" i="117" s="1"/>
  <c r="Q15" i="121"/>
  <c r="Q23" i="121" s="1"/>
  <c r="P23" i="121"/>
  <c r="Q15" i="159"/>
  <c r="Q23" i="159" s="1"/>
  <c r="P23" i="159"/>
  <c r="D45" i="183"/>
  <c r="Q15" i="157"/>
  <c r="P23" i="157"/>
  <c r="P104" i="157" s="1"/>
  <c r="P15" i="132"/>
  <c r="O23" i="132"/>
  <c r="O104" i="132" s="1"/>
  <c r="Q19" i="133"/>
  <c r="Q23" i="133" s="1"/>
  <c r="Q104" i="133" s="1"/>
  <c r="Q19" i="137"/>
  <c r="Q23" i="137" s="1"/>
  <c r="Q104" i="137" s="1"/>
  <c r="P23" i="160"/>
  <c r="P104" i="160" s="1"/>
  <c r="Q15" i="160"/>
  <c r="Q23" i="160" s="1"/>
  <c r="Q104" i="160" s="1"/>
  <c r="J12" i="104"/>
  <c r="T110" i="96"/>
  <c r="U110" i="96"/>
  <c r="R110" i="96"/>
  <c r="V110" i="96"/>
  <c r="S110" i="96"/>
  <c r="Q19" i="161"/>
  <c r="Q23" i="161" s="1"/>
  <c r="P19" i="161"/>
  <c r="P23" i="161" s="1"/>
  <c r="O125" i="161"/>
  <c r="N128" i="161"/>
  <c r="K126" i="161"/>
  <c r="J130" i="161"/>
  <c r="J129" i="161"/>
  <c r="J285" i="96" s="1"/>
  <c r="P12" i="5"/>
  <c r="P13" i="5" s="1"/>
  <c r="P33" i="30"/>
  <c r="P35" i="30"/>
  <c r="O35" i="30"/>
  <c r="O12" i="5"/>
  <c r="O13" i="5" s="1"/>
  <c r="O33" i="30"/>
  <c r="Z55" i="172"/>
  <c r="Z54" i="172" s="1"/>
  <c r="Y54" i="172"/>
  <c r="Y73" i="172"/>
  <c r="X66" i="172"/>
  <c r="X68" i="172" s="1"/>
  <c r="X69" i="172" s="1"/>
  <c r="X70" i="172" s="1"/>
  <c r="X74" i="172" s="1"/>
  <c r="W52" i="172"/>
  <c r="X53" i="172"/>
  <c r="Z57" i="172"/>
  <c r="Z56" i="172" s="1"/>
  <c r="Y56" i="172"/>
  <c r="Y82" i="172"/>
  <c r="Z83" i="172"/>
  <c r="Z82" i="172" s="1"/>
  <c r="T9" i="102"/>
  <c r="T13" i="102" s="1"/>
  <c r="S17" i="98"/>
  <c r="L19" i="178" s="1"/>
  <c r="L17" i="178" s="1"/>
  <c r="T5" i="102"/>
  <c r="T19" i="102" s="1"/>
  <c r="T5" i="103"/>
  <c r="T5" i="99"/>
  <c r="T5" i="100"/>
  <c r="T5" i="98"/>
  <c r="T5" i="101"/>
  <c r="T20" i="101" s="1"/>
  <c r="AL11" i="95"/>
  <c r="O50" i="157"/>
  <c r="N126" i="157"/>
  <c r="L127" i="157"/>
  <c r="M124" i="157"/>
  <c r="M96" i="157"/>
  <c r="M303" i="96"/>
  <c r="N49" i="96"/>
  <c r="C49" i="183" s="1"/>
  <c r="N63" i="157"/>
  <c r="P9" i="172"/>
  <c r="P13" i="172" s="1"/>
  <c r="Q7" i="172"/>
  <c r="R10" i="172"/>
  <c r="Q5" i="172"/>
  <c r="R63" i="172"/>
  <c r="Q77" i="172"/>
  <c r="Q87" i="172" s="1"/>
  <c r="Q90" i="172" s="1"/>
  <c r="O57" i="137"/>
  <c r="J57" i="137"/>
  <c r="N57" i="137"/>
  <c r="E57" i="137"/>
  <c r="I57" i="137"/>
  <c r="D57" i="137"/>
  <c r="Q57" i="137"/>
  <c r="F57" i="137"/>
  <c r="V57" i="137"/>
  <c r="C79" i="137"/>
  <c r="G57" i="137"/>
  <c r="R57" i="137"/>
  <c r="S57" i="137"/>
  <c r="T57" i="137"/>
  <c r="M57" i="137"/>
  <c r="C83" i="137"/>
  <c r="U57" i="137"/>
  <c r="W57" i="137"/>
  <c r="P57" i="137"/>
  <c r="L57" i="137"/>
  <c r="H57" i="137"/>
  <c r="K57" i="137"/>
  <c r="P124" i="137"/>
  <c r="O127" i="137"/>
  <c r="M124" i="135"/>
  <c r="L127" i="135"/>
  <c r="O50" i="135"/>
  <c r="P52" i="135"/>
  <c r="N46" i="96"/>
  <c r="C46" i="183" s="1"/>
  <c r="N63" i="135"/>
  <c r="N126" i="135"/>
  <c r="M300" i="96"/>
  <c r="M96" i="135"/>
  <c r="E128" i="133"/>
  <c r="E281" i="96" s="1"/>
  <c r="E129" i="133"/>
  <c r="F125" i="133"/>
  <c r="L111" i="96"/>
  <c r="L145" i="96"/>
  <c r="L179" i="96"/>
  <c r="N179" i="96"/>
  <c r="N111" i="96"/>
  <c r="N145" i="96"/>
  <c r="I111" i="96"/>
  <c r="I179" i="96"/>
  <c r="I145" i="96"/>
  <c r="G179" i="96"/>
  <c r="G145" i="96"/>
  <c r="G111" i="96"/>
  <c r="K145" i="96"/>
  <c r="K179" i="96"/>
  <c r="K111" i="96"/>
  <c r="F145" i="96"/>
  <c r="F111" i="96"/>
  <c r="F179" i="96"/>
  <c r="E179" i="96"/>
  <c r="E145" i="96"/>
  <c r="E111" i="96"/>
  <c r="M179" i="96"/>
  <c r="M145" i="96"/>
  <c r="M111" i="96"/>
  <c r="D145" i="96"/>
  <c r="D179" i="96"/>
  <c r="D111" i="96"/>
  <c r="H145" i="96"/>
  <c r="H179" i="96"/>
  <c r="H111" i="96"/>
  <c r="J179" i="96"/>
  <c r="J111" i="96"/>
  <c r="J145" i="96"/>
  <c r="I110" i="96"/>
  <c r="L101" i="134"/>
  <c r="L86" i="134"/>
  <c r="O86" i="134"/>
  <c r="O101" i="134"/>
  <c r="S86" i="134"/>
  <c r="S101" i="134"/>
  <c r="I86" i="134"/>
  <c r="I101" i="134"/>
  <c r="U101" i="134"/>
  <c r="U86" i="134"/>
  <c r="L93" i="96"/>
  <c r="L92" i="134"/>
  <c r="L91" i="134"/>
  <c r="O93" i="96"/>
  <c r="D5" i="183" s="1"/>
  <c r="O91" i="134"/>
  <c r="O92" i="134"/>
  <c r="E101" i="134"/>
  <c r="E86" i="134"/>
  <c r="R91" i="134"/>
  <c r="R92" i="134"/>
  <c r="V101" i="134"/>
  <c r="V86" i="134"/>
  <c r="R86" i="134"/>
  <c r="R101" i="134"/>
  <c r="M91" i="134"/>
  <c r="M93" i="96"/>
  <c r="M92" i="134"/>
  <c r="D129" i="134"/>
  <c r="D128" i="134"/>
  <c r="D280" i="96" s="1"/>
  <c r="E125" i="134"/>
  <c r="T101" i="134"/>
  <c r="T86" i="134"/>
  <c r="K101" i="134"/>
  <c r="K86" i="134"/>
  <c r="P93" i="96"/>
  <c r="E5" i="183" s="1"/>
  <c r="P92" i="134"/>
  <c r="P91" i="134"/>
  <c r="Q91" i="134"/>
  <c r="Q92" i="134"/>
  <c r="Q93" i="96"/>
  <c r="F5" i="183" s="1"/>
  <c r="D86" i="134"/>
  <c r="D101" i="134"/>
  <c r="G91" i="134"/>
  <c r="G92" i="134"/>
  <c r="G93" i="96"/>
  <c r="M101" i="134"/>
  <c r="M86" i="134"/>
  <c r="K93" i="96"/>
  <c r="K92" i="134"/>
  <c r="K91" i="134"/>
  <c r="P86" i="134"/>
  <c r="P101" i="134"/>
  <c r="Q101" i="134"/>
  <c r="Q86" i="134"/>
  <c r="J91" i="134"/>
  <c r="J92" i="134"/>
  <c r="J93" i="96"/>
  <c r="D93" i="96"/>
  <c r="D91" i="134"/>
  <c r="D92" i="134"/>
  <c r="G101" i="134"/>
  <c r="G86" i="134"/>
  <c r="E92" i="134"/>
  <c r="E93" i="96"/>
  <c r="E91" i="134"/>
  <c r="H86" i="134"/>
  <c r="H101" i="134"/>
  <c r="N86" i="134"/>
  <c r="N101" i="134"/>
  <c r="J101" i="134"/>
  <c r="J86" i="134"/>
  <c r="F92" i="134"/>
  <c r="F93" i="96"/>
  <c r="F91" i="134"/>
  <c r="H93" i="96"/>
  <c r="H92" i="134"/>
  <c r="H91" i="134"/>
  <c r="N93" i="96"/>
  <c r="C5" i="183" s="1"/>
  <c r="N92" i="134"/>
  <c r="N91" i="134"/>
  <c r="F86" i="134"/>
  <c r="F101" i="134"/>
  <c r="N127" i="134"/>
  <c r="O124" i="134"/>
  <c r="M127" i="134"/>
  <c r="N96" i="117"/>
  <c r="N290" i="96"/>
  <c r="I12" i="117"/>
  <c r="I11" i="117"/>
  <c r="C36" i="96"/>
  <c r="C57" i="117"/>
  <c r="P290" i="96"/>
  <c r="P96" i="117"/>
  <c r="C63" i="117"/>
  <c r="L127" i="117"/>
  <c r="M124" i="117"/>
  <c r="L304" i="96"/>
  <c r="L26" i="96" s="1"/>
  <c r="O290" i="96"/>
  <c r="O96" i="117"/>
  <c r="M127" i="160"/>
  <c r="N124" i="160"/>
  <c r="P50" i="160"/>
  <c r="Q52" i="160"/>
  <c r="Q50" i="160" s="1"/>
  <c r="O42" i="96"/>
  <c r="D42" i="183" s="1"/>
  <c r="O63" i="160"/>
  <c r="N96" i="160"/>
  <c r="N296" i="96"/>
  <c r="O126" i="160"/>
  <c r="N126" i="156"/>
  <c r="I20" i="171"/>
  <c r="N63" i="156"/>
  <c r="M124" i="156"/>
  <c r="L127" i="156"/>
  <c r="M50" i="96"/>
  <c r="M19" i="96" s="1"/>
  <c r="O50" i="156"/>
  <c r="P52" i="156"/>
  <c r="N41" i="96"/>
  <c r="C41" i="183" s="1"/>
  <c r="P22" i="96"/>
  <c r="Q4" i="96"/>
  <c r="S15" i="100"/>
  <c r="S35" i="100"/>
  <c r="A66" i="96"/>
  <c r="A82" i="96" s="1"/>
  <c r="A18" i="104"/>
  <c r="N15" i="102"/>
  <c r="O16" i="102"/>
  <c r="Y90" i="31"/>
  <c r="X92" i="31"/>
  <c r="X95" i="31"/>
  <c r="X139" i="31"/>
  <c r="N16" i="101"/>
  <c r="O17" i="101"/>
  <c r="W138" i="31"/>
  <c r="W144" i="31"/>
  <c r="Y9" i="31"/>
  <c r="P9" i="6" s="1"/>
  <c r="P7" i="6" s="1"/>
  <c r="P35" i="5" s="1"/>
  <c r="O9" i="6"/>
  <c r="O7" i="6" s="1"/>
  <c r="O35" i="5" s="1"/>
  <c r="N9" i="4"/>
  <c r="N23" i="4"/>
  <c r="O11" i="4"/>
  <c r="M42" i="4"/>
  <c r="M37" i="4"/>
  <c r="M32" i="4"/>
  <c r="M19" i="4"/>
  <c r="N10" i="6"/>
  <c r="N35" i="5"/>
  <c r="L38" i="4"/>
  <c r="L25" i="4"/>
  <c r="L13" i="4"/>
  <c r="M304" i="96" l="1"/>
  <c r="M26" i="96" s="1"/>
  <c r="R82" i="157"/>
  <c r="R95" i="157" s="1"/>
  <c r="S74" i="157"/>
  <c r="T49" i="157"/>
  <c r="T56" i="157" s="1"/>
  <c r="T62" i="157" s="1"/>
  <c r="T69" i="157" s="1"/>
  <c r="S56" i="157"/>
  <c r="S62" i="157" s="1"/>
  <c r="S69" i="157" s="1"/>
  <c r="Q108" i="157"/>
  <c r="Q123" i="157"/>
  <c r="Q112" i="48"/>
  <c r="Q135" i="48" s="1"/>
  <c r="Q160" i="48"/>
  <c r="Q178" i="48" s="1"/>
  <c r="R13" i="48"/>
  <c r="R51" i="48"/>
  <c r="R87" i="48" s="1"/>
  <c r="R168" i="48"/>
  <c r="Q50" i="155"/>
  <c r="Q63" i="155" s="1"/>
  <c r="R52" i="155"/>
  <c r="O63" i="132"/>
  <c r="M127" i="132"/>
  <c r="N124" i="132"/>
  <c r="P50" i="132"/>
  <c r="Q52" i="132"/>
  <c r="O126" i="132"/>
  <c r="P126" i="132" s="1"/>
  <c r="V5" i="95"/>
  <c r="AM11" i="95"/>
  <c r="U5" i="99"/>
  <c r="P126" i="155"/>
  <c r="D40" i="183"/>
  <c r="N127" i="155"/>
  <c r="O124" i="155"/>
  <c r="P40" i="96"/>
  <c r="P63" i="155"/>
  <c r="O63" i="157"/>
  <c r="R19" i="117"/>
  <c r="R23" i="117" s="1"/>
  <c r="O126" i="157"/>
  <c r="R15" i="157"/>
  <c r="Q23" i="157"/>
  <c r="Q104" i="157" s="1"/>
  <c r="Q15" i="132"/>
  <c r="P23" i="132"/>
  <c r="P104" i="132" s="1"/>
  <c r="R19" i="133"/>
  <c r="R23" i="133" s="1"/>
  <c r="R104" i="133" s="1"/>
  <c r="R19" i="137"/>
  <c r="R23" i="137" s="1"/>
  <c r="R104" i="137" s="1"/>
  <c r="Q22" i="96"/>
  <c r="R4" i="96"/>
  <c r="T53" i="96"/>
  <c r="T69" i="96" s="1"/>
  <c r="U53" i="96"/>
  <c r="U69" i="96" s="1"/>
  <c r="S53" i="96"/>
  <c r="S69" i="96" s="1"/>
  <c r="R53" i="96"/>
  <c r="R69" i="96" s="1"/>
  <c r="V53" i="96"/>
  <c r="V69" i="96" s="1"/>
  <c r="K130" i="161"/>
  <c r="L126" i="161"/>
  <c r="K129" i="161"/>
  <c r="K285" i="96" s="1"/>
  <c r="O128" i="161"/>
  <c r="Y53" i="172"/>
  <c r="X52" i="172"/>
  <c r="Z73" i="172"/>
  <c r="Z66" i="172" s="1"/>
  <c r="Z68" i="172" s="1"/>
  <c r="Z69" i="172" s="1"/>
  <c r="Z70" i="172" s="1"/>
  <c r="Z74" i="172" s="1"/>
  <c r="Y66" i="172"/>
  <c r="Y68" i="172" s="1"/>
  <c r="Y69" i="172" s="1"/>
  <c r="Y70" i="172" s="1"/>
  <c r="Y74" i="172" s="1"/>
  <c r="O126" i="156"/>
  <c r="T35" i="100"/>
  <c r="T15" i="100"/>
  <c r="T17" i="98"/>
  <c r="N124" i="157"/>
  <c r="M127" i="157"/>
  <c r="N303" i="96"/>
  <c r="N96" i="157"/>
  <c r="P50" i="157"/>
  <c r="P63" i="157" s="1"/>
  <c r="O49" i="96"/>
  <c r="D49" i="183" s="1"/>
  <c r="S63" i="172"/>
  <c r="R77" i="172"/>
  <c r="R87" i="172" s="1"/>
  <c r="R90" i="172" s="1"/>
  <c r="S10" i="172"/>
  <c r="R5" i="172"/>
  <c r="Q9" i="172"/>
  <c r="Q13" i="172" s="1"/>
  <c r="R7" i="172"/>
  <c r="M83" i="137"/>
  <c r="M97" i="96" s="1"/>
  <c r="M79" i="137"/>
  <c r="Q83" i="137"/>
  <c r="Q97" i="96" s="1"/>
  <c r="Q79" i="137"/>
  <c r="K83" i="137"/>
  <c r="K79" i="137"/>
  <c r="T79" i="137"/>
  <c r="T83" i="137"/>
  <c r="T97" i="96" s="1"/>
  <c r="D79" i="137"/>
  <c r="D83" i="137"/>
  <c r="D125" i="137"/>
  <c r="H79" i="137"/>
  <c r="H83" i="137"/>
  <c r="S83" i="137"/>
  <c r="S97" i="96" s="1"/>
  <c r="S79" i="137"/>
  <c r="I83" i="137"/>
  <c r="I79" i="137"/>
  <c r="L83" i="137"/>
  <c r="L79" i="137"/>
  <c r="R79" i="137"/>
  <c r="R83" i="137"/>
  <c r="R97" i="96" s="1"/>
  <c r="E83" i="137"/>
  <c r="E79" i="137"/>
  <c r="N5" i="137"/>
  <c r="C97" i="96"/>
  <c r="J16" i="104" s="1"/>
  <c r="P79" i="137"/>
  <c r="P83" i="137"/>
  <c r="P97" i="96" s="1"/>
  <c r="G83" i="137"/>
  <c r="G79" i="137"/>
  <c r="N83" i="137"/>
  <c r="N97" i="96" s="1"/>
  <c r="N79" i="137"/>
  <c r="F79" i="137"/>
  <c r="F83" i="137"/>
  <c r="W83" i="137"/>
  <c r="W79" i="137"/>
  <c r="C101" i="137"/>
  <c r="C86" i="137"/>
  <c r="D8" i="137"/>
  <c r="J79" i="137"/>
  <c r="J83" i="137"/>
  <c r="U83" i="137"/>
  <c r="U97" i="96" s="1"/>
  <c r="U114" i="96" s="1"/>
  <c r="U79" i="137"/>
  <c r="V83" i="137"/>
  <c r="V97" i="96" s="1"/>
  <c r="V79" i="137"/>
  <c r="O79" i="137"/>
  <c r="O83" i="137"/>
  <c r="O97" i="96" s="1"/>
  <c r="Q124" i="137"/>
  <c r="R124" i="137" s="1"/>
  <c r="P127" i="137"/>
  <c r="P50" i="135"/>
  <c r="Q52" i="135"/>
  <c r="O46" i="96"/>
  <c r="D46" i="183" s="1"/>
  <c r="O126" i="135"/>
  <c r="N124" i="135"/>
  <c r="M127" i="135"/>
  <c r="N96" i="135"/>
  <c r="N300" i="96"/>
  <c r="O63" i="135"/>
  <c r="C111" i="96"/>
  <c r="F129" i="133"/>
  <c r="F128" i="133"/>
  <c r="F281" i="96" s="1"/>
  <c r="G125" i="133"/>
  <c r="D178" i="96"/>
  <c r="D144" i="96"/>
  <c r="D110" i="96"/>
  <c r="G110" i="96"/>
  <c r="G178" i="96"/>
  <c r="G144" i="96"/>
  <c r="F144" i="96"/>
  <c r="F178" i="96"/>
  <c r="F110" i="96"/>
  <c r="J110" i="96"/>
  <c r="J144" i="96"/>
  <c r="J178" i="96"/>
  <c r="L110" i="96"/>
  <c r="L178" i="96"/>
  <c r="L144" i="96"/>
  <c r="M178" i="96"/>
  <c r="M110" i="96"/>
  <c r="M144" i="96"/>
  <c r="K110" i="96"/>
  <c r="K178" i="96"/>
  <c r="K144" i="96"/>
  <c r="N144" i="96"/>
  <c r="N110" i="96"/>
  <c r="N178" i="96"/>
  <c r="P110" i="96"/>
  <c r="P178" i="96"/>
  <c r="P144" i="96"/>
  <c r="Q110" i="96"/>
  <c r="Q144" i="96"/>
  <c r="Q178" i="96"/>
  <c r="E110" i="96"/>
  <c r="E178" i="96"/>
  <c r="E144" i="96"/>
  <c r="H178" i="96"/>
  <c r="H110" i="96"/>
  <c r="H144" i="96"/>
  <c r="F125" i="134"/>
  <c r="E129" i="134"/>
  <c r="E128" i="134"/>
  <c r="E280" i="96" s="1"/>
  <c r="O110" i="96"/>
  <c r="O144" i="96"/>
  <c r="O178" i="96"/>
  <c r="P124" i="134"/>
  <c r="O127" i="134"/>
  <c r="D57" i="117"/>
  <c r="L57" i="117"/>
  <c r="G57" i="117"/>
  <c r="Q57" i="117"/>
  <c r="P57" i="117"/>
  <c r="I57" i="117"/>
  <c r="N57" i="117"/>
  <c r="O57" i="117"/>
  <c r="C83" i="117"/>
  <c r="F57" i="117"/>
  <c r="E57" i="117"/>
  <c r="K57" i="117"/>
  <c r="H57" i="117"/>
  <c r="M57" i="117"/>
  <c r="C79" i="117"/>
  <c r="J57" i="117"/>
  <c r="D53" i="96"/>
  <c r="K53" i="96"/>
  <c r="K69" i="96" s="1"/>
  <c r="L53" i="96"/>
  <c r="L69" i="96" s="1"/>
  <c r="I53" i="96"/>
  <c r="I69" i="96" s="1"/>
  <c r="P53" i="96"/>
  <c r="P69" i="96" s="1"/>
  <c r="J53" i="96"/>
  <c r="J69" i="96" s="1"/>
  <c r="E53" i="96"/>
  <c r="E69" i="96" s="1"/>
  <c r="M53" i="96"/>
  <c r="M69" i="96" s="1"/>
  <c r="H53" i="96"/>
  <c r="H69" i="96" s="1"/>
  <c r="O53" i="96"/>
  <c r="O69" i="96" s="1"/>
  <c r="F53" i="96"/>
  <c r="F69" i="96" s="1"/>
  <c r="N53" i="96"/>
  <c r="N69" i="96" s="1"/>
  <c r="Q53" i="96"/>
  <c r="Q69" i="96" s="1"/>
  <c r="G53" i="96"/>
  <c r="G69" i="96" s="1"/>
  <c r="N124" i="117"/>
  <c r="M127" i="117"/>
  <c r="C290" i="96"/>
  <c r="C96" i="117"/>
  <c r="P126" i="160"/>
  <c r="R52" i="160"/>
  <c r="R50" i="160" s="1"/>
  <c r="P42" i="96"/>
  <c r="E42" i="183" s="1"/>
  <c r="N127" i="160"/>
  <c r="O124" i="160"/>
  <c r="O96" i="160"/>
  <c r="O296" i="96"/>
  <c r="P296" i="96"/>
  <c r="P50" i="156"/>
  <c r="P41" i="96" s="1"/>
  <c r="E41" i="183" s="1"/>
  <c r="Q52" i="156"/>
  <c r="O41" i="96"/>
  <c r="D41" i="183" s="1"/>
  <c r="N295" i="96"/>
  <c r="N96" i="156"/>
  <c r="N50" i="96"/>
  <c r="N124" i="156"/>
  <c r="M127" i="156"/>
  <c r="O63" i="156"/>
  <c r="X138" i="31"/>
  <c r="X144" i="31"/>
  <c r="Y95" i="31"/>
  <c r="Y92" i="31"/>
  <c r="Y139" i="31"/>
  <c r="P17" i="101"/>
  <c r="O16" i="101"/>
  <c r="P16" i="102"/>
  <c r="O15" i="102"/>
  <c r="L18" i="4"/>
  <c r="N19" i="4"/>
  <c r="N32" i="4"/>
  <c r="N37" i="4"/>
  <c r="N42" i="4"/>
  <c r="M25" i="4"/>
  <c r="M13" i="4"/>
  <c r="M38" i="4"/>
  <c r="M18" i="4" s="1"/>
  <c r="N16" i="6"/>
  <c r="W14" i="31" s="1"/>
  <c r="N12" i="6"/>
  <c r="O10" i="6"/>
  <c r="N14" i="6"/>
  <c r="W13" i="31" s="1"/>
  <c r="N34" i="6"/>
  <c r="W10" i="31"/>
  <c r="P11" i="4"/>
  <c r="O23" i="4"/>
  <c r="O9" i="4"/>
  <c r="Q96" i="155" l="1"/>
  <c r="Q294" i="96"/>
  <c r="Q126" i="155"/>
  <c r="Q40" i="96"/>
  <c r="R123" i="157"/>
  <c r="R108" i="157"/>
  <c r="S82" i="157"/>
  <c r="S95" i="157" s="1"/>
  <c r="T74" i="157"/>
  <c r="T82" i="157" s="1"/>
  <c r="T95" i="157" s="1"/>
  <c r="R160" i="48"/>
  <c r="R178" i="48" s="1"/>
  <c r="R112" i="48"/>
  <c r="R135" i="48" s="1"/>
  <c r="O124" i="157"/>
  <c r="R50" i="155"/>
  <c r="S52" i="155"/>
  <c r="S50" i="155" s="1"/>
  <c r="S63" i="155"/>
  <c r="R63" i="155"/>
  <c r="Q50" i="132"/>
  <c r="Q126" i="132" s="1"/>
  <c r="R52" i="132"/>
  <c r="P45" i="96"/>
  <c r="E45" i="183" s="1"/>
  <c r="P63" i="132"/>
  <c r="O124" i="132"/>
  <c r="N127" i="132"/>
  <c r="O299" i="96"/>
  <c r="O96" i="132"/>
  <c r="V5" i="99"/>
  <c r="AN11" i="95"/>
  <c r="P96" i="155"/>
  <c r="P294" i="96"/>
  <c r="E40" i="183"/>
  <c r="O127" i="155"/>
  <c r="P124" i="155"/>
  <c r="F40" i="183"/>
  <c r="P126" i="135"/>
  <c r="S19" i="117"/>
  <c r="S23" i="117" s="1"/>
  <c r="C50" i="160"/>
  <c r="I12" i="160" s="1"/>
  <c r="R42" i="96"/>
  <c r="G42" i="183" s="1"/>
  <c r="S15" i="157"/>
  <c r="R23" i="157"/>
  <c r="R104" i="157" s="1"/>
  <c r="R15" i="132"/>
  <c r="Q23" i="132"/>
  <c r="Q104" i="132" s="1"/>
  <c r="S19" i="133"/>
  <c r="S23" i="133" s="1"/>
  <c r="S104" i="133" s="1"/>
  <c r="S19" i="137"/>
  <c r="S23" i="137" s="1"/>
  <c r="S104" i="137" s="1"/>
  <c r="V114" i="96"/>
  <c r="T114" i="96"/>
  <c r="Q114" i="96"/>
  <c r="F9" i="183"/>
  <c r="O114" i="96"/>
  <c r="D9" i="183"/>
  <c r="N114" i="96"/>
  <c r="C9" i="183"/>
  <c r="S114" i="96"/>
  <c r="H9" i="183"/>
  <c r="P114" i="96"/>
  <c r="E9" i="183"/>
  <c r="R114" i="96"/>
  <c r="G9" i="183"/>
  <c r="R22" i="96"/>
  <c r="S4" i="96"/>
  <c r="Q50" i="156"/>
  <c r="Q41" i="96" s="1"/>
  <c r="F41" i="183" s="1"/>
  <c r="R52" i="156"/>
  <c r="N19" i="96"/>
  <c r="C50" i="183"/>
  <c r="L130" i="161"/>
  <c r="M126" i="161"/>
  <c r="L129" i="161"/>
  <c r="L285" i="96" s="1"/>
  <c r="Z53" i="172"/>
  <c r="Z52" i="172" s="1"/>
  <c r="Y52" i="172"/>
  <c r="P126" i="156"/>
  <c r="Q126" i="156" s="1"/>
  <c r="P63" i="156"/>
  <c r="P295" i="96" s="1"/>
  <c r="P49" i="96"/>
  <c r="E49" i="183" s="1"/>
  <c r="P126" i="157"/>
  <c r="Q50" i="157"/>
  <c r="Q63" i="157" s="1"/>
  <c r="O303" i="96"/>
  <c r="O96" i="157"/>
  <c r="N127" i="157"/>
  <c r="S7" i="172"/>
  <c r="R9" i="172"/>
  <c r="R13" i="172" s="1"/>
  <c r="S5" i="172"/>
  <c r="T10" i="172"/>
  <c r="T5" i="172" s="1"/>
  <c r="T63" i="172"/>
  <c r="S77" i="172"/>
  <c r="S87" i="172" s="1"/>
  <c r="S90" i="172" s="1"/>
  <c r="N91" i="172" s="1"/>
  <c r="J92" i="137"/>
  <c r="J97" i="96"/>
  <c r="J91" i="137"/>
  <c r="F86" i="137"/>
  <c r="F101" i="137"/>
  <c r="I97" i="96"/>
  <c r="I91" i="137"/>
  <c r="I92" i="137"/>
  <c r="J101" i="137"/>
  <c r="J86" i="137"/>
  <c r="N86" i="137"/>
  <c r="N101" i="137"/>
  <c r="E101" i="137"/>
  <c r="E86" i="137"/>
  <c r="S86" i="137"/>
  <c r="S101" i="137"/>
  <c r="T101" i="137"/>
  <c r="T86" i="137"/>
  <c r="O86" i="137"/>
  <c r="O101" i="137"/>
  <c r="G86" i="137"/>
  <c r="G101" i="137"/>
  <c r="H91" i="137"/>
  <c r="H92" i="137"/>
  <c r="H97" i="96"/>
  <c r="K92" i="137"/>
  <c r="K91" i="137"/>
  <c r="K97" i="96"/>
  <c r="V101" i="137"/>
  <c r="V86" i="137"/>
  <c r="G97" i="96"/>
  <c r="G92" i="137"/>
  <c r="G91" i="137"/>
  <c r="R86" i="137"/>
  <c r="R101" i="137"/>
  <c r="H86" i="137"/>
  <c r="H101" i="137"/>
  <c r="Q86" i="137"/>
  <c r="Q101" i="137"/>
  <c r="E91" i="137"/>
  <c r="E97" i="96"/>
  <c r="E92" i="137"/>
  <c r="W86" i="137"/>
  <c r="W101" i="137"/>
  <c r="L101" i="137"/>
  <c r="L86" i="137"/>
  <c r="D128" i="137"/>
  <c r="D284" i="96" s="1"/>
  <c r="D129" i="137"/>
  <c r="E125" i="137"/>
  <c r="U101" i="137"/>
  <c r="U86" i="137"/>
  <c r="P101" i="137"/>
  <c r="P86" i="137"/>
  <c r="L91" i="137"/>
  <c r="L97" i="96"/>
  <c r="L92" i="137"/>
  <c r="D97" i="96"/>
  <c r="D92" i="137"/>
  <c r="D91" i="137"/>
  <c r="M101" i="137"/>
  <c r="M86" i="137"/>
  <c r="K101" i="137"/>
  <c r="K86" i="137"/>
  <c r="F91" i="137"/>
  <c r="F92" i="137"/>
  <c r="F97" i="96"/>
  <c r="I86" i="137"/>
  <c r="I101" i="137"/>
  <c r="D86" i="137"/>
  <c r="D101" i="137"/>
  <c r="M114" i="96"/>
  <c r="S124" i="137"/>
  <c r="R127" i="137"/>
  <c r="Q127" i="137"/>
  <c r="N304" i="96"/>
  <c r="N26" i="96" s="1"/>
  <c r="O124" i="135"/>
  <c r="N127" i="135"/>
  <c r="O300" i="96"/>
  <c r="O96" i="135"/>
  <c r="R52" i="135"/>
  <c r="Q50" i="135"/>
  <c r="P46" i="96"/>
  <c r="P63" i="135"/>
  <c r="H125" i="133"/>
  <c r="G128" i="133"/>
  <c r="G281" i="96" s="1"/>
  <c r="G129" i="133"/>
  <c r="G125" i="134"/>
  <c r="F129" i="134"/>
  <c r="F128" i="134"/>
  <c r="F280" i="96" s="1"/>
  <c r="C110" i="96"/>
  <c r="Q124" i="134"/>
  <c r="P127" i="134"/>
  <c r="O79" i="117"/>
  <c r="O83" i="117"/>
  <c r="M79" i="117"/>
  <c r="M83" i="117"/>
  <c r="I83" i="117"/>
  <c r="I79" i="117"/>
  <c r="C101" i="117"/>
  <c r="C86" i="117"/>
  <c r="D8" i="117"/>
  <c r="H79" i="117"/>
  <c r="H83" i="117"/>
  <c r="P79" i="117"/>
  <c r="P83" i="117"/>
  <c r="P86" i="96" s="1"/>
  <c r="K83" i="117"/>
  <c r="K79" i="117"/>
  <c r="Q83" i="117"/>
  <c r="Q79" i="117"/>
  <c r="J83" i="117"/>
  <c r="J79" i="117"/>
  <c r="N79" i="117"/>
  <c r="N83" i="117"/>
  <c r="E79" i="117"/>
  <c r="E83" i="117"/>
  <c r="G83" i="117"/>
  <c r="G79" i="117"/>
  <c r="F83" i="117"/>
  <c r="F79" i="117"/>
  <c r="L83" i="117"/>
  <c r="L79" i="117"/>
  <c r="N127" i="117"/>
  <c r="O124" i="117"/>
  <c r="D69" i="96"/>
  <c r="C53" i="96"/>
  <c r="C86" i="96"/>
  <c r="N5" i="117"/>
  <c r="D125" i="117"/>
  <c r="D79" i="117"/>
  <c r="D83" i="117"/>
  <c r="Q126" i="160"/>
  <c r="R126" i="160" s="1"/>
  <c r="R63" i="160"/>
  <c r="Q42" i="96"/>
  <c r="F42" i="183" s="1"/>
  <c r="Q63" i="160"/>
  <c r="C63" i="160" s="1"/>
  <c r="C96" i="160" s="1"/>
  <c r="P124" i="160"/>
  <c r="O127" i="160"/>
  <c r="O295" i="96"/>
  <c r="O96" i="156"/>
  <c r="O124" i="156"/>
  <c r="N127" i="156"/>
  <c r="O50" i="96"/>
  <c r="P16" i="101"/>
  <c r="Q17" i="101"/>
  <c r="Y138" i="31"/>
  <c r="Y144" i="31"/>
  <c r="P15" i="102"/>
  <c r="Q16" i="102"/>
  <c r="W28" i="31"/>
  <c r="O14" i="4"/>
  <c r="O20" i="4" s="1"/>
  <c r="O21" i="4" s="1"/>
  <c r="O26" i="4"/>
  <c r="O33" i="4" s="1"/>
  <c r="O34" i="4" s="1"/>
  <c r="X10" i="31"/>
  <c r="O12" i="6"/>
  <c r="O16" i="6"/>
  <c r="X14" i="31" s="1"/>
  <c r="O34" i="6"/>
  <c r="P10" i="6"/>
  <c r="O14" i="6"/>
  <c r="X13" i="31" s="1"/>
  <c r="N11" i="6"/>
  <c r="W11" i="31" s="1"/>
  <c r="N19" i="6"/>
  <c r="N33" i="6" s="1"/>
  <c r="W27" i="31" s="1"/>
  <c r="W12" i="31"/>
  <c r="W164" i="31"/>
  <c r="W117" i="31"/>
  <c r="W168" i="31"/>
  <c r="W162" i="31"/>
  <c r="W169" i="31"/>
  <c r="W173" i="31"/>
  <c r="W122" i="31"/>
  <c r="W166" i="31"/>
  <c r="W155" i="31"/>
  <c r="W167" i="31"/>
  <c r="W150" i="31"/>
  <c r="W161" i="31"/>
  <c r="W111" i="31"/>
  <c r="W152" i="31"/>
  <c r="W141" i="31"/>
  <c r="W159" i="31"/>
  <c r="W177" i="31"/>
  <c r="W158" i="31"/>
  <c r="W176" i="31"/>
  <c r="P9" i="4"/>
  <c r="Q11" i="4"/>
  <c r="P23" i="4"/>
  <c r="N13" i="4"/>
  <c r="N25" i="4"/>
  <c r="N38" i="4"/>
  <c r="N18" i="4" s="1"/>
  <c r="O19" i="4"/>
  <c r="O42" i="4"/>
  <c r="O37" i="4"/>
  <c r="O32" i="4"/>
  <c r="T108" i="157" l="1"/>
  <c r="T123" i="157"/>
  <c r="S23" i="157"/>
  <c r="S104" i="157" s="1"/>
  <c r="T15" i="157"/>
  <c r="T23" i="157" s="1"/>
  <c r="T104" i="157" s="1"/>
  <c r="S123" i="157"/>
  <c r="S108" i="157"/>
  <c r="C63" i="155"/>
  <c r="C294" i="96" s="1"/>
  <c r="R294" i="96"/>
  <c r="R96" i="155"/>
  <c r="S96" i="155"/>
  <c r="S294" i="96"/>
  <c r="S40" i="96"/>
  <c r="H40" i="183" s="1"/>
  <c r="C50" i="155"/>
  <c r="R126" i="155"/>
  <c r="S126" i="155" s="1"/>
  <c r="R40" i="96"/>
  <c r="G40" i="183" s="1"/>
  <c r="P124" i="132"/>
  <c r="O127" i="132"/>
  <c r="P96" i="132"/>
  <c r="P299" i="96"/>
  <c r="R50" i="132"/>
  <c r="R63" i="132" s="1"/>
  <c r="Q63" i="132"/>
  <c r="Q45" i="96"/>
  <c r="F45" i="183" s="1"/>
  <c r="P127" i="155"/>
  <c r="Q124" i="155"/>
  <c r="C296" i="96"/>
  <c r="C42" i="96"/>
  <c r="S59" i="96" s="1"/>
  <c r="S75" i="96" s="1"/>
  <c r="H31" i="183" s="1"/>
  <c r="C57" i="160"/>
  <c r="O57" i="160" s="1"/>
  <c r="I11" i="160"/>
  <c r="T19" i="117"/>
  <c r="T23" i="117" s="1"/>
  <c r="R96" i="160"/>
  <c r="R296" i="96"/>
  <c r="S15" i="132"/>
  <c r="R23" i="132"/>
  <c r="R104" i="132" s="1"/>
  <c r="T19" i="133"/>
  <c r="T23" i="133" s="1"/>
  <c r="T104" i="133" s="1"/>
  <c r="T19" i="137"/>
  <c r="T23" i="137" s="1"/>
  <c r="T104" i="137" s="1"/>
  <c r="P103" i="96"/>
  <c r="T4" i="96"/>
  <c r="S22" i="96"/>
  <c r="P50" i="96"/>
  <c r="E50" i="183" s="1"/>
  <c r="E46" i="183"/>
  <c r="J5" i="104"/>
  <c r="U103" i="96"/>
  <c r="S103" i="96"/>
  <c r="V103" i="96"/>
  <c r="T103" i="96"/>
  <c r="R103" i="96"/>
  <c r="Q63" i="156"/>
  <c r="Q295" i="96" s="1"/>
  <c r="C50" i="156"/>
  <c r="I12" i="156" s="1"/>
  <c r="S52" i="156"/>
  <c r="S50" i="156" s="1"/>
  <c r="S41" i="96" s="1"/>
  <c r="H41" i="183" s="1"/>
  <c r="R50" i="156"/>
  <c r="P96" i="156"/>
  <c r="M130" i="161"/>
  <c r="N126" i="161"/>
  <c r="M129" i="161"/>
  <c r="M285" i="96" s="1"/>
  <c r="O19" i="96"/>
  <c r="D50" i="183"/>
  <c r="T77" i="172"/>
  <c r="T87" i="172" s="1"/>
  <c r="T90" i="172" s="1"/>
  <c r="U63" i="172"/>
  <c r="Q15" i="102"/>
  <c r="R16" i="102"/>
  <c r="Q49" i="96"/>
  <c r="F49" i="183" s="1"/>
  <c r="R50" i="157"/>
  <c r="S52" i="157"/>
  <c r="O127" i="157"/>
  <c r="P124" i="157"/>
  <c r="Q126" i="157"/>
  <c r="P303" i="96"/>
  <c r="P96" i="157"/>
  <c r="O304" i="96"/>
  <c r="O26" i="96" s="1"/>
  <c r="N92" i="172"/>
  <c r="N94" i="172"/>
  <c r="S9" i="172"/>
  <c r="S13" i="172" s="1"/>
  <c r="T7" i="172"/>
  <c r="T9" i="172" s="1"/>
  <c r="T13" i="172" s="1"/>
  <c r="L114" i="96"/>
  <c r="L182" i="96"/>
  <c r="L148" i="96"/>
  <c r="G148" i="96"/>
  <c r="G114" i="96"/>
  <c r="G182" i="96"/>
  <c r="I114" i="96"/>
  <c r="I182" i="96"/>
  <c r="I148" i="96"/>
  <c r="K114" i="96"/>
  <c r="K182" i="96"/>
  <c r="K148" i="96"/>
  <c r="F114" i="96"/>
  <c r="F148" i="96"/>
  <c r="F182" i="96"/>
  <c r="J182" i="96"/>
  <c r="J148" i="96"/>
  <c r="J114" i="96"/>
  <c r="D182" i="96"/>
  <c r="D114" i="96"/>
  <c r="D148" i="96"/>
  <c r="F125" i="137"/>
  <c r="E128" i="137"/>
  <c r="E284" i="96" s="1"/>
  <c r="E129" i="137"/>
  <c r="E182" i="96"/>
  <c r="E148" i="96"/>
  <c r="E114" i="96"/>
  <c r="H114" i="96"/>
  <c r="H148" i="96"/>
  <c r="H182" i="96"/>
  <c r="T124" i="137"/>
  <c r="S127" i="137"/>
  <c r="Q46" i="96"/>
  <c r="F46" i="183" s="1"/>
  <c r="Q63" i="135"/>
  <c r="R50" i="135"/>
  <c r="S52" i="135"/>
  <c r="P300" i="96"/>
  <c r="P96" i="135"/>
  <c r="Q126" i="135"/>
  <c r="O127" i="135"/>
  <c r="P124" i="135"/>
  <c r="I125" i="133"/>
  <c r="H129" i="133"/>
  <c r="H128" i="133"/>
  <c r="H281" i="96" s="1"/>
  <c r="G128" i="134"/>
  <c r="G280" i="96" s="1"/>
  <c r="H125" i="134"/>
  <c r="G129" i="134"/>
  <c r="R124" i="134"/>
  <c r="Q127" i="134"/>
  <c r="G86" i="96"/>
  <c r="G91" i="117"/>
  <c r="G92" i="117"/>
  <c r="D101" i="117"/>
  <c r="D86" i="117"/>
  <c r="E101" i="117"/>
  <c r="E86" i="117"/>
  <c r="K86" i="96"/>
  <c r="K91" i="117"/>
  <c r="K92" i="117"/>
  <c r="I86" i="117"/>
  <c r="I101" i="117"/>
  <c r="O127" i="117"/>
  <c r="P124" i="117"/>
  <c r="E91" i="117"/>
  <c r="E92" i="117"/>
  <c r="E86" i="96"/>
  <c r="E125" i="117"/>
  <c r="D129" i="117"/>
  <c r="D128" i="117"/>
  <c r="D273" i="96" s="1"/>
  <c r="L101" i="117"/>
  <c r="L86" i="117"/>
  <c r="N91" i="117"/>
  <c r="N92" i="117"/>
  <c r="N86" i="96"/>
  <c r="I92" i="117"/>
  <c r="I86" i="96"/>
  <c r="I91" i="117"/>
  <c r="D92" i="117"/>
  <c r="D91" i="117"/>
  <c r="D86" i="96"/>
  <c r="L91" i="117"/>
  <c r="L86" i="96"/>
  <c r="L92" i="117"/>
  <c r="N86" i="117"/>
  <c r="N101" i="117"/>
  <c r="P101" i="117"/>
  <c r="P86" i="117"/>
  <c r="M86" i="96"/>
  <c r="M91" i="117"/>
  <c r="M92" i="117"/>
  <c r="F86" i="117"/>
  <c r="F101" i="117"/>
  <c r="J86" i="117"/>
  <c r="J101" i="117"/>
  <c r="H91" i="117"/>
  <c r="H92" i="117"/>
  <c r="H86" i="96"/>
  <c r="M101" i="117"/>
  <c r="M86" i="117"/>
  <c r="Q86" i="96"/>
  <c r="Q92" i="117"/>
  <c r="Q91" i="117"/>
  <c r="F92" i="117"/>
  <c r="F86" i="96"/>
  <c r="F91" i="117"/>
  <c r="J91" i="117"/>
  <c r="J86" i="96"/>
  <c r="J92" i="117"/>
  <c r="H86" i="117"/>
  <c r="H101" i="117"/>
  <c r="O86" i="96"/>
  <c r="O91" i="117"/>
  <c r="O92" i="117"/>
  <c r="K86" i="117"/>
  <c r="K101" i="117"/>
  <c r="G86" i="117"/>
  <c r="G101" i="117"/>
  <c r="Q101" i="117"/>
  <c r="Q86" i="117"/>
  <c r="O101" i="117"/>
  <c r="O86" i="117"/>
  <c r="Q124" i="160"/>
  <c r="P127" i="160"/>
  <c r="Q96" i="160"/>
  <c r="Q296" i="96"/>
  <c r="E57" i="160"/>
  <c r="N57" i="160"/>
  <c r="K57" i="160"/>
  <c r="L57" i="160"/>
  <c r="J57" i="160"/>
  <c r="F57" i="160"/>
  <c r="I57" i="160"/>
  <c r="C83" i="160"/>
  <c r="G57" i="160"/>
  <c r="P57" i="160"/>
  <c r="P124" i="156"/>
  <c r="O127" i="156"/>
  <c r="Q16" i="101"/>
  <c r="R17" i="101"/>
  <c r="W157" i="31"/>
  <c r="W108" i="31"/>
  <c r="W175" i="31"/>
  <c r="W15" i="31"/>
  <c r="W110" i="31"/>
  <c r="W170" i="31"/>
  <c r="W140" i="31"/>
  <c r="W189" i="31"/>
  <c r="W125" i="31"/>
  <c r="W123" i="31"/>
  <c r="W174" i="31"/>
  <c r="W121" i="31"/>
  <c r="W156" i="31"/>
  <c r="X176" i="31"/>
  <c r="X158" i="31"/>
  <c r="P14" i="6"/>
  <c r="Y13" i="31" s="1"/>
  <c r="P12" i="6"/>
  <c r="P34" i="6"/>
  <c r="P16" i="6"/>
  <c r="Y14" i="31" s="1"/>
  <c r="Y10" i="31"/>
  <c r="P14" i="4"/>
  <c r="P20" i="4" s="1"/>
  <c r="P21" i="4" s="1"/>
  <c r="X28" i="31"/>
  <c r="P26" i="4"/>
  <c r="P33" i="4" s="1"/>
  <c r="P34" i="4" s="1"/>
  <c r="X177" i="31"/>
  <c r="X159" i="31"/>
  <c r="Q9" i="4"/>
  <c r="Q23" i="4"/>
  <c r="O11" i="6"/>
  <c r="X11" i="31" s="1"/>
  <c r="O19" i="6"/>
  <c r="O33" i="6" s="1"/>
  <c r="X27" i="31" s="1"/>
  <c r="X12" i="31"/>
  <c r="X117" i="31"/>
  <c r="X141" i="31"/>
  <c r="X111" i="31"/>
  <c r="X150" i="31"/>
  <c r="X161" i="31"/>
  <c r="X167" i="31"/>
  <c r="X162" i="31"/>
  <c r="X166" i="31"/>
  <c r="X169" i="31"/>
  <c r="X173" i="31"/>
  <c r="X152" i="31"/>
  <c r="X122" i="31"/>
  <c r="X155" i="31"/>
  <c r="X164" i="31"/>
  <c r="X168" i="31"/>
  <c r="P37" i="4"/>
  <c r="P32" i="4"/>
  <c r="P19" i="4"/>
  <c r="P42" i="4"/>
  <c r="O13" i="4"/>
  <c r="O25" i="4"/>
  <c r="O38" i="4"/>
  <c r="W151" i="31"/>
  <c r="W190" i="31"/>
  <c r="C96" i="155" l="1"/>
  <c r="S50" i="157"/>
  <c r="T52" i="157"/>
  <c r="T50" i="157" s="1"/>
  <c r="T49" i="96" s="1"/>
  <c r="R49" i="96"/>
  <c r="G49" i="183" s="1"/>
  <c r="I11" i="155"/>
  <c r="C57" i="155"/>
  <c r="C40" i="96"/>
  <c r="R57" i="96" s="1"/>
  <c r="R73" i="96" s="1"/>
  <c r="G29" i="183" s="1"/>
  <c r="I12" i="155"/>
  <c r="Q127" i="155"/>
  <c r="R124" i="155"/>
  <c r="R96" i="132"/>
  <c r="R299" i="96"/>
  <c r="Q299" i="96"/>
  <c r="Q96" i="132"/>
  <c r="R45" i="96"/>
  <c r="G45" i="183" s="1"/>
  <c r="R126" i="132"/>
  <c r="T52" i="132"/>
  <c r="S50" i="132"/>
  <c r="P127" i="132"/>
  <c r="Q124" i="132"/>
  <c r="H57" i="160"/>
  <c r="C79" i="160"/>
  <c r="C101" i="160" s="1"/>
  <c r="V59" i="96"/>
  <c r="V75" i="96" s="1"/>
  <c r="O59" i="96"/>
  <c r="O75" i="96" s="1"/>
  <c r="D31" i="183" s="1"/>
  <c r="D57" i="160"/>
  <c r="D83" i="160" s="1"/>
  <c r="I59" i="96"/>
  <c r="I75" i="96" s="1"/>
  <c r="G59" i="96"/>
  <c r="G75" i="96" s="1"/>
  <c r="U59" i="96"/>
  <c r="U75" i="96" s="1"/>
  <c r="T59" i="96"/>
  <c r="T75" i="96" s="1"/>
  <c r="K59" i="96"/>
  <c r="K75" i="96" s="1"/>
  <c r="M57" i="160"/>
  <c r="H59" i="96"/>
  <c r="H75" i="96" s="1"/>
  <c r="R59" i="96"/>
  <c r="R75" i="96" s="1"/>
  <c r="G31" i="183" s="1"/>
  <c r="N59" i="96"/>
  <c r="N75" i="96" s="1"/>
  <c r="C31" i="183" s="1"/>
  <c r="F59" i="96"/>
  <c r="F75" i="96" s="1"/>
  <c r="Q59" i="96"/>
  <c r="Q75" i="96" s="1"/>
  <c r="F31" i="183" s="1"/>
  <c r="P59" i="96"/>
  <c r="P75" i="96" s="1"/>
  <c r="E31" i="183" s="1"/>
  <c r="M59" i="96"/>
  <c r="M75" i="96" s="1"/>
  <c r="D59" i="96"/>
  <c r="D75" i="96" s="1"/>
  <c r="L59" i="96"/>
  <c r="L75" i="96" s="1"/>
  <c r="E59" i="96"/>
  <c r="E75" i="96" s="1"/>
  <c r="J59" i="96"/>
  <c r="J75" i="96" s="1"/>
  <c r="U19" i="117"/>
  <c r="U23" i="117" s="1"/>
  <c r="R63" i="157"/>
  <c r="T15" i="132"/>
  <c r="S23" i="132"/>
  <c r="S104" i="132" s="1"/>
  <c r="U19" i="133"/>
  <c r="U23" i="133" s="1"/>
  <c r="U104" i="133" s="1"/>
  <c r="U19" i="137"/>
  <c r="U23" i="137" s="1"/>
  <c r="U104" i="137" s="1"/>
  <c r="Q50" i="96"/>
  <c r="F50" i="183" s="1"/>
  <c r="T22" i="96"/>
  <c r="U4" i="96"/>
  <c r="P19" i="96"/>
  <c r="Q96" i="156"/>
  <c r="C57" i="156"/>
  <c r="I57" i="156" s="1"/>
  <c r="C41" i="96"/>
  <c r="M58" i="96" s="1"/>
  <c r="M74" i="96" s="1"/>
  <c r="I11" i="156"/>
  <c r="R41" i="96"/>
  <c r="G41" i="183" s="1"/>
  <c r="S63" i="156"/>
  <c r="R63" i="156"/>
  <c r="R126" i="156"/>
  <c r="S126" i="156" s="1"/>
  <c r="N130" i="161"/>
  <c r="O126" i="161"/>
  <c r="N129" i="161"/>
  <c r="N285" i="96" s="1"/>
  <c r="U77" i="172"/>
  <c r="U87" i="172" s="1"/>
  <c r="U90" i="172" s="1"/>
  <c r="V63" i="172"/>
  <c r="R15" i="102"/>
  <c r="S16" i="102"/>
  <c r="P304" i="96"/>
  <c r="P26" i="96" s="1"/>
  <c r="P127" i="157"/>
  <c r="Q124" i="157"/>
  <c r="Q303" i="96"/>
  <c r="Q96" i="157"/>
  <c r="R126" i="157"/>
  <c r="G125" i="137"/>
  <c r="F128" i="137"/>
  <c r="F284" i="96" s="1"/>
  <c r="F129" i="137"/>
  <c r="C114" i="96"/>
  <c r="T127" i="137"/>
  <c r="U124" i="137"/>
  <c r="Q124" i="135"/>
  <c r="P127" i="135"/>
  <c r="S50" i="135"/>
  <c r="T52" i="135"/>
  <c r="R46" i="96"/>
  <c r="G46" i="183" s="1"/>
  <c r="Q300" i="96"/>
  <c r="Q96" i="135"/>
  <c r="R63" i="135"/>
  <c r="R126" i="135"/>
  <c r="J125" i="133"/>
  <c r="I128" i="133"/>
  <c r="I281" i="96" s="1"/>
  <c r="I129" i="133"/>
  <c r="H129" i="134"/>
  <c r="I125" i="134"/>
  <c r="H128" i="134"/>
  <c r="H280" i="96" s="1"/>
  <c r="R127" i="134"/>
  <c r="S124" i="134"/>
  <c r="F137" i="96"/>
  <c r="F103" i="96"/>
  <c r="F171" i="96"/>
  <c r="O137" i="96"/>
  <c r="O171" i="96"/>
  <c r="O103" i="96"/>
  <c r="P127" i="117"/>
  <c r="Q124" i="117"/>
  <c r="M171" i="96"/>
  <c r="M137" i="96"/>
  <c r="M103" i="96"/>
  <c r="Q103" i="96"/>
  <c r="Q137" i="96"/>
  <c r="Q171" i="96"/>
  <c r="I103" i="96"/>
  <c r="I137" i="96"/>
  <c r="I171" i="96"/>
  <c r="D137" i="96"/>
  <c r="D171" i="96"/>
  <c r="D103" i="96"/>
  <c r="J137" i="96"/>
  <c r="J171" i="96"/>
  <c r="J103" i="96"/>
  <c r="E129" i="117"/>
  <c r="F125" i="117"/>
  <c r="E128" i="117"/>
  <c r="E273" i="96" s="1"/>
  <c r="L171" i="96"/>
  <c r="L137" i="96"/>
  <c r="L103" i="96"/>
  <c r="N137" i="96"/>
  <c r="N171" i="96"/>
  <c r="N103" i="96"/>
  <c r="E137" i="96"/>
  <c r="E171" i="96"/>
  <c r="E103" i="96"/>
  <c r="K103" i="96"/>
  <c r="K171" i="96"/>
  <c r="K137" i="96"/>
  <c r="H137" i="96"/>
  <c r="H171" i="96"/>
  <c r="H103" i="96"/>
  <c r="G137" i="96"/>
  <c r="G103" i="96"/>
  <c r="G171" i="96"/>
  <c r="E83" i="160"/>
  <c r="E79" i="160"/>
  <c r="P83" i="160"/>
  <c r="P92" i="96" s="1"/>
  <c r="E4" i="183" s="1"/>
  <c r="P79" i="160"/>
  <c r="F79" i="160"/>
  <c r="F83" i="160"/>
  <c r="Q79" i="160"/>
  <c r="Q83" i="160"/>
  <c r="Q92" i="96" s="1"/>
  <c r="F4" i="183" s="1"/>
  <c r="G79" i="160"/>
  <c r="G83" i="160"/>
  <c r="J79" i="160"/>
  <c r="J83" i="160"/>
  <c r="I79" i="160"/>
  <c r="I83" i="160"/>
  <c r="K83" i="160"/>
  <c r="K79" i="160"/>
  <c r="N79" i="160"/>
  <c r="N83" i="160"/>
  <c r="C92" i="96"/>
  <c r="N5" i="160"/>
  <c r="L83" i="160"/>
  <c r="L79" i="160"/>
  <c r="H79" i="160"/>
  <c r="H83" i="160"/>
  <c r="R83" i="160"/>
  <c r="R92" i="96" s="1"/>
  <c r="R79" i="160"/>
  <c r="R124" i="160"/>
  <c r="R127" i="160" s="1"/>
  <c r="Q127" i="160"/>
  <c r="M79" i="160"/>
  <c r="M83" i="160"/>
  <c r="O83" i="160"/>
  <c r="O92" i="96" s="1"/>
  <c r="O79" i="160"/>
  <c r="Q124" i="156"/>
  <c r="P127" i="156"/>
  <c r="R16" i="101"/>
  <c r="S17" i="101"/>
  <c r="W124" i="31"/>
  <c r="Y158" i="31"/>
  <c r="Y176" i="31"/>
  <c r="Y159" i="31"/>
  <c r="Y177" i="31"/>
  <c r="X170" i="31"/>
  <c r="X140" i="31"/>
  <c r="X110" i="31"/>
  <c r="X189" i="31"/>
  <c r="O18" i="4"/>
  <c r="X121" i="31"/>
  <c r="X125" i="31"/>
  <c r="X123" i="31"/>
  <c r="X174" i="31"/>
  <c r="X156" i="31"/>
  <c r="Q14" i="4"/>
  <c r="Q20" i="4" s="1"/>
  <c r="Y28" i="31"/>
  <c r="Q26" i="4"/>
  <c r="Q33" i="4" s="1"/>
  <c r="Q37" i="4"/>
  <c r="Q19" i="4"/>
  <c r="C11" i="4" s="1"/>
  <c r="Q32" i="4"/>
  <c r="D11" i="4" s="1"/>
  <c r="Q42" i="4"/>
  <c r="W18" i="31"/>
  <c r="W178" i="31"/>
  <c r="W160" i="31"/>
  <c r="W109" i="31"/>
  <c r="X108" i="31"/>
  <c r="X157" i="31"/>
  <c r="X175" i="31"/>
  <c r="X15" i="31"/>
  <c r="X151" i="31"/>
  <c r="X190" i="31"/>
  <c r="Y12" i="31"/>
  <c r="P11" i="6"/>
  <c r="Y11" i="31" s="1"/>
  <c r="P19" i="6"/>
  <c r="P33" i="6" s="1"/>
  <c r="Y27" i="31" s="1"/>
  <c r="P38" i="4"/>
  <c r="P13" i="4"/>
  <c r="P25" i="4"/>
  <c r="Y161" i="31"/>
  <c r="Y152" i="31"/>
  <c r="Y111" i="31"/>
  <c r="Y167" i="31"/>
  <c r="Y117" i="31"/>
  <c r="Y166" i="31"/>
  <c r="Y155" i="31"/>
  <c r="Y141" i="31"/>
  <c r="Y168" i="31"/>
  <c r="Y164" i="31"/>
  <c r="Y150" i="31"/>
  <c r="Y122" i="31"/>
  <c r="Y169" i="31"/>
  <c r="Y162" i="31"/>
  <c r="Y173" i="31"/>
  <c r="T63" i="157" l="1"/>
  <c r="T96" i="157" s="1"/>
  <c r="C50" i="157"/>
  <c r="S63" i="157"/>
  <c r="S96" i="157" s="1"/>
  <c r="S49" i="96"/>
  <c r="H49" i="183" s="1"/>
  <c r="S126" i="157"/>
  <c r="T126" i="157" s="1"/>
  <c r="R96" i="157"/>
  <c r="P57" i="96"/>
  <c r="P73" i="96" s="1"/>
  <c r="E29" i="183" s="1"/>
  <c r="O57" i="96"/>
  <c r="O73" i="96" s="1"/>
  <c r="D29" i="183" s="1"/>
  <c r="U57" i="96"/>
  <c r="U73" i="96" s="1"/>
  <c r="F57" i="96"/>
  <c r="F73" i="96" s="1"/>
  <c r="K57" i="96"/>
  <c r="K73" i="96" s="1"/>
  <c r="E57" i="96"/>
  <c r="E73" i="96" s="1"/>
  <c r="V57" i="96"/>
  <c r="V73" i="96" s="1"/>
  <c r="T57" i="96"/>
  <c r="T73" i="96" s="1"/>
  <c r="G57" i="96"/>
  <c r="G73" i="96" s="1"/>
  <c r="N57" i="96"/>
  <c r="N73" i="96" s="1"/>
  <c r="C29" i="183" s="1"/>
  <c r="J57" i="96"/>
  <c r="J73" i="96" s="1"/>
  <c r="L57" i="96"/>
  <c r="L73" i="96" s="1"/>
  <c r="H57" i="96"/>
  <c r="H73" i="96" s="1"/>
  <c r="M57" i="96"/>
  <c r="M73" i="96" s="1"/>
  <c r="Q57" i="96"/>
  <c r="Q73" i="96" s="1"/>
  <c r="F29" i="183" s="1"/>
  <c r="D57" i="96"/>
  <c r="S57" i="96"/>
  <c r="S73" i="96" s="1"/>
  <c r="H29" i="183" s="1"/>
  <c r="I57" i="96"/>
  <c r="I73" i="96" s="1"/>
  <c r="Q57" i="155"/>
  <c r="F57" i="155"/>
  <c r="L57" i="155"/>
  <c r="M57" i="155"/>
  <c r="R57" i="155"/>
  <c r="E57" i="155"/>
  <c r="N57" i="155"/>
  <c r="J57" i="155"/>
  <c r="O57" i="155"/>
  <c r="K57" i="155"/>
  <c r="C83" i="155"/>
  <c r="I57" i="155"/>
  <c r="S57" i="155"/>
  <c r="H57" i="155"/>
  <c r="D57" i="155"/>
  <c r="C79" i="155"/>
  <c r="P57" i="155"/>
  <c r="G57" i="155"/>
  <c r="S124" i="155"/>
  <c r="S127" i="155" s="1"/>
  <c r="R127" i="155"/>
  <c r="Q127" i="132"/>
  <c r="R124" i="132"/>
  <c r="U52" i="132"/>
  <c r="U50" i="132" s="1"/>
  <c r="T50" i="132"/>
  <c r="S126" i="132"/>
  <c r="S63" i="132"/>
  <c r="S45" i="96"/>
  <c r="H45" i="183" s="1"/>
  <c r="D8" i="160"/>
  <c r="D5" i="160" s="1"/>
  <c r="C86" i="160"/>
  <c r="D79" i="160"/>
  <c r="D125" i="160"/>
  <c r="C59" i="96"/>
  <c r="V19" i="117"/>
  <c r="V23" i="117" s="1"/>
  <c r="R124" i="156"/>
  <c r="S124" i="156" s="1"/>
  <c r="G4" i="183"/>
  <c r="G57" i="156"/>
  <c r="G79" i="156" s="1"/>
  <c r="C49" i="96"/>
  <c r="Q66" i="96" s="1"/>
  <c r="Q82" i="96" s="1"/>
  <c r="R303" i="96"/>
  <c r="Q19" i="96"/>
  <c r="U15" i="132"/>
  <c r="U23" i="132" s="1"/>
  <c r="U104" i="132" s="1"/>
  <c r="T23" i="132"/>
  <c r="T104" i="132" s="1"/>
  <c r="W19" i="133"/>
  <c r="W23" i="133" s="1"/>
  <c r="W104" i="133" s="1"/>
  <c r="V19" i="133"/>
  <c r="V23" i="133" s="1"/>
  <c r="V104" i="133" s="1"/>
  <c r="W19" i="137"/>
  <c r="W23" i="137" s="1"/>
  <c r="W104" i="137" s="1"/>
  <c r="V19" i="137"/>
  <c r="V23" i="137" s="1"/>
  <c r="V104" i="137" s="1"/>
  <c r="U109" i="96"/>
  <c r="R109" i="96"/>
  <c r="T109" i="96"/>
  <c r="S109" i="96"/>
  <c r="V109" i="96"/>
  <c r="R58" i="96"/>
  <c r="R74" i="96" s="1"/>
  <c r="G30" i="183" s="1"/>
  <c r="O109" i="96"/>
  <c r="D4" i="183"/>
  <c r="V4" i="96"/>
  <c r="V22" i="96" s="1"/>
  <c r="U22" i="96"/>
  <c r="L58" i="96"/>
  <c r="L74" i="96" s="1"/>
  <c r="K58" i="96"/>
  <c r="K74" i="96" s="1"/>
  <c r="K57" i="156"/>
  <c r="K83" i="156" s="1"/>
  <c r="U58" i="96"/>
  <c r="U74" i="96" s="1"/>
  <c r="E57" i="156"/>
  <c r="E79" i="156" s="1"/>
  <c r="N58" i="96"/>
  <c r="N74" i="96" s="1"/>
  <c r="C30" i="183" s="1"/>
  <c r="C79" i="156"/>
  <c r="C101" i="156" s="1"/>
  <c r="S58" i="96"/>
  <c r="S74" i="96" s="1"/>
  <c r="H30" i="183" s="1"/>
  <c r="G58" i="96"/>
  <c r="G74" i="96" s="1"/>
  <c r="O58" i="96"/>
  <c r="O74" i="96" s="1"/>
  <c r="D30" i="183" s="1"/>
  <c r="E58" i="96"/>
  <c r="E74" i="96" s="1"/>
  <c r="J58" i="96"/>
  <c r="J74" i="96" s="1"/>
  <c r="D58" i="96"/>
  <c r="D74" i="96" s="1"/>
  <c r="I58" i="96"/>
  <c r="I74" i="96" s="1"/>
  <c r="F58" i="96"/>
  <c r="F74" i="96" s="1"/>
  <c r="P58" i="96"/>
  <c r="P74" i="96" s="1"/>
  <c r="E30" i="183" s="1"/>
  <c r="T58" i="96"/>
  <c r="T74" i="96" s="1"/>
  <c r="V58" i="96"/>
  <c r="V74" i="96" s="1"/>
  <c r="Q58" i="96"/>
  <c r="Q74" i="96" s="1"/>
  <c r="F30" i="183" s="1"/>
  <c r="H58" i="96"/>
  <c r="H74" i="96" s="1"/>
  <c r="C83" i="156"/>
  <c r="C91" i="96" s="1"/>
  <c r="S57" i="156"/>
  <c r="S79" i="156" s="1"/>
  <c r="R57" i="156"/>
  <c r="R83" i="156" s="1"/>
  <c r="R91" i="96" s="1"/>
  <c r="L57" i="156"/>
  <c r="L79" i="156" s="1"/>
  <c r="M57" i="156"/>
  <c r="M79" i="156" s="1"/>
  <c r="Q57" i="156"/>
  <c r="Q83" i="156" s="1"/>
  <c r="Q91" i="96" s="1"/>
  <c r="D57" i="156"/>
  <c r="D79" i="156" s="1"/>
  <c r="O57" i="156"/>
  <c r="O79" i="156" s="1"/>
  <c r="H57" i="156"/>
  <c r="H79" i="156" s="1"/>
  <c r="N57" i="156"/>
  <c r="N83" i="156" s="1"/>
  <c r="J57" i="156"/>
  <c r="J79" i="156" s="1"/>
  <c r="P79" i="156"/>
  <c r="F57" i="156"/>
  <c r="F79" i="156" s="1"/>
  <c r="R295" i="96"/>
  <c r="R96" i="156"/>
  <c r="C63" i="156"/>
  <c r="S295" i="96"/>
  <c r="S96" i="156"/>
  <c r="O130" i="161"/>
  <c r="O129" i="161"/>
  <c r="O285" i="96" s="1"/>
  <c r="I83" i="156"/>
  <c r="I79" i="156"/>
  <c r="W63" i="172"/>
  <c r="V77" i="172"/>
  <c r="V87" i="172" s="1"/>
  <c r="V90" i="172" s="1"/>
  <c r="S15" i="102"/>
  <c r="T16" i="102"/>
  <c r="T15" i="102" s="1"/>
  <c r="Q304" i="96"/>
  <c r="Q26" i="96" s="1"/>
  <c r="R124" i="157"/>
  <c r="Q127" i="157"/>
  <c r="G128" i="137"/>
  <c r="G284" i="96" s="1"/>
  <c r="G129" i="137"/>
  <c r="H125" i="137"/>
  <c r="U127" i="137"/>
  <c r="V124" i="137"/>
  <c r="T50" i="135"/>
  <c r="U52" i="135"/>
  <c r="R124" i="135"/>
  <c r="Q127" i="135"/>
  <c r="S126" i="135"/>
  <c r="S46" i="96"/>
  <c r="H46" i="183" s="1"/>
  <c r="R50" i="96"/>
  <c r="R300" i="96"/>
  <c r="R96" i="135"/>
  <c r="S63" i="135"/>
  <c r="J129" i="133"/>
  <c r="K125" i="133"/>
  <c r="J128" i="133"/>
  <c r="J281" i="96" s="1"/>
  <c r="I129" i="134"/>
  <c r="J125" i="134"/>
  <c r="I128" i="134"/>
  <c r="I280" i="96" s="1"/>
  <c r="S127" i="134"/>
  <c r="T124" i="134"/>
  <c r="U124" i="134" s="1"/>
  <c r="C103" i="96"/>
  <c r="G125" i="117"/>
  <c r="F129" i="117"/>
  <c r="F128" i="117"/>
  <c r="F273" i="96" s="1"/>
  <c r="Q127" i="117"/>
  <c r="O101" i="160"/>
  <c r="O86" i="160"/>
  <c r="P86" i="160"/>
  <c r="P101" i="160"/>
  <c r="M92" i="96"/>
  <c r="M92" i="160"/>
  <c r="M91" i="160"/>
  <c r="H92" i="96"/>
  <c r="H91" i="160"/>
  <c r="H92" i="160"/>
  <c r="J11" i="104"/>
  <c r="I92" i="96"/>
  <c r="I91" i="160"/>
  <c r="I92" i="160"/>
  <c r="D86" i="160"/>
  <c r="D101" i="160"/>
  <c r="P109" i="96"/>
  <c r="M101" i="160"/>
  <c r="M86" i="160"/>
  <c r="H101" i="160"/>
  <c r="H86" i="160"/>
  <c r="N91" i="160"/>
  <c r="N92" i="160"/>
  <c r="N92" i="96"/>
  <c r="C4" i="183" s="1"/>
  <c r="I101" i="160"/>
  <c r="I86" i="160"/>
  <c r="D128" i="160"/>
  <c r="D279" i="96" s="1"/>
  <c r="E125" i="160"/>
  <c r="D129" i="160"/>
  <c r="N86" i="160"/>
  <c r="N101" i="160"/>
  <c r="J92" i="160"/>
  <c r="J92" i="96"/>
  <c r="J91" i="160"/>
  <c r="D92" i="96"/>
  <c r="D92" i="160"/>
  <c r="D91" i="160"/>
  <c r="F86" i="160"/>
  <c r="F101" i="160"/>
  <c r="K86" i="160"/>
  <c r="K101" i="160"/>
  <c r="J101" i="160"/>
  <c r="J86" i="160"/>
  <c r="Q109" i="96"/>
  <c r="L92" i="96"/>
  <c r="L92" i="160"/>
  <c r="L91" i="160"/>
  <c r="K92" i="96"/>
  <c r="K92" i="160"/>
  <c r="K91" i="160"/>
  <c r="G91" i="160"/>
  <c r="G92" i="160"/>
  <c r="G92" i="96"/>
  <c r="Q101" i="160"/>
  <c r="Q86" i="160"/>
  <c r="E101" i="160"/>
  <c r="E86" i="160"/>
  <c r="R86" i="160"/>
  <c r="R101" i="160"/>
  <c r="L101" i="160"/>
  <c r="L86" i="160"/>
  <c r="G86" i="160"/>
  <c r="G101" i="160"/>
  <c r="F91" i="160"/>
  <c r="F92" i="96"/>
  <c r="F92" i="160"/>
  <c r="E92" i="96"/>
  <c r="E92" i="160"/>
  <c r="E91" i="160"/>
  <c r="Q127" i="156"/>
  <c r="S16" i="101"/>
  <c r="T17" i="101"/>
  <c r="T16" i="101" s="1"/>
  <c r="Y157" i="31"/>
  <c r="Y15" i="31"/>
  <c r="Y108" i="31"/>
  <c r="Y175" i="31"/>
  <c r="X124" i="31"/>
  <c r="P18" i="4"/>
  <c r="X109" i="31"/>
  <c r="X160" i="31"/>
  <c r="X18" i="31"/>
  <c r="X178" i="31"/>
  <c r="Q38" i="4"/>
  <c r="Q18" i="4" s="1"/>
  <c r="Q13" i="4"/>
  <c r="Q25" i="4"/>
  <c r="Y190" i="31"/>
  <c r="Y151" i="31"/>
  <c r="Q34" i="4"/>
  <c r="D12" i="4" s="1"/>
  <c r="D13" i="4"/>
  <c r="Q21" i="4"/>
  <c r="C12" i="4" s="1"/>
  <c r="C13" i="4"/>
  <c r="Y123" i="31"/>
  <c r="Y125" i="31"/>
  <c r="Y156" i="31"/>
  <c r="Y121" i="31"/>
  <c r="Y174" i="31"/>
  <c r="W136" i="31"/>
  <c r="W163" i="31"/>
  <c r="W114" i="31"/>
  <c r="W20" i="31"/>
  <c r="W181" i="31"/>
  <c r="Y189" i="31"/>
  <c r="Y140" i="31"/>
  <c r="Y170" i="31"/>
  <c r="Y110" i="31"/>
  <c r="U45" i="96" l="1"/>
  <c r="W63" i="132"/>
  <c r="W96" i="132" s="1"/>
  <c r="C50" i="132"/>
  <c r="I12" i="132" s="1"/>
  <c r="V63" i="132"/>
  <c r="I11" i="157"/>
  <c r="S303" i="96"/>
  <c r="I12" i="157"/>
  <c r="C57" i="157"/>
  <c r="D57" i="157" s="1"/>
  <c r="D79" i="157" s="1"/>
  <c r="T303" i="96"/>
  <c r="C63" i="157"/>
  <c r="C303" i="96" s="1"/>
  <c r="C57" i="132"/>
  <c r="I11" i="132"/>
  <c r="C45" i="96"/>
  <c r="L62" i="96" s="1"/>
  <c r="L78" i="96" s="1"/>
  <c r="C57" i="96"/>
  <c r="D73" i="96"/>
  <c r="S79" i="155"/>
  <c r="S83" i="155"/>
  <c r="Q83" i="155"/>
  <c r="Q90" i="96" s="1"/>
  <c r="Q79" i="155"/>
  <c r="G79" i="155"/>
  <c r="G83" i="155"/>
  <c r="K79" i="155"/>
  <c r="K83" i="155"/>
  <c r="P79" i="155"/>
  <c r="P83" i="155"/>
  <c r="P90" i="96" s="1"/>
  <c r="O79" i="155"/>
  <c r="O83" i="155"/>
  <c r="O90" i="96" s="1"/>
  <c r="D125" i="155"/>
  <c r="D79" i="155"/>
  <c r="D83" i="155"/>
  <c r="C101" i="155"/>
  <c r="D8" i="155"/>
  <c r="D5" i="155" s="1"/>
  <c r="C86" i="155"/>
  <c r="I83" i="155"/>
  <c r="I79" i="155"/>
  <c r="C90" i="96"/>
  <c r="N5" i="155"/>
  <c r="N83" i="155"/>
  <c r="N90" i="96" s="1"/>
  <c r="N79" i="155"/>
  <c r="F83" i="155"/>
  <c r="F79" i="155"/>
  <c r="H83" i="155"/>
  <c r="H79" i="155"/>
  <c r="E83" i="155"/>
  <c r="E79" i="155"/>
  <c r="R79" i="155"/>
  <c r="R83" i="155"/>
  <c r="M83" i="155"/>
  <c r="M90" i="96" s="1"/>
  <c r="M79" i="155"/>
  <c r="J79" i="155"/>
  <c r="J83" i="155"/>
  <c r="L79" i="155"/>
  <c r="L83" i="155"/>
  <c r="L90" i="96" s="1"/>
  <c r="S299" i="96"/>
  <c r="S96" i="132"/>
  <c r="T126" i="132"/>
  <c r="U126" i="132" s="1"/>
  <c r="V126" i="132" s="1"/>
  <c r="W126" i="132" s="1"/>
  <c r="T45" i="96"/>
  <c r="R127" i="132"/>
  <c r="S124" i="132"/>
  <c r="U63" i="132"/>
  <c r="T63" i="132"/>
  <c r="K79" i="156"/>
  <c r="K86" i="156" s="1"/>
  <c r="R127" i="156"/>
  <c r="G83" i="156"/>
  <c r="G91" i="156" s="1"/>
  <c r="X19" i="117"/>
  <c r="X23" i="117" s="1"/>
  <c r="W19" i="117"/>
  <c r="W23" i="117" s="1"/>
  <c r="T126" i="135"/>
  <c r="O66" i="96"/>
  <c r="O82" i="96" s="1"/>
  <c r="G66" i="96"/>
  <c r="G82" i="96" s="1"/>
  <c r="F38" i="183"/>
  <c r="C86" i="156"/>
  <c r="D8" i="156"/>
  <c r="D5" i="156" s="1"/>
  <c r="Q79" i="156"/>
  <c r="Q86" i="156" s="1"/>
  <c r="L83" i="156"/>
  <c r="L91" i="96" s="1"/>
  <c r="H83" i="156"/>
  <c r="H92" i="156" s="1"/>
  <c r="D83" i="156"/>
  <c r="D91" i="96" s="1"/>
  <c r="E83" i="156"/>
  <c r="E92" i="156" s="1"/>
  <c r="M66" i="96"/>
  <c r="M82" i="96" s="1"/>
  <c r="E66" i="96"/>
  <c r="E82" i="96" s="1"/>
  <c r="S66" i="96"/>
  <c r="S82" i="96" s="1"/>
  <c r="L66" i="96"/>
  <c r="L82" i="96" s="1"/>
  <c r="D66" i="96"/>
  <c r="D82" i="96" s="1"/>
  <c r="F66" i="96"/>
  <c r="F82" i="96" s="1"/>
  <c r="K66" i="96"/>
  <c r="K82" i="96" s="1"/>
  <c r="V66" i="96"/>
  <c r="V82" i="96" s="1"/>
  <c r="J66" i="96"/>
  <c r="J82" i="96" s="1"/>
  <c r="U66" i="96"/>
  <c r="U82" i="96" s="1"/>
  <c r="R66" i="96"/>
  <c r="R82" i="96" s="1"/>
  <c r="I66" i="96"/>
  <c r="I82" i="96" s="1"/>
  <c r="T66" i="96"/>
  <c r="T82" i="96" s="1"/>
  <c r="P66" i="96"/>
  <c r="P82" i="96" s="1"/>
  <c r="H66" i="96"/>
  <c r="H82" i="96" s="1"/>
  <c r="N66" i="96"/>
  <c r="N82" i="96" s="1"/>
  <c r="S57" i="157"/>
  <c r="S79" i="157" s="1"/>
  <c r="K57" i="132"/>
  <c r="T57" i="132"/>
  <c r="C58" i="96"/>
  <c r="R79" i="156"/>
  <c r="R86" i="156" s="1"/>
  <c r="O83" i="156"/>
  <c r="O91" i="156" s="1"/>
  <c r="F83" i="156"/>
  <c r="F91" i="96" s="1"/>
  <c r="J83" i="156"/>
  <c r="J91" i="96" s="1"/>
  <c r="M83" i="156"/>
  <c r="M91" i="156" s="1"/>
  <c r="D125" i="156"/>
  <c r="E125" i="156" s="1"/>
  <c r="N5" i="156"/>
  <c r="S83" i="156"/>
  <c r="S91" i="96" s="1"/>
  <c r="S108" i="96" s="1"/>
  <c r="P91" i="96"/>
  <c r="E3" i="183" s="1"/>
  <c r="N79" i="156"/>
  <c r="N101" i="156" s="1"/>
  <c r="R304" i="96"/>
  <c r="R26" i="96" s="1"/>
  <c r="C295" i="96"/>
  <c r="C96" i="156"/>
  <c r="L108" i="96"/>
  <c r="R19" i="96"/>
  <c r="G50" i="183"/>
  <c r="W77" i="172"/>
  <c r="W87" i="172" s="1"/>
  <c r="W90" i="172" s="1"/>
  <c r="X63" i="172"/>
  <c r="D101" i="156"/>
  <c r="D86" i="156"/>
  <c r="L101" i="156"/>
  <c r="L86" i="156"/>
  <c r="E86" i="156"/>
  <c r="E101" i="156"/>
  <c r="J86" i="156"/>
  <c r="J101" i="156"/>
  <c r="G3" i="183"/>
  <c r="R108" i="96"/>
  <c r="I101" i="156"/>
  <c r="I86" i="156"/>
  <c r="N91" i="96"/>
  <c r="N92" i="156"/>
  <c r="N91" i="156"/>
  <c r="I91" i="96"/>
  <c r="I92" i="156"/>
  <c r="I91" i="156"/>
  <c r="O86" i="156"/>
  <c r="O101" i="156"/>
  <c r="G86" i="156"/>
  <c r="G101" i="156"/>
  <c r="S86" i="156"/>
  <c r="S101" i="156"/>
  <c r="K92" i="156"/>
  <c r="K91" i="96"/>
  <c r="K91" i="156"/>
  <c r="H101" i="156"/>
  <c r="H86" i="156"/>
  <c r="F3" i="183"/>
  <c r="Q108" i="96"/>
  <c r="F101" i="156"/>
  <c r="F86" i="156"/>
  <c r="M101" i="156"/>
  <c r="M86" i="156"/>
  <c r="V108" i="96"/>
  <c r="J10" i="104"/>
  <c r="T108" i="96"/>
  <c r="U108" i="96"/>
  <c r="P86" i="156"/>
  <c r="P101" i="156"/>
  <c r="S124" i="157"/>
  <c r="T124" i="157" s="1"/>
  <c r="T127" i="157" s="1"/>
  <c r="R127" i="157"/>
  <c r="H129" i="137"/>
  <c r="H128" i="137"/>
  <c r="H284" i="96" s="1"/>
  <c r="I125" i="137"/>
  <c r="V127" i="137"/>
  <c r="W124" i="137"/>
  <c r="S300" i="96"/>
  <c r="S304" i="96" s="1"/>
  <c r="S26" i="96" s="1"/>
  <c r="S96" i="135"/>
  <c r="S124" i="135"/>
  <c r="R127" i="135"/>
  <c r="S50" i="96"/>
  <c r="U50" i="135"/>
  <c r="V52" i="135"/>
  <c r="V50" i="135" s="1"/>
  <c r="T46" i="96"/>
  <c r="T63" i="135"/>
  <c r="L125" i="133"/>
  <c r="K129" i="133"/>
  <c r="K128" i="133"/>
  <c r="K281" i="96" s="1"/>
  <c r="V124" i="134"/>
  <c r="U127" i="134"/>
  <c r="J128" i="134"/>
  <c r="J280" i="96" s="1"/>
  <c r="K125" i="134"/>
  <c r="J129" i="134"/>
  <c r="T127" i="134"/>
  <c r="H125" i="117"/>
  <c r="G129" i="117"/>
  <c r="G128" i="117"/>
  <c r="G273" i="96" s="1"/>
  <c r="E143" i="96"/>
  <c r="E109" i="96"/>
  <c r="E177" i="96"/>
  <c r="F125" i="160"/>
  <c r="E129" i="160"/>
  <c r="E128" i="160"/>
  <c r="E279" i="96" s="1"/>
  <c r="I143" i="96"/>
  <c r="I109" i="96"/>
  <c r="I177" i="96"/>
  <c r="M143" i="96"/>
  <c r="M177" i="96"/>
  <c r="M109" i="96"/>
  <c r="F177" i="96"/>
  <c r="F143" i="96"/>
  <c r="F109" i="96"/>
  <c r="L177" i="96"/>
  <c r="L109" i="96"/>
  <c r="L143" i="96"/>
  <c r="J177" i="96"/>
  <c r="J143" i="96"/>
  <c r="J109" i="96"/>
  <c r="K143" i="96"/>
  <c r="K109" i="96"/>
  <c r="K177" i="96"/>
  <c r="D143" i="96"/>
  <c r="D177" i="96"/>
  <c r="D109" i="96"/>
  <c r="N143" i="96"/>
  <c r="N109" i="96"/>
  <c r="N177" i="96"/>
  <c r="G143" i="96"/>
  <c r="G109" i="96"/>
  <c r="G177" i="96"/>
  <c r="H177" i="96"/>
  <c r="H143" i="96"/>
  <c r="H109" i="96"/>
  <c r="S127" i="156"/>
  <c r="Y124" i="31"/>
  <c r="C15" i="4"/>
  <c r="X163" i="31"/>
  <c r="X136" i="31"/>
  <c r="X181" i="31"/>
  <c r="X114" i="31"/>
  <c r="X20" i="31"/>
  <c r="W165" i="31"/>
  <c r="W148" i="31"/>
  <c r="W149" i="31" s="1"/>
  <c r="O39" i="4" s="1"/>
  <c r="O41" i="4" s="1"/>
  <c r="W183" i="31"/>
  <c r="W116" i="31"/>
  <c r="W115" i="31"/>
  <c r="Y18" i="31"/>
  <c r="Y160" i="31"/>
  <c r="Y109" i="31"/>
  <c r="Y178" i="31"/>
  <c r="D15" i="4"/>
  <c r="M107" i="96" l="1"/>
  <c r="L107" i="96"/>
  <c r="L57" i="132"/>
  <c r="W57" i="132"/>
  <c r="V57" i="132"/>
  <c r="Q57" i="132"/>
  <c r="V299" i="96"/>
  <c r="V96" i="132"/>
  <c r="R57" i="132"/>
  <c r="R83" i="132" s="1"/>
  <c r="R95" i="96" s="1"/>
  <c r="J57" i="132"/>
  <c r="P57" i="132"/>
  <c r="Q62" i="96"/>
  <c r="Q78" i="96" s="1"/>
  <c r="F34" i="183" s="1"/>
  <c r="P62" i="96"/>
  <c r="P78" i="96" s="1"/>
  <c r="E34" i="183" s="1"/>
  <c r="C79" i="132"/>
  <c r="D8" i="132" s="1"/>
  <c r="D5" i="132" s="1"/>
  <c r="F62" i="96"/>
  <c r="F78" i="96" s="1"/>
  <c r="J62" i="96"/>
  <c r="J78" i="96" s="1"/>
  <c r="S57" i="132"/>
  <c r="S79" i="132" s="1"/>
  <c r="O62" i="96"/>
  <c r="O78" i="96" s="1"/>
  <c r="D34" i="183" s="1"/>
  <c r="N62" i="96"/>
  <c r="N78" i="96" s="1"/>
  <c r="C34" i="183" s="1"/>
  <c r="I62" i="96"/>
  <c r="I78" i="96" s="1"/>
  <c r="M57" i="132"/>
  <c r="M83" i="132" s="1"/>
  <c r="I57" i="132"/>
  <c r="D57" i="132"/>
  <c r="D125" i="132" s="1"/>
  <c r="N57" i="132"/>
  <c r="N83" i="132" s="1"/>
  <c r="U62" i="96"/>
  <c r="U78" i="96" s="1"/>
  <c r="S62" i="96"/>
  <c r="S78" i="96" s="1"/>
  <c r="H34" i="183" s="1"/>
  <c r="H57" i="132"/>
  <c r="H79" i="132" s="1"/>
  <c r="C95" i="96"/>
  <c r="R62" i="96"/>
  <c r="R78" i="96" s="1"/>
  <c r="G34" i="183" s="1"/>
  <c r="O57" i="132"/>
  <c r="O79" i="132" s="1"/>
  <c r="D62" i="96"/>
  <c r="D78" i="96" s="1"/>
  <c r="F57" i="132"/>
  <c r="F83" i="132" s="1"/>
  <c r="M62" i="96"/>
  <c r="M78" i="96" s="1"/>
  <c r="T62" i="96"/>
  <c r="T78" i="96" s="1"/>
  <c r="K62" i="96"/>
  <c r="K78" i="96" s="1"/>
  <c r="H62" i="96"/>
  <c r="H78" i="96" s="1"/>
  <c r="G62" i="96"/>
  <c r="G78" i="96" s="1"/>
  <c r="V62" i="96"/>
  <c r="V78" i="96" s="1"/>
  <c r="G57" i="132"/>
  <c r="G83" i="132" s="1"/>
  <c r="E62" i="96"/>
  <c r="E78" i="96" s="1"/>
  <c r="E57" i="132"/>
  <c r="E79" i="132" s="1"/>
  <c r="U57" i="132"/>
  <c r="U79" i="132" s="1"/>
  <c r="L57" i="157"/>
  <c r="L79" i="157" s="1"/>
  <c r="Q57" i="157"/>
  <c r="C83" i="157"/>
  <c r="C99" i="96" s="1"/>
  <c r="N57" i="157"/>
  <c r="N83" i="157" s="1"/>
  <c r="R57" i="157"/>
  <c r="R79" i="157" s="1"/>
  <c r="R86" i="157" s="1"/>
  <c r="F57" i="157"/>
  <c r="F83" i="157" s="1"/>
  <c r="F91" i="157" s="1"/>
  <c r="H57" i="157"/>
  <c r="H83" i="157" s="1"/>
  <c r="H91" i="157" s="1"/>
  <c r="J57" i="157"/>
  <c r="J83" i="157" s="1"/>
  <c r="J91" i="157" s="1"/>
  <c r="G57" i="157"/>
  <c r="G83" i="157" s="1"/>
  <c r="G92" i="157" s="1"/>
  <c r="I57" i="157"/>
  <c r="I83" i="157" s="1"/>
  <c r="I99" i="96" s="1"/>
  <c r="C86" i="157"/>
  <c r="O57" i="157"/>
  <c r="O79" i="157" s="1"/>
  <c r="O86" i="157" s="1"/>
  <c r="E57" i="157"/>
  <c r="E83" i="157" s="1"/>
  <c r="E92" i="157" s="1"/>
  <c r="K57" i="157"/>
  <c r="K79" i="157" s="1"/>
  <c r="K101" i="157" s="1"/>
  <c r="T57" i="157"/>
  <c r="T83" i="157" s="1"/>
  <c r="T99" i="96" s="1"/>
  <c r="T116" i="96" s="1"/>
  <c r="P57" i="157"/>
  <c r="P83" i="157" s="1"/>
  <c r="P99" i="96" s="1"/>
  <c r="E11" i="183" s="1"/>
  <c r="M57" i="157"/>
  <c r="M79" i="157" s="1"/>
  <c r="M101" i="157" s="1"/>
  <c r="C96" i="157"/>
  <c r="Q79" i="157"/>
  <c r="Q86" i="157" s="1"/>
  <c r="Q83" i="157"/>
  <c r="Q99" i="96" s="1"/>
  <c r="Q116" i="96" s="1"/>
  <c r="R90" i="96"/>
  <c r="R92" i="155"/>
  <c r="R91" i="155"/>
  <c r="E91" i="155"/>
  <c r="E92" i="155"/>
  <c r="E90" i="96"/>
  <c r="P86" i="155"/>
  <c r="P101" i="155"/>
  <c r="J101" i="155"/>
  <c r="J86" i="155"/>
  <c r="D2" i="183"/>
  <c r="O107" i="96"/>
  <c r="E101" i="155"/>
  <c r="E86" i="155"/>
  <c r="H86" i="155"/>
  <c r="H101" i="155"/>
  <c r="K90" i="96"/>
  <c r="K92" i="155"/>
  <c r="K91" i="155"/>
  <c r="H90" i="96"/>
  <c r="H92" i="155"/>
  <c r="H91" i="155"/>
  <c r="K86" i="155"/>
  <c r="K101" i="155"/>
  <c r="G92" i="155"/>
  <c r="G90" i="96"/>
  <c r="G91" i="155"/>
  <c r="F92" i="155"/>
  <c r="F91" i="155"/>
  <c r="F90" i="96"/>
  <c r="G86" i="155"/>
  <c r="G101" i="155"/>
  <c r="E2" i="183"/>
  <c r="P107" i="96"/>
  <c r="N86" i="155"/>
  <c r="N101" i="155"/>
  <c r="Q86" i="155"/>
  <c r="Q101" i="155"/>
  <c r="F2" i="183"/>
  <c r="Q107" i="96"/>
  <c r="M101" i="155"/>
  <c r="M86" i="155"/>
  <c r="S91" i="155"/>
  <c r="S92" i="155"/>
  <c r="S90" i="96"/>
  <c r="D129" i="155"/>
  <c r="D128" i="155"/>
  <c r="D277" i="96" s="1"/>
  <c r="E125" i="155"/>
  <c r="R101" i="155"/>
  <c r="R86" i="155"/>
  <c r="F86" i="155"/>
  <c r="F101" i="155"/>
  <c r="U107" i="96"/>
  <c r="J9" i="104"/>
  <c r="T107" i="96"/>
  <c r="V107" i="96"/>
  <c r="S101" i="155"/>
  <c r="S86" i="155"/>
  <c r="L101" i="155"/>
  <c r="L86" i="155"/>
  <c r="C2" i="183"/>
  <c r="N107" i="96"/>
  <c r="I101" i="155"/>
  <c r="I86" i="155"/>
  <c r="J91" i="155"/>
  <c r="J92" i="155"/>
  <c r="J90" i="96"/>
  <c r="D90" i="96"/>
  <c r="D92" i="155"/>
  <c r="D91" i="155"/>
  <c r="D101" i="155"/>
  <c r="D86" i="155"/>
  <c r="O101" i="155"/>
  <c r="O86" i="155"/>
  <c r="I90" i="96"/>
  <c r="I92" i="155"/>
  <c r="I91" i="155"/>
  <c r="G92" i="156"/>
  <c r="K101" i="156"/>
  <c r="G91" i="96"/>
  <c r="D92" i="156"/>
  <c r="R101" i="156"/>
  <c r="U299" i="96"/>
  <c r="U96" i="132"/>
  <c r="T124" i="132"/>
  <c r="S127" i="132"/>
  <c r="T96" i="132"/>
  <c r="T299" i="96"/>
  <c r="C63" i="132"/>
  <c r="H91" i="96"/>
  <c r="D91" i="156"/>
  <c r="F91" i="156"/>
  <c r="H91" i="156"/>
  <c r="D125" i="157"/>
  <c r="D128" i="157" s="1"/>
  <c r="D286" i="96" s="1"/>
  <c r="D83" i="157"/>
  <c r="D92" i="157" s="1"/>
  <c r="N79" i="157"/>
  <c r="N86" i="157" s="1"/>
  <c r="U126" i="135"/>
  <c r="V126" i="135" s="1"/>
  <c r="E91" i="96"/>
  <c r="E176" i="96" s="1"/>
  <c r="Q101" i="156"/>
  <c r="M92" i="156"/>
  <c r="L83" i="157"/>
  <c r="L99" i="96" s="1"/>
  <c r="N5" i="157"/>
  <c r="H79" i="157"/>
  <c r="H86" i="157" s="1"/>
  <c r="J79" i="157"/>
  <c r="J101" i="157" s="1"/>
  <c r="G38" i="183"/>
  <c r="H38" i="183"/>
  <c r="C38" i="183"/>
  <c r="E38" i="183"/>
  <c r="D38" i="183"/>
  <c r="N86" i="156"/>
  <c r="E91" i="156"/>
  <c r="F92" i="156"/>
  <c r="J92" i="156"/>
  <c r="J91" i="156"/>
  <c r="D128" i="156"/>
  <c r="D278" i="96" s="1"/>
  <c r="M91" i="96"/>
  <c r="M108" i="96" s="1"/>
  <c r="O92" i="156"/>
  <c r="O91" i="96"/>
  <c r="O142" i="96" s="1"/>
  <c r="S83" i="157"/>
  <c r="S99" i="96" s="1"/>
  <c r="H11" i="183" s="1"/>
  <c r="C66" i="96"/>
  <c r="G79" i="157"/>
  <c r="G101" i="157" s="1"/>
  <c r="N79" i="132"/>
  <c r="I83" i="132"/>
  <c r="I79" i="132"/>
  <c r="J83" i="132"/>
  <c r="J79" i="132"/>
  <c r="L83" i="132"/>
  <c r="L79" i="132"/>
  <c r="Q79" i="132"/>
  <c r="Q83" i="132"/>
  <c r="Q95" i="96" s="1"/>
  <c r="R79" i="132"/>
  <c r="D83" i="132"/>
  <c r="D79" i="132"/>
  <c r="T83" i="132"/>
  <c r="T95" i="96" s="1"/>
  <c r="T79" i="132"/>
  <c r="K83" i="132"/>
  <c r="K79" i="132"/>
  <c r="P79" i="132"/>
  <c r="P83" i="132"/>
  <c r="P95" i="96" s="1"/>
  <c r="D129" i="156"/>
  <c r="H3" i="183"/>
  <c r="P108" i="96"/>
  <c r="S19" i="96"/>
  <c r="H50" i="183"/>
  <c r="X77" i="172"/>
  <c r="X87" i="172" s="1"/>
  <c r="X90" i="172" s="1"/>
  <c r="Y63" i="172"/>
  <c r="K142" i="96"/>
  <c r="K108" i="96"/>
  <c r="K176" i="96"/>
  <c r="D108" i="96"/>
  <c r="D176" i="96"/>
  <c r="D142" i="96"/>
  <c r="G108" i="96"/>
  <c r="G176" i="96"/>
  <c r="G142" i="96"/>
  <c r="J142" i="96"/>
  <c r="J108" i="96"/>
  <c r="J176" i="96"/>
  <c r="E128" i="156"/>
  <c r="E278" i="96" s="1"/>
  <c r="F125" i="156"/>
  <c r="E129" i="156"/>
  <c r="F176" i="96"/>
  <c r="F142" i="96"/>
  <c r="F108" i="96"/>
  <c r="I142" i="96"/>
  <c r="I108" i="96"/>
  <c r="I176" i="96"/>
  <c r="C3" i="183"/>
  <c r="N142" i="96"/>
  <c r="N176" i="96"/>
  <c r="N108" i="96"/>
  <c r="H142" i="96"/>
  <c r="H176" i="96"/>
  <c r="H108" i="96"/>
  <c r="D86" i="157"/>
  <c r="D101" i="157"/>
  <c r="J92" i="157"/>
  <c r="J99" i="96"/>
  <c r="S127" i="157"/>
  <c r="L86" i="157"/>
  <c r="L101" i="157"/>
  <c r="J18" i="104"/>
  <c r="V116" i="96"/>
  <c r="U116" i="96"/>
  <c r="S101" i="157"/>
  <c r="S86" i="157"/>
  <c r="N91" i="157"/>
  <c r="N99" i="96"/>
  <c r="C11" i="183" s="1"/>
  <c r="N92" i="157"/>
  <c r="I129" i="137"/>
  <c r="I128" i="137"/>
  <c r="I284" i="96" s="1"/>
  <c r="J125" i="137"/>
  <c r="W127" i="137"/>
  <c r="V63" i="135"/>
  <c r="V96" i="135" s="1"/>
  <c r="S127" i="135"/>
  <c r="T124" i="135"/>
  <c r="T96" i="135"/>
  <c r="T300" i="96"/>
  <c r="T50" i="96"/>
  <c r="T19" i="96" s="1"/>
  <c r="V46" i="96"/>
  <c r="C50" i="135"/>
  <c r="U46" i="96"/>
  <c r="U63" i="135"/>
  <c r="C63" i="135" s="1"/>
  <c r="M125" i="133"/>
  <c r="L129" i="133"/>
  <c r="L128" i="133"/>
  <c r="L281" i="96" s="1"/>
  <c r="K128" i="134"/>
  <c r="K280" i="96" s="1"/>
  <c r="K129" i="134"/>
  <c r="L125" i="134"/>
  <c r="V127" i="134"/>
  <c r="I125" i="117"/>
  <c r="H129" i="117"/>
  <c r="H128" i="117"/>
  <c r="H273" i="96" s="1"/>
  <c r="F129" i="160"/>
  <c r="F128" i="160"/>
  <c r="F279" i="96" s="1"/>
  <c r="G125" i="160"/>
  <c r="C109" i="96"/>
  <c r="W113" i="31"/>
  <c r="W112" i="31" s="1"/>
  <c r="D19" i="4"/>
  <c r="D18" i="4"/>
  <c r="X116" i="31"/>
  <c r="X165" i="31"/>
  <c r="X183" i="31"/>
  <c r="X115" i="31"/>
  <c r="X148" i="31"/>
  <c r="X149" i="31" s="1"/>
  <c r="P39" i="4" s="1"/>
  <c r="P41" i="4" s="1"/>
  <c r="C19" i="4"/>
  <c r="C18" i="4"/>
  <c r="Y136" i="31"/>
  <c r="Y181" i="31"/>
  <c r="Y20" i="31"/>
  <c r="Y163" i="31"/>
  <c r="Y114" i="31"/>
  <c r="C14" i="4"/>
  <c r="D14" i="4"/>
  <c r="S83" i="132" l="1"/>
  <c r="S95" i="96" s="1"/>
  <c r="V79" i="132"/>
  <c r="V83" i="132"/>
  <c r="V95" i="96" s="1"/>
  <c r="W83" i="132"/>
  <c r="W79" i="132"/>
  <c r="O83" i="132"/>
  <c r="C101" i="132"/>
  <c r="M79" i="132"/>
  <c r="N5" i="132"/>
  <c r="G79" i="132"/>
  <c r="F79" i="132"/>
  <c r="F86" i="132" s="1"/>
  <c r="H83" i="132"/>
  <c r="H95" i="96" s="1"/>
  <c r="C62" i="96"/>
  <c r="U83" i="132"/>
  <c r="U95" i="96" s="1"/>
  <c r="E83" i="132"/>
  <c r="E95" i="96" s="1"/>
  <c r="H92" i="157"/>
  <c r="R83" i="157"/>
  <c r="R99" i="96" s="1"/>
  <c r="G11" i="183" s="1"/>
  <c r="G99" i="96"/>
  <c r="G91" i="157"/>
  <c r="R101" i="157"/>
  <c r="E91" i="157"/>
  <c r="O101" i="157"/>
  <c r="O83" i="157"/>
  <c r="O99" i="96" s="1"/>
  <c r="D11" i="183" s="1"/>
  <c r="Q101" i="157"/>
  <c r="F92" i="157"/>
  <c r="H99" i="96"/>
  <c r="H150" i="96" s="1"/>
  <c r="F79" i="157"/>
  <c r="F86" i="157" s="1"/>
  <c r="F99" i="96"/>
  <c r="F116" i="96" s="1"/>
  <c r="D8" i="157"/>
  <c r="D5" i="157" s="1"/>
  <c r="E99" i="96"/>
  <c r="E150" i="96" s="1"/>
  <c r="M86" i="157"/>
  <c r="I79" i="157"/>
  <c r="I101" i="157" s="1"/>
  <c r="K86" i="157"/>
  <c r="K83" i="157"/>
  <c r="K92" i="157" s="1"/>
  <c r="P116" i="96"/>
  <c r="T79" i="157"/>
  <c r="T101" i="157" s="1"/>
  <c r="C101" i="157"/>
  <c r="M83" i="157"/>
  <c r="E79" i="157"/>
  <c r="E101" i="157" s="1"/>
  <c r="P79" i="157"/>
  <c r="P86" i="157" s="1"/>
  <c r="K107" i="96"/>
  <c r="K175" i="96"/>
  <c r="K141" i="96"/>
  <c r="H141" i="96"/>
  <c r="H107" i="96"/>
  <c r="H175" i="96"/>
  <c r="D175" i="96"/>
  <c r="D107" i="96"/>
  <c r="D141" i="96"/>
  <c r="E128" i="155"/>
  <c r="E277" i="96" s="1"/>
  <c r="F125" i="155"/>
  <c r="E129" i="155"/>
  <c r="I141" i="96"/>
  <c r="I175" i="96"/>
  <c r="I107" i="96"/>
  <c r="E175" i="96"/>
  <c r="E141" i="96"/>
  <c r="E107" i="96"/>
  <c r="J141" i="96"/>
  <c r="J107" i="96"/>
  <c r="J175" i="96"/>
  <c r="F107" i="96"/>
  <c r="F141" i="96"/>
  <c r="F175" i="96"/>
  <c r="G107" i="96"/>
  <c r="G175" i="96"/>
  <c r="G141" i="96"/>
  <c r="H2" i="183"/>
  <c r="S141" i="96"/>
  <c r="S175" i="96"/>
  <c r="S107" i="96"/>
  <c r="R107" i="96"/>
  <c r="R141" i="96"/>
  <c r="G2" i="183"/>
  <c r="R175" i="96"/>
  <c r="T304" i="96"/>
  <c r="T26" i="96" s="1"/>
  <c r="E142" i="96"/>
  <c r="C299" i="96"/>
  <c r="C96" i="132"/>
  <c r="U124" i="132"/>
  <c r="T127" i="132"/>
  <c r="E108" i="96"/>
  <c r="C108" i="96" s="1"/>
  <c r="D99" i="96"/>
  <c r="D116" i="96" s="1"/>
  <c r="J86" i="157"/>
  <c r="N101" i="157"/>
  <c r="D91" i="157"/>
  <c r="D129" i="157"/>
  <c r="E125" i="157"/>
  <c r="E129" i="157" s="1"/>
  <c r="F11" i="183"/>
  <c r="G86" i="157"/>
  <c r="H101" i="157"/>
  <c r="V300" i="96"/>
  <c r="V304" i="96" s="1"/>
  <c r="V26" i="96" s="1"/>
  <c r="O176" i="96"/>
  <c r="D3" i="183"/>
  <c r="L92" i="157"/>
  <c r="L91" i="157"/>
  <c r="M142" i="96"/>
  <c r="M176" i="96"/>
  <c r="O108" i="96"/>
  <c r="S116" i="96"/>
  <c r="J86" i="132"/>
  <c r="J101" i="132"/>
  <c r="P86" i="132"/>
  <c r="P101" i="132"/>
  <c r="D91" i="132"/>
  <c r="D92" i="132"/>
  <c r="D95" i="96"/>
  <c r="J91" i="132"/>
  <c r="J92" i="132"/>
  <c r="J95" i="96"/>
  <c r="H91" i="132"/>
  <c r="H92" i="132"/>
  <c r="K101" i="132"/>
  <c r="K86" i="132"/>
  <c r="O92" i="132"/>
  <c r="O91" i="132"/>
  <c r="O95" i="96"/>
  <c r="D129" i="132"/>
  <c r="E125" i="132"/>
  <c r="D128" i="132"/>
  <c r="D282" i="96" s="1"/>
  <c r="I86" i="132"/>
  <c r="I101" i="132"/>
  <c r="K95" i="96"/>
  <c r="K92" i="132"/>
  <c r="K91" i="132"/>
  <c r="O86" i="132"/>
  <c r="O101" i="132"/>
  <c r="S112" i="96"/>
  <c r="H7" i="183"/>
  <c r="I92" i="132"/>
  <c r="I91" i="132"/>
  <c r="I95" i="96"/>
  <c r="S86" i="132"/>
  <c r="S101" i="132"/>
  <c r="F7" i="183"/>
  <c r="Q112" i="96"/>
  <c r="E86" i="132"/>
  <c r="E101" i="132"/>
  <c r="G101" i="132"/>
  <c r="G86" i="132"/>
  <c r="T112" i="96"/>
  <c r="G7" i="183"/>
  <c r="R112" i="96"/>
  <c r="Q101" i="132"/>
  <c r="Q86" i="132"/>
  <c r="F91" i="132"/>
  <c r="F92" i="132"/>
  <c r="F95" i="96"/>
  <c r="E7" i="183"/>
  <c r="P112" i="96"/>
  <c r="T86" i="132"/>
  <c r="T101" i="132"/>
  <c r="V112" i="96"/>
  <c r="J14" i="104"/>
  <c r="M86" i="132"/>
  <c r="M101" i="132"/>
  <c r="U112" i="96"/>
  <c r="R101" i="132"/>
  <c r="R86" i="132"/>
  <c r="L86" i="132"/>
  <c r="L101" i="132"/>
  <c r="N101" i="132"/>
  <c r="N86" i="132"/>
  <c r="D101" i="132"/>
  <c r="D86" i="132"/>
  <c r="G91" i="132"/>
  <c r="G92" i="132"/>
  <c r="G95" i="96"/>
  <c r="M95" i="96"/>
  <c r="M92" i="132"/>
  <c r="M91" i="132"/>
  <c r="U101" i="132"/>
  <c r="U86" i="132"/>
  <c r="H101" i="132"/>
  <c r="H86" i="132"/>
  <c r="L91" i="132"/>
  <c r="L95" i="96"/>
  <c r="L92" i="132"/>
  <c r="N95" i="96"/>
  <c r="N91" i="132"/>
  <c r="N92" i="132"/>
  <c r="Z63" i="172"/>
  <c r="Z77" i="172" s="1"/>
  <c r="Z87" i="172" s="1"/>
  <c r="Z90" i="172" s="1"/>
  <c r="Y77" i="172"/>
  <c r="Y87" i="172" s="1"/>
  <c r="Y90" i="172" s="1"/>
  <c r="F129" i="156"/>
  <c r="F128" i="156"/>
  <c r="F278" i="96" s="1"/>
  <c r="G125" i="156"/>
  <c r="L184" i="96"/>
  <c r="L150" i="96"/>
  <c r="L116" i="96"/>
  <c r="N150" i="96"/>
  <c r="N116" i="96"/>
  <c r="N184" i="96"/>
  <c r="I116" i="96"/>
  <c r="G150" i="96"/>
  <c r="G116" i="96"/>
  <c r="G184" i="96"/>
  <c r="J150" i="96"/>
  <c r="J116" i="96"/>
  <c r="J184" i="96"/>
  <c r="K125" i="137"/>
  <c r="J128" i="137"/>
  <c r="J284" i="96" s="1"/>
  <c r="J129" i="137"/>
  <c r="C300" i="96"/>
  <c r="C96" i="135"/>
  <c r="U300" i="96"/>
  <c r="U304" i="96" s="1"/>
  <c r="U26" i="96" s="1"/>
  <c r="U96" i="135"/>
  <c r="U50" i="96"/>
  <c r="U19" i="96" s="1"/>
  <c r="C46" i="96"/>
  <c r="C57" i="135"/>
  <c r="I12" i="135"/>
  <c r="I11" i="135"/>
  <c r="V50" i="96"/>
  <c r="V19" i="96" s="1"/>
  <c r="U124" i="135"/>
  <c r="T127" i="135"/>
  <c r="N125" i="133"/>
  <c r="M128" i="133"/>
  <c r="M281" i="96" s="1"/>
  <c r="M129" i="133"/>
  <c r="L128" i="134"/>
  <c r="L280" i="96" s="1"/>
  <c r="M125" i="134"/>
  <c r="L129" i="134"/>
  <c r="I129" i="117"/>
  <c r="J125" i="117"/>
  <c r="I128" i="117"/>
  <c r="I273" i="96" s="1"/>
  <c r="H125" i="160"/>
  <c r="G129" i="160"/>
  <c r="G128" i="160"/>
  <c r="G279" i="96" s="1"/>
  <c r="X113" i="31"/>
  <c r="X112" i="31" s="1"/>
  <c r="Y115" i="31"/>
  <c r="Y116" i="31"/>
  <c r="Y183" i="31"/>
  <c r="Y148" i="31"/>
  <c r="Y149" i="31" s="1"/>
  <c r="Q39" i="4" s="1"/>
  <c r="Q41" i="4" s="1"/>
  <c r="Y165" i="31"/>
  <c r="C20" i="4"/>
  <c r="C22" i="4" s="1"/>
  <c r="C23" i="4" s="1"/>
  <c r="C25" i="4" s="1"/>
  <c r="D20" i="4"/>
  <c r="D22" i="4" s="1"/>
  <c r="D23" i="4" s="1"/>
  <c r="D25" i="4" s="1"/>
  <c r="F101" i="132" l="1"/>
  <c r="W86" i="132"/>
  <c r="W101" i="132"/>
  <c r="V101" i="132"/>
  <c r="V86" i="132"/>
  <c r="C86" i="132" s="1"/>
  <c r="U127" i="132"/>
  <c r="V124" i="132"/>
  <c r="E92" i="132"/>
  <c r="E91" i="132"/>
  <c r="R116" i="96"/>
  <c r="O116" i="96"/>
  <c r="H184" i="96"/>
  <c r="K91" i="157"/>
  <c r="H116" i="96"/>
  <c r="E116" i="96"/>
  <c r="F150" i="96"/>
  <c r="I86" i="157"/>
  <c r="F184" i="96"/>
  <c r="P101" i="157"/>
  <c r="F101" i="157"/>
  <c r="E184" i="96"/>
  <c r="E86" i="157"/>
  <c r="T86" i="157"/>
  <c r="K99" i="96"/>
  <c r="K184" i="96" s="1"/>
  <c r="M91" i="157"/>
  <c r="M92" i="157"/>
  <c r="M99" i="96"/>
  <c r="C304" i="96"/>
  <c r="G125" i="155"/>
  <c r="F129" i="155"/>
  <c r="F128" i="155"/>
  <c r="F277" i="96" s="1"/>
  <c r="C107" i="96"/>
  <c r="D184" i="96"/>
  <c r="D150" i="96"/>
  <c r="F125" i="157"/>
  <c r="G125" i="157" s="1"/>
  <c r="E128" i="157"/>
  <c r="E286" i="96" s="1"/>
  <c r="D112" i="96"/>
  <c r="D180" i="96"/>
  <c r="D146" i="96"/>
  <c r="F146" i="96"/>
  <c r="F180" i="96"/>
  <c r="F112" i="96"/>
  <c r="N180" i="96"/>
  <c r="N112" i="96"/>
  <c r="N146" i="96"/>
  <c r="C7" i="183"/>
  <c r="H180" i="96"/>
  <c r="H112" i="96"/>
  <c r="H146" i="96"/>
  <c r="E146" i="96"/>
  <c r="E112" i="96"/>
  <c r="E180" i="96"/>
  <c r="F125" i="132"/>
  <c r="E129" i="132"/>
  <c r="E128" i="132"/>
  <c r="E282" i="96" s="1"/>
  <c r="K180" i="96"/>
  <c r="K112" i="96"/>
  <c r="K146" i="96"/>
  <c r="L146" i="96"/>
  <c r="L180" i="96"/>
  <c r="L112" i="96"/>
  <c r="M112" i="96"/>
  <c r="M180" i="96"/>
  <c r="M146" i="96"/>
  <c r="G112" i="96"/>
  <c r="G146" i="96"/>
  <c r="G180" i="96"/>
  <c r="D7" i="183"/>
  <c r="O112" i="96"/>
  <c r="O146" i="96"/>
  <c r="O180" i="96"/>
  <c r="J146" i="96"/>
  <c r="J180" i="96"/>
  <c r="J112" i="96"/>
  <c r="I180" i="96"/>
  <c r="I146" i="96"/>
  <c r="I112" i="96"/>
  <c r="G128" i="156"/>
  <c r="G278" i="96" s="1"/>
  <c r="H125" i="156"/>
  <c r="G129" i="156"/>
  <c r="K128" i="137"/>
  <c r="K284" i="96" s="1"/>
  <c r="L125" i="137"/>
  <c r="K129" i="137"/>
  <c r="D63" i="96"/>
  <c r="E63" i="96"/>
  <c r="E79" i="96" s="1"/>
  <c r="E83" i="96" s="1"/>
  <c r="F63" i="96"/>
  <c r="F79" i="96" s="1"/>
  <c r="F83" i="96" s="1"/>
  <c r="G63" i="96"/>
  <c r="G79" i="96" s="1"/>
  <c r="G83" i="96" s="1"/>
  <c r="H63" i="96"/>
  <c r="H79" i="96" s="1"/>
  <c r="H83" i="96" s="1"/>
  <c r="I63" i="96"/>
  <c r="I79" i="96" s="1"/>
  <c r="I83" i="96" s="1"/>
  <c r="J63" i="96"/>
  <c r="J79" i="96" s="1"/>
  <c r="J83" i="96" s="1"/>
  <c r="K63" i="96"/>
  <c r="K79" i="96" s="1"/>
  <c r="K83" i="96" s="1"/>
  <c r="I7" i="171" s="1"/>
  <c r="L63" i="96"/>
  <c r="L79" i="96" s="1"/>
  <c r="L83" i="96" s="1"/>
  <c r="M63" i="96"/>
  <c r="M79" i="96" s="1"/>
  <c r="M83" i="96" s="1"/>
  <c r="N63" i="96"/>
  <c r="N79" i="96" s="1"/>
  <c r="O63" i="96"/>
  <c r="O79" i="96" s="1"/>
  <c r="P63" i="96"/>
  <c r="P79" i="96" s="1"/>
  <c r="C50" i="96"/>
  <c r="Q63" i="96"/>
  <c r="Q79" i="96" s="1"/>
  <c r="R63" i="96"/>
  <c r="R79" i="96" s="1"/>
  <c r="S63" i="96"/>
  <c r="S79" i="96" s="1"/>
  <c r="T63" i="96"/>
  <c r="T79" i="96" s="1"/>
  <c r="T83" i="96" s="1"/>
  <c r="V124" i="135"/>
  <c r="V127" i="135" s="1"/>
  <c r="U127" i="135"/>
  <c r="V63" i="96"/>
  <c r="V79" i="96" s="1"/>
  <c r="V83" i="96" s="1"/>
  <c r="U63" i="96"/>
  <c r="U79" i="96" s="1"/>
  <c r="U83" i="96" s="1"/>
  <c r="E57" i="135"/>
  <c r="N57" i="135"/>
  <c r="I57" i="135"/>
  <c r="V57" i="135"/>
  <c r="C79" i="135"/>
  <c r="J57" i="135"/>
  <c r="F57" i="135"/>
  <c r="S57" i="135"/>
  <c r="L57" i="135"/>
  <c r="D57" i="135"/>
  <c r="C83" i="135"/>
  <c r="H57" i="135"/>
  <c r="M57" i="135"/>
  <c r="U57" i="135"/>
  <c r="Q57" i="135"/>
  <c r="G57" i="135"/>
  <c r="R57" i="135"/>
  <c r="T57" i="135"/>
  <c r="O57" i="135"/>
  <c r="K57" i="135"/>
  <c r="P57" i="135"/>
  <c r="N128" i="133"/>
  <c r="N281" i="96" s="1"/>
  <c r="O125" i="133"/>
  <c r="N129" i="133"/>
  <c r="N125" i="134"/>
  <c r="M129" i="134"/>
  <c r="M128" i="134"/>
  <c r="M280" i="96" s="1"/>
  <c r="J129" i="117"/>
  <c r="K125" i="117"/>
  <c r="J128" i="117"/>
  <c r="J273" i="96" s="1"/>
  <c r="H128" i="160"/>
  <c r="H279" i="96" s="1"/>
  <c r="I125" i="160"/>
  <c r="H129" i="160"/>
  <c r="Y113" i="31"/>
  <c r="Y112" i="31" s="1"/>
  <c r="V127" i="132" l="1"/>
  <c r="W124" i="132"/>
  <c r="W127" i="132" s="1"/>
  <c r="K150" i="96"/>
  <c r="K116" i="96"/>
  <c r="M184" i="96"/>
  <c r="M116" i="96"/>
  <c r="M150" i="96"/>
  <c r="H125" i="155"/>
  <c r="G129" i="155"/>
  <c r="G128" i="155"/>
  <c r="G277" i="96" s="1"/>
  <c r="F128" i="157"/>
  <c r="F286" i="96" s="1"/>
  <c r="F129" i="157"/>
  <c r="E35" i="183"/>
  <c r="E39" i="183" s="1"/>
  <c r="P83" i="96"/>
  <c r="C35" i="183"/>
  <c r="C39" i="183" s="1"/>
  <c r="N83" i="96"/>
  <c r="D35" i="183"/>
  <c r="D39" i="183" s="1"/>
  <c r="O83" i="96"/>
  <c r="G35" i="183"/>
  <c r="G39" i="183" s="1"/>
  <c r="R83" i="96"/>
  <c r="H35" i="183"/>
  <c r="H39" i="183" s="1"/>
  <c r="S83" i="96"/>
  <c r="F35" i="183"/>
  <c r="F39" i="183" s="1"/>
  <c r="Q83" i="96"/>
  <c r="F129" i="132"/>
  <c r="F128" i="132"/>
  <c r="F282" i="96" s="1"/>
  <c r="G125" i="132"/>
  <c r="C112" i="96"/>
  <c r="H128" i="156"/>
  <c r="H278" i="96" s="1"/>
  <c r="I125" i="156"/>
  <c r="H129" i="156"/>
  <c r="G129" i="157"/>
  <c r="H125" i="157"/>
  <c r="G128" i="157"/>
  <c r="G286" i="96" s="1"/>
  <c r="M125" i="137"/>
  <c r="L128" i="137"/>
  <c r="L284" i="96" s="1"/>
  <c r="L129" i="137"/>
  <c r="L79" i="135"/>
  <c r="L83" i="135"/>
  <c r="G79" i="135"/>
  <c r="G83" i="135"/>
  <c r="S83" i="135"/>
  <c r="S96" i="96" s="1"/>
  <c r="H8" i="183" s="1"/>
  <c r="S79" i="135"/>
  <c r="J145" i="175"/>
  <c r="H7" i="171"/>
  <c r="I145" i="175"/>
  <c r="G7" i="171"/>
  <c r="U83" i="135"/>
  <c r="U96" i="96" s="1"/>
  <c r="U79" i="135"/>
  <c r="J83" i="135"/>
  <c r="J79" i="135"/>
  <c r="F7" i="171"/>
  <c r="H145" i="175"/>
  <c r="P83" i="135"/>
  <c r="P96" i="96" s="1"/>
  <c r="E8" i="183" s="1"/>
  <c r="P79" i="135"/>
  <c r="M79" i="135"/>
  <c r="M83" i="135"/>
  <c r="C86" i="135"/>
  <c r="D8" i="135"/>
  <c r="D5" i="135" s="1"/>
  <c r="C101" i="135"/>
  <c r="G145" i="175"/>
  <c r="E7" i="171"/>
  <c r="Q83" i="135"/>
  <c r="Q96" i="96" s="1"/>
  <c r="F8" i="183" s="1"/>
  <c r="Q79" i="135"/>
  <c r="D7" i="171"/>
  <c r="F145" i="175"/>
  <c r="E83" i="135"/>
  <c r="E79" i="135"/>
  <c r="F79" i="135"/>
  <c r="F83" i="135"/>
  <c r="K79" i="135"/>
  <c r="K83" i="135"/>
  <c r="H79" i="135"/>
  <c r="H83" i="135"/>
  <c r="O83" i="135"/>
  <c r="O79" i="135"/>
  <c r="C96" i="96"/>
  <c r="N5" i="135"/>
  <c r="I83" i="135"/>
  <c r="I79" i="135"/>
  <c r="E145" i="175"/>
  <c r="C7" i="171"/>
  <c r="R83" i="135"/>
  <c r="R96" i="96" s="1"/>
  <c r="G8" i="183" s="1"/>
  <c r="R79" i="135"/>
  <c r="V79" i="135"/>
  <c r="V83" i="135"/>
  <c r="V96" i="96" s="1"/>
  <c r="T79" i="135"/>
  <c r="T83" i="135"/>
  <c r="T96" i="96" s="1"/>
  <c r="D79" i="135"/>
  <c r="D125" i="135"/>
  <c r="D83" i="135"/>
  <c r="N83" i="135"/>
  <c r="N79" i="135"/>
  <c r="D79" i="96"/>
  <c r="D83" i="96" s="1"/>
  <c r="C63" i="96"/>
  <c r="O129" i="133"/>
  <c r="P125" i="133"/>
  <c r="O128" i="133"/>
  <c r="O281" i="96" s="1"/>
  <c r="O125" i="134"/>
  <c r="N129" i="134"/>
  <c r="N128" i="134"/>
  <c r="N280" i="96" s="1"/>
  <c r="K129" i="117"/>
  <c r="L125" i="117"/>
  <c r="K128" i="117"/>
  <c r="K273" i="96" s="1"/>
  <c r="I128" i="160"/>
  <c r="I279" i="96" s="1"/>
  <c r="J125" i="160"/>
  <c r="I129" i="160"/>
  <c r="P30" i="97"/>
  <c r="S30" i="97" s="1"/>
  <c r="T30" i="97" s="1"/>
  <c r="P15" i="95"/>
  <c r="P23" i="95" s="1"/>
  <c r="P46" i="95" s="1"/>
  <c r="P35" i="95"/>
  <c r="M6" i="174"/>
  <c r="M11" i="174" s="1"/>
  <c r="C116" i="96" l="1"/>
  <c r="H128" i="155"/>
  <c r="H277" i="96" s="1"/>
  <c r="H129" i="155"/>
  <c r="I125" i="155"/>
  <c r="G129" i="132"/>
  <c r="H125" i="132"/>
  <c r="G128" i="132"/>
  <c r="G282" i="96" s="1"/>
  <c r="I129" i="156"/>
  <c r="J125" i="156"/>
  <c r="I128" i="156"/>
  <c r="I278" i="96" s="1"/>
  <c r="H129" i="157"/>
  <c r="I125" i="157"/>
  <c r="H128" i="157"/>
  <c r="H286" i="96" s="1"/>
  <c r="M128" i="137"/>
  <c r="M284" i="96" s="1"/>
  <c r="N125" i="137"/>
  <c r="M129" i="137"/>
  <c r="E92" i="135"/>
  <c r="E91" i="135"/>
  <c r="E96" i="96"/>
  <c r="T86" i="135"/>
  <c r="T101" i="135"/>
  <c r="S113" i="96"/>
  <c r="S100" i="96"/>
  <c r="O92" i="135"/>
  <c r="O96" i="96"/>
  <c r="D8" i="183" s="1"/>
  <c r="O91" i="135"/>
  <c r="T113" i="96"/>
  <c r="T100" i="96"/>
  <c r="T5" i="96" s="1"/>
  <c r="T8" i="96" s="1"/>
  <c r="S101" i="135"/>
  <c r="S86" i="135"/>
  <c r="D145" i="175"/>
  <c r="B7" i="171"/>
  <c r="V113" i="96"/>
  <c r="V100" i="96"/>
  <c r="V5" i="96" s="1"/>
  <c r="V8" i="96" s="1"/>
  <c r="I91" i="135"/>
  <c r="I96" i="96"/>
  <c r="I92" i="135"/>
  <c r="K86" i="135"/>
  <c r="K101" i="135"/>
  <c r="Q101" i="135"/>
  <c r="Q86" i="135"/>
  <c r="M91" i="135"/>
  <c r="M92" i="135"/>
  <c r="M96" i="96"/>
  <c r="U86" i="135"/>
  <c r="U101" i="135"/>
  <c r="G92" i="135"/>
  <c r="G96" i="96"/>
  <c r="G91" i="135"/>
  <c r="D129" i="135"/>
  <c r="D128" i="135"/>
  <c r="D283" i="96" s="1"/>
  <c r="D287" i="96" s="1"/>
  <c r="E125" i="135"/>
  <c r="H96" i="96"/>
  <c r="H91" i="135"/>
  <c r="H92" i="135"/>
  <c r="I101" i="135"/>
  <c r="I86" i="135"/>
  <c r="V86" i="135"/>
  <c r="V101" i="135"/>
  <c r="F91" i="135"/>
  <c r="F92" i="135"/>
  <c r="F96" i="96"/>
  <c r="Q113" i="96"/>
  <c r="Q100" i="96"/>
  <c r="M101" i="135"/>
  <c r="M86" i="135"/>
  <c r="U113" i="96"/>
  <c r="U100" i="96"/>
  <c r="U5" i="96" s="1"/>
  <c r="U8" i="96" s="1"/>
  <c r="G101" i="135"/>
  <c r="G86" i="135"/>
  <c r="D86" i="135"/>
  <c r="D101" i="135"/>
  <c r="H101" i="135"/>
  <c r="H86" i="135"/>
  <c r="J101" i="135"/>
  <c r="J86" i="135"/>
  <c r="N86" i="135"/>
  <c r="N101" i="135"/>
  <c r="N92" i="135"/>
  <c r="N96" i="96"/>
  <c r="C8" i="183" s="1"/>
  <c r="N91" i="135"/>
  <c r="J15" i="104"/>
  <c r="J19" i="104" s="1"/>
  <c r="C100" i="96"/>
  <c r="F86" i="135"/>
  <c r="F101" i="135"/>
  <c r="P86" i="135"/>
  <c r="P101" i="135"/>
  <c r="L91" i="135"/>
  <c r="L96" i="96"/>
  <c r="L92" i="135"/>
  <c r="R113" i="96"/>
  <c r="R100" i="96"/>
  <c r="K96" i="96"/>
  <c r="K92" i="135"/>
  <c r="K91" i="135"/>
  <c r="J91" i="135"/>
  <c r="J96" i="96"/>
  <c r="J92" i="135"/>
  <c r="D96" i="96"/>
  <c r="D91" i="135"/>
  <c r="D92" i="135"/>
  <c r="R101" i="135"/>
  <c r="R86" i="135"/>
  <c r="O101" i="135"/>
  <c r="O86" i="135"/>
  <c r="E86" i="135"/>
  <c r="E101" i="135"/>
  <c r="P113" i="96"/>
  <c r="P100" i="96"/>
  <c r="L86" i="135"/>
  <c r="L101" i="135"/>
  <c r="Q125" i="133"/>
  <c r="P129" i="133"/>
  <c r="P128" i="133"/>
  <c r="P281" i="96" s="1"/>
  <c r="O129" i="134"/>
  <c r="P125" i="134"/>
  <c r="O128" i="134"/>
  <c r="O280" i="96" s="1"/>
  <c r="L129" i="117"/>
  <c r="M125" i="117"/>
  <c r="L128" i="117"/>
  <c r="L273" i="96" s="1"/>
  <c r="J129" i="160"/>
  <c r="J128" i="160"/>
  <c r="J279" i="96" s="1"/>
  <c r="K125" i="160"/>
  <c r="M18" i="174"/>
  <c r="P37" i="95"/>
  <c r="P58" i="98"/>
  <c r="P59" i="98" s="1"/>
  <c r="P16" i="95"/>
  <c r="M7" i="174"/>
  <c r="P43" i="95"/>
  <c r="I128" i="155" l="1"/>
  <c r="I277" i="96" s="1"/>
  <c r="J125" i="155"/>
  <c r="I129" i="155"/>
  <c r="I125" i="132"/>
  <c r="H129" i="132"/>
  <c r="H128" i="132"/>
  <c r="H282" i="96" s="1"/>
  <c r="K125" i="156"/>
  <c r="J129" i="156"/>
  <c r="J128" i="156"/>
  <c r="J278" i="96" s="1"/>
  <c r="S5" i="96"/>
  <c r="H12" i="183"/>
  <c r="R5" i="96"/>
  <c r="G12" i="183"/>
  <c r="Q5" i="96"/>
  <c r="T50" i="95" s="1"/>
  <c r="T49" i="95" s="1"/>
  <c r="T7" i="95" s="1"/>
  <c r="F12" i="183"/>
  <c r="P5" i="96"/>
  <c r="P8" i="96" s="1"/>
  <c r="S68" i="95" s="1"/>
  <c r="S67" i="95" s="1"/>
  <c r="E12" i="183"/>
  <c r="P61" i="98"/>
  <c r="J125" i="157"/>
  <c r="I129" i="157"/>
  <c r="I128" i="157"/>
  <c r="I286" i="96" s="1"/>
  <c r="O125" i="137"/>
  <c r="N129" i="137"/>
  <c r="N128" i="137"/>
  <c r="N284" i="96" s="1"/>
  <c r="N147" i="96"/>
  <c r="N181" i="96"/>
  <c r="N113" i="96"/>
  <c r="N100" i="96"/>
  <c r="F125" i="135"/>
  <c r="E128" i="135"/>
  <c r="E283" i="96" s="1"/>
  <c r="E287" i="96" s="1"/>
  <c r="E24" i="96" s="1"/>
  <c r="E129" i="135"/>
  <c r="M181" i="96"/>
  <c r="M147" i="96"/>
  <c r="M113" i="96"/>
  <c r="M100" i="96"/>
  <c r="M5" i="96" s="1"/>
  <c r="I181" i="96"/>
  <c r="I147" i="96"/>
  <c r="I113" i="96"/>
  <c r="I100" i="96"/>
  <c r="I5" i="96" s="1"/>
  <c r="H113" i="96"/>
  <c r="H147" i="96"/>
  <c r="H181" i="96"/>
  <c r="H100" i="96"/>
  <c r="H5" i="96" s="1"/>
  <c r="E113" i="96"/>
  <c r="E147" i="96"/>
  <c r="E181" i="96"/>
  <c r="E100" i="96"/>
  <c r="O147" i="96"/>
  <c r="O113" i="96"/>
  <c r="O181" i="96"/>
  <c r="O100" i="96"/>
  <c r="K113" i="96"/>
  <c r="K181" i="96"/>
  <c r="K147" i="96"/>
  <c r="K100" i="96"/>
  <c r="D147" i="96"/>
  <c r="D113" i="96"/>
  <c r="D181" i="96"/>
  <c r="D100" i="96"/>
  <c r="J181" i="96"/>
  <c r="J113" i="96"/>
  <c r="J147" i="96"/>
  <c r="J100" i="96"/>
  <c r="J5" i="96" s="1"/>
  <c r="L181" i="96"/>
  <c r="L147" i="96"/>
  <c r="L113" i="96"/>
  <c r="L100" i="96"/>
  <c r="L5" i="96" s="1"/>
  <c r="L8" i="96" s="1"/>
  <c r="O68" i="95" s="1"/>
  <c r="O67" i="95" s="1"/>
  <c r="F147" i="96"/>
  <c r="F113" i="96"/>
  <c r="F181" i="96"/>
  <c r="F100" i="96"/>
  <c r="G147" i="96"/>
  <c r="G181" i="96"/>
  <c r="G113" i="96"/>
  <c r="G100" i="96"/>
  <c r="R125" i="133"/>
  <c r="Q129" i="133"/>
  <c r="Q128" i="133"/>
  <c r="Q281" i="96" s="1"/>
  <c r="P128" i="134"/>
  <c r="P280" i="96" s="1"/>
  <c r="Q125" i="134"/>
  <c r="P129" i="134"/>
  <c r="N125" i="117"/>
  <c r="M129" i="117"/>
  <c r="M128" i="117"/>
  <c r="M273" i="96" s="1"/>
  <c r="K128" i="160"/>
  <c r="K279" i="96" s="1"/>
  <c r="K129" i="160"/>
  <c r="L125" i="160"/>
  <c r="P26" i="95"/>
  <c r="P38" i="95" s="1"/>
  <c r="M19" i="174"/>
  <c r="M12" i="174"/>
  <c r="T7" i="97" l="1"/>
  <c r="T12" i="97" s="1"/>
  <c r="M45" i="178"/>
  <c r="J129" i="155"/>
  <c r="K125" i="155"/>
  <c r="J128" i="155"/>
  <c r="J277" i="96" s="1"/>
  <c r="I128" i="132"/>
  <c r="I282" i="96" s="1"/>
  <c r="I129" i="132"/>
  <c r="J125" i="132"/>
  <c r="Q8" i="96"/>
  <c r="T68" i="95" s="1"/>
  <c r="T67" i="95" s="1"/>
  <c r="K128" i="156"/>
  <c r="K278" i="96" s="1"/>
  <c r="K129" i="156"/>
  <c r="L125" i="156"/>
  <c r="N5" i="96"/>
  <c r="C12" i="183"/>
  <c r="S50" i="95"/>
  <c r="S49" i="95" s="1"/>
  <c r="S7" i="95" s="1"/>
  <c r="O5" i="96"/>
  <c r="R50" i="95" s="1"/>
  <c r="R49" i="95" s="1"/>
  <c r="D12" i="183"/>
  <c r="S8" i="96"/>
  <c r="V68" i="95" s="1"/>
  <c r="V67" i="95" s="1"/>
  <c r="V50" i="95"/>
  <c r="V49" i="95" s="1"/>
  <c r="V7" i="95" s="1"/>
  <c r="R8" i="96"/>
  <c r="U68" i="95" s="1"/>
  <c r="U67" i="95" s="1"/>
  <c r="U50" i="95"/>
  <c r="U49" i="95" s="1"/>
  <c r="U7" i="95" s="1"/>
  <c r="F14" i="183"/>
  <c r="K125" i="157"/>
  <c r="J129" i="157"/>
  <c r="J128" i="157"/>
  <c r="J286" i="96" s="1"/>
  <c r="O129" i="137"/>
  <c r="P125" i="137"/>
  <c r="O128" i="137"/>
  <c r="O284" i="96" s="1"/>
  <c r="T11" i="95"/>
  <c r="F129" i="135"/>
  <c r="F128" i="135"/>
  <c r="F283" i="96" s="1"/>
  <c r="F287" i="96" s="1"/>
  <c r="F24" i="96" s="1"/>
  <c r="G125" i="135"/>
  <c r="P49" i="95"/>
  <c r="P54" i="95" s="1"/>
  <c r="M8" i="96"/>
  <c r="P68" i="95" s="1"/>
  <c r="P67" i="95" s="1"/>
  <c r="E185" i="96"/>
  <c r="E151" i="96"/>
  <c r="C113" i="96"/>
  <c r="D151" i="96"/>
  <c r="D185" i="96"/>
  <c r="G185" i="96"/>
  <c r="G151" i="96"/>
  <c r="G5" i="96"/>
  <c r="K50" i="95"/>
  <c r="F8" i="171"/>
  <c r="H8" i="96"/>
  <c r="K68" i="95" s="1"/>
  <c r="K67" i="95" s="1"/>
  <c r="F151" i="96"/>
  <c r="F185" i="96"/>
  <c r="F5" i="96"/>
  <c r="M50" i="95"/>
  <c r="M49" i="95" s="1"/>
  <c r="J8" i="96"/>
  <c r="M68" i="95" s="1"/>
  <c r="M67" i="95" s="1"/>
  <c r="H8" i="171"/>
  <c r="K5" i="96"/>
  <c r="K151" i="96"/>
  <c r="K185" i="96"/>
  <c r="I8" i="96"/>
  <c r="L68" i="95" s="1"/>
  <c r="L67" i="95" s="1"/>
  <c r="L50" i="95"/>
  <c r="L49" i="95" s="1"/>
  <c r="G8" i="171"/>
  <c r="S125" i="133"/>
  <c r="R129" i="133"/>
  <c r="R128" i="133"/>
  <c r="R281" i="96" s="1"/>
  <c r="Q128" i="134"/>
  <c r="Q280" i="96" s="1"/>
  <c r="Q129" i="134"/>
  <c r="R125" i="134"/>
  <c r="N129" i="117"/>
  <c r="O125" i="117"/>
  <c r="N128" i="117"/>
  <c r="N273" i="96" s="1"/>
  <c r="M125" i="160"/>
  <c r="L128" i="160"/>
  <c r="L279" i="96" s="1"/>
  <c r="L129" i="160"/>
  <c r="P29" i="95"/>
  <c r="M8" i="174"/>
  <c r="M20" i="174" s="1"/>
  <c r="U42" i="95" l="1"/>
  <c r="N45" i="178"/>
  <c r="U7" i="97"/>
  <c r="T11" i="97"/>
  <c r="F16" i="183"/>
  <c r="M48" i="178"/>
  <c r="L125" i="155"/>
  <c r="K128" i="155"/>
  <c r="K277" i="96" s="1"/>
  <c r="K129" i="155"/>
  <c r="E14" i="183"/>
  <c r="L45" i="178"/>
  <c r="P39" i="95"/>
  <c r="I13" i="171" s="1"/>
  <c r="P30" i="95"/>
  <c r="J129" i="132"/>
  <c r="J128" i="132"/>
  <c r="J282" i="96" s="1"/>
  <c r="K125" i="132"/>
  <c r="Q49" i="95"/>
  <c r="I59" i="183"/>
  <c r="J59" i="183" s="1"/>
  <c r="N8" i="96"/>
  <c r="Q68" i="95" s="1"/>
  <c r="Q67" i="95" s="1"/>
  <c r="T14" i="97"/>
  <c r="T9" i="98"/>
  <c r="M14" i="178" s="1"/>
  <c r="T10" i="98"/>
  <c r="M15" i="178" s="1"/>
  <c r="O8" i="96"/>
  <c r="R68" i="95" s="1"/>
  <c r="R67" i="95" s="1"/>
  <c r="T42" i="95"/>
  <c r="S11" i="95"/>
  <c r="L129" i="156"/>
  <c r="L128" i="156"/>
  <c r="L278" i="96" s="1"/>
  <c r="M125" i="156"/>
  <c r="S7" i="97"/>
  <c r="S12" i="97" s="1"/>
  <c r="T35" i="97" s="1"/>
  <c r="H14" i="183"/>
  <c r="V11" i="95"/>
  <c r="S42" i="95"/>
  <c r="D14" i="183"/>
  <c r="G14" i="183"/>
  <c r="U11" i="95"/>
  <c r="N48" i="178" s="1"/>
  <c r="V42" i="95"/>
  <c r="L125" i="157"/>
  <c r="K129" i="157"/>
  <c r="K128" i="157"/>
  <c r="K286" i="96" s="1"/>
  <c r="M13" i="174"/>
  <c r="P44" i="95"/>
  <c r="P36" i="100"/>
  <c r="P36" i="181"/>
  <c r="P38" i="181" s="1"/>
  <c r="P37" i="181" s="1"/>
  <c r="P39" i="181" s="1"/>
  <c r="P8" i="103"/>
  <c r="P10" i="103" s="1"/>
  <c r="P129" i="137"/>
  <c r="P128" i="137"/>
  <c r="P284" i="96" s="1"/>
  <c r="Q125" i="137"/>
  <c r="G8" i="96"/>
  <c r="J68" i="95" s="1"/>
  <c r="E8" i="171"/>
  <c r="F8" i="96"/>
  <c r="E125" i="68"/>
  <c r="F125" i="68" s="1"/>
  <c r="D8" i="171"/>
  <c r="G129" i="135"/>
  <c r="G128" i="135"/>
  <c r="G283" i="96" s="1"/>
  <c r="G287" i="96" s="1"/>
  <c r="G24" i="96" s="1"/>
  <c r="H125" i="135"/>
  <c r="K49" i="95"/>
  <c r="R7" i="97"/>
  <c r="I8" i="171"/>
  <c r="K8" i="96"/>
  <c r="N68" i="95" s="1"/>
  <c r="N67" i="95" s="1"/>
  <c r="T13" i="95"/>
  <c r="T12" i="95"/>
  <c r="T125" i="133"/>
  <c r="S129" i="133"/>
  <c r="S128" i="133"/>
  <c r="S281" i="96" s="1"/>
  <c r="R128" i="134"/>
  <c r="S125" i="134"/>
  <c r="R129" i="134"/>
  <c r="O129" i="117"/>
  <c r="P125" i="117"/>
  <c r="O128" i="117"/>
  <c r="O273" i="96" s="1"/>
  <c r="M128" i="160"/>
  <c r="M279" i="96" s="1"/>
  <c r="N125" i="160"/>
  <c r="M129" i="160"/>
  <c r="M9" i="174"/>
  <c r="M21" i="174" s="1"/>
  <c r="J62" i="104" s="1"/>
  <c r="P27" i="181"/>
  <c r="P28" i="181" s="1"/>
  <c r="P10" i="181"/>
  <c r="P13" i="181" s="1"/>
  <c r="P42" i="181" s="1"/>
  <c r="P47" i="181" s="1"/>
  <c r="P27" i="100"/>
  <c r="P28" i="100" s="1"/>
  <c r="P41" i="98"/>
  <c r="P42" i="100"/>
  <c r="U12" i="97" l="1"/>
  <c r="U11" i="97"/>
  <c r="L129" i="155"/>
  <c r="L128" i="155"/>
  <c r="L277" i="96" s="1"/>
  <c r="M125" i="155"/>
  <c r="E16" i="183"/>
  <c r="L48" i="178"/>
  <c r="Q54" i="95"/>
  <c r="Q42" i="95"/>
  <c r="K128" i="132"/>
  <c r="K282" i="96" s="1"/>
  <c r="K129" i="132"/>
  <c r="L125" i="132"/>
  <c r="C14" i="183"/>
  <c r="I58" i="183"/>
  <c r="D16" i="183"/>
  <c r="S13" i="95"/>
  <c r="M129" i="156"/>
  <c r="M128" i="156"/>
  <c r="M278" i="96" s="1"/>
  <c r="N125" i="156"/>
  <c r="S11" i="97"/>
  <c r="T34" i="97" s="1"/>
  <c r="S12" i="95"/>
  <c r="H16" i="183"/>
  <c r="V12" i="95"/>
  <c r="V13" i="95"/>
  <c r="G16" i="183"/>
  <c r="U12" i="95"/>
  <c r="U13" i="95"/>
  <c r="M125" i="157"/>
  <c r="L129" i="157"/>
  <c r="L128" i="157"/>
  <c r="L286" i="96" s="1"/>
  <c r="R125" i="137"/>
  <c r="Q129" i="137"/>
  <c r="Q128" i="137"/>
  <c r="Q284" i="96" s="1"/>
  <c r="Q34" i="97"/>
  <c r="H128" i="135"/>
  <c r="H283" i="96" s="1"/>
  <c r="H287" i="96" s="1"/>
  <c r="H24" i="96" s="1"/>
  <c r="H129" i="135"/>
  <c r="I125" i="135"/>
  <c r="J67" i="95"/>
  <c r="J73" i="95" s="1"/>
  <c r="J74" i="95"/>
  <c r="R12" i="97"/>
  <c r="R10" i="98" s="1"/>
  <c r="R11" i="97"/>
  <c r="R9" i="98" s="1"/>
  <c r="U125" i="133"/>
  <c r="T129" i="133"/>
  <c r="T128" i="133"/>
  <c r="T281" i="96" s="1"/>
  <c r="S128" i="134"/>
  <c r="S129" i="134"/>
  <c r="T125" i="134"/>
  <c r="Q125" i="117"/>
  <c r="P129" i="117"/>
  <c r="P128" i="117"/>
  <c r="P273" i="96" s="1"/>
  <c r="N129" i="160"/>
  <c r="N128" i="160"/>
  <c r="N279" i="96" s="1"/>
  <c r="O125" i="160"/>
  <c r="J61" i="104"/>
  <c r="M14" i="174"/>
  <c r="P40" i="181"/>
  <c r="P48" i="181"/>
  <c r="P44" i="98"/>
  <c r="P47" i="100"/>
  <c r="J66" i="104" s="1"/>
  <c r="U9" i="98" l="1"/>
  <c r="N14" i="178" s="1"/>
  <c r="U14" i="97"/>
  <c r="U10" i="98"/>
  <c r="N15" i="178" s="1"/>
  <c r="U35" i="97"/>
  <c r="U34" i="97"/>
  <c r="N125" i="155"/>
  <c r="M128" i="155"/>
  <c r="M277" i="96" s="1"/>
  <c r="M129" i="155"/>
  <c r="S34" i="97"/>
  <c r="R34" i="97"/>
  <c r="S35" i="97"/>
  <c r="R35" i="97"/>
  <c r="I63" i="183"/>
  <c r="J63" i="183" s="1"/>
  <c r="C16" i="183"/>
  <c r="M125" i="132"/>
  <c r="L128" i="132"/>
  <c r="L282" i="96" s="1"/>
  <c r="L129" i="132"/>
  <c r="I61" i="183"/>
  <c r="J61" i="183" s="1"/>
  <c r="J58" i="183"/>
  <c r="S9" i="98"/>
  <c r="L14" i="178" s="1"/>
  <c r="N129" i="156"/>
  <c r="N128" i="156"/>
  <c r="N278" i="96" s="1"/>
  <c r="O125" i="156"/>
  <c r="N125" i="157"/>
  <c r="M129" i="157"/>
  <c r="M128" i="157"/>
  <c r="M286" i="96" s="1"/>
  <c r="R128" i="137"/>
  <c r="R284" i="96" s="1"/>
  <c r="S125" i="137"/>
  <c r="R129" i="137"/>
  <c r="J125" i="135"/>
  <c r="I128" i="135"/>
  <c r="I283" i="96" s="1"/>
  <c r="I287" i="96" s="1"/>
  <c r="I24" i="96" s="1"/>
  <c r="I129" i="135"/>
  <c r="U129" i="133"/>
  <c r="V125" i="133"/>
  <c r="U128" i="133"/>
  <c r="U281" i="96" s="1"/>
  <c r="U125" i="134"/>
  <c r="T129" i="134"/>
  <c r="T128" i="134"/>
  <c r="Q129" i="117"/>
  <c r="Q128" i="117"/>
  <c r="Q273" i="96" s="1"/>
  <c r="O129" i="160"/>
  <c r="P125" i="160"/>
  <c r="O128" i="160"/>
  <c r="O279" i="96" s="1"/>
  <c r="P50" i="98"/>
  <c r="P51" i="98"/>
  <c r="P56" i="98" s="1"/>
  <c r="J68" i="104" s="1"/>
  <c r="P46" i="98"/>
  <c r="O125" i="155" l="1"/>
  <c r="N128" i="155"/>
  <c r="N277" i="96" s="1"/>
  <c r="N129" i="155"/>
  <c r="M129" i="132"/>
  <c r="M128" i="132"/>
  <c r="M282" i="96" s="1"/>
  <c r="N125" i="132"/>
  <c r="O128" i="156"/>
  <c r="O278" i="96" s="1"/>
  <c r="P125" i="156"/>
  <c r="O129" i="156"/>
  <c r="N129" i="157"/>
  <c r="O125" i="157"/>
  <c r="N128" i="157"/>
  <c r="N286" i="96" s="1"/>
  <c r="T125" i="137"/>
  <c r="S128" i="137"/>
  <c r="S284" i="96" s="1"/>
  <c r="S129" i="137"/>
  <c r="J128" i="135"/>
  <c r="J283" i="96" s="1"/>
  <c r="J287" i="96" s="1"/>
  <c r="J24" i="96" s="1"/>
  <c r="J129" i="135"/>
  <c r="K125" i="135"/>
  <c r="W125" i="133"/>
  <c r="V128" i="133"/>
  <c r="V281" i="96" s="1"/>
  <c r="V129" i="133"/>
  <c r="V125" i="134"/>
  <c r="U129" i="134"/>
  <c r="U128" i="134"/>
  <c r="Q125" i="160"/>
  <c r="P129" i="160"/>
  <c r="P128" i="160"/>
  <c r="P279" i="96" s="1"/>
  <c r="P52" i="98"/>
  <c r="J69" i="104" s="1"/>
  <c r="M24" i="174"/>
  <c r="P55" i="98"/>
  <c r="J67" i="104" s="1"/>
  <c r="O128" i="155" l="1"/>
  <c r="O277" i="96" s="1"/>
  <c r="O129" i="155"/>
  <c r="P125" i="155"/>
  <c r="O125" i="132"/>
  <c r="N129" i="132"/>
  <c r="N128" i="132"/>
  <c r="N282" i="96" s="1"/>
  <c r="P129" i="156"/>
  <c r="P128" i="156"/>
  <c r="P278" i="96" s="1"/>
  <c r="Q125" i="156"/>
  <c r="P125" i="157"/>
  <c r="O129" i="157"/>
  <c r="O128" i="157"/>
  <c r="O286" i="96" s="1"/>
  <c r="U125" i="137"/>
  <c r="T128" i="137"/>
  <c r="T284" i="96" s="1"/>
  <c r="T129" i="137"/>
  <c r="K128" i="135"/>
  <c r="K283" i="96" s="1"/>
  <c r="K287" i="96" s="1"/>
  <c r="K24" i="96" s="1"/>
  <c r="K129" i="135"/>
  <c r="L125" i="135"/>
  <c r="W129" i="133"/>
  <c r="W128" i="133"/>
  <c r="V129" i="134"/>
  <c r="V128" i="134"/>
  <c r="Q129" i="160"/>
  <c r="R125" i="160"/>
  <c r="Q128" i="160"/>
  <c r="Q279" i="96" s="1"/>
  <c r="P129" i="155" l="1"/>
  <c r="P128" i="155"/>
  <c r="P277" i="96" s="1"/>
  <c r="Q125" i="155"/>
  <c r="O128" i="132"/>
  <c r="O282" i="96" s="1"/>
  <c r="O129" i="132"/>
  <c r="P125" i="132"/>
  <c r="R125" i="156"/>
  <c r="Q128" i="156"/>
  <c r="Q278" i="96" s="1"/>
  <c r="Q129" i="156"/>
  <c r="P129" i="157"/>
  <c r="Q125" i="157"/>
  <c r="P128" i="157"/>
  <c r="P286" i="96" s="1"/>
  <c r="U129" i="137"/>
  <c r="V125" i="137"/>
  <c r="U128" i="137"/>
  <c r="U284" i="96" s="1"/>
  <c r="M125" i="135"/>
  <c r="L128" i="135"/>
  <c r="L283" i="96" s="1"/>
  <c r="L287" i="96" s="1"/>
  <c r="L24" i="96" s="1"/>
  <c r="L129" i="135"/>
  <c r="R128" i="160"/>
  <c r="R279" i="96" s="1"/>
  <c r="R129" i="160"/>
  <c r="R125" i="155" l="1"/>
  <c r="Q129" i="155"/>
  <c r="Q128" i="155"/>
  <c r="Q277" i="96" s="1"/>
  <c r="Q125" i="132"/>
  <c r="P128" i="132"/>
  <c r="P282" i="96" s="1"/>
  <c r="P129" i="132"/>
  <c r="R128" i="156"/>
  <c r="R278" i="96" s="1"/>
  <c r="S125" i="156"/>
  <c r="R129" i="156"/>
  <c r="R125" i="157"/>
  <c r="Q129" i="157"/>
  <c r="Q128" i="157"/>
  <c r="Q286" i="96" s="1"/>
  <c r="V128" i="137"/>
  <c r="V284" i="96" s="1"/>
  <c r="W125" i="137"/>
  <c r="V129" i="137"/>
  <c r="M128" i="135"/>
  <c r="M283" i="96" s="1"/>
  <c r="M287" i="96" s="1"/>
  <c r="M24" i="96" s="1"/>
  <c r="N125" i="135"/>
  <c r="M129" i="135"/>
  <c r="S125" i="155" l="1"/>
  <c r="R128" i="155"/>
  <c r="R277" i="96" s="1"/>
  <c r="R129" i="155"/>
  <c r="Q128" i="132"/>
  <c r="Q282" i="96" s="1"/>
  <c r="R125" i="132"/>
  <c r="Q129" i="132"/>
  <c r="S129" i="156"/>
  <c r="S128" i="156"/>
  <c r="S278" i="96" s="1"/>
  <c r="S125" i="157"/>
  <c r="T125" i="157" s="1"/>
  <c r="R129" i="157"/>
  <c r="R128" i="157"/>
  <c r="R286" i="96" s="1"/>
  <c r="W128" i="137"/>
  <c r="W129" i="137"/>
  <c r="N129" i="135"/>
  <c r="O125" i="135"/>
  <c r="N128" i="135"/>
  <c r="N283" i="96" s="1"/>
  <c r="N287" i="96" s="1"/>
  <c r="N24" i="96" s="1"/>
  <c r="T129" i="157" l="1"/>
  <c r="T128" i="157"/>
  <c r="T286" i="96" s="1"/>
  <c r="S129" i="155"/>
  <c r="S128" i="155"/>
  <c r="S277" i="96" s="1"/>
  <c r="R129" i="132"/>
  <c r="R128" i="132"/>
  <c r="R282" i="96" s="1"/>
  <c r="S125" i="132"/>
  <c r="S129" i="157"/>
  <c r="S128" i="157"/>
  <c r="S286" i="96" s="1"/>
  <c r="Q38" i="97"/>
  <c r="P125" i="135"/>
  <c r="O129" i="135"/>
  <c r="O128" i="135"/>
  <c r="O283" i="96" s="1"/>
  <c r="O287" i="96" s="1"/>
  <c r="O24" i="96" s="1"/>
  <c r="P10" i="98"/>
  <c r="M26" i="174" s="1"/>
  <c r="P14" i="97"/>
  <c r="P21" i="97" s="1"/>
  <c r="P27" i="97"/>
  <c r="P35" i="97"/>
  <c r="P40" i="97" s="1"/>
  <c r="R17" i="97" l="1"/>
  <c r="R29" i="98" s="1"/>
  <c r="S129" i="132"/>
  <c r="T125" i="132"/>
  <c r="S128" i="132"/>
  <c r="S282" i="96" s="1"/>
  <c r="P128" i="135"/>
  <c r="P283" i="96" s="1"/>
  <c r="P287" i="96" s="1"/>
  <c r="P24" i="96" s="1"/>
  <c r="Q125" i="135"/>
  <c r="P129" i="135"/>
  <c r="P23" i="97"/>
  <c r="P25" i="103" s="1"/>
  <c r="P34" i="103" s="1"/>
  <c r="S17" i="97" l="1"/>
  <c r="S38" i="97" s="1"/>
  <c r="R38" i="97"/>
  <c r="U125" i="132"/>
  <c r="V125" i="132" s="1"/>
  <c r="T128" i="132"/>
  <c r="T282" i="96" s="1"/>
  <c r="T129" i="132"/>
  <c r="Q128" i="135"/>
  <c r="Q283" i="96" s="1"/>
  <c r="Q287" i="96" s="1"/>
  <c r="Q24" i="96" s="1"/>
  <c r="T17" i="97" s="1"/>
  <c r="Q129" i="135"/>
  <c r="R125" i="135"/>
  <c r="P7" i="98"/>
  <c r="W125" i="132" l="1"/>
  <c r="V128" i="132"/>
  <c r="V282" i="96" s="1"/>
  <c r="V129" i="132"/>
  <c r="S29" i="98"/>
  <c r="L29" i="178" s="1"/>
  <c r="T38" i="97"/>
  <c r="U128" i="132"/>
  <c r="U282" i="96" s="1"/>
  <c r="U129" i="132"/>
  <c r="T29" i="98"/>
  <c r="M29" i="178" s="1"/>
  <c r="R128" i="135"/>
  <c r="R283" i="96" s="1"/>
  <c r="R287" i="96" s="1"/>
  <c r="R24" i="96" s="1"/>
  <c r="U17" i="97" s="1"/>
  <c r="R129" i="135"/>
  <c r="S125" i="135"/>
  <c r="P12" i="98"/>
  <c r="P26" i="98" s="1"/>
  <c r="P53" i="98"/>
  <c r="M25" i="174" s="1"/>
  <c r="M28" i="174"/>
  <c r="U38" i="97" l="1"/>
  <c r="U29" i="98"/>
  <c r="N29" i="178" s="1"/>
  <c r="W129" i="132"/>
  <c r="W128" i="132"/>
  <c r="T125" i="135"/>
  <c r="S128" i="135"/>
  <c r="S283" i="96" s="1"/>
  <c r="S287" i="96" s="1"/>
  <c r="S24" i="96" s="1"/>
  <c r="S129" i="135"/>
  <c r="P47" i="98"/>
  <c r="P54" i="98"/>
  <c r="U125" i="135" l="1"/>
  <c r="T129" i="135"/>
  <c r="T128" i="135"/>
  <c r="T283" i="96" s="1"/>
  <c r="T287" i="96" s="1"/>
  <c r="T24" i="96" s="1"/>
  <c r="Q35" i="97"/>
  <c r="S10" i="98"/>
  <c r="L15" i="178" s="1"/>
  <c r="R14" i="97"/>
  <c r="S14" i="97"/>
  <c r="J10" i="103"/>
  <c r="L91" i="156"/>
  <c r="L92" i="156"/>
  <c r="L142" i="96"/>
  <c r="L176" i="96"/>
  <c r="N78" i="156"/>
  <c r="O78" i="156"/>
  <c r="O87" i="156" s="1"/>
  <c r="P78" i="156"/>
  <c r="P87" i="156" s="1"/>
  <c r="Q78" i="156"/>
  <c r="Q87" i="156" s="1"/>
  <c r="M105" i="156"/>
  <c r="L118" i="156"/>
  <c r="K210" i="96"/>
  <c r="K219" i="96" s="1"/>
  <c r="K31" i="96" s="1"/>
  <c r="N9" i="99" s="1"/>
  <c r="L210" i="96"/>
  <c r="C114" i="156"/>
  <c r="E116" i="156" s="1"/>
  <c r="I116" i="156" l="1"/>
  <c r="I244" i="96" s="1"/>
  <c r="R116" i="156"/>
  <c r="R244" i="96" s="1"/>
  <c r="H116" i="156"/>
  <c r="H244" i="96" s="1"/>
  <c r="E244" i="96"/>
  <c r="E117" i="156"/>
  <c r="E120" i="156" s="1"/>
  <c r="E193" i="96" s="1"/>
  <c r="U129" i="135"/>
  <c r="U128" i="135"/>
  <c r="U283" i="96" s="1"/>
  <c r="U287" i="96" s="1"/>
  <c r="U24" i="96" s="1"/>
  <c r="V125" i="135"/>
  <c r="F116" i="156"/>
  <c r="O118" i="156"/>
  <c r="P118" i="156" s="1"/>
  <c r="Q116" i="156"/>
  <c r="Q244" i="96" s="1"/>
  <c r="P116" i="156"/>
  <c r="P244" i="96" s="1"/>
  <c r="M116" i="156"/>
  <c r="M244" i="96" s="1"/>
  <c r="N87" i="156"/>
  <c r="J116" i="156"/>
  <c r="J244" i="96" s="1"/>
  <c r="L116" i="156"/>
  <c r="L244" i="96" s="1"/>
  <c r="D116" i="156"/>
  <c r="S116" i="156"/>
  <c r="S244" i="96" s="1"/>
  <c r="K116" i="156"/>
  <c r="K244" i="96" s="1"/>
  <c r="O116" i="156"/>
  <c r="O244" i="96" s="1"/>
  <c r="G116" i="156"/>
  <c r="G244" i="96" s="1"/>
  <c r="I7" i="156"/>
  <c r="N116" i="156"/>
  <c r="N244" i="96" s="1"/>
  <c r="E119" i="156" l="1"/>
  <c r="E227" i="96" s="1"/>
  <c r="V128" i="135"/>
  <c r="V283" i="96" s="1"/>
  <c r="V287" i="96" s="1"/>
  <c r="V24" i="96" s="1"/>
  <c r="V129" i="135"/>
  <c r="Q118" i="156"/>
  <c r="Q210" i="96" s="1"/>
  <c r="P210" i="96"/>
  <c r="O210" i="96"/>
  <c r="F117" i="156"/>
  <c r="F244" i="96"/>
  <c r="C116" i="156"/>
  <c r="D117" i="156"/>
  <c r="D244" i="96"/>
  <c r="C118" i="156" l="1"/>
  <c r="C210" i="96" s="1"/>
  <c r="F119" i="156"/>
  <c r="F227" i="96" s="1"/>
  <c r="F120" i="156"/>
  <c r="D119" i="156"/>
  <c r="D120" i="156"/>
  <c r="D193" i="96" s="1"/>
  <c r="F193" i="96" l="1"/>
  <c r="G117" i="156"/>
  <c r="D227" i="96"/>
  <c r="G120" i="156" l="1"/>
  <c r="G119" i="156"/>
  <c r="G227" i="96" l="1"/>
  <c r="H117" i="156"/>
  <c r="G193" i="96"/>
  <c r="H119" i="156" l="1"/>
  <c r="H120" i="156"/>
  <c r="H193" i="96" l="1"/>
  <c r="I117" i="156"/>
  <c r="H227" i="96"/>
  <c r="I119" i="156" l="1"/>
  <c r="I120" i="156"/>
  <c r="I193" i="96" l="1"/>
  <c r="J117" i="156"/>
  <c r="I227" i="96"/>
  <c r="J119" i="156" l="1"/>
  <c r="J227" i="96" s="1"/>
  <c r="J120" i="156"/>
  <c r="K117" i="156" l="1"/>
  <c r="J193" i="96"/>
  <c r="K120" i="156" l="1"/>
  <c r="K119" i="156"/>
  <c r="K227" i="96" s="1"/>
  <c r="K193" i="96" l="1"/>
  <c r="L117" i="156"/>
  <c r="L119" i="156" l="1"/>
  <c r="L227" i="96" s="1"/>
  <c r="L120" i="156"/>
  <c r="M117" i="156" l="1"/>
  <c r="L193" i="96"/>
  <c r="M120" i="156" l="1"/>
  <c r="M119" i="156"/>
  <c r="M227" i="96" s="1"/>
  <c r="N117" i="156" l="1"/>
  <c r="M193" i="96"/>
  <c r="N120" i="156" l="1"/>
  <c r="N119" i="156"/>
  <c r="N227" i="96" s="1"/>
  <c r="N193" i="96" l="1"/>
  <c r="O117" i="156"/>
  <c r="O119" i="156" l="1"/>
  <c r="O227" i="96" s="1"/>
  <c r="O120" i="156"/>
  <c r="P117" i="156" l="1"/>
  <c r="O193" i="96"/>
  <c r="P119" i="156" l="1"/>
  <c r="P227" i="96" s="1"/>
  <c r="P120" i="156"/>
  <c r="P193" i="96" l="1"/>
  <c r="Q117" i="156"/>
  <c r="Q120" i="156" l="1"/>
  <c r="Q119" i="156"/>
  <c r="Q227" i="96" s="1"/>
  <c r="R117" i="156" l="1"/>
  <c r="Q193" i="96"/>
  <c r="R120" i="156" l="1"/>
  <c r="R119" i="156"/>
  <c r="R78" i="156" l="1"/>
  <c r="R87" i="156" s="1"/>
  <c r="R227" i="96"/>
  <c r="S117" i="156"/>
  <c r="S119" i="156" s="1"/>
  <c r="S227" i="96" s="1"/>
  <c r="R193" i="96"/>
  <c r="S120" i="156" l="1"/>
  <c r="S193" i="96" s="1"/>
  <c r="C77" i="156"/>
  <c r="S78" i="156"/>
  <c r="C119" i="156"/>
  <c r="D9" i="156" l="1"/>
  <c r="C227" i="96"/>
  <c r="S87" i="156"/>
  <c r="C78" i="156"/>
  <c r="C87" i="156" s="1"/>
  <c r="G134" i="156"/>
  <c r="Q134" i="156"/>
  <c r="S134" i="156"/>
  <c r="M134" i="156"/>
  <c r="G77" i="156"/>
  <c r="I77" i="156"/>
  <c r="C84" i="156"/>
  <c r="O134" i="156"/>
  <c r="P134" i="156"/>
  <c r="N77" i="156"/>
  <c r="E134" i="156"/>
  <c r="H134" i="156"/>
  <c r="K77" i="156"/>
  <c r="E77" i="156"/>
  <c r="O77" i="156"/>
  <c r="Q77" i="156"/>
  <c r="J77" i="156"/>
  <c r="N134" i="156"/>
  <c r="L77" i="156"/>
  <c r="S77" i="156"/>
  <c r="M77" i="156"/>
  <c r="J134" i="156"/>
  <c r="D134" i="156"/>
  <c r="F77" i="156"/>
  <c r="L134" i="156"/>
  <c r="H77" i="156"/>
  <c r="P77" i="156"/>
  <c r="P84" i="156" s="1"/>
  <c r="K134" i="156"/>
  <c r="F134" i="156"/>
  <c r="R134" i="156"/>
  <c r="R77" i="156"/>
  <c r="I134" i="156"/>
  <c r="D77" i="156"/>
  <c r="S135" i="156" l="1"/>
  <c r="S84" i="156"/>
  <c r="N135" i="156"/>
  <c r="N84" i="156"/>
  <c r="N85" i="156" s="1"/>
  <c r="D84" i="156"/>
  <c r="D85" i="156" s="1"/>
  <c r="D135" i="156"/>
  <c r="D136" i="156" s="1"/>
  <c r="J135" i="156"/>
  <c r="J84" i="156"/>
  <c r="J85" i="156" s="1"/>
  <c r="L84" i="156"/>
  <c r="L85" i="156" s="1"/>
  <c r="L135" i="156"/>
  <c r="H135" i="156"/>
  <c r="H84" i="156"/>
  <c r="H85" i="156" s="1"/>
  <c r="Q135" i="156"/>
  <c r="Q84" i="156"/>
  <c r="C91" i="156"/>
  <c r="N6" i="156" s="1"/>
  <c r="C85" i="156"/>
  <c r="P135" i="156"/>
  <c r="F135" i="156"/>
  <c r="F84" i="156"/>
  <c r="F85" i="156" s="1"/>
  <c r="I84" i="156"/>
  <c r="I85" i="156" s="1"/>
  <c r="I135" i="156"/>
  <c r="R84" i="156"/>
  <c r="R135" i="156"/>
  <c r="O135" i="156"/>
  <c r="O84" i="156"/>
  <c r="O85" i="156" s="1"/>
  <c r="E135" i="156"/>
  <c r="E84" i="156"/>
  <c r="E85" i="156" s="1"/>
  <c r="M84" i="156"/>
  <c r="M85" i="156" s="1"/>
  <c r="M135" i="156"/>
  <c r="K84" i="156"/>
  <c r="K85" i="156" s="1"/>
  <c r="K135" i="156"/>
  <c r="G135" i="156"/>
  <c r="G84" i="156"/>
  <c r="G85" i="156" s="1"/>
  <c r="S85" i="156" l="1"/>
  <c r="S159" i="96" s="1"/>
  <c r="S176" i="96" s="1"/>
  <c r="S91" i="156"/>
  <c r="R85" i="156"/>
  <c r="R91" i="156"/>
  <c r="C88" i="156"/>
  <c r="C159" i="96"/>
  <c r="C176" i="96" s="1"/>
  <c r="K10" i="104" s="1"/>
  <c r="I88" i="156"/>
  <c r="I159" i="96"/>
  <c r="Q85" i="156"/>
  <c r="Q91" i="156"/>
  <c r="M88" i="156"/>
  <c r="M159" i="96"/>
  <c r="D88" i="156"/>
  <c r="D89" i="156" s="1"/>
  <c r="D159" i="96"/>
  <c r="H88" i="156"/>
  <c r="H159" i="96"/>
  <c r="N88" i="156"/>
  <c r="N159" i="96"/>
  <c r="F88" i="156"/>
  <c r="F159" i="96"/>
  <c r="O88" i="156"/>
  <c r="O159" i="96"/>
  <c r="E132" i="156"/>
  <c r="E136" i="156" s="1"/>
  <c r="D261" i="96"/>
  <c r="G88" i="156"/>
  <c r="G159" i="96"/>
  <c r="J159" i="96"/>
  <c r="J88" i="156"/>
  <c r="E88" i="156"/>
  <c r="E159" i="96"/>
  <c r="K159" i="96"/>
  <c r="K88" i="156"/>
  <c r="P91" i="156"/>
  <c r="P85" i="156"/>
  <c r="L88" i="156"/>
  <c r="L159" i="96"/>
  <c r="S88" i="156" l="1"/>
  <c r="S89" i="156" s="1"/>
  <c r="S90" i="156" s="1"/>
  <c r="S125" i="96" s="1"/>
  <c r="S142" i="96" s="1"/>
  <c r="S92" i="156"/>
  <c r="R88" i="156"/>
  <c r="R89" i="156" s="1"/>
  <c r="R102" i="156" s="1"/>
  <c r="R98" i="156" s="1"/>
  <c r="R103" i="156" s="1"/>
  <c r="R159" i="96"/>
  <c r="R176" i="96" s="1"/>
  <c r="K89" i="156"/>
  <c r="K102" i="156" s="1"/>
  <c r="K98" i="156" s="1"/>
  <c r="E261" i="96"/>
  <c r="F132" i="156"/>
  <c r="F136" i="156" s="1"/>
  <c r="H89" i="156"/>
  <c r="H102" i="156" s="1"/>
  <c r="H98" i="156" s="1"/>
  <c r="M89" i="156"/>
  <c r="M102" i="156" s="1"/>
  <c r="M98" i="156" s="1"/>
  <c r="E89" i="156"/>
  <c r="E102" i="156" s="1"/>
  <c r="E98" i="156" s="1"/>
  <c r="O89" i="156"/>
  <c r="O102" i="156" s="1"/>
  <c r="O98" i="156" s="1"/>
  <c r="Q88" i="156"/>
  <c r="Q159" i="96"/>
  <c r="Q176" i="96" s="1"/>
  <c r="J89" i="156"/>
  <c r="J102" i="156" s="1"/>
  <c r="J98" i="156" s="1"/>
  <c r="L89" i="156"/>
  <c r="L102" i="156" s="1"/>
  <c r="L98" i="156" s="1"/>
  <c r="F89" i="156"/>
  <c r="F102" i="156" s="1"/>
  <c r="F98" i="156" s="1"/>
  <c r="I89" i="156"/>
  <c r="I102" i="156" s="1"/>
  <c r="I98" i="156" s="1"/>
  <c r="P159" i="96"/>
  <c r="P176" i="96" s="1"/>
  <c r="P88" i="156"/>
  <c r="G89" i="156"/>
  <c r="G102" i="156" s="1"/>
  <c r="G98" i="156" s="1"/>
  <c r="N89" i="156"/>
  <c r="N102" i="156" s="1"/>
  <c r="N98" i="156" s="1"/>
  <c r="D90" i="156"/>
  <c r="D125" i="96" s="1"/>
  <c r="AB125" i="96" s="1"/>
  <c r="D102" i="156"/>
  <c r="D98" i="156" s="1"/>
  <c r="S102" i="156" l="1"/>
  <c r="S98" i="156" s="1"/>
  <c r="R90" i="156"/>
  <c r="R125" i="96" s="1"/>
  <c r="R142" i="96" s="1"/>
  <c r="G90" i="156"/>
  <c r="G125" i="96" s="1"/>
  <c r="AE125" i="96" s="1"/>
  <c r="J90" i="156"/>
  <c r="J125" i="96" s="1"/>
  <c r="AH125" i="96" s="1"/>
  <c r="N90" i="156"/>
  <c r="N125" i="96" s="1"/>
  <c r="F90" i="156"/>
  <c r="F125" i="96" s="1"/>
  <c r="AD125" i="96" s="1"/>
  <c r="H90" i="156"/>
  <c r="H125" i="96" s="1"/>
  <c r="AF125" i="96" s="1"/>
  <c r="I90" i="156"/>
  <c r="I125" i="96" s="1"/>
  <c r="AG125" i="96" s="1"/>
  <c r="R312" i="96"/>
  <c r="R329" i="96" s="1"/>
  <c r="P89" i="156"/>
  <c r="P102" i="156" s="1"/>
  <c r="P98" i="156" s="1"/>
  <c r="P103" i="156" s="1"/>
  <c r="F312" i="96"/>
  <c r="F329" i="96" s="1"/>
  <c r="F103" i="156"/>
  <c r="H103" i="156"/>
  <c r="H312" i="96"/>
  <c r="H329" i="96" s="1"/>
  <c r="M312" i="96"/>
  <c r="M329" i="96" s="1"/>
  <c r="M103" i="156"/>
  <c r="G103" i="156"/>
  <c r="G312" i="96"/>
  <c r="G329" i="96" s="1"/>
  <c r="L90" i="156"/>
  <c r="L125" i="96" s="1"/>
  <c r="AJ125" i="96" s="1"/>
  <c r="O90" i="156"/>
  <c r="O125" i="96" s="1"/>
  <c r="G132" i="156"/>
  <c r="G136" i="156" s="1"/>
  <c r="F261" i="96"/>
  <c r="Q89" i="156"/>
  <c r="Q102" i="156" s="1"/>
  <c r="Q98" i="156" s="1"/>
  <c r="Q103" i="156" s="1"/>
  <c r="D103" i="156"/>
  <c r="D312" i="96"/>
  <c r="D329" i="96" s="1"/>
  <c r="O312" i="96"/>
  <c r="O329" i="96" s="1"/>
  <c r="O103" i="156"/>
  <c r="I103" i="156"/>
  <c r="I312" i="96"/>
  <c r="I329" i="96" s="1"/>
  <c r="E90" i="156"/>
  <c r="K90" i="156"/>
  <c r="K125" i="96" s="1"/>
  <c r="AI125" i="96" s="1"/>
  <c r="E103" i="156"/>
  <c r="E312" i="96"/>
  <c r="E329" i="96" s="1"/>
  <c r="K103" i="156"/>
  <c r="K312" i="96"/>
  <c r="K329" i="96" s="1"/>
  <c r="L312" i="96"/>
  <c r="L329" i="96" s="1"/>
  <c r="L103" i="156"/>
  <c r="N103" i="156"/>
  <c r="N312" i="96"/>
  <c r="N329" i="96" s="1"/>
  <c r="J312" i="96"/>
  <c r="J329" i="96" s="1"/>
  <c r="J103" i="156"/>
  <c r="M90" i="156"/>
  <c r="M125" i="96" s="1"/>
  <c r="S103" i="156" l="1"/>
  <c r="S109" i="156" s="1"/>
  <c r="S105" i="156"/>
  <c r="S110" i="156"/>
  <c r="S312" i="96"/>
  <c r="S329" i="96" s="1"/>
  <c r="R92" i="156"/>
  <c r="R110" i="156"/>
  <c r="R109" i="156"/>
  <c r="R105" i="156"/>
  <c r="N105" i="156"/>
  <c r="N110" i="156"/>
  <c r="N109" i="156"/>
  <c r="Q312" i="96"/>
  <c r="Q329" i="96" s="1"/>
  <c r="I110" i="156"/>
  <c r="I109" i="156"/>
  <c r="E125" i="96"/>
  <c r="AC125" i="96" s="1"/>
  <c r="G110" i="156"/>
  <c r="G109" i="156"/>
  <c r="H110" i="156"/>
  <c r="H109" i="156"/>
  <c r="J109" i="156"/>
  <c r="J110" i="156"/>
  <c r="F109" i="156"/>
  <c r="F110" i="156"/>
  <c r="H132" i="156"/>
  <c r="H136" i="156" s="1"/>
  <c r="G261" i="96"/>
  <c r="K109" i="156"/>
  <c r="K110" i="156"/>
  <c r="E110" i="156"/>
  <c r="E109" i="156"/>
  <c r="D109" i="156"/>
  <c r="D110" i="156"/>
  <c r="C89" i="156"/>
  <c r="C102" i="156" s="1"/>
  <c r="C98" i="156" s="1"/>
  <c r="P312" i="96"/>
  <c r="P329" i="96" s="1"/>
  <c r="L109" i="156"/>
  <c r="L110" i="156"/>
  <c r="M109" i="156"/>
  <c r="M110" i="156"/>
  <c r="O105" i="156"/>
  <c r="O109" i="156"/>
  <c r="O110" i="156"/>
  <c r="Q90" i="156"/>
  <c r="P90" i="156"/>
  <c r="C90" i="156" l="1"/>
  <c r="P125" i="96"/>
  <c r="P142" i="96" s="1"/>
  <c r="P92" i="156"/>
  <c r="Q109" i="156"/>
  <c r="Q110" i="156"/>
  <c r="Q105" i="156"/>
  <c r="Q92" i="156"/>
  <c r="Q125" i="96"/>
  <c r="Q142" i="96" s="1"/>
  <c r="P109" i="156"/>
  <c r="P110" i="156"/>
  <c r="P105" i="156"/>
  <c r="C105" i="156" s="1"/>
  <c r="C312" i="96"/>
  <c r="C329" i="96" s="1"/>
  <c r="C103" i="156"/>
  <c r="I132" i="156"/>
  <c r="I136" i="156" s="1"/>
  <c r="H261" i="96"/>
  <c r="C125" i="96" l="1"/>
  <c r="N9" i="156"/>
  <c r="H10" i="104" s="1"/>
  <c r="C92" i="156"/>
  <c r="N7" i="156" s="1"/>
  <c r="B109" i="156"/>
  <c r="I9" i="156" s="1"/>
  <c r="C106" i="156"/>
  <c r="N8" i="156"/>
  <c r="E10" i="104" s="1"/>
  <c r="I10" i="156"/>
  <c r="C142" i="96"/>
  <c r="L10" i="104" s="1"/>
  <c r="AA125" i="96"/>
  <c r="J132" i="156"/>
  <c r="J136" i="156" s="1"/>
  <c r="I261" i="96"/>
  <c r="K132" i="156" l="1"/>
  <c r="K136" i="156" s="1"/>
  <c r="J261" i="96"/>
  <c r="I10" i="104"/>
  <c r="G10" i="104"/>
  <c r="L132" i="156" l="1"/>
  <c r="L136" i="156" s="1"/>
  <c r="K261" i="96"/>
  <c r="M132" i="156" l="1"/>
  <c r="M136" i="156" s="1"/>
  <c r="L261" i="96"/>
  <c r="M261" i="96" l="1"/>
  <c r="N132" i="156"/>
  <c r="N136" i="156" s="1"/>
  <c r="O132" i="156" l="1"/>
  <c r="O136" i="156" s="1"/>
  <c r="N261" i="96"/>
  <c r="P132" i="156" l="1"/>
  <c r="P136" i="156" s="1"/>
  <c r="O261" i="96"/>
  <c r="P261" i="96" l="1"/>
  <c r="Q132" i="156"/>
  <c r="Q136" i="156" s="1"/>
  <c r="R132" i="156" l="1"/>
  <c r="R136" i="156" s="1"/>
  <c r="Q261" i="96"/>
  <c r="O91" i="160"/>
  <c r="O92" i="160"/>
  <c r="O143" i="96"/>
  <c r="O177" i="96"/>
  <c r="N211" i="96"/>
  <c r="P78" i="160"/>
  <c r="P87" i="160" s="1"/>
  <c r="M105" i="160"/>
  <c r="S132" i="156" l="1"/>
  <c r="S136" i="156" s="1"/>
  <c r="S261" i="96" s="1"/>
  <c r="R261" i="96"/>
  <c r="C91" i="117" l="1"/>
  <c r="N6" i="117" s="1"/>
  <c r="P91" i="117"/>
  <c r="C92" i="117"/>
  <c r="N7" i="117" s="1"/>
  <c r="P92" i="117"/>
  <c r="C137" i="96"/>
  <c r="L5" i="104" s="1"/>
  <c r="P137" i="96"/>
  <c r="C171" i="96"/>
  <c r="K5" i="104" s="1"/>
  <c r="P171" i="96"/>
  <c r="M105" i="155"/>
  <c r="P78" i="155"/>
  <c r="Q78" i="155"/>
  <c r="Q87" i="155" s="1"/>
  <c r="I91" i="134"/>
  <c r="I92" i="134"/>
  <c r="I144" i="96"/>
  <c r="I178" i="96"/>
  <c r="S91" i="134"/>
  <c r="S92" i="134"/>
  <c r="T91" i="134"/>
  <c r="T92" i="134"/>
  <c r="M105" i="134"/>
  <c r="P87" i="155" l="1"/>
  <c r="K78" i="134"/>
  <c r="L78" i="134"/>
  <c r="M78" i="134"/>
  <c r="N78" i="134"/>
  <c r="O78" i="134"/>
  <c r="P78" i="134"/>
  <c r="Q78" i="134"/>
  <c r="Q87" i="134" s="1"/>
  <c r="R78" i="134"/>
  <c r="R87" i="134" s="1"/>
  <c r="S78" i="134"/>
  <c r="T78" i="134"/>
  <c r="U78" i="134"/>
  <c r="U87" i="134" s="1"/>
  <c r="K87" i="134"/>
  <c r="L87" i="134"/>
  <c r="N87" i="134"/>
  <c r="O87" i="134"/>
  <c r="P87" i="134"/>
  <c r="S87" i="134"/>
  <c r="T87" i="134"/>
  <c r="C78" i="134" l="1"/>
  <c r="C87" i="134" s="1"/>
  <c r="M87" i="134"/>
  <c r="J212" i="96"/>
  <c r="J219" i="96" s="1"/>
  <c r="J31" i="96" s="1"/>
  <c r="M9" i="99" s="1"/>
  <c r="O91" i="133"/>
  <c r="P91" i="133"/>
  <c r="Q91" i="133"/>
  <c r="R91" i="133"/>
  <c r="S91" i="133"/>
  <c r="T91" i="133"/>
  <c r="U91" i="133"/>
  <c r="O92" i="133"/>
  <c r="P92" i="133"/>
  <c r="Q92" i="133"/>
  <c r="R92" i="133"/>
  <c r="S92" i="133"/>
  <c r="T92" i="133"/>
  <c r="U92" i="133"/>
  <c r="O145" i="96"/>
  <c r="P145" i="96"/>
  <c r="Q145" i="96"/>
  <c r="R145" i="96"/>
  <c r="S145" i="96"/>
  <c r="T145" i="96"/>
  <c r="U145" i="96"/>
  <c r="O179" i="96"/>
  <c r="P179" i="96"/>
  <c r="Q179" i="96"/>
  <c r="R179" i="96"/>
  <c r="S179" i="96"/>
  <c r="T179" i="96"/>
  <c r="U179" i="96"/>
  <c r="M105" i="133"/>
  <c r="O78" i="133"/>
  <c r="P78" i="133"/>
  <c r="Q78" i="133"/>
  <c r="Q87" i="133" s="1"/>
  <c r="R78" i="133"/>
  <c r="S78" i="133"/>
  <c r="S87" i="133" s="1"/>
  <c r="T78" i="133"/>
  <c r="T87" i="133" s="1"/>
  <c r="U78" i="133"/>
  <c r="U87" i="133" s="1"/>
  <c r="V78" i="133"/>
  <c r="V87" i="133" s="1"/>
  <c r="P87" i="133"/>
  <c r="R87" i="133"/>
  <c r="W78" i="133"/>
  <c r="W87" i="133" s="1"/>
  <c r="C78" i="133" l="1"/>
  <c r="C87" i="133" s="1"/>
  <c r="O87" i="133"/>
  <c r="O213" i="96"/>
  <c r="Q91" i="132"/>
  <c r="Q92" i="132"/>
  <c r="Q146" i="96"/>
  <c r="Q180" i="96"/>
  <c r="R91" i="132"/>
  <c r="R92" i="132"/>
  <c r="R146" i="96"/>
  <c r="R180" i="96"/>
  <c r="P91" i="132"/>
  <c r="P92" i="132"/>
  <c r="P146" i="96"/>
  <c r="P180" i="96"/>
  <c r="R78" i="132"/>
  <c r="S78" i="132"/>
  <c r="S87" i="132" s="1"/>
  <c r="T78" i="132"/>
  <c r="T87" i="132" s="1"/>
  <c r="U78" i="132"/>
  <c r="U87" i="132" s="1"/>
  <c r="M105" i="132"/>
  <c r="P214" i="96"/>
  <c r="P91" i="135"/>
  <c r="Q91" i="135"/>
  <c r="R91" i="135"/>
  <c r="S91" i="135"/>
  <c r="T91" i="135"/>
  <c r="P92" i="135"/>
  <c r="Q92" i="135"/>
  <c r="R92" i="135"/>
  <c r="S92" i="135"/>
  <c r="T92" i="135"/>
  <c r="P147" i="96"/>
  <c r="Q147" i="96"/>
  <c r="R147" i="96"/>
  <c r="S147" i="96"/>
  <c r="T147" i="96"/>
  <c r="P181" i="96"/>
  <c r="Q181" i="96"/>
  <c r="R181" i="96"/>
  <c r="S181" i="96"/>
  <c r="T181" i="96"/>
  <c r="M105" i="135"/>
  <c r="R78" i="135"/>
  <c r="S78" i="135"/>
  <c r="S87" i="135" s="1"/>
  <c r="T78" i="135"/>
  <c r="T87" i="135" s="1"/>
  <c r="U78" i="135"/>
  <c r="U87" i="135" s="1"/>
  <c r="V78" i="135"/>
  <c r="V87" i="135" s="1"/>
  <c r="R87" i="132" l="1"/>
  <c r="R87" i="135"/>
  <c r="C78" i="135"/>
  <c r="C87" i="135" s="1"/>
  <c r="P215" i="96"/>
  <c r="M105" i="137"/>
  <c r="N78" i="137" l="1"/>
  <c r="C78" i="137" s="1"/>
  <c r="C87" i="137" s="1"/>
  <c r="O78" i="137"/>
  <c r="P78" i="137"/>
  <c r="Q78" i="137"/>
  <c r="R78" i="137"/>
  <c r="R87" i="137" s="1"/>
  <c r="S78" i="137"/>
  <c r="S87" i="137" s="1"/>
  <c r="T78" i="137"/>
  <c r="T87" i="137" s="1"/>
  <c r="U78" i="137"/>
  <c r="U87" i="137" s="1"/>
  <c r="O87" i="137"/>
  <c r="P87" i="137"/>
  <c r="Q87" i="137"/>
  <c r="V78" i="137"/>
  <c r="V87" i="137" s="1"/>
  <c r="W78" i="137"/>
  <c r="W87" i="137"/>
  <c r="M91" i="137"/>
  <c r="N91" i="137"/>
  <c r="O91" i="137"/>
  <c r="P91" i="137"/>
  <c r="Q91" i="137"/>
  <c r="R91" i="137"/>
  <c r="S91" i="137"/>
  <c r="T91" i="137"/>
  <c r="M92" i="137"/>
  <c r="N92" i="137"/>
  <c r="O92" i="137"/>
  <c r="P92" i="137"/>
  <c r="Q92" i="137"/>
  <c r="R92" i="137"/>
  <c r="S92" i="137"/>
  <c r="T92" i="137"/>
  <c r="M148" i="96"/>
  <c r="N148" i="96"/>
  <c r="O148" i="96"/>
  <c r="P148" i="96"/>
  <c r="Q148" i="96"/>
  <c r="R148" i="96"/>
  <c r="S148" i="96"/>
  <c r="T148" i="96"/>
  <c r="M182" i="96"/>
  <c r="N182" i="96"/>
  <c r="O182" i="96"/>
  <c r="P182" i="96"/>
  <c r="Q182" i="96"/>
  <c r="R182" i="96"/>
  <c r="S182" i="96"/>
  <c r="T182" i="96"/>
  <c r="M216" i="96"/>
  <c r="R11" i="100"/>
  <c r="S11" i="100" l="1"/>
  <c r="R42" i="98"/>
  <c r="N87" i="137"/>
  <c r="S42" i="98"/>
  <c r="L41" i="178" s="1"/>
  <c r="T11" i="100"/>
  <c r="T42" i="98" s="1"/>
  <c r="M105" i="157"/>
  <c r="O78" i="157"/>
  <c r="O87" i="157" s="1"/>
  <c r="P78" i="157"/>
  <c r="P87" i="157" s="1"/>
  <c r="Q87" i="157"/>
  <c r="R78" i="157"/>
  <c r="S78" i="157"/>
  <c r="S87" i="157" s="1"/>
  <c r="G19" i="175"/>
  <c r="G48" i="175"/>
  <c r="C114" i="134"/>
  <c r="R87" i="157" l="1"/>
  <c r="D116" i="134"/>
  <c r="T118" i="134"/>
  <c r="D246" i="96"/>
  <c r="D117" i="134"/>
  <c r="G116" i="134"/>
  <c r="G246" i="96" s="1"/>
  <c r="V116" i="134"/>
  <c r="V246" i="96" s="1"/>
  <c r="Q116" i="134"/>
  <c r="Q246" i="96" s="1"/>
  <c r="U116" i="134"/>
  <c r="U246" i="96" s="1"/>
  <c r="N116" i="134"/>
  <c r="N246" i="96" s="1"/>
  <c r="I116" i="134"/>
  <c r="I246" i="96" s="1"/>
  <c r="E116" i="134"/>
  <c r="T116" i="134"/>
  <c r="T246" i="96" s="1"/>
  <c r="O116" i="134"/>
  <c r="O246" i="96" s="1"/>
  <c r="P116" i="134"/>
  <c r="P246" i="96" s="1"/>
  <c r="S116" i="134"/>
  <c r="S246" i="96" s="1"/>
  <c r="M116" i="134"/>
  <c r="M246" i="96" s="1"/>
  <c r="F116" i="134"/>
  <c r="R116" i="134"/>
  <c r="R246" i="96" s="1"/>
  <c r="L116" i="134"/>
  <c r="L246" i="96" s="1"/>
  <c r="H116" i="134"/>
  <c r="H246" i="96" s="1"/>
  <c r="J116" i="134"/>
  <c r="J246" i="96" s="1"/>
  <c r="K116" i="134"/>
  <c r="K246" i="96" s="1"/>
  <c r="I7" i="134"/>
  <c r="U118" i="134" l="1"/>
  <c r="T212" i="96"/>
  <c r="C116" i="134"/>
  <c r="D120" i="134"/>
  <c r="D195" i="96" s="1"/>
  <c r="D119" i="134"/>
  <c r="F246" i="96"/>
  <c r="F117" i="134"/>
  <c r="E246" i="96"/>
  <c r="E117" i="134"/>
  <c r="V118" i="134" l="1"/>
  <c r="U212" i="96"/>
  <c r="F119" i="134"/>
  <c r="F229" i="96" s="1"/>
  <c r="F120" i="134"/>
  <c r="D229" i="96"/>
  <c r="E120" i="134"/>
  <c r="E195" i="96" s="1"/>
  <c r="E119" i="134"/>
  <c r="E229" i="96" s="1"/>
  <c r="V212" i="96" l="1"/>
  <c r="C118" i="134"/>
  <c r="C212" i="96" s="1"/>
  <c r="F195" i="96"/>
  <c r="G117" i="134"/>
  <c r="G119" i="134" l="1"/>
  <c r="G120" i="134"/>
  <c r="G195" i="96" l="1"/>
  <c r="H117" i="134"/>
  <c r="G229" i="96"/>
  <c r="H119" i="134" l="1"/>
  <c r="H120" i="134"/>
  <c r="H229" i="96" l="1"/>
  <c r="H195" i="96"/>
  <c r="I117" i="134"/>
  <c r="I119" i="134" l="1"/>
  <c r="I120" i="134"/>
  <c r="I195" i="96" l="1"/>
  <c r="J117" i="134"/>
  <c r="I229" i="96"/>
  <c r="J119" i="134" l="1"/>
  <c r="J229" i="96" s="1"/>
  <c r="J120" i="134"/>
  <c r="J195" i="96" l="1"/>
  <c r="K117" i="134"/>
  <c r="K119" i="134" l="1"/>
  <c r="K229" i="96" s="1"/>
  <c r="K120" i="134"/>
  <c r="K195" i="96" l="1"/>
  <c r="L117" i="134"/>
  <c r="L119" i="134" l="1"/>
  <c r="L229" i="96" s="1"/>
  <c r="L120" i="134"/>
  <c r="L195" i="96" l="1"/>
  <c r="M117" i="134"/>
  <c r="M120" i="134" l="1"/>
  <c r="M119" i="134"/>
  <c r="M195" i="96" l="1"/>
  <c r="N117" i="134"/>
  <c r="M229" i="96"/>
  <c r="C77" i="134"/>
  <c r="N119" i="134" l="1"/>
  <c r="N229" i="96" s="1"/>
  <c r="N120" i="134"/>
  <c r="G134" i="134"/>
  <c r="O134" i="134"/>
  <c r="E134" i="134"/>
  <c r="N134" i="134"/>
  <c r="F134" i="134"/>
  <c r="H134" i="134"/>
  <c r="O77" i="134"/>
  <c r="I134" i="134"/>
  <c r="S134" i="134"/>
  <c r="T134" i="134"/>
  <c r="K134" i="134"/>
  <c r="L134" i="134"/>
  <c r="Q134" i="134"/>
  <c r="J134" i="134"/>
  <c r="R134" i="134"/>
  <c r="P134" i="134"/>
  <c r="U134" i="134"/>
  <c r="M134" i="134"/>
  <c r="L77" i="134"/>
  <c r="N77" i="134"/>
  <c r="V134" i="134"/>
  <c r="H77" i="134"/>
  <c r="C84" i="134"/>
  <c r="G77" i="134"/>
  <c r="I77" i="134"/>
  <c r="V77" i="134"/>
  <c r="J77" i="134"/>
  <c r="D77" i="134"/>
  <c r="U77" i="134"/>
  <c r="P77" i="134"/>
  <c r="S77" i="134"/>
  <c r="F77" i="134"/>
  <c r="E77" i="134"/>
  <c r="R77" i="134"/>
  <c r="D134" i="134"/>
  <c r="T77" i="134"/>
  <c r="M77" i="134"/>
  <c r="K77" i="134"/>
  <c r="Q77" i="134"/>
  <c r="Q135" i="134" l="1"/>
  <c r="Q84" i="134"/>
  <c r="Q85" i="134" s="1"/>
  <c r="S135" i="134"/>
  <c r="S84" i="134"/>
  <c r="S85" i="134" s="1"/>
  <c r="K135" i="134"/>
  <c r="K84" i="134"/>
  <c r="K85" i="134" s="1"/>
  <c r="P135" i="134"/>
  <c r="P84" i="134"/>
  <c r="P85" i="134" s="1"/>
  <c r="H135" i="134"/>
  <c r="H84" i="134"/>
  <c r="H85" i="134" s="1"/>
  <c r="M135" i="134"/>
  <c r="M84" i="134"/>
  <c r="M85" i="134" s="1"/>
  <c r="U135" i="134"/>
  <c r="U84" i="134"/>
  <c r="T135" i="134"/>
  <c r="T84" i="134"/>
  <c r="T85" i="134" s="1"/>
  <c r="D135" i="134"/>
  <c r="D136" i="134" s="1"/>
  <c r="D84" i="134"/>
  <c r="D85" i="134" s="1"/>
  <c r="N135" i="134"/>
  <c r="N84" i="134"/>
  <c r="N85" i="134" s="1"/>
  <c r="C91" i="134"/>
  <c r="N6" i="134" s="1"/>
  <c r="C85" i="134"/>
  <c r="O84" i="134"/>
  <c r="O85" i="134" s="1"/>
  <c r="O135" i="134"/>
  <c r="J135" i="134"/>
  <c r="J84" i="134"/>
  <c r="J85" i="134" s="1"/>
  <c r="L135" i="134"/>
  <c r="L84" i="134"/>
  <c r="L85" i="134" s="1"/>
  <c r="R135" i="134"/>
  <c r="R84" i="134"/>
  <c r="R85" i="134" s="1"/>
  <c r="V135" i="134"/>
  <c r="V84" i="134"/>
  <c r="E135" i="134"/>
  <c r="E84" i="134"/>
  <c r="E85" i="134" s="1"/>
  <c r="I135" i="134"/>
  <c r="I84" i="134"/>
  <c r="I85" i="134" s="1"/>
  <c r="F135" i="134"/>
  <c r="F84" i="134"/>
  <c r="F85" i="134" s="1"/>
  <c r="G135" i="134"/>
  <c r="G84" i="134"/>
  <c r="G85" i="134" s="1"/>
  <c r="N195" i="96"/>
  <c r="O117" i="134"/>
  <c r="O119" i="134" l="1"/>
  <c r="O229" i="96" s="1"/>
  <c r="O120" i="134"/>
  <c r="J161" i="96"/>
  <c r="J88" i="134"/>
  <c r="D161" i="96"/>
  <c r="D88" i="134"/>
  <c r="H161" i="96"/>
  <c r="H88" i="134"/>
  <c r="Q161" i="96"/>
  <c r="Q88" i="134"/>
  <c r="G161" i="96"/>
  <c r="G88" i="134"/>
  <c r="V91" i="134"/>
  <c r="V85" i="134"/>
  <c r="D263" i="96"/>
  <c r="E132" i="134"/>
  <c r="E136" i="134" s="1"/>
  <c r="T88" i="134"/>
  <c r="T161" i="96"/>
  <c r="P161" i="96"/>
  <c r="P88" i="134"/>
  <c r="E161" i="96"/>
  <c r="E88" i="134"/>
  <c r="F161" i="96"/>
  <c r="F88" i="134"/>
  <c r="R161" i="96"/>
  <c r="R88" i="134"/>
  <c r="O161" i="96"/>
  <c r="O88" i="134"/>
  <c r="C161" i="96"/>
  <c r="C178" i="96" s="1"/>
  <c r="K12" i="104" s="1"/>
  <c r="C88" i="134"/>
  <c r="U91" i="134"/>
  <c r="U85" i="134"/>
  <c r="K161" i="96"/>
  <c r="K88" i="134"/>
  <c r="I161" i="96"/>
  <c r="I88" i="134"/>
  <c r="L161" i="96"/>
  <c r="L88" i="134"/>
  <c r="N161" i="96"/>
  <c r="N88" i="134"/>
  <c r="M161" i="96"/>
  <c r="M88" i="134"/>
  <c r="S88" i="134"/>
  <c r="S161" i="96"/>
  <c r="S89" i="134" l="1"/>
  <c r="S102" i="134" s="1"/>
  <c r="S98" i="134" s="1"/>
  <c r="S90" i="134"/>
  <c r="S127" i="96" s="1"/>
  <c r="M89" i="134"/>
  <c r="M102" i="134" s="1"/>
  <c r="M98" i="134" s="1"/>
  <c r="K89" i="134"/>
  <c r="K102" i="134" s="1"/>
  <c r="K98" i="134" s="1"/>
  <c r="R89" i="134"/>
  <c r="R102" i="134" s="1"/>
  <c r="R98" i="134" s="1"/>
  <c r="Q89" i="134"/>
  <c r="Q102" i="134" s="1"/>
  <c r="Q98" i="134" s="1"/>
  <c r="O195" i="96"/>
  <c r="P117" i="134"/>
  <c r="T89" i="134"/>
  <c r="T102" i="134" s="1"/>
  <c r="T98" i="134" s="1"/>
  <c r="N89" i="134"/>
  <c r="N102" i="134" s="1"/>
  <c r="N98" i="134" s="1"/>
  <c r="U161" i="96"/>
  <c r="U88" i="134"/>
  <c r="F89" i="134"/>
  <c r="F102" i="134" s="1"/>
  <c r="F98" i="134" s="1"/>
  <c r="E263" i="96"/>
  <c r="F132" i="134"/>
  <c r="F136" i="134" s="1"/>
  <c r="H89" i="134"/>
  <c r="H102" i="134" s="1"/>
  <c r="H98" i="134" s="1"/>
  <c r="L89" i="134"/>
  <c r="L102" i="134" s="1"/>
  <c r="L98" i="134" s="1"/>
  <c r="L90" i="134"/>
  <c r="L127" i="96" s="1"/>
  <c r="AJ127" i="96" s="1"/>
  <c r="E89" i="134"/>
  <c r="E102" i="134" s="1"/>
  <c r="E98" i="134" s="1"/>
  <c r="V161" i="96"/>
  <c r="D89" i="134"/>
  <c r="I89" i="134"/>
  <c r="I102" i="134" s="1"/>
  <c r="I98" i="134" s="1"/>
  <c r="O89" i="134"/>
  <c r="O102" i="134" s="1"/>
  <c r="O98" i="134" s="1"/>
  <c r="O90" i="134"/>
  <c r="O127" i="96" s="1"/>
  <c r="P89" i="134"/>
  <c r="P102" i="134" s="1"/>
  <c r="P98" i="134" s="1"/>
  <c r="G89" i="134"/>
  <c r="G102" i="134" s="1"/>
  <c r="G98" i="134" s="1"/>
  <c r="J89" i="134"/>
  <c r="J102" i="134" s="1"/>
  <c r="J98" i="134" s="1"/>
  <c r="I90" i="134" l="1"/>
  <c r="I127" i="96" s="1"/>
  <c r="AG127" i="96" s="1"/>
  <c r="J90" i="134"/>
  <c r="J127" i="96" s="1"/>
  <c r="AH127" i="96" s="1"/>
  <c r="M90" i="134"/>
  <c r="M127" i="96" s="1"/>
  <c r="R90" i="134"/>
  <c r="R127" i="96" s="1"/>
  <c r="P90" i="134"/>
  <c r="P127" i="96" s="1"/>
  <c r="Q103" i="134"/>
  <c r="Q314" i="96"/>
  <c r="Q331" i="96" s="1"/>
  <c r="G103" i="134"/>
  <c r="G314" i="96"/>
  <c r="G331" i="96" s="1"/>
  <c r="L314" i="96"/>
  <c r="L331" i="96" s="1"/>
  <c r="L103" i="134"/>
  <c r="U178" i="96"/>
  <c r="Q90" i="134"/>
  <c r="Q127" i="96" s="1"/>
  <c r="G90" i="134"/>
  <c r="G127" i="96" s="1"/>
  <c r="AE127" i="96" s="1"/>
  <c r="D102" i="134"/>
  <c r="D98" i="134" s="1"/>
  <c r="H103" i="134"/>
  <c r="H314" i="96"/>
  <c r="H331" i="96" s="1"/>
  <c r="N314" i="96"/>
  <c r="N331" i="96" s="1"/>
  <c r="N103" i="134"/>
  <c r="S103" i="134"/>
  <c r="S314" i="96"/>
  <c r="P103" i="134"/>
  <c r="P314" i="96"/>
  <c r="P331" i="96" s="1"/>
  <c r="D90" i="134"/>
  <c r="H90" i="134"/>
  <c r="H127" i="96" s="1"/>
  <c r="AF127" i="96" s="1"/>
  <c r="N90" i="134"/>
  <c r="N127" i="96" s="1"/>
  <c r="R103" i="134"/>
  <c r="R314" i="96"/>
  <c r="R331" i="96" s="1"/>
  <c r="U89" i="134"/>
  <c r="U102" i="134" s="1"/>
  <c r="U98" i="134" s="1"/>
  <c r="V178" i="96"/>
  <c r="F263" i="96"/>
  <c r="G132" i="134"/>
  <c r="G136" i="134" s="1"/>
  <c r="T103" i="134"/>
  <c r="T314" i="96"/>
  <c r="T90" i="134"/>
  <c r="T127" i="96" s="1"/>
  <c r="K103" i="134"/>
  <c r="K314" i="96"/>
  <c r="K331" i="96" s="1"/>
  <c r="O314" i="96"/>
  <c r="O331" i="96" s="1"/>
  <c r="O103" i="134"/>
  <c r="E103" i="134"/>
  <c r="E314" i="96"/>
  <c r="E331" i="96" s="1"/>
  <c r="F103" i="134"/>
  <c r="F314" i="96"/>
  <c r="F331" i="96" s="1"/>
  <c r="P120" i="134"/>
  <c r="P119" i="134"/>
  <c r="P229" i="96" s="1"/>
  <c r="K90" i="134"/>
  <c r="K127" i="96" s="1"/>
  <c r="AI127" i="96" s="1"/>
  <c r="J103" i="134"/>
  <c r="J314" i="96"/>
  <c r="J331" i="96" s="1"/>
  <c r="I103" i="134"/>
  <c r="I314" i="96"/>
  <c r="I331" i="96" s="1"/>
  <c r="E90" i="134"/>
  <c r="E127" i="96" s="1"/>
  <c r="AC127" i="96" s="1"/>
  <c r="F90" i="134"/>
  <c r="F127" i="96" s="1"/>
  <c r="AD127" i="96" s="1"/>
  <c r="M103" i="134"/>
  <c r="M314" i="96"/>
  <c r="M331" i="96" s="1"/>
  <c r="U90" i="134" l="1"/>
  <c r="U127" i="96" s="1"/>
  <c r="U92" i="134"/>
  <c r="S331" i="96"/>
  <c r="G109" i="134"/>
  <c r="G110" i="134"/>
  <c r="F109" i="134"/>
  <c r="F110" i="134"/>
  <c r="T331" i="96"/>
  <c r="S109" i="134"/>
  <c r="S105" i="134"/>
  <c r="S110" i="134"/>
  <c r="I109" i="134"/>
  <c r="I110" i="134"/>
  <c r="T110" i="134"/>
  <c r="T105" i="134"/>
  <c r="T109" i="134"/>
  <c r="R109" i="134"/>
  <c r="R105" i="134"/>
  <c r="R110" i="134"/>
  <c r="N110" i="134"/>
  <c r="N109" i="134"/>
  <c r="N105" i="134"/>
  <c r="Q105" i="134"/>
  <c r="Q109" i="134"/>
  <c r="Q110" i="134"/>
  <c r="E110" i="134"/>
  <c r="E109" i="134"/>
  <c r="G263" i="96"/>
  <c r="H132" i="134"/>
  <c r="H136" i="134" s="1"/>
  <c r="J109" i="134"/>
  <c r="J110" i="134"/>
  <c r="O105" i="134"/>
  <c r="O109" i="134"/>
  <c r="O110" i="134"/>
  <c r="D127" i="96"/>
  <c r="AB127" i="96" s="1"/>
  <c r="H109" i="134"/>
  <c r="H110" i="134"/>
  <c r="L109" i="134"/>
  <c r="L110" i="134"/>
  <c r="M109" i="134"/>
  <c r="M110" i="134"/>
  <c r="D103" i="134"/>
  <c r="D314" i="96"/>
  <c r="D331" i="96" s="1"/>
  <c r="P195" i="96"/>
  <c r="Q117" i="134"/>
  <c r="K110" i="134"/>
  <c r="K109" i="134"/>
  <c r="U103" i="134"/>
  <c r="U314" i="96"/>
  <c r="P109" i="134"/>
  <c r="P110" i="134"/>
  <c r="P105" i="134"/>
  <c r="H263" i="96" l="1"/>
  <c r="I132" i="134"/>
  <c r="I136" i="134" s="1"/>
  <c r="U144" i="96"/>
  <c r="Q119" i="134"/>
  <c r="Q229" i="96" s="1"/>
  <c r="Q120" i="134"/>
  <c r="D109" i="134"/>
  <c r="D110" i="134"/>
  <c r="U331" i="96"/>
  <c r="U109" i="134"/>
  <c r="U105" i="134"/>
  <c r="U110" i="134"/>
  <c r="I263" i="96" l="1"/>
  <c r="J132" i="134"/>
  <c r="J136" i="134" s="1"/>
  <c r="R117" i="134"/>
  <c r="Q195" i="96"/>
  <c r="R120" i="134" l="1"/>
  <c r="R119" i="134"/>
  <c r="R229" i="96" s="1"/>
  <c r="J263" i="96"/>
  <c r="K132" i="134"/>
  <c r="K136" i="134" s="1"/>
  <c r="R195" i="96" l="1"/>
  <c r="S117" i="134"/>
  <c r="K263" i="96"/>
  <c r="L132" i="134"/>
  <c r="L136" i="134" s="1"/>
  <c r="L263" i="96" l="1"/>
  <c r="M132" i="134"/>
  <c r="M136" i="134" s="1"/>
  <c r="S119" i="134"/>
  <c r="S229" i="96" s="1"/>
  <c r="S120" i="134"/>
  <c r="S195" i="96" l="1"/>
  <c r="T117" i="134"/>
  <c r="M263" i="96"/>
  <c r="N132" i="134"/>
  <c r="N136" i="134" s="1"/>
  <c r="T119" i="134" l="1"/>
  <c r="T229" i="96" s="1"/>
  <c r="T120" i="134"/>
  <c r="N263" i="96"/>
  <c r="O132" i="134"/>
  <c r="O136" i="134" s="1"/>
  <c r="O263" i="96" l="1"/>
  <c r="P132" i="134"/>
  <c r="P136" i="134" s="1"/>
  <c r="T195" i="96"/>
  <c r="U117" i="134"/>
  <c r="U119" i="134" l="1"/>
  <c r="U120" i="134"/>
  <c r="P263" i="96"/>
  <c r="Q132" i="134"/>
  <c r="Q136" i="134" s="1"/>
  <c r="U229" i="96" l="1"/>
  <c r="Q263" i="96"/>
  <c r="R132" i="134"/>
  <c r="R136" i="134" s="1"/>
  <c r="U195" i="96"/>
  <c r="V117" i="134"/>
  <c r="V119" i="134" l="1"/>
  <c r="C119" i="134" s="1"/>
  <c r="V120" i="134"/>
  <c r="V195" i="96" s="1"/>
  <c r="R263" i="96"/>
  <c r="S132" i="134"/>
  <c r="S136" i="134" s="1"/>
  <c r="C229" i="96" l="1"/>
  <c r="D9" i="134"/>
  <c r="S263" i="96"/>
  <c r="T132" i="134"/>
  <c r="T136" i="134" s="1"/>
  <c r="V229" i="96"/>
  <c r="V78" i="134"/>
  <c r="V87" i="134" s="1"/>
  <c r="V88" i="134" s="1"/>
  <c r="V89" i="134" l="1"/>
  <c r="U132" i="134"/>
  <c r="U136" i="134" s="1"/>
  <c r="T263" i="96"/>
  <c r="U263" i="96" l="1"/>
  <c r="V132" i="134"/>
  <c r="V136" i="134" s="1"/>
  <c r="V263" i="96" s="1"/>
  <c r="V102" i="134"/>
  <c r="V98" i="134" s="1"/>
  <c r="C89" i="134"/>
  <c r="C102" i="134" s="1"/>
  <c r="C98" i="134" s="1"/>
  <c r="V90" i="134"/>
  <c r="V92" i="134" l="1"/>
  <c r="V127" i="96"/>
  <c r="C90" i="134"/>
  <c r="V103" i="134"/>
  <c r="V314" i="96"/>
  <c r="C314" i="96"/>
  <c r="C331" i="96" s="1"/>
  <c r="C103" i="134"/>
  <c r="V331" i="96" l="1"/>
  <c r="V110" i="134"/>
  <c r="V109" i="134"/>
  <c r="B109" i="134" s="1"/>
  <c r="I9" i="134" s="1"/>
  <c r="V105" i="134"/>
  <c r="C105" i="134" s="1"/>
  <c r="C92" i="134"/>
  <c r="N7" i="134" s="1"/>
  <c r="C127" i="96"/>
  <c r="N9" i="134"/>
  <c r="H12" i="104" s="1"/>
  <c r="V144" i="96"/>
  <c r="C144" i="96" l="1"/>
  <c r="L12" i="104" s="1"/>
  <c r="AA127" i="96"/>
  <c r="N8" i="134"/>
  <c r="E12" i="104" s="1"/>
  <c r="C106" i="134"/>
  <c r="I10" i="134"/>
  <c r="I12" i="104" l="1"/>
  <c r="G12" i="104"/>
  <c r="C114" i="117"/>
  <c r="D116" i="117"/>
  <c r="E116" i="117" l="1"/>
  <c r="E239" i="96" s="1"/>
  <c r="M116" i="117"/>
  <c r="M239" i="96" s="1"/>
  <c r="K116" i="117"/>
  <c r="G116" i="117"/>
  <c r="G239" i="96" s="1"/>
  <c r="I116" i="117"/>
  <c r="I239" i="96" s="1"/>
  <c r="J116" i="117"/>
  <c r="J239" i="96" s="1"/>
  <c r="P116" i="117"/>
  <c r="P239" i="96" s="1"/>
  <c r="N116" i="117"/>
  <c r="N239" i="96" s="1"/>
  <c r="O116" i="117"/>
  <c r="O239" i="96" s="1"/>
  <c r="Q116" i="117"/>
  <c r="Q239" i="96" s="1"/>
  <c r="H116" i="117"/>
  <c r="H239" i="96" s="1"/>
  <c r="F116" i="117"/>
  <c r="F239" i="96" s="1"/>
  <c r="I7" i="117"/>
  <c r="N118" i="117"/>
  <c r="L116" i="117"/>
  <c r="D239" i="96"/>
  <c r="D117" i="117"/>
  <c r="L239" i="96" l="1"/>
  <c r="L120" i="117"/>
  <c r="O118" i="117"/>
  <c r="O205" i="96" s="1"/>
  <c r="N205" i="96"/>
  <c r="K239" i="96"/>
  <c r="K120" i="117"/>
  <c r="K188" i="96" s="1"/>
  <c r="D119" i="117"/>
  <c r="D120" i="117"/>
  <c r="C116" i="117"/>
  <c r="L188" i="96" l="1"/>
  <c r="M117" i="117"/>
  <c r="D188" i="96"/>
  <c r="E117" i="117"/>
  <c r="D222" i="96"/>
  <c r="E119" i="117" l="1"/>
  <c r="E120" i="117"/>
  <c r="M119" i="117"/>
  <c r="M222" i="96" s="1"/>
  <c r="M120" i="117"/>
  <c r="E188" i="96" l="1"/>
  <c r="F117" i="117"/>
  <c r="M188" i="96"/>
  <c r="N117" i="117"/>
  <c r="E222" i="96"/>
  <c r="N119" i="117" l="1"/>
  <c r="N222" i="96" s="1"/>
  <c r="N120" i="117"/>
  <c r="F119" i="117"/>
  <c r="F120" i="117"/>
  <c r="F188" i="96" l="1"/>
  <c r="G117" i="117"/>
  <c r="N188" i="96"/>
  <c r="O117" i="117"/>
  <c r="F222" i="96"/>
  <c r="G119" i="117" l="1"/>
  <c r="G120" i="117"/>
  <c r="O119" i="117"/>
  <c r="O222" i="96" s="1"/>
  <c r="O120" i="117"/>
  <c r="G222" i="96" l="1"/>
  <c r="O188" i="96"/>
  <c r="P117" i="117"/>
  <c r="H117" i="117"/>
  <c r="G188" i="96"/>
  <c r="H119" i="117" l="1"/>
  <c r="H120" i="117"/>
  <c r="P119" i="117"/>
  <c r="P222" i="96" s="1"/>
  <c r="P120" i="117"/>
  <c r="P188" i="96" l="1"/>
  <c r="Q117" i="117"/>
  <c r="H222" i="96"/>
  <c r="I117" i="117"/>
  <c r="H188" i="96"/>
  <c r="Q120" i="117" l="1"/>
  <c r="Q188" i="96" s="1"/>
  <c r="Q119" i="117"/>
  <c r="Q222" i="96" s="1"/>
  <c r="I119" i="117"/>
  <c r="I222" i="96" s="1"/>
  <c r="I120" i="117"/>
  <c r="I188" i="96" l="1"/>
  <c r="J117" i="117"/>
  <c r="J120" i="117" l="1"/>
  <c r="J188" i="96" s="1"/>
  <c r="J119" i="117"/>
  <c r="J222" i="96" l="1"/>
  <c r="C119" i="117"/>
  <c r="C77" i="117"/>
  <c r="C222" i="96" l="1"/>
  <c r="D9" i="117"/>
  <c r="D134" i="117"/>
  <c r="J134" i="117"/>
  <c r="F134" i="117"/>
  <c r="D77" i="117"/>
  <c r="Q134" i="117"/>
  <c r="I134" i="117"/>
  <c r="P134" i="117"/>
  <c r="C84" i="117"/>
  <c r="C85" i="117" s="1"/>
  <c r="E134" i="117"/>
  <c r="H134" i="117"/>
  <c r="M134" i="117"/>
  <c r="O134" i="117"/>
  <c r="L134" i="117"/>
  <c r="G134" i="117"/>
  <c r="K134" i="117"/>
  <c r="N134" i="117"/>
  <c r="E77" i="117"/>
  <c r="J77" i="117"/>
  <c r="G77" i="117"/>
  <c r="I77" i="117"/>
  <c r="H77" i="117"/>
  <c r="L77" i="117"/>
  <c r="F77" i="117"/>
  <c r="M77" i="117"/>
  <c r="N77" i="117"/>
  <c r="O77" i="117"/>
  <c r="K77" i="117"/>
  <c r="P77" i="117"/>
  <c r="Q77" i="117"/>
  <c r="P135" i="117" l="1"/>
  <c r="P84" i="117"/>
  <c r="P85" i="117" s="1"/>
  <c r="L135" i="117"/>
  <c r="L84" i="117"/>
  <c r="L85" i="117" s="1"/>
  <c r="Q135" i="117"/>
  <c r="Q84" i="117"/>
  <c r="Q85" i="117" s="1"/>
  <c r="H135" i="117"/>
  <c r="H84" i="117"/>
  <c r="H85" i="117" s="1"/>
  <c r="I135" i="117"/>
  <c r="I84" i="117"/>
  <c r="I85" i="117" s="1"/>
  <c r="D135" i="117"/>
  <c r="D84" i="117"/>
  <c r="D85" i="117" s="1"/>
  <c r="K135" i="117"/>
  <c r="K84" i="117"/>
  <c r="K85" i="117" s="1"/>
  <c r="O135" i="117"/>
  <c r="O84" i="117"/>
  <c r="O85" i="117" s="1"/>
  <c r="N135" i="117"/>
  <c r="N84" i="117"/>
  <c r="N85" i="117" s="1"/>
  <c r="E84" i="117"/>
  <c r="E85" i="117" s="1"/>
  <c r="E135" i="117"/>
  <c r="C154" i="96"/>
  <c r="C88" i="117"/>
  <c r="G135" i="117"/>
  <c r="G84" i="117"/>
  <c r="G85" i="117" s="1"/>
  <c r="J135" i="117"/>
  <c r="J84" i="117"/>
  <c r="J85" i="117" s="1"/>
  <c r="D136" i="117"/>
  <c r="M135" i="117"/>
  <c r="M84" i="117"/>
  <c r="M85" i="117" s="1"/>
  <c r="F135" i="117"/>
  <c r="F84" i="117"/>
  <c r="F85" i="117" s="1"/>
  <c r="F88" i="117" l="1"/>
  <c r="F154" i="96"/>
  <c r="O88" i="117"/>
  <c r="O154" i="96"/>
  <c r="Q88" i="117"/>
  <c r="Q154" i="96"/>
  <c r="K88" i="117"/>
  <c r="K154" i="96"/>
  <c r="D154" i="96"/>
  <c r="D88" i="117"/>
  <c r="D256" i="96"/>
  <c r="E132" i="117"/>
  <c r="E136" i="117" s="1"/>
  <c r="J88" i="117"/>
  <c r="J154" i="96"/>
  <c r="P88" i="117"/>
  <c r="P154" i="96"/>
  <c r="G154" i="96"/>
  <c r="G88" i="117"/>
  <c r="H154" i="96"/>
  <c r="H88" i="117"/>
  <c r="M154" i="96"/>
  <c r="M88" i="117"/>
  <c r="L154" i="96"/>
  <c r="L88" i="117"/>
  <c r="E154" i="96"/>
  <c r="E88" i="117"/>
  <c r="N88" i="117"/>
  <c r="N154" i="96"/>
  <c r="I154" i="96"/>
  <c r="I88" i="117"/>
  <c r="P89" i="117" l="1"/>
  <c r="P102" i="117" s="1"/>
  <c r="P98" i="117" s="1"/>
  <c r="H89" i="117"/>
  <c r="H102" i="117" s="1"/>
  <c r="H98" i="117" s="1"/>
  <c r="M89" i="117"/>
  <c r="M102" i="117" s="1"/>
  <c r="M98" i="117" s="1"/>
  <c r="E256" i="96"/>
  <c r="F132" i="117"/>
  <c r="F136" i="117" s="1"/>
  <c r="Q89" i="117"/>
  <c r="Q102" i="117" s="1"/>
  <c r="Q98" i="117" s="1"/>
  <c r="D89" i="117"/>
  <c r="I89" i="117"/>
  <c r="I102" i="117" s="1"/>
  <c r="I98" i="117" s="1"/>
  <c r="K89" i="117"/>
  <c r="K102" i="117" s="1"/>
  <c r="K98" i="117" s="1"/>
  <c r="K90" i="117"/>
  <c r="K120" i="96" s="1"/>
  <c r="J89" i="117"/>
  <c r="J102" i="117" s="1"/>
  <c r="J98" i="117" s="1"/>
  <c r="N89" i="117"/>
  <c r="N102" i="117" s="1"/>
  <c r="N98" i="117" s="1"/>
  <c r="E89" i="117"/>
  <c r="E102" i="117" s="1"/>
  <c r="E98" i="117" s="1"/>
  <c r="E90" i="117"/>
  <c r="E120" i="96" s="1"/>
  <c r="G89" i="117"/>
  <c r="G102" i="117" s="1"/>
  <c r="G98" i="117" s="1"/>
  <c r="G90" i="117"/>
  <c r="G120" i="96" s="1"/>
  <c r="O89" i="117"/>
  <c r="O102" i="117" s="1"/>
  <c r="O98" i="117" s="1"/>
  <c r="L89" i="117"/>
  <c r="L102" i="117" s="1"/>
  <c r="L98" i="117" s="1"/>
  <c r="L90" i="117"/>
  <c r="L120" i="96" s="1"/>
  <c r="F89" i="117"/>
  <c r="F102" i="117" s="1"/>
  <c r="F98" i="117" s="1"/>
  <c r="F90" i="117"/>
  <c r="F120" i="96" s="1"/>
  <c r="Q307" i="96" l="1"/>
  <c r="Q103" i="117"/>
  <c r="N90" i="117"/>
  <c r="N120" i="96" s="1"/>
  <c r="Q90" i="117"/>
  <c r="Q120" i="96" s="1"/>
  <c r="H307" i="96"/>
  <c r="H103" i="117"/>
  <c r="AD120" i="96"/>
  <c r="J90" i="117"/>
  <c r="J120" i="96" s="1"/>
  <c r="I307" i="96"/>
  <c r="I103" i="117"/>
  <c r="AE120" i="96"/>
  <c r="J307" i="96"/>
  <c r="J103" i="117"/>
  <c r="F307" i="96"/>
  <c r="F103" i="117"/>
  <c r="N307" i="96"/>
  <c r="N103" i="117"/>
  <c r="O90" i="117"/>
  <c r="O120" i="96" s="1"/>
  <c r="AI120" i="96"/>
  <c r="C89" i="117"/>
  <c r="C102" i="117" s="1"/>
  <c r="C98" i="117" s="1"/>
  <c r="D102" i="117"/>
  <c r="D98" i="117" s="1"/>
  <c r="AC120" i="96"/>
  <c r="D90" i="117"/>
  <c r="P307" i="96"/>
  <c r="P103" i="117"/>
  <c r="E307" i="96"/>
  <c r="E103" i="117"/>
  <c r="M90" i="117"/>
  <c r="M120" i="96" s="1"/>
  <c r="P90" i="117"/>
  <c r="P120" i="96" s="1"/>
  <c r="O307" i="96"/>
  <c r="O103" i="117"/>
  <c r="F256" i="96"/>
  <c r="G132" i="117"/>
  <c r="G136" i="117" s="1"/>
  <c r="G307" i="96"/>
  <c r="G103" i="117"/>
  <c r="K307" i="96"/>
  <c r="K103" i="117"/>
  <c r="M307" i="96"/>
  <c r="M103" i="117"/>
  <c r="AJ120" i="96"/>
  <c r="L307" i="96"/>
  <c r="L103" i="117"/>
  <c r="I90" i="117"/>
  <c r="I120" i="96" s="1"/>
  <c r="H90" i="117"/>
  <c r="H120" i="96" s="1"/>
  <c r="L324" i="96" l="1"/>
  <c r="G109" i="117"/>
  <c r="G110" i="117"/>
  <c r="G324" i="96"/>
  <c r="H110" i="117"/>
  <c r="H109" i="117"/>
  <c r="H324" i="96"/>
  <c r="J109" i="117"/>
  <c r="J110" i="117"/>
  <c r="J324" i="96"/>
  <c r="D307" i="96"/>
  <c r="D103" i="117"/>
  <c r="M109" i="117"/>
  <c r="M110" i="117"/>
  <c r="M105" i="117"/>
  <c r="N105" i="117"/>
  <c r="N109" i="117"/>
  <c r="N110" i="117"/>
  <c r="C307" i="96"/>
  <c r="C103" i="117"/>
  <c r="E324" i="96"/>
  <c r="P324" i="96"/>
  <c r="M324" i="96"/>
  <c r="O105" i="117"/>
  <c r="O110" i="117"/>
  <c r="O109" i="117"/>
  <c r="D120" i="96"/>
  <c r="C90" i="117"/>
  <c r="AF120" i="96"/>
  <c r="K110" i="117"/>
  <c r="K109" i="117"/>
  <c r="O324" i="96"/>
  <c r="N324" i="96"/>
  <c r="I324" i="96"/>
  <c r="Q105" i="117"/>
  <c r="Q110" i="117"/>
  <c r="Q109" i="117"/>
  <c r="L109" i="117"/>
  <c r="L110" i="117"/>
  <c r="F324" i="96"/>
  <c r="E110" i="117"/>
  <c r="E109" i="117"/>
  <c r="G256" i="96"/>
  <c r="H132" i="117"/>
  <c r="H136" i="117" s="1"/>
  <c r="P105" i="117"/>
  <c r="P110" i="117"/>
  <c r="P109" i="117"/>
  <c r="I109" i="117"/>
  <c r="I110" i="117"/>
  <c r="AG120" i="96"/>
  <c r="K324" i="96"/>
  <c r="F109" i="117"/>
  <c r="F110" i="117"/>
  <c r="AH120" i="96"/>
  <c r="Q324" i="96"/>
  <c r="H256" i="96" l="1"/>
  <c r="I132" i="117"/>
  <c r="I136" i="117" s="1"/>
  <c r="C324" i="96"/>
  <c r="D109" i="117"/>
  <c r="B109" i="117" s="1"/>
  <c r="I9" i="117" s="1"/>
  <c r="D110" i="117"/>
  <c r="D324" i="96"/>
  <c r="N9" i="117"/>
  <c r="H5" i="104" s="1"/>
  <c r="C120" i="96"/>
  <c r="AB120" i="96"/>
  <c r="C105" i="117"/>
  <c r="AA120" i="96" l="1"/>
  <c r="I10" i="117"/>
  <c r="C106" i="117"/>
  <c r="N8" i="117"/>
  <c r="E5" i="104" s="1"/>
  <c r="I256" i="96"/>
  <c r="J132" i="117"/>
  <c r="J136" i="117" s="1"/>
  <c r="J256" i="96" l="1"/>
  <c r="K132" i="117"/>
  <c r="K136" i="117" s="1"/>
  <c r="I5" i="104"/>
  <c r="G5" i="104"/>
  <c r="K256" i="96" l="1"/>
  <c r="L132" i="117"/>
  <c r="L136" i="117" s="1"/>
  <c r="M132" i="117" l="1"/>
  <c r="M136" i="117" s="1"/>
  <c r="L256" i="96"/>
  <c r="M256" i="96" l="1"/>
  <c r="N132" i="117"/>
  <c r="N136" i="117" s="1"/>
  <c r="N256" i="96" l="1"/>
  <c r="O132" i="117"/>
  <c r="O136" i="117" s="1"/>
  <c r="O256" i="96" l="1"/>
  <c r="P132" i="117"/>
  <c r="P136" i="117" s="1"/>
  <c r="Q132" i="117" l="1"/>
  <c r="Q136" i="117" s="1"/>
  <c r="Q256" i="96" s="1"/>
  <c r="P256" i="96"/>
  <c r="C114" i="133"/>
  <c r="V116" i="133" l="1"/>
  <c r="V247" i="96" s="1"/>
  <c r="P116" i="133"/>
  <c r="P247" i="96" s="1"/>
  <c r="M116" i="133"/>
  <c r="M247" i="96" s="1"/>
  <c r="N116" i="133"/>
  <c r="N247" i="96" s="1"/>
  <c r="O116" i="133"/>
  <c r="O247" i="96" s="1"/>
  <c r="E116" i="133"/>
  <c r="K116" i="133"/>
  <c r="K247" i="96" s="1"/>
  <c r="I116" i="133"/>
  <c r="I247" i="96" s="1"/>
  <c r="S116" i="133"/>
  <c r="S247" i="96" s="1"/>
  <c r="T116" i="133"/>
  <c r="T247" i="96" s="1"/>
  <c r="H116" i="133"/>
  <c r="H247" i="96" s="1"/>
  <c r="G116" i="133"/>
  <c r="G247" i="96" s="1"/>
  <c r="R116" i="133"/>
  <c r="R247" i="96" s="1"/>
  <c r="J116" i="133"/>
  <c r="J247" i="96" s="1"/>
  <c r="Q116" i="133"/>
  <c r="Q247" i="96" s="1"/>
  <c r="F116" i="133"/>
  <c r="W116" i="133"/>
  <c r="U116" i="133"/>
  <c r="U247" i="96" s="1"/>
  <c r="L116" i="133"/>
  <c r="L247" i="96" s="1"/>
  <c r="I7" i="133"/>
  <c r="D116" i="133"/>
  <c r="E247" i="96" l="1"/>
  <c r="E117" i="133"/>
  <c r="F247" i="96"/>
  <c r="F117" i="133"/>
  <c r="D247" i="96"/>
  <c r="D117" i="133"/>
  <c r="D120" i="133" l="1"/>
  <c r="D196" i="96" s="1"/>
  <c r="D119" i="133"/>
  <c r="F119" i="133"/>
  <c r="F230" i="96" s="1"/>
  <c r="F120" i="133"/>
  <c r="E120" i="133"/>
  <c r="E196" i="96" s="1"/>
  <c r="E119" i="133"/>
  <c r="E230" i="96" s="1"/>
  <c r="D230" i="96" l="1"/>
  <c r="F196" i="96"/>
  <c r="G117" i="133"/>
  <c r="G119" i="133" l="1"/>
  <c r="G120" i="133"/>
  <c r="G196" i="96" l="1"/>
  <c r="H117" i="133"/>
  <c r="G230" i="96"/>
  <c r="H119" i="133" l="1"/>
  <c r="H120" i="133"/>
  <c r="H196" i="96" l="1"/>
  <c r="I117" i="133"/>
  <c r="H230" i="96"/>
  <c r="I119" i="133" l="1"/>
  <c r="I120" i="133"/>
  <c r="I196" i="96" l="1"/>
  <c r="J117" i="133"/>
  <c r="I230" i="96"/>
  <c r="J119" i="133" l="1"/>
  <c r="J120" i="133"/>
  <c r="J196" i="96" l="1"/>
  <c r="K117" i="133"/>
  <c r="J230" i="96"/>
  <c r="K119" i="133" l="1"/>
  <c r="K230" i="96" s="1"/>
  <c r="K120" i="133"/>
  <c r="K196" i="96" l="1"/>
  <c r="L117" i="133"/>
  <c r="L119" i="133" l="1"/>
  <c r="L230" i="96" s="1"/>
  <c r="L120" i="133"/>
  <c r="L196" i="96" l="1"/>
  <c r="M117" i="133"/>
  <c r="M120" i="133" l="1"/>
  <c r="M119" i="133"/>
  <c r="M230" i="96" l="1"/>
  <c r="C77" i="133"/>
  <c r="M196" i="96"/>
  <c r="N117" i="133"/>
  <c r="N119" i="133" l="1"/>
  <c r="N230" i="96" s="1"/>
  <c r="N120" i="133"/>
  <c r="L134" i="133"/>
  <c r="J134" i="133"/>
  <c r="G134" i="133"/>
  <c r="U134" i="133"/>
  <c r="T134" i="133"/>
  <c r="P134" i="133"/>
  <c r="K134" i="133"/>
  <c r="O134" i="133"/>
  <c r="R134" i="133"/>
  <c r="N134" i="133"/>
  <c r="E134" i="133"/>
  <c r="F134" i="133"/>
  <c r="Q134" i="133"/>
  <c r="W134" i="133"/>
  <c r="I134" i="133"/>
  <c r="W77" i="133"/>
  <c r="S134" i="133"/>
  <c r="M134" i="133"/>
  <c r="D134" i="133"/>
  <c r="V134" i="133"/>
  <c r="H134" i="133"/>
  <c r="U77" i="133"/>
  <c r="K77" i="133"/>
  <c r="Q77" i="133"/>
  <c r="C84" i="133"/>
  <c r="G77" i="133"/>
  <c r="S77" i="133"/>
  <c r="D77" i="133"/>
  <c r="P77" i="133"/>
  <c r="L77" i="133"/>
  <c r="O77" i="133"/>
  <c r="E77" i="133"/>
  <c r="J77" i="133"/>
  <c r="R77" i="133"/>
  <c r="I77" i="133"/>
  <c r="F77" i="133"/>
  <c r="T77" i="133"/>
  <c r="N77" i="133"/>
  <c r="M77" i="133"/>
  <c r="V77" i="133"/>
  <c r="H77" i="133"/>
  <c r="F135" i="133" l="1"/>
  <c r="F84" i="133"/>
  <c r="F85" i="133" s="1"/>
  <c r="L135" i="133"/>
  <c r="L84" i="133"/>
  <c r="L85" i="133" s="1"/>
  <c r="N135" i="133"/>
  <c r="N84" i="133"/>
  <c r="N85" i="133" s="1"/>
  <c r="S135" i="133"/>
  <c r="S84" i="133"/>
  <c r="S85" i="133" s="1"/>
  <c r="T135" i="133"/>
  <c r="T84" i="133"/>
  <c r="T85" i="133" s="1"/>
  <c r="I135" i="133"/>
  <c r="I84" i="133"/>
  <c r="I85" i="133" s="1"/>
  <c r="R135" i="133"/>
  <c r="R84" i="133"/>
  <c r="R85" i="133" s="1"/>
  <c r="H135" i="133"/>
  <c r="H84" i="133"/>
  <c r="H85" i="133" s="1"/>
  <c r="C91" i="133"/>
  <c r="N6" i="133" s="1"/>
  <c r="C85" i="133"/>
  <c r="E135" i="133"/>
  <c r="E84" i="133"/>
  <c r="E85" i="133" s="1"/>
  <c r="W135" i="133"/>
  <c r="W84" i="133"/>
  <c r="N196" i="96"/>
  <c r="O117" i="133"/>
  <c r="U135" i="133"/>
  <c r="U84" i="133"/>
  <c r="U85" i="133" s="1"/>
  <c r="P135" i="133"/>
  <c r="P84" i="133"/>
  <c r="P85" i="133" s="1"/>
  <c r="D135" i="133"/>
  <c r="D84" i="133"/>
  <c r="D85" i="133" s="1"/>
  <c r="D136" i="133"/>
  <c r="G135" i="133"/>
  <c r="G84" i="133"/>
  <c r="G85" i="133" s="1"/>
  <c r="J135" i="133"/>
  <c r="J84" i="133"/>
  <c r="J85" i="133" s="1"/>
  <c r="V135" i="133"/>
  <c r="V84" i="133"/>
  <c r="Q135" i="133"/>
  <c r="Q84" i="133"/>
  <c r="Q85" i="133" s="1"/>
  <c r="M135" i="133"/>
  <c r="M84" i="133"/>
  <c r="M85" i="133" s="1"/>
  <c r="O135" i="133"/>
  <c r="O84" i="133"/>
  <c r="O85" i="133" s="1"/>
  <c r="K135" i="133"/>
  <c r="K84" i="133"/>
  <c r="K85" i="133" s="1"/>
  <c r="S162" i="96" l="1"/>
  <c r="S88" i="133"/>
  <c r="O119" i="133"/>
  <c r="O230" i="96" s="1"/>
  <c r="O120" i="133"/>
  <c r="Q162" i="96"/>
  <c r="Q88" i="133"/>
  <c r="W91" i="133"/>
  <c r="W85" i="133"/>
  <c r="W88" i="133" s="1"/>
  <c r="K162" i="96"/>
  <c r="K88" i="133"/>
  <c r="P162" i="96"/>
  <c r="P88" i="133"/>
  <c r="H162" i="96"/>
  <c r="H88" i="133"/>
  <c r="D162" i="96"/>
  <c r="D88" i="133"/>
  <c r="I162" i="96"/>
  <c r="I88" i="133"/>
  <c r="D264" i="96"/>
  <c r="E132" i="133"/>
  <c r="E136" i="133" s="1"/>
  <c r="R162" i="96"/>
  <c r="R88" i="133"/>
  <c r="N162" i="96"/>
  <c r="N88" i="133"/>
  <c r="V91" i="133"/>
  <c r="V85" i="133"/>
  <c r="E162" i="96"/>
  <c r="E88" i="133"/>
  <c r="T88" i="133"/>
  <c r="T162" i="96"/>
  <c r="F162" i="96"/>
  <c r="F88" i="133"/>
  <c r="L162" i="96"/>
  <c r="L88" i="133"/>
  <c r="O162" i="96"/>
  <c r="O88" i="133"/>
  <c r="J162" i="96"/>
  <c r="J88" i="133"/>
  <c r="U162" i="96"/>
  <c r="U88" i="133"/>
  <c r="C162" i="96"/>
  <c r="C179" i="96" s="1"/>
  <c r="K13" i="104" s="1"/>
  <c r="C88" i="133"/>
  <c r="M162" i="96"/>
  <c r="M88" i="133"/>
  <c r="G162" i="96"/>
  <c r="G88" i="133"/>
  <c r="N89" i="133" l="1"/>
  <c r="N102" i="133" s="1"/>
  <c r="N98" i="133" s="1"/>
  <c r="W89" i="133"/>
  <c r="W102" i="133" s="1"/>
  <c r="W98" i="133" s="1"/>
  <c r="W103" i="133" s="1"/>
  <c r="Q89" i="133"/>
  <c r="Q102" i="133" s="1"/>
  <c r="Q98" i="133" s="1"/>
  <c r="T89" i="133"/>
  <c r="T102" i="133" s="1"/>
  <c r="T98" i="133" s="1"/>
  <c r="U89" i="133"/>
  <c r="U102" i="133" s="1"/>
  <c r="U98" i="133" s="1"/>
  <c r="E264" i="96"/>
  <c r="F132" i="133"/>
  <c r="F136" i="133" s="1"/>
  <c r="J89" i="133"/>
  <c r="J102" i="133" s="1"/>
  <c r="J98" i="133" s="1"/>
  <c r="R89" i="133"/>
  <c r="R102" i="133" s="1"/>
  <c r="R98" i="133" s="1"/>
  <c r="F90" i="133"/>
  <c r="F128" i="96" s="1"/>
  <c r="AD128" i="96" s="1"/>
  <c r="F89" i="133"/>
  <c r="F102" i="133" s="1"/>
  <c r="F98" i="133" s="1"/>
  <c r="G89" i="133"/>
  <c r="G102" i="133" s="1"/>
  <c r="G98" i="133" s="1"/>
  <c r="M89" i="133"/>
  <c r="M102" i="133" s="1"/>
  <c r="M98" i="133" s="1"/>
  <c r="E90" i="133"/>
  <c r="E128" i="96" s="1"/>
  <c r="AC128" i="96" s="1"/>
  <c r="E89" i="133"/>
  <c r="E102" i="133" s="1"/>
  <c r="E98" i="133" s="1"/>
  <c r="P89" i="133"/>
  <c r="P102" i="133" s="1"/>
  <c r="P98" i="133" s="1"/>
  <c r="O196" i="96"/>
  <c r="P117" i="133"/>
  <c r="L89" i="133"/>
  <c r="L102" i="133" s="1"/>
  <c r="L98" i="133" s="1"/>
  <c r="V162" i="96"/>
  <c r="V88" i="133"/>
  <c r="I89" i="133"/>
  <c r="I102" i="133" s="1"/>
  <c r="I98" i="133" s="1"/>
  <c r="K89" i="133"/>
  <c r="K102" i="133" s="1"/>
  <c r="K98" i="133" s="1"/>
  <c r="S89" i="133"/>
  <c r="S102" i="133" s="1"/>
  <c r="S98" i="133" s="1"/>
  <c r="D89" i="133"/>
  <c r="H89" i="133"/>
  <c r="H102" i="133" s="1"/>
  <c r="H98" i="133" s="1"/>
  <c r="O89" i="133"/>
  <c r="O102" i="133" s="1"/>
  <c r="O98" i="133" s="1"/>
  <c r="P90" i="133" l="1"/>
  <c r="P128" i="96" s="1"/>
  <c r="R90" i="133"/>
  <c r="R128" i="96" s="1"/>
  <c r="D102" i="133"/>
  <c r="D98" i="133" s="1"/>
  <c r="J103" i="133"/>
  <c r="J315" i="96"/>
  <c r="J332" i="96" s="1"/>
  <c r="T90" i="133"/>
  <c r="T128" i="96" s="1"/>
  <c r="V179" i="96"/>
  <c r="L103" i="133"/>
  <c r="L315" i="96"/>
  <c r="L332" i="96" s="1"/>
  <c r="L90" i="133"/>
  <c r="L128" i="96" s="1"/>
  <c r="AJ128" i="96" s="1"/>
  <c r="P119" i="133"/>
  <c r="P230" i="96" s="1"/>
  <c r="P120" i="133"/>
  <c r="Q90" i="133"/>
  <c r="Q128" i="96" s="1"/>
  <c r="T103" i="133"/>
  <c r="T315" i="96"/>
  <c r="Q103" i="133"/>
  <c r="Q315" i="96"/>
  <c r="Q332" i="96" s="1"/>
  <c r="F264" i="96"/>
  <c r="G132" i="133"/>
  <c r="G136" i="133" s="1"/>
  <c r="S103" i="133"/>
  <c r="S315" i="96"/>
  <c r="S90" i="133"/>
  <c r="S128" i="96" s="1"/>
  <c r="M90" i="133"/>
  <c r="M128" i="96" s="1"/>
  <c r="O90" i="133"/>
  <c r="O128" i="96" s="1"/>
  <c r="H103" i="133"/>
  <c r="H315" i="96"/>
  <c r="H332" i="96" s="1"/>
  <c r="G90" i="133"/>
  <c r="G128" i="96" s="1"/>
  <c r="AE128" i="96" s="1"/>
  <c r="W110" i="133"/>
  <c r="W109" i="133"/>
  <c r="W105" i="133"/>
  <c r="H90" i="133"/>
  <c r="H128" i="96" s="1"/>
  <c r="AF128" i="96" s="1"/>
  <c r="I90" i="133"/>
  <c r="I128" i="96" s="1"/>
  <c r="AG128" i="96" s="1"/>
  <c r="P103" i="133"/>
  <c r="P315" i="96"/>
  <c r="P332" i="96" s="1"/>
  <c r="F103" i="133"/>
  <c r="F315" i="96"/>
  <c r="F332" i="96" s="1"/>
  <c r="W90" i="133"/>
  <c r="W92" i="133" s="1"/>
  <c r="M103" i="133"/>
  <c r="M315" i="96"/>
  <c r="M332" i="96" s="1"/>
  <c r="K103" i="133"/>
  <c r="K315" i="96"/>
  <c r="K332" i="96" s="1"/>
  <c r="I103" i="133"/>
  <c r="I315" i="96"/>
  <c r="I332" i="96" s="1"/>
  <c r="U103" i="133"/>
  <c r="U315" i="96"/>
  <c r="N315" i="96"/>
  <c r="N332" i="96" s="1"/>
  <c r="N103" i="133"/>
  <c r="O103" i="133"/>
  <c r="O315" i="96"/>
  <c r="O332" i="96" s="1"/>
  <c r="J90" i="133"/>
  <c r="J128" i="96" s="1"/>
  <c r="AH128" i="96" s="1"/>
  <c r="G103" i="133"/>
  <c r="G315" i="96"/>
  <c r="G332" i="96" s="1"/>
  <c r="K90" i="133"/>
  <c r="K128" i="96" s="1"/>
  <c r="AI128" i="96" s="1"/>
  <c r="D90" i="133"/>
  <c r="V89" i="133"/>
  <c r="V102" i="133" s="1"/>
  <c r="V98" i="133" s="1"/>
  <c r="E103" i="133"/>
  <c r="E315" i="96"/>
  <c r="E332" i="96" s="1"/>
  <c r="R103" i="133"/>
  <c r="R315" i="96"/>
  <c r="R332" i="96" s="1"/>
  <c r="U90" i="133"/>
  <c r="U128" i="96" s="1"/>
  <c r="N90" i="133"/>
  <c r="N128" i="96" s="1"/>
  <c r="T332" i="96" l="1"/>
  <c r="M110" i="133"/>
  <c r="M109" i="133"/>
  <c r="D128" i="96"/>
  <c r="AB128" i="96" s="1"/>
  <c r="C90" i="133"/>
  <c r="S332" i="96"/>
  <c r="O110" i="133"/>
  <c r="O109" i="133"/>
  <c r="O105" i="133"/>
  <c r="L110" i="133"/>
  <c r="L109" i="133"/>
  <c r="P196" i="96"/>
  <c r="Q117" i="133"/>
  <c r="U332" i="96"/>
  <c r="J110" i="133"/>
  <c r="J109" i="133"/>
  <c r="V103" i="133"/>
  <c r="V315" i="96"/>
  <c r="Q109" i="133"/>
  <c r="Q105" i="133"/>
  <c r="Q110" i="133"/>
  <c r="N110" i="133"/>
  <c r="N109" i="133"/>
  <c r="N105" i="133"/>
  <c r="T109" i="133"/>
  <c r="T110" i="133"/>
  <c r="T105" i="133"/>
  <c r="F110" i="133"/>
  <c r="F109" i="133"/>
  <c r="I109" i="133"/>
  <c r="I110" i="133"/>
  <c r="C89" i="133"/>
  <c r="C102" i="133" s="1"/>
  <c r="C98" i="133" s="1"/>
  <c r="K109" i="133"/>
  <c r="K110" i="133"/>
  <c r="V90" i="133"/>
  <c r="U105" i="133"/>
  <c r="U109" i="133"/>
  <c r="U110" i="133"/>
  <c r="S105" i="133"/>
  <c r="S110" i="133"/>
  <c r="S109" i="133"/>
  <c r="R110" i="133"/>
  <c r="R109" i="133"/>
  <c r="R105" i="133"/>
  <c r="G110" i="133"/>
  <c r="G109" i="133"/>
  <c r="G264" i="96"/>
  <c r="H132" i="133"/>
  <c r="H136" i="133" s="1"/>
  <c r="E110" i="133"/>
  <c r="E109" i="133"/>
  <c r="P105" i="133"/>
  <c r="P110" i="133"/>
  <c r="P109" i="133"/>
  <c r="H109" i="133"/>
  <c r="H110" i="133"/>
  <c r="D103" i="133"/>
  <c r="D315" i="96"/>
  <c r="D332" i="96" s="1"/>
  <c r="C103" i="133" l="1"/>
  <c r="C315" i="96"/>
  <c r="C332" i="96" s="1"/>
  <c r="H264" i="96"/>
  <c r="I132" i="133"/>
  <c r="I136" i="133" s="1"/>
  <c r="C105" i="133"/>
  <c r="V332" i="96"/>
  <c r="C92" i="133"/>
  <c r="N7" i="133" s="1"/>
  <c r="N9" i="133"/>
  <c r="H13" i="104" s="1"/>
  <c r="C128" i="96"/>
  <c r="V105" i="133"/>
  <c r="V109" i="133"/>
  <c r="V110" i="133"/>
  <c r="D110" i="133"/>
  <c r="D109" i="133"/>
  <c r="V92" i="133"/>
  <c r="V128" i="96"/>
  <c r="Q119" i="133"/>
  <c r="Q230" i="96" s="1"/>
  <c r="Q120" i="133"/>
  <c r="Q196" i="96" l="1"/>
  <c r="R117" i="133"/>
  <c r="I264" i="96"/>
  <c r="J132" i="133"/>
  <c r="J136" i="133" s="1"/>
  <c r="C145" i="96"/>
  <c r="L13" i="104" s="1"/>
  <c r="AA128" i="96"/>
  <c r="I10" i="133"/>
  <c r="C106" i="133"/>
  <c r="N8" i="133"/>
  <c r="E13" i="104" s="1"/>
  <c r="V145" i="96"/>
  <c r="B109" i="133"/>
  <c r="I9" i="133" s="1"/>
  <c r="R119" i="133" l="1"/>
  <c r="R230" i="96" s="1"/>
  <c r="R120" i="133"/>
  <c r="J264" i="96"/>
  <c r="K132" i="133"/>
  <c r="K136" i="133" s="1"/>
  <c r="I13" i="104"/>
  <c r="G13" i="104"/>
  <c r="K264" i="96" l="1"/>
  <c r="L132" i="133"/>
  <c r="L136" i="133" s="1"/>
  <c r="R196" i="96"/>
  <c r="S117" i="133"/>
  <c r="L264" i="96" l="1"/>
  <c r="M132" i="133"/>
  <c r="M136" i="133" s="1"/>
  <c r="S119" i="133"/>
  <c r="S230" i="96" s="1"/>
  <c r="S120" i="133"/>
  <c r="T117" i="133" l="1"/>
  <c r="S196" i="96"/>
  <c r="M264" i="96"/>
  <c r="N132" i="133"/>
  <c r="N136" i="133" s="1"/>
  <c r="O132" i="133" l="1"/>
  <c r="O136" i="133" s="1"/>
  <c r="N264" i="96"/>
  <c r="T119" i="133"/>
  <c r="T230" i="96" s="1"/>
  <c r="T120" i="133"/>
  <c r="T196" i="96" l="1"/>
  <c r="U117" i="133"/>
  <c r="O264" i="96"/>
  <c r="P132" i="133"/>
  <c r="P136" i="133" s="1"/>
  <c r="P264" i="96" l="1"/>
  <c r="Q132" i="133"/>
  <c r="Q136" i="133" s="1"/>
  <c r="U119" i="133"/>
  <c r="U120" i="133"/>
  <c r="U230" i="96" l="1"/>
  <c r="U196" i="96"/>
  <c r="V117" i="133"/>
  <c r="Q264" i="96"/>
  <c r="R132" i="133"/>
  <c r="R136" i="133" s="1"/>
  <c r="R264" i="96" l="1"/>
  <c r="S132" i="133"/>
  <c r="S136" i="133" s="1"/>
  <c r="V120" i="133"/>
  <c r="V119" i="133"/>
  <c r="V230" i="96" l="1"/>
  <c r="V196" i="96"/>
  <c r="W117" i="133"/>
  <c r="T132" i="133"/>
  <c r="T136" i="133" s="1"/>
  <c r="S264" i="96"/>
  <c r="U132" i="133" l="1"/>
  <c r="U136" i="133" s="1"/>
  <c r="T264" i="96"/>
  <c r="W120" i="133"/>
  <c r="W119" i="133"/>
  <c r="C119" i="133" s="1"/>
  <c r="C230" i="96" l="1"/>
  <c r="D9" i="133"/>
  <c r="U264" i="96"/>
  <c r="V132" i="133"/>
  <c r="V136" i="133" s="1"/>
  <c r="W132" i="133" l="1"/>
  <c r="W136" i="133" s="1"/>
  <c r="V264" i="96"/>
  <c r="C114" i="159"/>
  <c r="D116" i="159" s="1"/>
  <c r="D117" i="159" s="1"/>
  <c r="D120" i="159" s="1"/>
  <c r="D189" i="96" s="1"/>
  <c r="D119" i="159" l="1"/>
  <c r="D240" i="96"/>
  <c r="G116" i="159"/>
  <c r="G240" i="96" s="1"/>
  <c r="K116" i="159"/>
  <c r="K240" i="96" s="1"/>
  <c r="E116" i="159"/>
  <c r="M116" i="159"/>
  <c r="M240" i="96" s="1"/>
  <c r="J116" i="159"/>
  <c r="J240" i="96" s="1"/>
  <c r="L116" i="159"/>
  <c r="L240" i="96" s="1"/>
  <c r="I116" i="159"/>
  <c r="I240" i="96" s="1"/>
  <c r="F116" i="159"/>
  <c r="L118" i="159"/>
  <c r="H116" i="159"/>
  <c r="H240" i="96" s="1"/>
  <c r="I7" i="159"/>
  <c r="C116" i="159" l="1"/>
  <c r="C118" i="159"/>
  <c r="C206" i="96" s="1"/>
  <c r="L206" i="96"/>
  <c r="E240" i="96"/>
  <c r="E117" i="159"/>
  <c r="F240" i="96"/>
  <c r="F117" i="159"/>
  <c r="D223" i="96"/>
  <c r="E119" i="159" l="1"/>
  <c r="E120" i="159"/>
  <c r="E189" i="96" s="1"/>
  <c r="F119" i="159"/>
  <c r="F223" i="96" s="1"/>
  <c r="F120" i="159"/>
  <c r="F189" i="96" l="1"/>
  <c r="G117" i="159"/>
  <c r="E223" i="96"/>
  <c r="G119" i="159" l="1"/>
  <c r="G120" i="159"/>
  <c r="G189" i="96" l="1"/>
  <c r="H117" i="159"/>
  <c r="G223" i="96"/>
  <c r="H119" i="159" l="1"/>
  <c r="H120" i="159"/>
  <c r="H189" i="96" l="1"/>
  <c r="I117" i="159"/>
  <c r="H223" i="96"/>
  <c r="I119" i="159" l="1"/>
  <c r="I120" i="159"/>
  <c r="I189" i="96" l="1"/>
  <c r="J117" i="159"/>
  <c r="I223" i="96"/>
  <c r="J119" i="159" l="1"/>
  <c r="J223" i="96" s="1"/>
  <c r="J120" i="159"/>
  <c r="J189" i="96" l="1"/>
  <c r="K117" i="159"/>
  <c r="K120" i="159" l="1"/>
  <c r="K119" i="159"/>
  <c r="K223" i="96" s="1"/>
  <c r="K189" i="96" l="1"/>
  <c r="L117" i="159"/>
  <c r="L120" i="159" l="1"/>
  <c r="L119" i="159"/>
  <c r="L223" i="96" s="1"/>
  <c r="L189" i="96" l="1"/>
  <c r="M117" i="159"/>
  <c r="M120" i="159" l="1"/>
  <c r="M189" i="96" s="1"/>
  <c r="M119" i="159"/>
  <c r="M223" i="96" l="1"/>
  <c r="M78" i="159"/>
  <c r="C119" i="159"/>
  <c r="C77" i="159"/>
  <c r="C223" i="96" l="1"/>
  <c r="D9" i="159"/>
  <c r="F134" i="159"/>
  <c r="J134" i="159"/>
  <c r="L134" i="159"/>
  <c r="H134" i="159"/>
  <c r="K134" i="159"/>
  <c r="I134" i="159"/>
  <c r="G134" i="159"/>
  <c r="E134" i="159"/>
  <c r="M134" i="159"/>
  <c r="C84" i="159"/>
  <c r="D134" i="159"/>
  <c r="J77" i="159"/>
  <c r="K77" i="159"/>
  <c r="F77" i="159"/>
  <c r="I77" i="159"/>
  <c r="H77" i="159"/>
  <c r="M77" i="159"/>
  <c r="D77" i="159"/>
  <c r="E77" i="159"/>
  <c r="L77" i="159"/>
  <c r="G77" i="159"/>
  <c r="M87" i="159"/>
  <c r="C78" i="159"/>
  <c r="C87" i="159" s="1"/>
  <c r="F135" i="159" l="1"/>
  <c r="F84" i="159"/>
  <c r="F85" i="159" s="1"/>
  <c r="G135" i="159"/>
  <c r="G84" i="159"/>
  <c r="G85" i="159" s="1"/>
  <c r="K135" i="159"/>
  <c r="K84" i="159"/>
  <c r="K85" i="159" s="1"/>
  <c r="E135" i="159"/>
  <c r="E84" i="159"/>
  <c r="E85" i="159" s="1"/>
  <c r="D135" i="159"/>
  <c r="D136" i="159" s="1"/>
  <c r="D84" i="159"/>
  <c r="D85" i="159" s="1"/>
  <c r="M135" i="159"/>
  <c r="M84" i="159"/>
  <c r="H135" i="159"/>
  <c r="H84" i="159"/>
  <c r="H85" i="159" s="1"/>
  <c r="L135" i="159"/>
  <c r="L84" i="159"/>
  <c r="L85" i="159" s="1"/>
  <c r="J135" i="159"/>
  <c r="J84" i="159"/>
  <c r="J85" i="159" s="1"/>
  <c r="C85" i="159"/>
  <c r="C91" i="159"/>
  <c r="N6" i="159" s="1"/>
  <c r="I135" i="159"/>
  <c r="I84" i="159"/>
  <c r="I85" i="159" s="1"/>
  <c r="D257" i="96" l="1"/>
  <c r="E132" i="159"/>
  <c r="E136" i="159" s="1"/>
  <c r="I88" i="159"/>
  <c r="I155" i="96"/>
  <c r="K155" i="96"/>
  <c r="K88" i="159"/>
  <c r="D155" i="96"/>
  <c r="D88" i="159"/>
  <c r="H155" i="96"/>
  <c r="H88" i="159"/>
  <c r="M91" i="159"/>
  <c r="M85" i="159"/>
  <c r="C155" i="96"/>
  <c r="C88" i="159"/>
  <c r="J155" i="96"/>
  <c r="J88" i="159"/>
  <c r="G88" i="159"/>
  <c r="G155" i="96"/>
  <c r="F88" i="159"/>
  <c r="F155" i="96"/>
  <c r="L155" i="96"/>
  <c r="L88" i="159"/>
  <c r="E155" i="96"/>
  <c r="E88" i="159"/>
  <c r="E89" i="159" l="1"/>
  <c r="E102" i="159" s="1"/>
  <c r="E98" i="159" s="1"/>
  <c r="D89" i="159"/>
  <c r="I89" i="159"/>
  <c r="I102" i="159" s="1"/>
  <c r="I98" i="159" s="1"/>
  <c r="L89" i="159"/>
  <c r="L102" i="159" s="1"/>
  <c r="L98" i="159" s="1"/>
  <c r="L90" i="159"/>
  <c r="L121" i="96" s="1"/>
  <c r="K89" i="159"/>
  <c r="K102" i="159" s="1"/>
  <c r="K98" i="159" s="1"/>
  <c r="C172" i="96"/>
  <c r="K6" i="104" s="1"/>
  <c r="M155" i="96"/>
  <c r="M88" i="159"/>
  <c r="H89" i="159"/>
  <c r="H102" i="159" s="1"/>
  <c r="H98" i="159" s="1"/>
  <c r="F132" i="159"/>
  <c r="F136" i="159" s="1"/>
  <c r="E257" i="96"/>
  <c r="J89" i="159"/>
  <c r="J102" i="159" s="1"/>
  <c r="J98" i="159" s="1"/>
  <c r="F89" i="159"/>
  <c r="F102" i="159" s="1"/>
  <c r="F98" i="159" s="1"/>
  <c r="G89" i="159"/>
  <c r="G102" i="159" s="1"/>
  <c r="G98" i="159" s="1"/>
  <c r="J90" i="159" l="1"/>
  <c r="J121" i="96" s="1"/>
  <c r="I90" i="159"/>
  <c r="I121" i="96" s="1"/>
  <c r="G103" i="159"/>
  <c r="G308" i="96"/>
  <c r="J103" i="159"/>
  <c r="J308" i="96"/>
  <c r="F257" i="96"/>
  <c r="G132" i="159"/>
  <c r="G136" i="159" s="1"/>
  <c r="AJ121" i="96"/>
  <c r="AH121" i="96"/>
  <c r="F103" i="159"/>
  <c r="F308" i="96"/>
  <c r="K90" i="159"/>
  <c r="K121" i="96" s="1"/>
  <c r="D102" i="159"/>
  <c r="D98" i="159" s="1"/>
  <c r="C89" i="159"/>
  <c r="C102" i="159" s="1"/>
  <c r="C98" i="159" s="1"/>
  <c r="F90" i="159"/>
  <c r="F121" i="96" s="1"/>
  <c r="H103" i="159"/>
  <c r="H308" i="96"/>
  <c r="D90" i="159"/>
  <c r="H90" i="159"/>
  <c r="H121" i="96" s="1"/>
  <c r="E103" i="159"/>
  <c r="E308" i="96"/>
  <c r="AG121" i="96"/>
  <c r="G90" i="159"/>
  <c r="G121" i="96" s="1"/>
  <c r="K103" i="159"/>
  <c r="K308" i="96"/>
  <c r="L103" i="159"/>
  <c r="L308" i="96"/>
  <c r="M89" i="159"/>
  <c r="M102" i="159" s="1"/>
  <c r="M98" i="159" s="1"/>
  <c r="M172" i="96"/>
  <c r="I103" i="159"/>
  <c r="I308" i="96"/>
  <c r="E90" i="159"/>
  <c r="E121" i="96" s="1"/>
  <c r="M90" i="159" l="1"/>
  <c r="E109" i="159"/>
  <c r="E110" i="159"/>
  <c r="E325" i="96"/>
  <c r="I325" i="96"/>
  <c r="C308" i="96"/>
  <c r="C103" i="159"/>
  <c r="D103" i="159"/>
  <c r="D308" i="96"/>
  <c r="L325" i="96"/>
  <c r="AF121" i="96"/>
  <c r="D121" i="96"/>
  <c r="C90" i="159"/>
  <c r="H325" i="96"/>
  <c r="AC121" i="96"/>
  <c r="L110" i="159"/>
  <c r="L109" i="159"/>
  <c r="J325" i="96"/>
  <c r="K325" i="96"/>
  <c r="F110" i="159"/>
  <c r="F109" i="159"/>
  <c r="J109" i="159"/>
  <c r="J110" i="159"/>
  <c r="H110" i="159"/>
  <c r="H109" i="159"/>
  <c r="G325" i="96"/>
  <c r="M308" i="96"/>
  <c r="M103" i="159"/>
  <c r="G257" i="96"/>
  <c r="H132" i="159"/>
  <c r="H136" i="159" s="1"/>
  <c r="AI121" i="96"/>
  <c r="F325" i="96"/>
  <c r="I110" i="159"/>
  <c r="I109" i="159"/>
  <c r="K110" i="159"/>
  <c r="K109" i="159"/>
  <c r="AE121" i="96"/>
  <c r="AD121" i="96"/>
  <c r="G110" i="159"/>
  <c r="G109" i="159"/>
  <c r="M110" i="159" l="1"/>
  <c r="M105" i="159"/>
  <c r="C105" i="159" s="1"/>
  <c r="M109" i="159"/>
  <c r="M325" i="96"/>
  <c r="N9" i="159"/>
  <c r="H6" i="104" s="1"/>
  <c r="C92" i="159"/>
  <c r="N7" i="159" s="1"/>
  <c r="C121" i="96"/>
  <c r="D110" i="159"/>
  <c r="D109" i="159"/>
  <c r="B109" i="159" s="1"/>
  <c r="I9" i="159" s="1"/>
  <c r="AB121" i="96"/>
  <c r="M121" i="96"/>
  <c r="M92" i="159"/>
  <c r="D325" i="96"/>
  <c r="I132" i="159"/>
  <c r="I136" i="159" s="1"/>
  <c r="H257" i="96"/>
  <c r="C325" i="96"/>
  <c r="M138" i="96" l="1"/>
  <c r="I10" i="159"/>
  <c r="C106" i="159"/>
  <c r="N8" i="159"/>
  <c r="E6" i="104" s="1"/>
  <c r="I257" i="96"/>
  <c r="J132" i="159"/>
  <c r="J136" i="159" s="1"/>
  <c r="C138" i="96"/>
  <c r="L6" i="104" s="1"/>
  <c r="AA121" i="96"/>
  <c r="K132" i="159" l="1"/>
  <c r="K136" i="159" s="1"/>
  <c r="J257" i="96"/>
  <c r="I6" i="104"/>
  <c r="G6" i="104"/>
  <c r="K257" i="96" l="1"/>
  <c r="L132" i="159"/>
  <c r="L136" i="159" s="1"/>
  <c r="M132" i="159" l="1"/>
  <c r="M136" i="159" s="1"/>
  <c r="M257" i="96" s="1"/>
  <c r="L257" i="96"/>
  <c r="C114" i="119"/>
  <c r="I118" i="119" s="1"/>
  <c r="F116" i="119" l="1"/>
  <c r="F117" i="119" s="1"/>
  <c r="D116" i="119"/>
  <c r="D117" i="119" s="1"/>
  <c r="I7" i="119"/>
  <c r="I207" i="96"/>
  <c r="C118" i="119"/>
  <c r="C207" i="96" s="1"/>
  <c r="F119" i="119"/>
  <c r="F224" i="96" s="1"/>
  <c r="F120" i="119"/>
  <c r="F241" i="96"/>
  <c r="M116" i="119"/>
  <c r="M241" i="96" s="1"/>
  <c r="L116" i="119"/>
  <c r="L241" i="96" s="1"/>
  <c r="K116" i="119"/>
  <c r="K241" i="96" s="1"/>
  <c r="E116" i="119"/>
  <c r="H116" i="119"/>
  <c r="H241" i="96" s="1"/>
  <c r="I116" i="119"/>
  <c r="I241" i="96" s="1"/>
  <c r="D241" i="96"/>
  <c r="J116" i="119"/>
  <c r="J241" i="96" s="1"/>
  <c r="G116" i="119"/>
  <c r="G241" i="96" s="1"/>
  <c r="D119" i="119" l="1"/>
  <c r="D224" i="96" s="1"/>
  <c r="D120" i="119"/>
  <c r="D190" i="96" s="1"/>
  <c r="C116" i="119"/>
  <c r="E241" i="96"/>
  <c r="E117" i="119"/>
  <c r="F190" i="96"/>
  <c r="G117" i="119"/>
  <c r="E119" i="119" l="1"/>
  <c r="E120" i="119"/>
  <c r="E190" i="96" s="1"/>
  <c r="G119" i="119"/>
  <c r="G224" i="96" s="1"/>
  <c r="G120" i="119"/>
  <c r="G190" i="96" l="1"/>
  <c r="H117" i="119"/>
  <c r="E224" i="96"/>
  <c r="H119" i="119" l="1"/>
  <c r="H120" i="119"/>
  <c r="H190" i="96" l="1"/>
  <c r="I117" i="119"/>
  <c r="H224" i="96"/>
  <c r="I119" i="119" l="1"/>
  <c r="I120" i="119"/>
  <c r="J117" i="119" l="1"/>
  <c r="I190" i="96"/>
  <c r="I224" i="96"/>
  <c r="C77" i="119"/>
  <c r="C84" i="119" l="1"/>
  <c r="F134" i="119"/>
  <c r="H134" i="119"/>
  <c r="K134" i="119"/>
  <c r="M134" i="119"/>
  <c r="I134" i="119"/>
  <c r="L134" i="119"/>
  <c r="E134" i="119"/>
  <c r="J134" i="119"/>
  <c r="G134" i="119"/>
  <c r="G77" i="119"/>
  <c r="I77" i="119"/>
  <c r="D134" i="119"/>
  <c r="K77" i="119"/>
  <c r="E77" i="119"/>
  <c r="L77" i="119"/>
  <c r="M77" i="119"/>
  <c r="H77" i="119"/>
  <c r="F77" i="119"/>
  <c r="J77" i="119"/>
  <c r="D77" i="119"/>
  <c r="J119" i="119"/>
  <c r="J120" i="119"/>
  <c r="L135" i="119" l="1"/>
  <c r="L84" i="119"/>
  <c r="L85" i="119" s="1"/>
  <c r="E135" i="119"/>
  <c r="E84" i="119"/>
  <c r="E85" i="119" s="1"/>
  <c r="J78" i="119"/>
  <c r="J224" i="96"/>
  <c r="K135" i="119"/>
  <c r="K84" i="119"/>
  <c r="K85" i="119" s="1"/>
  <c r="D135" i="119"/>
  <c r="D84" i="119"/>
  <c r="D85" i="119" s="1"/>
  <c r="D136" i="119"/>
  <c r="J135" i="119"/>
  <c r="J84" i="119"/>
  <c r="J85" i="119" s="1"/>
  <c r="I135" i="119"/>
  <c r="I84" i="119"/>
  <c r="F135" i="119"/>
  <c r="F84" i="119"/>
  <c r="F85" i="119" s="1"/>
  <c r="G135" i="119"/>
  <c r="G84" i="119"/>
  <c r="G85" i="119" s="1"/>
  <c r="H135" i="119"/>
  <c r="H84" i="119"/>
  <c r="J190" i="96"/>
  <c r="K117" i="119"/>
  <c r="M84" i="119"/>
  <c r="M85" i="119" s="1"/>
  <c r="M135" i="119"/>
  <c r="C91" i="119"/>
  <c r="N6" i="119" s="1"/>
  <c r="C85" i="119"/>
  <c r="K119" i="119" l="1"/>
  <c r="K120" i="119"/>
  <c r="J156" i="96"/>
  <c r="I91" i="119"/>
  <c r="I85" i="119"/>
  <c r="C156" i="96"/>
  <c r="E156" i="96"/>
  <c r="E88" i="119"/>
  <c r="H91" i="119"/>
  <c r="H85" i="119"/>
  <c r="J87" i="119"/>
  <c r="J88" i="119" s="1"/>
  <c r="G156" i="96"/>
  <c r="G88" i="119"/>
  <c r="F88" i="119"/>
  <c r="F156" i="96"/>
  <c r="E132" i="119"/>
  <c r="E136" i="119" s="1"/>
  <c r="D258" i="96"/>
  <c r="D88" i="119"/>
  <c r="D156" i="96"/>
  <c r="L156" i="96"/>
  <c r="M156" i="96"/>
  <c r="K156" i="96"/>
  <c r="J89" i="119" l="1"/>
  <c r="J102" i="119" s="1"/>
  <c r="J98" i="119" s="1"/>
  <c r="J90" i="119"/>
  <c r="J122" i="96" s="1"/>
  <c r="D89" i="119"/>
  <c r="D90" i="119"/>
  <c r="I156" i="96"/>
  <c r="I88" i="119"/>
  <c r="E258" i="96"/>
  <c r="F132" i="119"/>
  <c r="F136" i="119" s="1"/>
  <c r="H156" i="96"/>
  <c r="H88" i="119"/>
  <c r="K190" i="96"/>
  <c r="L117" i="119"/>
  <c r="E89" i="119"/>
  <c r="E102" i="119" s="1"/>
  <c r="E98" i="119" s="1"/>
  <c r="F89" i="119"/>
  <c r="F102" i="119" s="1"/>
  <c r="F98" i="119" s="1"/>
  <c r="G89" i="119"/>
  <c r="G102" i="119" s="1"/>
  <c r="G98" i="119" s="1"/>
  <c r="C173" i="96"/>
  <c r="K7" i="104" s="1"/>
  <c r="K78" i="119"/>
  <c r="K224" i="96"/>
  <c r="F103" i="119" l="1"/>
  <c r="F309" i="96"/>
  <c r="K87" i="119"/>
  <c r="K88" i="119" s="1"/>
  <c r="F90" i="119"/>
  <c r="F122" i="96" s="1"/>
  <c r="E103" i="119"/>
  <c r="E309" i="96"/>
  <c r="G103" i="119"/>
  <c r="G309" i="96"/>
  <c r="I89" i="119"/>
  <c r="I102" i="119" s="1"/>
  <c r="I98" i="119" s="1"/>
  <c r="I173" i="96"/>
  <c r="H89" i="119"/>
  <c r="H102" i="119" s="1"/>
  <c r="H98" i="119" s="1"/>
  <c r="H173" i="96"/>
  <c r="AH122" i="96"/>
  <c r="D122" i="96"/>
  <c r="E90" i="119"/>
  <c r="E122" i="96" s="1"/>
  <c r="D102" i="119"/>
  <c r="D98" i="119" s="1"/>
  <c r="F258" i="96"/>
  <c r="G132" i="119"/>
  <c r="G136" i="119" s="1"/>
  <c r="G90" i="119"/>
  <c r="G122" i="96" s="1"/>
  <c r="L120" i="119"/>
  <c r="L119" i="119"/>
  <c r="J103" i="119"/>
  <c r="J309" i="96"/>
  <c r="G110" i="119" l="1"/>
  <c r="G109" i="119"/>
  <c r="AE122" i="96"/>
  <c r="H103" i="119"/>
  <c r="H309" i="96"/>
  <c r="I103" i="119"/>
  <c r="I309" i="96"/>
  <c r="L78" i="119"/>
  <c r="L224" i="96"/>
  <c r="H90" i="119"/>
  <c r="E326" i="96"/>
  <c r="E109" i="119"/>
  <c r="E110" i="119"/>
  <c r="AD122" i="96"/>
  <c r="K89" i="119"/>
  <c r="K102" i="119" s="1"/>
  <c r="K98" i="119" s="1"/>
  <c r="L190" i="96"/>
  <c r="M117" i="119"/>
  <c r="G258" i="96"/>
  <c r="H132" i="119"/>
  <c r="H136" i="119" s="1"/>
  <c r="D309" i="96"/>
  <c r="D103" i="119"/>
  <c r="F326" i="96"/>
  <c r="AC122" i="96"/>
  <c r="AB122" i="96"/>
  <c r="I90" i="119"/>
  <c r="J326" i="96"/>
  <c r="J110" i="119"/>
  <c r="J109" i="119"/>
  <c r="G326" i="96"/>
  <c r="F110" i="119"/>
  <c r="F109" i="119"/>
  <c r="H326" i="96" l="1"/>
  <c r="H110" i="119"/>
  <c r="H109" i="119"/>
  <c r="I109" i="119"/>
  <c r="I110" i="119"/>
  <c r="D110" i="119"/>
  <c r="D109" i="119"/>
  <c r="M120" i="119"/>
  <c r="M190" i="96" s="1"/>
  <c r="M119" i="119"/>
  <c r="K90" i="119"/>
  <c r="K122" i="96" s="1"/>
  <c r="H92" i="119"/>
  <c r="H122" i="96"/>
  <c r="I92" i="119"/>
  <c r="I122" i="96"/>
  <c r="D326" i="96"/>
  <c r="L87" i="119"/>
  <c r="L88" i="119" s="1"/>
  <c r="K103" i="119"/>
  <c r="K309" i="96"/>
  <c r="H258" i="96"/>
  <c r="I132" i="119"/>
  <c r="I136" i="119" s="1"/>
  <c r="I326" i="96"/>
  <c r="H139" i="96" l="1"/>
  <c r="AF122" i="96"/>
  <c r="K326" i="96"/>
  <c r="AG122" i="96"/>
  <c r="I139" i="96"/>
  <c r="K110" i="119"/>
  <c r="K109" i="119"/>
  <c r="I258" i="96"/>
  <c r="J132" i="119"/>
  <c r="J136" i="119" s="1"/>
  <c r="AI122" i="96"/>
  <c r="L89" i="119"/>
  <c r="M224" i="96"/>
  <c r="M78" i="119"/>
  <c r="C119" i="119"/>
  <c r="K132" i="119" l="1"/>
  <c r="K136" i="119" s="1"/>
  <c r="J258" i="96"/>
  <c r="M87" i="119"/>
  <c r="M88" i="119" s="1"/>
  <c r="C78" i="119"/>
  <c r="C87" i="119" s="1"/>
  <c r="C88" i="119" s="1"/>
  <c r="L102" i="119"/>
  <c r="L98" i="119" s="1"/>
  <c r="L90" i="119"/>
  <c r="L122" i="96" s="1"/>
  <c r="C224" i="96"/>
  <c r="D9" i="119"/>
  <c r="AJ122" i="96" l="1"/>
  <c r="M89" i="119"/>
  <c r="L103" i="119"/>
  <c r="L309" i="96"/>
  <c r="K258" i="96"/>
  <c r="L132" i="119"/>
  <c r="L136" i="119" s="1"/>
  <c r="L326" i="96" l="1"/>
  <c r="M102" i="119"/>
  <c r="M98" i="119" s="1"/>
  <c r="C89" i="119"/>
  <c r="C102" i="119" s="1"/>
  <c r="C98" i="119" s="1"/>
  <c r="L110" i="119"/>
  <c r="L109" i="119"/>
  <c r="M90" i="119"/>
  <c r="M132" i="119"/>
  <c r="M136" i="119" s="1"/>
  <c r="M258" i="96" s="1"/>
  <c r="L258" i="96"/>
  <c r="M122" i="96" l="1"/>
  <c r="C90" i="119"/>
  <c r="M309" i="96"/>
  <c r="M103" i="119"/>
  <c r="C103" i="119"/>
  <c r="C309" i="96"/>
  <c r="C326" i="96" l="1"/>
  <c r="M110" i="119"/>
  <c r="M109" i="119"/>
  <c r="B109" i="119" s="1"/>
  <c r="I9" i="119" s="1"/>
  <c r="M105" i="119"/>
  <c r="C105" i="119" s="1"/>
  <c r="M326" i="96"/>
  <c r="C92" i="119"/>
  <c r="N7" i="119" s="1"/>
  <c r="C122" i="96"/>
  <c r="N9" i="119"/>
  <c r="H7" i="104" s="1"/>
  <c r="I10" i="119" l="1"/>
  <c r="C106" i="119"/>
  <c r="N8" i="119"/>
  <c r="E7" i="104" s="1"/>
  <c r="C139" i="96"/>
  <c r="L7" i="104" s="1"/>
  <c r="AA122" i="96"/>
  <c r="I7" i="104" l="1"/>
  <c r="G7" i="104"/>
  <c r="C114" i="135"/>
  <c r="I7" i="135" l="1"/>
  <c r="T118" i="135"/>
  <c r="T215" i="96" s="1"/>
  <c r="D116" i="135"/>
  <c r="R116" i="135"/>
  <c r="R249" i="96" s="1"/>
  <c r="F116" i="135"/>
  <c r="P116" i="135"/>
  <c r="P249" i="96" s="1"/>
  <c r="I116" i="135"/>
  <c r="I249" i="96" s="1"/>
  <c r="J116" i="135"/>
  <c r="J249" i="96" s="1"/>
  <c r="T116" i="135"/>
  <c r="T249" i="96" s="1"/>
  <c r="L116" i="135"/>
  <c r="L249" i="96" s="1"/>
  <c r="M116" i="135"/>
  <c r="M249" i="96" s="1"/>
  <c r="G116" i="135"/>
  <c r="G249" i="96" s="1"/>
  <c r="H116" i="135"/>
  <c r="H249" i="96" s="1"/>
  <c r="U116" i="135"/>
  <c r="U249" i="96" s="1"/>
  <c r="U118" i="135"/>
  <c r="O116" i="135"/>
  <c r="O249" i="96" s="1"/>
  <c r="Q116" i="135"/>
  <c r="Q249" i="96" s="1"/>
  <c r="N116" i="135"/>
  <c r="N249" i="96" s="1"/>
  <c r="S116" i="135"/>
  <c r="S249" i="96" s="1"/>
  <c r="K116" i="135"/>
  <c r="K249" i="96" s="1"/>
  <c r="E116" i="135"/>
  <c r="V116" i="135"/>
  <c r="V249" i="96" s="1"/>
  <c r="E249" i="96" l="1"/>
  <c r="E117" i="135"/>
  <c r="F249" i="96"/>
  <c r="F117" i="135"/>
  <c r="U215" i="96"/>
  <c r="C118" i="135"/>
  <c r="C215" i="96" s="1"/>
  <c r="D249" i="96"/>
  <c r="C116" i="135"/>
  <c r="D117" i="135"/>
  <c r="E119" i="135" l="1"/>
  <c r="E232" i="96" s="1"/>
  <c r="E120" i="135"/>
  <c r="E198" i="96" s="1"/>
  <c r="F119" i="135"/>
  <c r="F232" i="96" s="1"/>
  <c r="F120" i="135"/>
  <c r="D120" i="135"/>
  <c r="D198" i="96" s="1"/>
  <c r="D119" i="135"/>
  <c r="D232" i="96" l="1"/>
  <c r="F198" i="96"/>
  <c r="G117" i="135"/>
  <c r="G119" i="135" l="1"/>
  <c r="G120" i="135"/>
  <c r="G198" i="96" l="1"/>
  <c r="H117" i="135"/>
  <c r="G232" i="96"/>
  <c r="H119" i="135" l="1"/>
  <c r="H120" i="135"/>
  <c r="H198" i="96" l="1"/>
  <c r="I117" i="135"/>
  <c r="H232" i="96"/>
  <c r="I119" i="135" l="1"/>
  <c r="I120" i="135"/>
  <c r="I198" i="96" l="1"/>
  <c r="J117" i="135"/>
  <c r="I232" i="96"/>
  <c r="J119" i="135" l="1"/>
  <c r="J120" i="135"/>
  <c r="J198" i="96" l="1"/>
  <c r="K117" i="135"/>
  <c r="J232" i="96"/>
  <c r="K119" i="135" l="1"/>
  <c r="K232" i="96" s="1"/>
  <c r="K120" i="135"/>
  <c r="K198" i="96" l="1"/>
  <c r="L117" i="135"/>
  <c r="L119" i="135" l="1"/>
  <c r="L232" i="96" s="1"/>
  <c r="L120" i="135"/>
  <c r="L198" i="96" l="1"/>
  <c r="M117" i="135"/>
  <c r="M119" i="135" l="1"/>
  <c r="M232" i="96" s="1"/>
  <c r="M120" i="135"/>
  <c r="M198" i="96" l="1"/>
  <c r="N117" i="135"/>
  <c r="N120" i="135" l="1"/>
  <c r="N119" i="135"/>
  <c r="N232" i="96" s="1"/>
  <c r="N198" i="96" l="1"/>
  <c r="O117" i="135"/>
  <c r="O119" i="135" l="1"/>
  <c r="O232" i="96" s="1"/>
  <c r="O120" i="135"/>
  <c r="O198" i="96" l="1"/>
  <c r="P117" i="135"/>
  <c r="P119" i="135" l="1"/>
  <c r="P232" i="96" s="1"/>
  <c r="P120" i="135"/>
  <c r="P198" i="96" l="1"/>
  <c r="Q117" i="135"/>
  <c r="Q119" i="135" l="1"/>
  <c r="Q232" i="96" s="1"/>
  <c r="Q120" i="135"/>
  <c r="Q198" i="96" l="1"/>
  <c r="R117" i="135"/>
  <c r="R119" i="135" l="1"/>
  <c r="R232" i="96" s="1"/>
  <c r="R120" i="135"/>
  <c r="R198" i="96" l="1"/>
  <c r="S117" i="135"/>
  <c r="S120" i="135" l="1"/>
  <c r="S119" i="135"/>
  <c r="S232" i="96" s="1"/>
  <c r="S198" i="96" l="1"/>
  <c r="T117" i="135"/>
  <c r="T119" i="135" l="1"/>
  <c r="T232" i="96" s="1"/>
  <c r="T120" i="135"/>
  <c r="T198" i="96" l="1"/>
  <c r="U117" i="135"/>
  <c r="U119" i="135" l="1"/>
  <c r="U232" i="96" s="1"/>
  <c r="U120" i="135"/>
  <c r="U198" i="96" l="1"/>
  <c r="V117" i="135"/>
  <c r="V120" i="135" l="1"/>
  <c r="V198" i="96" s="1"/>
  <c r="V119" i="135"/>
  <c r="V232" i="96" l="1"/>
  <c r="C77" i="135"/>
  <c r="C119" i="135"/>
  <c r="C84" i="135" l="1"/>
  <c r="M134" i="135"/>
  <c r="H134" i="135"/>
  <c r="O134" i="135"/>
  <c r="V134" i="135"/>
  <c r="K134" i="135"/>
  <c r="T134" i="135"/>
  <c r="S134" i="135"/>
  <c r="F134" i="135"/>
  <c r="S77" i="135"/>
  <c r="I134" i="135"/>
  <c r="J134" i="135"/>
  <c r="E134" i="135"/>
  <c r="U134" i="135"/>
  <c r="L134" i="135"/>
  <c r="G134" i="135"/>
  <c r="T77" i="135"/>
  <c r="H77" i="135"/>
  <c r="N134" i="135"/>
  <c r="R134" i="135"/>
  <c r="G77" i="135"/>
  <c r="Q134" i="135"/>
  <c r="P134" i="135"/>
  <c r="J77" i="135"/>
  <c r="F77" i="135"/>
  <c r="O77" i="135"/>
  <c r="R77" i="135"/>
  <c r="K77" i="135"/>
  <c r="Q77" i="135"/>
  <c r="V77" i="135"/>
  <c r="U77" i="135"/>
  <c r="I77" i="135"/>
  <c r="N77" i="135"/>
  <c r="P77" i="135"/>
  <c r="D77" i="135"/>
  <c r="M77" i="135"/>
  <c r="L77" i="135"/>
  <c r="E77" i="135"/>
  <c r="D134" i="135"/>
  <c r="C232" i="96"/>
  <c r="D9" i="135"/>
  <c r="I135" i="135" l="1"/>
  <c r="I84" i="135"/>
  <c r="I85" i="135" s="1"/>
  <c r="U135" i="135"/>
  <c r="U84" i="135"/>
  <c r="V135" i="135"/>
  <c r="V84" i="135"/>
  <c r="L135" i="135"/>
  <c r="L84" i="135"/>
  <c r="L85" i="135" s="1"/>
  <c r="M135" i="135"/>
  <c r="M84" i="135"/>
  <c r="M85" i="135" s="1"/>
  <c r="R135" i="135"/>
  <c r="R84" i="135"/>
  <c r="R85" i="135" s="1"/>
  <c r="D136" i="135"/>
  <c r="E135" i="135"/>
  <c r="E84" i="135"/>
  <c r="E85" i="135" s="1"/>
  <c r="Q135" i="135"/>
  <c r="Q84" i="135"/>
  <c r="Q85" i="135" s="1"/>
  <c r="K135" i="135"/>
  <c r="K84" i="135"/>
  <c r="K85" i="135" s="1"/>
  <c r="D135" i="135"/>
  <c r="D84" i="135"/>
  <c r="D85" i="135" s="1"/>
  <c r="J135" i="135"/>
  <c r="J84" i="135"/>
  <c r="J85" i="135" s="1"/>
  <c r="G135" i="135"/>
  <c r="G84" i="135"/>
  <c r="G85" i="135" s="1"/>
  <c r="P135" i="135"/>
  <c r="P84" i="135"/>
  <c r="P85" i="135" s="1"/>
  <c r="O135" i="135"/>
  <c r="O84" i="135"/>
  <c r="O85" i="135" s="1"/>
  <c r="H135" i="135"/>
  <c r="H84" i="135"/>
  <c r="H85" i="135" s="1"/>
  <c r="S135" i="135"/>
  <c r="S84" i="135"/>
  <c r="S85" i="135" s="1"/>
  <c r="N135" i="135"/>
  <c r="N84" i="135"/>
  <c r="N85" i="135" s="1"/>
  <c r="F135" i="135"/>
  <c r="F84" i="135"/>
  <c r="F85" i="135" s="1"/>
  <c r="T135" i="135"/>
  <c r="T84" i="135"/>
  <c r="T85" i="135" s="1"/>
  <c r="C91" i="135"/>
  <c r="N6" i="135" s="1"/>
  <c r="C85" i="135"/>
  <c r="L164" i="96" l="1"/>
  <c r="L88" i="135"/>
  <c r="J164" i="96"/>
  <c r="J88" i="135"/>
  <c r="H164" i="96"/>
  <c r="H88" i="135"/>
  <c r="V91" i="135"/>
  <c r="V85" i="135"/>
  <c r="O164" i="96"/>
  <c r="O88" i="135"/>
  <c r="K164" i="96"/>
  <c r="K88" i="135"/>
  <c r="E164" i="96"/>
  <c r="E88" i="135"/>
  <c r="F164" i="96"/>
  <c r="F88" i="135"/>
  <c r="D164" i="96"/>
  <c r="D88" i="135"/>
  <c r="R88" i="135"/>
  <c r="R164" i="96"/>
  <c r="N164" i="96"/>
  <c r="N88" i="135"/>
  <c r="I88" i="135"/>
  <c r="I164" i="96"/>
  <c r="T164" i="96"/>
  <c r="T88" i="135"/>
  <c r="D266" i="96"/>
  <c r="E132" i="135"/>
  <c r="E136" i="135" s="1"/>
  <c r="U91" i="135"/>
  <c r="U85" i="135"/>
  <c r="P164" i="96"/>
  <c r="P88" i="135"/>
  <c r="M164" i="96"/>
  <c r="M88" i="135"/>
  <c r="C164" i="96"/>
  <c r="C181" i="96" s="1"/>
  <c r="K15" i="104" s="1"/>
  <c r="C88" i="135"/>
  <c r="S88" i="135"/>
  <c r="S164" i="96"/>
  <c r="G164" i="96"/>
  <c r="G88" i="135"/>
  <c r="Q164" i="96"/>
  <c r="Q88" i="135"/>
  <c r="V164" i="96" l="1"/>
  <c r="V88" i="135"/>
  <c r="P89" i="135"/>
  <c r="P102" i="135" s="1"/>
  <c r="P98" i="135" s="1"/>
  <c r="F89" i="135"/>
  <c r="F102" i="135" s="1"/>
  <c r="F98" i="135" s="1"/>
  <c r="U88" i="135"/>
  <c r="U164" i="96"/>
  <c r="U181" i="96" s="1"/>
  <c r="E89" i="135"/>
  <c r="E102" i="135" s="1"/>
  <c r="E98" i="135" s="1"/>
  <c r="E90" i="135"/>
  <c r="E130" i="96" s="1"/>
  <c r="AC130" i="96" s="1"/>
  <c r="H89" i="135"/>
  <c r="H102" i="135" s="1"/>
  <c r="H98" i="135" s="1"/>
  <c r="S89" i="135"/>
  <c r="S102" i="135" s="1"/>
  <c r="S98" i="135" s="1"/>
  <c r="E266" i="96"/>
  <c r="F132" i="135"/>
  <c r="F136" i="135" s="1"/>
  <c r="K89" i="135"/>
  <c r="K102" i="135" s="1"/>
  <c r="K98" i="135" s="1"/>
  <c r="N89" i="135"/>
  <c r="N102" i="135" s="1"/>
  <c r="N98" i="135" s="1"/>
  <c r="J89" i="135"/>
  <c r="J102" i="135" s="1"/>
  <c r="J98" i="135" s="1"/>
  <c r="R89" i="135"/>
  <c r="R102" i="135" s="1"/>
  <c r="R98" i="135" s="1"/>
  <c r="M89" i="135"/>
  <c r="M102" i="135" s="1"/>
  <c r="M98" i="135" s="1"/>
  <c r="D89" i="135"/>
  <c r="D90" i="135"/>
  <c r="L89" i="135"/>
  <c r="L102" i="135" s="1"/>
  <c r="L98" i="135" s="1"/>
  <c r="G89" i="135"/>
  <c r="G102" i="135" s="1"/>
  <c r="G98" i="135" s="1"/>
  <c r="I89" i="135"/>
  <c r="I102" i="135" s="1"/>
  <c r="I98" i="135" s="1"/>
  <c r="Q89" i="135"/>
  <c r="Q102" i="135" s="1"/>
  <c r="Q98" i="135" s="1"/>
  <c r="T89" i="135"/>
  <c r="T102" i="135" s="1"/>
  <c r="T98" i="135" s="1"/>
  <c r="O89" i="135"/>
  <c r="O102" i="135" s="1"/>
  <c r="O98" i="135" s="1"/>
  <c r="O90" i="135"/>
  <c r="O130" i="96" s="1"/>
  <c r="L90" i="135" l="1"/>
  <c r="L130" i="96" s="1"/>
  <c r="AJ130" i="96" s="1"/>
  <c r="T90" i="135"/>
  <c r="T130" i="96" s="1"/>
  <c r="N90" i="135"/>
  <c r="N130" i="96" s="1"/>
  <c r="M90" i="135"/>
  <c r="M130" i="96" s="1"/>
  <c r="I90" i="135"/>
  <c r="I130" i="96" s="1"/>
  <c r="AG130" i="96" s="1"/>
  <c r="J90" i="135"/>
  <c r="J130" i="96" s="1"/>
  <c r="AH130" i="96" s="1"/>
  <c r="R90" i="135"/>
  <c r="R130" i="96" s="1"/>
  <c r="O103" i="135"/>
  <c r="O317" i="96"/>
  <c r="O334" i="96" s="1"/>
  <c r="T103" i="135"/>
  <c r="T317" i="96"/>
  <c r="T334" i="96" s="1"/>
  <c r="G317" i="96"/>
  <c r="G334" i="96" s="1"/>
  <c r="G103" i="135"/>
  <c r="G90" i="135"/>
  <c r="G130" i="96" s="1"/>
  <c r="AE130" i="96" s="1"/>
  <c r="F317" i="96"/>
  <c r="F334" i="96" s="1"/>
  <c r="F103" i="135"/>
  <c r="U89" i="135"/>
  <c r="U102" i="135" s="1"/>
  <c r="U98" i="135" s="1"/>
  <c r="L103" i="135"/>
  <c r="L317" i="96"/>
  <c r="L334" i="96" s="1"/>
  <c r="P103" i="135"/>
  <c r="P317" i="96"/>
  <c r="P334" i="96" s="1"/>
  <c r="Q90" i="135"/>
  <c r="Q130" i="96" s="1"/>
  <c r="D102" i="135"/>
  <c r="D98" i="135" s="1"/>
  <c r="N103" i="135"/>
  <c r="N317" i="96"/>
  <c r="N334" i="96" s="1"/>
  <c r="H90" i="135"/>
  <c r="H130" i="96" s="1"/>
  <c r="AF130" i="96" s="1"/>
  <c r="P90" i="135"/>
  <c r="P130" i="96" s="1"/>
  <c r="R317" i="96"/>
  <c r="R334" i="96" s="1"/>
  <c r="R103" i="135"/>
  <c r="J103" i="135"/>
  <c r="J317" i="96"/>
  <c r="J334" i="96" s="1"/>
  <c r="Q103" i="135"/>
  <c r="Q317" i="96"/>
  <c r="Q334" i="96" s="1"/>
  <c r="D130" i="96"/>
  <c r="AB130" i="96" s="1"/>
  <c r="H103" i="135"/>
  <c r="H317" i="96"/>
  <c r="H334" i="96" s="1"/>
  <c r="K103" i="135"/>
  <c r="K317" i="96"/>
  <c r="K334" i="96" s="1"/>
  <c r="V89" i="135"/>
  <c r="V102" i="135" s="1"/>
  <c r="V98" i="135" s="1"/>
  <c r="F266" i="96"/>
  <c r="G132" i="135"/>
  <c r="G136" i="135" s="1"/>
  <c r="S103" i="135"/>
  <c r="S317" i="96"/>
  <c r="S334" i="96" s="1"/>
  <c r="F90" i="135"/>
  <c r="F130" i="96" s="1"/>
  <c r="AD130" i="96" s="1"/>
  <c r="S90" i="135"/>
  <c r="S130" i="96" s="1"/>
  <c r="I103" i="135"/>
  <c r="I317" i="96"/>
  <c r="I334" i="96" s="1"/>
  <c r="M103" i="135"/>
  <c r="M317" i="96"/>
  <c r="M334" i="96" s="1"/>
  <c r="K90" i="135"/>
  <c r="K130" i="96" s="1"/>
  <c r="AI130" i="96" s="1"/>
  <c r="E103" i="135"/>
  <c r="E317" i="96"/>
  <c r="E334" i="96" s="1"/>
  <c r="V181" i="96"/>
  <c r="G109" i="135" l="1"/>
  <c r="G110" i="135"/>
  <c r="L109" i="135"/>
  <c r="L110" i="135"/>
  <c r="H110" i="135"/>
  <c r="H109" i="135"/>
  <c r="U103" i="135"/>
  <c r="U317" i="96"/>
  <c r="U334" i="96" s="1"/>
  <c r="V90" i="135"/>
  <c r="N110" i="135"/>
  <c r="N109" i="135"/>
  <c r="N105" i="135"/>
  <c r="D103" i="135"/>
  <c r="D317" i="96"/>
  <c r="D334" i="96" s="1"/>
  <c r="U90" i="135"/>
  <c r="G266" i="96"/>
  <c r="H132" i="135"/>
  <c r="H136" i="135" s="1"/>
  <c r="P110" i="135"/>
  <c r="P109" i="135"/>
  <c r="P105" i="135"/>
  <c r="M109" i="135"/>
  <c r="M110" i="135"/>
  <c r="I109" i="135"/>
  <c r="I110" i="135"/>
  <c r="Q105" i="135"/>
  <c r="Q110" i="135"/>
  <c r="Q109" i="135"/>
  <c r="T109" i="135"/>
  <c r="T105" i="135"/>
  <c r="T110" i="135"/>
  <c r="J109" i="135"/>
  <c r="J110" i="135"/>
  <c r="C89" i="135"/>
  <c r="C102" i="135" s="1"/>
  <c r="C98" i="135" s="1"/>
  <c r="F109" i="135"/>
  <c r="F110" i="135"/>
  <c r="O110" i="135"/>
  <c r="O109" i="135"/>
  <c r="O105" i="135"/>
  <c r="S105" i="135"/>
  <c r="S110" i="135"/>
  <c r="S109" i="135"/>
  <c r="V103" i="135"/>
  <c r="V317" i="96"/>
  <c r="K109" i="135"/>
  <c r="K110" i="135"/>
  <c r="E110" i="135"/>
  <c r="E109" i="135"/>
  <c r="R105" i="135"/>
  <c r="R110" i="135"/>
  <c r="R109" i="135"/>
  <c r="U130" i="96" l="1"/>
  <c r="U147" i="96" s="1"/>
  <c r="U92" i="135"/>
  <c r="V334" i="96"/>
  <c r="C105" i="135"/>
  <c r="U105" i="135"/>
  <c r="U109" i="135"/>
  <c r="U110" i="135"/>
  <c r="D110" i="135"/>
  <c r="D109" i="135"/>
  <c r="C90" i="135"/>
  <c r="V105" i="135"/>
  <c r="V110" i="135"/>
  <c r="V109" i="135"/>
  <c r="C317" i="96"/>
  <c r="C334" i="96" s="1"/>
  <c r="C103" i="135"/>
  <c r="H266" i="96"/>
  <c r="I132" i="135"/>
  <c r="I136" i="135" s="1"/>
  <c r="V92" i="135"/>
  <c r="V130" i="96"/>
  <c r="C130" i="96" l="1"/>
  <c r="C92" i="135"/>
  <c r="N7" i="135" s="1"/>
  <c r="N9" i="135"/>
  <c r="H15" i="104" s="1"/>
  <c r="N8" i="135"/>
  <c r="E15" i="104" s="1"/>
  <c r="I10" i="135"/>
  <c r="C106" i="135"/>
  <c r="B109" i="135"/>
  <c r="I9" i="135" s="1"/>
  <c r="V147" i="96"/>
  <c r="I266" i="96"/>
  <c r="J132" i="135"/>
  <c r="J136" i="135" s="1"/>
  <c r="D32" i="175" l="1"/>
  <c r="D5" i="175" s="1"/>
  <c r="I15" i="104"/>
  <c r="G15" i="104"/>
  <c r="F32" i="175" s="1"/>
  <c r="F5" i="175" s="1"/>
  <c r="J266" i="96"/>
  <c r="K132" i="135"/>
  <c r="K136" i="135" s="1"/>
  <c r="AA130" i="96"/>
  <c r="C147" i="96"/>
  <c r="L15" i="104" s="1"/>
  <c r="K266" i="96" l="1"/>
  <c r="L132" i="135"/>
  <c r="L136" i="135" s="1"/>
  <c r="L266" i="96" l="1"/>
  <c r="M132" i="135"/>
  <c r="M136" i="135" s="1"/>
  <c r="M266" i="96" l="1"/>
  <c r="N132" i="135"/>
  <c r="N136" i="135" s="1"/>
  <c r="N266" i="96" l="1"/>
  <c r="O132" i="135"/>
  <c r="O136" i="135" s="1"/>
  <c r="O266" i="96" l="1"/>
  <c r="P132" i="135"/>
  <c r="P136" i="135" s="1"/>
  <c r="P266" i="96" l="1"/>
  <c r="Q132" i="135"/>
  <c r="Q136" i="135" s="1"/>
  <c r="Q266" i="96" l="1"/>
  <c r="R132" i="135"/>
  <c r="R136" i="135" s="1"/>
  <c r="R266" i="96" l="1"/>
  <c r="S132" i="135"/>
  <c r="S136" i="135" s="1"/>
  <c r="S266" i="96" l="1"/>
  <c r="T132" i="135"/>
  <c r="T136" i="135" s="1"/>
  <c r="T266" i="96" l="1"/>
  <c r="U132" i="135"/>
  <c r="U136" i="135" s="1"/>
  <c r="U266" i="96" l="1"/>
  <c r="V132" i="135"/>
  <c r="V136" i="135" s="1"/>
  <c r="V266" i="96" s="1"/>
  <c r="C114" i="176"/>
  <c r="F116" i="176" s="1"/>
  <c r="F117" i="176" s="1"/>
  <c r="F119" i="176" l="1"/>
  <c r="F120" i="176"/>
  <c r="K118" i="176"/>
  <c r="J116" i="176"/>
  <c r="G116" i="176"/>
  <c r="N116" i="176"/>
  <c r="Q116" i="176"/>
  <c r="M116" i="176"/>
  <c r="E116" i="176"/>
  <c r="E117" i="176" s="1"/>
  <c r="I116" i="176"/>
  <c r="H116" i="176"/>
  <c r="I7" i="176"/>
  <c r="O116" i="176"/>
  <c r="L116" i="176"/>
  <c r="P116" i="176"/>
  <c r="K116" i="176"/>
  <c r="D116" i="176"/>
  <c r="L118" i="176" l="1"/>
  <c r="C118" i="176"/>
  <c r="G117" i="176"/>
  <c r="C116" i="176"/>
  <c r="D117" i="176"/>
  <c r="E119" i="176"/>
  <c r="E120" i="176"/>
  <c r="D120" i="176" l="1"/>
  <c r="D119" i="176"/>
  <c r="G119" i="176"/>
  <c r="G120" i="176"/>
  <c r="H117" i="176" s="1"/>
  <c r="H119" i="176" l="1"/>
  <c r="H120" i="176"/>
  <c r="I117" i="176" s="1"/>
  <c r="I119" i="176" l="1"/>
  <c r="I120" i="176"/>
  <c r="J117" i="176" s="1"/>
  <c r="J119" i="176" l="1"/>
  <c r="J120" i="176"/>
  <c r="K117" i="176" s="1"/>
  <c r="K119" i="176" l="1"/>
  <c r="K120" i="176"/>
  <c r="L117" i="176" s="1"/>
  <c r="L119" i="176" l="1"/>
  <c r="L120" i="176"/>
  <c r="M117" i="176" s="1"/>
  <c r="M119" i="176" l="1"/>
  <c r="M120" i="176"/>
  <c r="N117" i="176" s="1"/>
  <c r="N119" i="176" l="1"/>
  <c r="N120" i="176"/>
  <c r="O117" i="176" s="1"/>
  <c r="C77" i="176"/>
  <c r="C119" i="176"/>
  <c r="D9" i="176" s="1"/>
  <c r="O77" i="176" l="1"/>
  <c r="I77" i="176"/>
  <c r="J77" i="176"/>
  <c r="H77" i="176"/>
  <c r="N77" i="176"/>
  <c r="P77" i="176"/>
  <c r="G77" i="176"/>
  <c r="Q77" i="176"/>
  <c r="F77" i="176"/>
  <c r="L77" i="176"/>
  <c r="J134" i="176"/>
  <c r="F134" i="176"/>
  <c r="M134" i="176"/>
  <c r="E134" i="176"/>
  <c r="I134" i="176"/>
  <c r="H134" i="176"/>
  <c r="K134" i="176"/>
  <c r="G134" i="176"/>
  <c r="O134" i="176"/>
  <c r="D134" i="176"/>
  <c r="L134" i="176"/>
  <c r="N134" i="176"/>
  <c r="M77" i="176"/>
  <c r="K77" i="176"/>
  <c r="P134" i="176"/>
  <c r="Q134" i="176"/>
  <c r="E77" i="176"/>
  <c r="C84" i="176"/>
  <c r="D77" i="176"/>
  <c r="O119" i="176"/>
  <c r="O78" i="176" s="1"/>
  <c r="O87" i="176" s="1"/>
  <c r="O120" i="176"/>
  <c r="P117" i="176" s="1"/>
  <c r="K135" i="176" l="1"/>
  <c r="K84" i="176"/>
  <c r="Q84" i="176"/>
  <c r="Q85" i="176" s="1"/>
  <c r="Q135" i="176"/>
  <c r="M135" i="176"/>
  <c r="M84" i="176"/>
  <c r="C85" i="176"/>
  <c r="C88" i="176" s="1"/>
  <c r="C91" i="176"/>
  <c r="N6" i="176" s="1"/>
  <c r="P120" i="176"/>
  <c r="Q117" i="176" s="1"/>
  <c r="P119" i="176"/>
  <c r="P78" i="176" s="1"/>
  <c r="P87" i="176" s="1"/>
  <c r="G135" i="176"/>
  <c r="G84" i="176"/>
  <c r="G85" i="176" s="1"/>
  <c r="G88" i="176" s="1"/>
  <c r="D136" i="176"/>
  <c r="E132" i="176" s="1"/>
  <c r="H135" i="176"/>
  <c r="H84" i="176"/>
  <c r="H85" i="176" s="1"/>
  <c r="H88" i="176" s="1"/>
  <c r="L135" i="176"/>
  <c r="L84" i="176"/>
  <c r="P135" i="176"/>
  <c r="P84" i="176"/>
  <c r="P85" i="176" s="1"/>
  <c r="P88" i="176" s="1"/>
  <c r="D135" i="176"/>
  <c r="D84" i="176"/>
  <c r="D85" i="176" s="1"/>
  <c r="D88" i="176" s="1"/>
  <c r="N84" i="176"/>
  <c r="N135" i="176"/>
  <c r="E135" i="176"/>
  <c r="E84" i="176"/>
  <c r="E85" i="176" s="1"/>
  <c r="E88" i="176" s="1"/>
  <c r="J84" i="176"/>
  <c r="J85" i="176" s="1"/>
  <c r="J88" i="176" s="1"/>
  <c r="J135" i="176"/>
  <c r="I84" i="176"/>
  <c r="I85" i="176" s="1"/>
  <c r="I88" i="176" s="1"/>
  <c r="I135" i="176"/>
  <c r="F135" i="176"/>
  <c r="F84" i="176"/>
  <c r="F85" i="176" s="1"/>
  <c r="F88" i="176" s="1"/>
  <c r="O84" i="176"/>
  <c r="O85" i="176" s="1"/>
  <c r="O88" i="176" s="1"/>
  <c r="O135" i="176"/>
  <c r="M91" i="176" l="1"/>
  <c r="M85" i="176"/>
  <c r="M88" i="176" s="1"/>
  <c r="O89" i="176"/>
  <c r="O102" i="176" s="1"/>
  <c r="O98" i="176" s="1"/>
  <c r="O103" i="176" s="1"/>
  <c r="H89" i="176"/>
  <c r="H102" i="176" s="1"/>
  <c r="H98" i="176" s="1"/>
  <c r="H103" i="176" s="1"/>
  <c r="N85" i="176"/>
  <c r="N88" i="176" s="1"/>
  <c r="N91" i="176"/>
  <c r="E136" i="176"/>
  <c r="F132" i="176" s="1"/>
  <c r="F136" i="176" s="1"/>
  <c r="G132" i="176" s="1"/>
  <c r="G136" i="176" s="1"/>
  <c r="H132" i="176" s="1"/>
  <c r="H136" i="176" s="1"/>
  <c r="I132" i="176" s="1"/>
  <c r="I136" i="176" s="1"/>
  <c r="J132" i="176" s="1"/>
  <c r="J136" i="176" s="1"/>
  <c r="K132" i="176" s="1"/>
  <c r="K136" i="176" s="1"/>
  <c r="L132" i="176" s="1"/>
  <c r="L136" i="176" s="1"/>
  <c r="M132" i="176" s="1"/>
  <c r="M136" i="176" s="1"/>
  <c r="N132" i="176" s="1"/>
  <c r="N136" i="176" s="1"/>
  <c r="O132" i="176" s="1"/>
  <c r="O136" i="176" s="1"/>
  <c r="P132" i="176" s="1"/>
  <c r="P136" i="176" s="1"/>
  <c r="Q132" i="176" s="1"/>
  <c r="Q136" i="176" s="1"/>
  <c r="F89" i="176"/>
  <c r="F102" i="176" s="1"/>
  <c r="F98" i="176" s="1"/>
  <c r="F103" i="176" s="1"/>
  <c r="F90" i="176"/>
  <c r="D89" i="176"/>
  <c r="D90" i="176" s="1"/>
  <c r="I89" i="176"/>
  <c r="I102" i="176" s="1"/>
  <c r="I98" i="176" s="1"/>
  <c r="I103" i="176" s="1"/>
  <c r="P89" i="176"/>
  <c r="P102" i="176" s="1"/>
  <c r="P98" i="176" s="1"/>
  <c r="P103" i="176" s="1"/>
  <c r="K91" i="176"/>
  <c r="K85" i="176"/>
  <c r="K88" i="176" s="1"/>
  <c r="G89" i="176"/>
  <c r="G102" i="176" s="1"/>
  <c r="G98" i="176" s="1"/>
  <c r="G103" i="176" s="1"/>
  <c r="J89" i="176"/>
  <c r="J102" i="176" s="1"/>
  <c r="J98" i="176" s="1"/>
  <c r="J103" i="176" s="1"/>
  <c r="E89" i="176"/>
  <c r="E102" i="176" s="1"/>
  <c r="E98" i="176" s="1"/>
  <c r="E103" i="176" s="1"/>
  <c r="L91" i="176"/>
  <c r="L85" i="176"/>
  <c r="L88" i="176" s="1"/>
  <c r="Q119" i="176"/>
  <c r="Q78" i="176" s="1"/>
  <c r="Q87" i="176" s="1"/>
  <c r="Q88" i="176" s="1"/>
  <c r="Q120" i="176"/>
  <c r="E90" i="176" l="1"/>
  <c r="P90" i="176"/>
  <c r="O90" i="176"/>
  <c r="Q89" i="176"/>
  <c r="Q102" i="176" s="1"/>
  <c r="Q98" i="176" s="1"/>
  <c r="Q103" i="176" s="1"/>
  <c r="Q90" i="176"/>
  <c r="G110" i="176"/>
  <c r="G109" i="176"/>
  <c r="J90" i="176"/>
  <c r="H90" i="176"/>
  <c r="I110" i="176"/>
  <c r="I109" i="176"/>
  <c r="O105" i="176"/>
  <c r="O109" i="176"/>
  <c r="O110" i="176"/>
  <c r="N89" i="176"/>
  <c r="N102" i="176" s="1"/>
  <c r="N98" i="176" s="1"/>
  <c r="N103" i="176" s="1"/>
  <c r="C89" i="176"/>
  <c r="C102" i="176" s="1"/>
  <c r="C98" i="176" s="1"/>
  <c r="C103" i="176" s="1"/>
  <c r="D102" i="176"/>
  <c r="D98" i="176" s="1"/>
  <c r="D103" i="176" s="1"/>
  <c r="K89" i="176"/>
  <c r="K102" i="176" s="1"/>
  <c r="K98" i="176" s="1"/>
  <c r="K103" i="176" s="1"/>
  <c r="K90" i="176"/>
  <c r="K92" i="176" s="1"/>
  <c r="F109" i="176"/>
  <c r="F110" i="176"/>
  <c r="E110" i="176"/>
  <c r="E109" i="176"/>
  <c r="P109" i="176"/>
  <c r="P105" i="176"/>
  <c r="P110" i="176"/>
  <c r="M89" i="176"/>
  <c r="M102" i="176" s="1"/>
  <c r="M98" i="176" s="1"/>
  <c r="M103" i="176" s="1"/>
  <c r="J109" i="176"/>
  <c r="J110" i="176"/>
  <c r="I90" i="176"/>
  <c r="H110" i="176"/>
  <c r="H109" i="176"/>
  <c r="G90" i="176"/>
  <c r="L89" i="176"/>
  <c r="L102" i="176" s="1"/>
  <c r="L98" i="176" s="1"/>
  <c r="L103" i="176" s="1"/>
  <c r="D110" i="176" l="1"/>
  <c r="D109" i="176"/>
  <c r="N109" i="176"/>
  <c r="N110" i="176"/>
  <c r="N105" i="176"/>
  <c r="N90" i="176"/>
  <c r="N92" i="176" s="1"/>
  <c r="M105" i="176"/>
  <c r="C105" i="176" s="1"/>
  <c r="M110" i="176"/>
  <c r="M109" i="176"/>
  <c r="L110" i="176"/>
  <c r="L109" i="176"/>
  <c r="L90" i="176"/>
  <c r="L92" i="176" s="1"/>
  <c r="M90" i="176"/>
  <c r="M92" i="176" s="1"/>
  <c r="K110" i="176"/>
  <c r="K109" i="176"/>
  <c r="Q110" i="176"/>
  <c r="Q105" i="176"/>
  <c r="Q109" i="176"/>
  <c r="B109" i="176" l="1"/>
  <c r="I9" i="176" s="1"/>
  <c r="C106" i="176"/>
  <c r="N8" i="176"/>
  <c r="C90" i="176"/>
  <c r="C92" i="176" l="1"/>
  <c r="N7" i="176" s="1"/>
  <c r="N9" i="176"/>
  <c r="I10" i="176"/>
  <c r="C114" i="155"/>
  <c r="S116" i="155" l="1"/>
  <c r="R116" i="155"/>
  <c r="N116" i="155"/>
  <c r="N243" i="96" s="1"/>
  <c r="M118" i="155"/>
  <c r="N118" i="155" s="1"/>
  <c r="F116" i="155"/>
  <c r="H116" i="155"/>
  <c r="H243" i="96" s="1"/>
  <c r="K116" i="155"/>
  <c r="K243" i="96" s="1"/>
  <c r="M116" i="155"/>
  <c r="M243" i="96" s="1"/>
  <c r="G116" i="155"/>
  <c r="G243" i="96" s="1"/>
  <c r="P116" i="155"/>
  <c r="P243" i="96" s="1"/>
  <c r="L116" i="155"/>
  <c r="L243" i="96" s="1"/>
  <c r="I116" i="155"/>
  <c r="I243" i="96" s="1"/>
  <c r="Q116" i="155"/>
  <c r="Q243" i="96" s="1"/>
  <c r="J116" i="155"/>
  <c r="J243" i="96" s="1"/>
  <c r="E116" i="155"/>
  <c r="O116" i="155"/>
  <c r="O243" i="96" s="1"/>
  <c r="I7" i="155"/>
  <c r="D116" i="155"/>
  <c r="R243" i="96" l="1"/>
  <c r="S243" i="96"/>
  <c r="O118" i="155"/>
  <c r="O209" i="96" s="1"/>
  <c r="O219" i="96" s="1"/>
  <c r="O31" i="96" s="1"/>
  <c r="R9" i="99" s="1"/>
  <c r="N209" i="96"/>
  <c r="N219" i="96" s="1"/>
  <c r="N31" i="96" s="1"/>
  <c r="Q9" i="99" s="1"/>
  <c r="L209" i="96"/>
  <c r="M209" i="96"/>
  <c r="M219" i="96" s="1"/>
  <c r="M31" i="96" s="1"/>
  <c r="P9" i="99" s="1"/>
  <c r="F243" i="96"/>
  <c r="F117" i="155"/>
  <c r="C116" i="155"/>
  <c r="D117" i="155"/>
  <c r="D243" i="96"/>
  <c r="E243" i="96"/>
  <c r="E117" i="155"/>
  <c r="E120" i="155" l="1"/>
  <c r="E192" i="96" s="1"/>
  <c r="E119" i="155"/>
  <c r="E226" i="96" s="1"/>
  <c r="F119" i="155"/>
  <c r="F226" i="96" s="1"/>
  <c r="F120" i="155"/>
  <c r="C118" i="155"/>
  <c r="C209" i="96" s="1"/>
  <c r="D120" i="155"/>
  <c r="D192" i="96" s="1"/>
  <c r="D119" i="155"/>
  <c r="D226" i="96" l="1"/>
  <c r="F192" i="96"/>
  <c r="G117" i="155"/>
  <c r="G119" i="155" l="1"/>
  <c r="G120" i="155"/>
  <c r="G192" i="96" l="1"/>
  <c r="H117" i="155"/>
  <c r="G226" i="96"/>
  <c r="H120" i="155" l="1"/>
  <c r="H119" i="155"/>
  <c r="H226" i="96" l="1"/>
  <c r="I117" i="155"/>
  <c r="H192" i="96"/>
  <c r="I119" i="155" l="1"/>
  <c r="I120" i="155"/>
  <c r="J117" i="155" l="1"/>
  <c r="I192" i="96"/>
  <c r="I226" i="96"/>
  <c r="J119" i="155" l="1"/>
  <c r="J120" i="155"/>
  <c r="J192" i="96" l="1"/>
  <c r="K117" i="155"/>
  <c r="J226" i="96"/>
  <c r="K119" i="155" l="1"/>
  <c r="K226" i="96" s="1"/>
  <c r="K120" i="155"/>
  <c r="K192" i="96" l="1"/>
  <c r="L117" i="155"/>
  <c r="L119" i="155" l="1"/>
  <c r="L226" i="96" s="1"/>
  <c r="L120" i="155"/>
  <c r="L192" i="96" l="1"/>
  <c r="M117" i="155"/>
  <c r="M119" i="155" l="1"/>
  <c r="M120" i="155"/>
  <c r="M192" i="96" l="1"/>
  <c r="N117" i="155"/>
  <c r="M226" i="96"/>
  <c r="N119" i="155" l="1"/>
  <c r="N120" i="155"/>
  <c r="N226" i="96" l="1"/>
  <c r="O117" i="155"/>
  <c r="N192" i="96"/>
  <c r="O119" i="155" l="1"/>
  <c r="O120" i="155"/>
  <c r="O226" i="96" l="1"/>
  <c r="O192" i="96"/>
  <c r="P117" i="155"/>
  <c r="P119" i="155" l="1"/>
  <c r="P120" i="155"/>
  <c r="P226" i="96" l="1"/>
  <c r="P192" i="96"/>
  <c r="Q117" i="155"/>
  <c r="Q120" i="155" l="1"/>
  <c r="Q119" i="155"/>
  <c r="N105" i="155"/>
  <c r="Q192" i="96" l="1"/>
  <c r="R117" i="155"/>
  <c r="Q226" i="96"/>
  <c r="C119" i="155"/>
  <c r="R120" i="155" l="1"/>
  <c r="R119" i="155"/>
  <c r="D9" i="155"/>
  <c r="C226" i="96"/>
  <c r="R78" i="155" l="1"/>
  <c r="R226" i="96"/>
  <c r="R192" i="96"/>
  <c r="S117" i="155"/>
  <c r="R87" i="155" l="1"/>
  <c r="S120" i="155"/>
  <c r="S192" i="96" s="1"/>
  <c r="S119" i="155"/>
  <c r="C77" i="155" s="1"/>
  <c r="S77" i="155" l="1"/>
  <c r="J77" i="155"/>
  <c r="R134" i="155"/>
  <c r="C84" i="155"/>
  <c r="K77" i="155"/>
  <c r="Q77" i="155"/>
  <c r="O77" i="155"/>
  <c r="Q134" i="155"/>
  <c r="I77" i="155"/>
  <c r="H134" i="155"/>
  <c r="P134" i="155"/>
  <c r="R77" i="155"/>
  <c r="E77" i="155"/>
  <c r="D77" i="155"/>
  <c r="D134" i="155"/>
  <c r="H77" i="155"/>
  <c r="N134" i="155"/>
  <c r="G77" i="155"/>
  <c r="I134" i="155"/>
  <c r="E134" i="155"/>
  <c r="G134" i="155"/>
  <c r="N77" i="155"/>
  <c r="K134" i="155"/>
  <c r="L134" i="155"/>
  <c r="O134" i="155"/>
  <c r="S134" i="155"/>
  <c r="L77" i="155"/>
  <c r="F77" i="155"/>
  <c r="P77" i="155"/>
  <c r="J134" i="155"/>
  <c r="M134" i="155"/>
  <c r="F134" i="155"/>
  <c r="M77" i="155"/>
  <c r="S78" i="155"/>
  <c r="S226" i="96"/>
  <c r="G135" i="155" l="1"/>
  <c r="G84" i="155"/>
  <c r="G85" i="155" s="1"/>
  <c r="M135" i="155"/>
  <c r="M84" i="155"/>
  <c r="R84" i="155"/>
  <c r="R85" i="155" s="1"/>
  <c r="R135" i="155"/>
  <c r="P84" i="155"/>
  <c r="P135" i="155"/>
  <c r="Q135" i="155"/>
  <c r="Q84" i="155"/>
  <c r="S87" i="155"/>
  <c r="C78" i="155"/>
  <c r="C87" i="155" s="1"/>
  <c r="H135" i="155"/>
  <c r="H84" i="155"/>
  <c r="H85" i="155" s="1"/>
  <c r="D84" i="155"/>
  <c r="D85" i="155" s="1"/>
  <c r="D135" i="155"/>
  <c r="D136" i="155" s="1"/>
  <c r="E84" i="155"/>
  <c r="E85" i="155" s="1"/>
  <c r="E135" i="155"/>
  <c r="I135" i="155"/>
  <c r="I84" i="155"/>
  <c r="I85" i="155" s="1"/>
  <c r="F84" i="155"/>
  <c r="F85" i="155" s="1"/>
  <c r="F135" i="155"/>
  <c r="L135" i="155"/>
  <c r="L84" i="155"/>
  <c r="O84" i="155"/>
  <c r="O135" i="155"/>
  <c r="K135" i="155"/>
  <c r="K84" i="155"/>
  <c r="K85" i="155" s="1"/>
  <c r="C85" i="155"/>
  <c r="C91" i="155"/>
  <c r="N6" i="155" s="1"/>
  <c r="N135" i="155"/>
  <c r="N84" i="155"/>
  <c r="J135" i="155"/>
  <c r="J84" i="155"/>
  <c r="J85" i="155" s="1"/>
  <c r="S84" i="155"/>
  <c r="S85" i="155" s="1"/>
  <c r="S158" i="96" s="1"/>
  <c r="S135" i="155"/>
  <c r="S88" i="155" l="1"/>
  <c r="S89" i="155" s="1"/>
  <c r="S102" i="155" s="1"/>
  <c r="S98" i="155" s="1"/>
  <c r="S90" i="155"/>
  <c r="S124" i="96" s="1"/>
  <c r="E88" i="155"/>
  <c r="E158" i="96"/>
  <c r="I158" i="96"/>
  <c r="I88" i="155"/>
  <c r="D88" i="155"/>
  <c r="D158" i="96"/>
  <c r="K88" i="155"/>
  <c r="K158" i="96"/>
  <c r="E132" i="155"/>
  <c r="E136" i="155" s="1"/>
  <c r="D260" i="96"/>
  <c r="H88" i="155"/>
  <c r="H158" i="96"/>
  <c r="N91" i="155"/>
  <c r="N85" i="155"/>
  <c r="C88" i="155"/>
  <c r="C158" i="96"/>
  <c r="C175" i="96" s="1"/>
  <c r="K9" i="104" s="1"/>
  <c r="J158" i="96"/>
  <c r="J88" i="155"/>
  <c r="Q91" i="155"/>
  <c r="Q85" i="155"/>
  <c r="P85" i="155"/>
  <c r="P91" i="155"/>
  <c r="O85" i="155"/>
  <c r="O91" i="155"/>
  <c r="R158" i="96"/>
  <c r="R88" i="155"/>
  <c r="L91" i="155"/>
  <c r="L85" i="155"/>
  <c r="M91" i="155"/>
  <c r="M85" i="155"/>
  <c r="G88" i="155"/>
  <c r="G158" i="96"/>
  <c r="F158" i="96"/>
  <c r="F88" i="155"/>
  <c r="S103" i="155"/>
  <c r="S311" i="96"/>
  <c r="S328" i="96" s="1"/>
  <c r="J89" i="155" l="1"/>
  <c r="J102" i="155" s="1"/>
  <c r="J98" i="155" s="1"/>
  <c r="J90" i="155"/>
  <c r="J124" i="96" s="1"/>
  <c r="AH124" i="96" s="1"/>
  <c r="M158" i="96"/>
  <c r="M175" i="96" s="1"/>
  <c r="M88" i="155"/>
  <c r="F89" i="155"/>
  <c r="F102" i="155" s="1"/>
  <c r="F98" i="155" s="1"/>
  <c r="N88" i="155"/>
  <c r="N158" i="96"/>
  <c r="N175" i="96" s="1"/>
  <c r="G89" i="155"/>
  <c r="G102" i="155" s="1"/>
  <c r="G98" i="155" s="1"/>
  <c r="K89" i="155"/>
  <c r="K102" i="155" s="1"/>
  <c r="K98" i="155" s="1"/>
  <c r="H89" i="155"/>
  <c r="H102" i="155" s="1"/>
  <c r="H98" i="155" s="1"/>
  <c r="R89" i="155"/>
  <c r="R102" i="155" s="1"/>
  <c r="R98" i="155" s="1"/>
  <c r="R103" i="155" s="1"/>
  <c r="Q88" i="155"/>
  <c r="Q158" i="96"/>
  <c r="Q175" i="96" s="1"/>
  <c r="F132" i="155"/>
  <c r="F136" i="155" s="1"/>
  <c r="E260" i="96"/>
  <c r="L158" i="96"/>
  <c r="L175" i="96" s="1"/>
  <c r="L88" i="155"/>
  <c r="D89" i="155"/>
  <c r="D90" i="155" s="1"/>
  <c r="I89" i="155"/>
  <c r="I102" i="155" s="1"/>
  <c r="I98" i="155" s="1"/>
  <c r="O88" i="155"/>
  <c r="O158" i="96"/>
  <c r="O175" i="96" s="1"/>
  <c r="P88" i="155"/>
  <c r="P158" i="96"/>
  <c r="P175" i="96" s="1"/>
  <c r="E89" i="155"/>
  <c r="E102" i="155" s="1"/>
  <c r="E98" i="155" s="1"/>
  <c r="S105" i="155"/>
  <c r="S110" i="155"/>
  <c r="S109" i="155"/>
  <c r="C114" i="137"/>
  <c r="I7" i="137" s="1"/>
  <c r="D116" i="137"/>
  <c r="D117" i="137" s="1"/>
  <c r="G90" i="155" l="1"/>
  <c r="G124" i="96" s="1"/>
  <c r="AE124" i="96" s="1"/>
  <c r="R90" i="155"/>
  <c r="R124" i="96" s="1"/>
  <c r="F90" i="155"/>
  <c r="F124" i="96" s="1"/>
  <c r="AD124" i="96" s="1"/>
  <c r="I90" i="155"/>
  <c r="I124" i="96" s="1"/>
  <c r="AG124" i="96" s="1"/>
  <c r="K90" i="155"/>
  <c r="K124" i="96" s="1"/>
  <c r="AI124" i="96" s="1"/>
  <c r="F260" i="96"/>
  <c r="G132" i="155"/>
  <c r="G136" i="155" s="1"/>
  <c r="H311" i="96"/>
  <c r="H328" i="96" s="1"/>
  <c r="H103" i="155"/>
  <c r="R311" i="96"/>
  <c r="R328" i="96" s="1"/>
  <c r="E90" i="155"/>
  <c r="E124" i="96" s="1"/>
  <c r="AC124" i="96" s="1"/>
  <c r="N89" i="155"/>
  <c r="N102" i="155" s="1"/>
  <c r="N98" i="155" s="1"/>
  <c r="H90" i="155"/>
  <c r="H124" i="96" s="1"/>
  <c r="AF124" i="96" s="1"/>
  <c r="E311" i="96"/>
  <c r="E328" i="96" s="1"/>
  <c r="E103" i="155"/>
  <c r="Q89" i="155"/>
  <c r="Q102" i="155" s="1"/>
  <c r="Q98" i="155" s="1"/>
  <c r="O89" i="155"/>
  <c r="O102" i="155" s="1"/>
  <c r="O98" i="155" s="1"/>
  <c r="I311" i="96"/>
  <c r="I328" i="96" s="1"/>
  <c r="I103" i="155"/>
  <c r="K311" i="96"/>
  <c r="K328" i="96" s="1"/>
  <c r="K103" i="155"/>
  <c r="P89" i="155"/>
  <c r="P102" i="155" s="1"/>
  <c r="P98" i="155" s="1"/>
  <c r="P90" i="155"/>
  <c r="G103" i="155"/>
  <c r="G311" i="96"/>
  <c r="G328" i="96" s="1"/>
  <c r="F103" i="155"/>
  <c r="F311" i="96"/>
  <c r="F328" i="96" s="1"/>
  <c r="D124" i="96"/>
  <c r="AB124" i="96" s="1"/>
  <c r="M89" i="155"/>
  <c r="M102" i="155" s="1"/>
  <c r="M98" i="155" s="1"/>
  <c r="D102" i="155"/>
  <c r="D98" i="155" s="1"/>
  <c r="L89" i="155"/>
  <c r="L102" i="155" s="1"/>
  <c r="L98" i="155" s="1"/>
  <c r="J311" i="96"/>
  <c r="J328" i="96" s="1"/>
  <c r="J103" i="155"/>
  <c r="D120" i="137"/>
  <c r="D199" i="96" s="1"/>
  <c r="D119" i="137"/>
  <c r="F116" i="137"/>
  <c r="W116" i="137"/>
  <c r="D250" i="96"/>
  <c r="N116" i="137"/>
  <c r="N250" i="96" s="1"/>
  <c r="U116" i="137"/>
  <c r="U250" i="96" s="1"/>
  <c r="E116" i="137"/>
  <c r="M116" i="137"/>
  <c r="M250" i="96" s="1"/>
  <c r="H116" i="137"/>
  <c r="H250" i="96" s="1"/>
  <c r="V116" i="137"/>
  <c r="V250" i="96" s="1"/>
  <c r="P116" i="137"/>
  <c r="P250" i="96" s="1"/>
  <c r="J116" i="137"/>
  <c r="J250" i="96" s="1"/>
  <c r="T116" i="137"/>
  <c r="T250" i="96" s="1"/>
  <c r="L116" i="137"/>
  <c r="L250" i="96" s="1"/>
  <c r="Q116" i="137"/>
  <c r="Q250" i="96" s="1"/>
  <c r="I116" i="137"/>
  <c r="I250" i="96" s="1"/>
  <c r="O116" i="137"/>
  <c r="O250" i="96" s="1"/>
  <c r="R116" i="137"/>
  <c r="R250" i="96" s="1"/>
  <c r="S116" i="137"/>
  <c r="S250" i="96" s="1"/>
  <c r="T118" i="137"/>
  <c r="K116" i="137"/>
  <c r="K250" i="96" s="1"/>
  <c r="G116" i="137"/>
  <c r="G250" i="96" s="1"/>
  <c r="N90" i="155" l="1"/>
  <c r="L90" i="155"/>
  <c r="O90" i="155"/>
  <c r="O124" i="96" s="1"/>
  <c r="O141" i="96" s="1"/>
  <c r="M90" i="155"/>
  <c r="Q90" i="155"/>
  <c r="Q124" i="96" s="1"/>
  <c r="Q141" i="96" s="1"/>
  <c r="I109" i="155"/>
  <c r="I110" i="155"/>
  <c r="J110" i="155"/>
  <c r="J109" i="155"/>
  <c r="O92" i="155"/>
  <c r="Q103" i="155"/>
  <c r="Q311" i="96"/>
  <c r="Q328" i="96" s="1"/>
  <c r="D311" i="96"/>
  <c r="D328" i="96" s="1"/>
  <c r="D103" i="155"/>
  <c r="N92" i="155"/>
  <c r="N124" i="96"/>
  <c r="N141" i="96" s="1"/>
  <c r="O311" i="96"/>
  <c r="O328" i="96" s="1"/>
  <c r="O103" i="155"/>
  <c r="C89" i="155"/>
  <c r="C102" i="155" s="1"/>
  <c r="C98" i="155" s="1"/>
  <c r="M124" i="96"/>
  <c r="M141" i="96" s="1"/>
  <c r="M92" i="155"/>
  <c r="R105" i="155"/>
  <c r="R110" i="155"/>
  <c r="R109" i="155"/>
  <c r="L92" i="155"/>
  <c r="L124" i="96"/>
  <c r="G110" i="155"/>
  <c r="G109" i="155"/>
  <c r="K110" i="155"/>
  <c r="K109" i="155"/>
  <c r="N103" i="155"/>
  <c r="N311" i="96"/>
  <c r="N328" i="96" s="1"/>
  <c r="H110" i="155"/>
  <c r="H109" i="155"/>
  <c r="P124" i="96"/>
  <c r="P141" i="96" s="1"/>
  <c r="P92" i="155"/>
  <c r="G260" i="96"/>
  <c r="H132" i="155"/>
  <c r="H136" i="155" s="1"/>
  <c r="L311" i="96"/>
  <c r="L328" i="96" s="1"/>
  <c r="L103" i="155"/>
  <c r="E110" i="155"/>
  <c r="E109" i="155"/>
  <c r="M103" i="155"/>
  <c r="M311" i="96"/>
  <c r="M328" i="96" s="1"/>
  <c r="F109" i="155"/>
  <c r="F110" i="155"/>
  <c r="P103" i="155"/>
  <c r="P311" i="96"/>
  <c r="P328" i="96" s="1"/>
  <c r="U118" i="137"/>
  <c r="U216" i="96" s="1"/>
  <c r="C118" i="137"/>
  <c r="C216" i="96" s="1"/>
  <c r="T216" i="96"/>
  <c r="C116" i="137"/>
  <c r="D233" i="96"/>
  <c r="F250" i="96"/>
  <c r="F117" i="137"/>
  <c r="E117" i="137"/>
  <c r="E250" i="96"/>
  <c r="C90" i="155" l="1"/>
  <c r="N9" i="155" s="1"/>
  <c r="Q92" i="155"/>
  <c r="L110" i="155"/>
  <c r="L109" i="155"/>
  <c r="D109" i="155"/>
  <c r="D110" i="155"/>
  <c r="Q110" i="155"/>
  <c r="Q109" i="155"/>
  <c r="Q105" i="155"/>
  <c r="H260" i="96"/>
  <c r="I132" i="155"/>
  <c r="I136" i="155" s="1"/>
  <c r="P109" i="155"/>
  <c r="P105" i="155"/>
  <c r="P110" i="155"/>
  <c r="H9" i="104"/>
  <c r="C92" i="155"/>
  <c r="N7" i="155" s="1"/>
  <c r="C124" i="96"/>
  <c r="C311" i="96"/>
  <c r="C328" i="96" s="1"/>
  <c r="C103" i="155"/>
  <c r="O105" i="155"/>
  <c r="C105" i="155" s="1"/>
  <c r="C106" i="155" s="1"/>
  <c r="O109" i="155"/>
  <c r="O110" i="155"/>
  <c r="N109" i="155"/>
  <c r="N110" i="155"/>
  <c r="M110" i="155"/>
  <c r="M109" i="155"/>
  <c r="L141" i="96"/>
  <c r="AJ124" i="96"/>
  <c r="E120" i="137"/>
  <c r="E199" i="96" s="1"/>
  <c r="E119" i="137"/>
  <c r="F119" i="137"/>
  <c r="F233" i="96" s="1"/>
  <c r="F120" i="137"/>
  <c r="C141" i="96" l="1"/>
  <c r="L9" i="104" s="1"/>
  <c r="AA124" i="96"/>
  <c r="J132" i="155"/>
  <c r="J136" i="155" s="1"/>
  <c r="I260" i="96"/>
  <c r="B109" i="155"/>
  <c r="I9" i="155" s="1"/>
  <c r="F199" i="96"/>
  <c r="G117" i="137"/>
  <c r="E233" i="96"/>
  <c r="J260" i="96" l="1"/>
  <c r="K132" i="155"/>
  <c r="K136" i="155" s="1"/>
  <c r="N8" i="155"/>
  <c r="E9" i="104" s="1"/>
  <c r="I10" i="155"/>
  <c r="G119" i="137"/>
  <c r="G120" i="137"/>
  <c r="I9" i="104" l="1"/>
  <c r="D7" i="175"/>
  <c r="G9" i="104"/>
  <c r="F7" i="175" s="1"/>
  <c r="K260" i="96"/>
  <c r="L132" i="155"/>
  <c r="L136" i="155" s="1"/>
  <c r="G199" i="96"/>
  <c r="H117" i="137"/>
  <c r="G233" i="96"/>
  <c r="L260" i="96" l="1"/>
  <c r="M132" i="155"/>
  <c r="M136" i="155" s="1"/>
  <c r="H119" i="137"/>
  <c r="H120" i="137"/>
  <c r="N132" i="155" l="1"/>
  <c r="N136" i="155" s="1"/>
  <c r="M260" i="96"/>
  <c r="H199" i="96"/>
  <c r="I117" i="137"/>
  <c r="H233" i="96"/>
  <c r="N260" i="96" l="1"/>
  <c r="O132" i="155"/>
  <c r="O136" i="155" s="1"/>
  <c r="I119" i="137"/>
  <c r="I120" i="137"/>
  <c r="O260" i="96" l="1"/>
  <c r="P132" i="155"/>
  <c r="P136" i="155" s="1"/>
  <c r="I199" i="96"/>
  <c r="J117" i="137"/>
  <c r="I233" i="96"/>
  <c r="Q132" i="155" l="1"/>
  <c r="Q136" i="155" s="1"/>
  <c r="P260" i="96"/>
  <c r="J119" i="137"/>
  <c r="J233" i="96" s="1"/>
  <c r="J120" i="137"/>
  <c r="R132" i="155" l="1"/>
  <c r="R136" i="155" s="1"/>
  <c r="Q260" i="96"/>
  <c r="J199" i="96"/>
  <c r="K117" i="137"/>
  <c r="S132" i="155" l="1"/>
  <c r="S136" i="155" s="1"/>
  <c r="S260" i="96" s="1"/>
  <c r="R260" i="96"/>
  <c r="K119" i="137"/>
  <c r="K233" i="96" s="1"/>
  <c r="K120" i="137"/>
  <c r="K199" i="96" l="1"/>
  <c r="L117" i="137"/>
  <c r="L119" i="137" l="1"/>
  <c r="L233" i="96" s="1"/>
  <c r="L120" i="137"/>
  <c r="L199" i="96" l="1"/>
  <c r="M117" i="137"/>
  <c r="M119" i="137" l="1"/>
  <c r="M233" i="96" s="1"/>
  <c r="M120" i="137"/>
  <c r="M199" i="96" l="1"/>
  <c r="N117" i="137"/>
  <c r="N119" i="137" l="1"/>
  <c r="N233" i="96" s="1"/>
  <c r="N120" i="137"/>
  <c r="O117" i="137" l="1"/>
  <c r="N199" i="96"/>
  <c r="O119" i="137" l="1"/>
  <c r="O233" i="96" s="1"/>
  <c r="O120" i="137"/>
  <c r="O199" i="96" l="1"/>
  <c r="P117" i="137"/>
  <c r="P119" i="137" l="1"/>
  <c r="P233" i="96" s="1"/>
  <c r="P120" i="137"/>
  <c r="Q117" i="137" l="1"/>
  <c r="P199" i="96"/>
  <c r="Q119" i="137" l="1"/>
  <c r="Q233" i="96" s="1"/>
  <c r="Q120" i="137"/>
  <c r="Q199" i="96" l="1"/>
  <c r="R117" i="137"/>
  <c r="R119" i="137" l="1"/>
  <c r="R233" i="96" s="1"/>
  <c r="R120" i="137"/>
  <c r="S117" i="137" l="1"/>
  <c r="R199" i="96"/>
  <c r="S119" i="137" l="1"/>
  <c r="S233" i="96" s="1"/>
  <c r="S120" i="137"/>
  <c r="S199" i="96" l="1"/>
  <c r="T117" i="137"/>
  <c r="T119" i="137" l="1"/>
  <c r="T233" i="96" s="1"/>
  <c r="T120" i="137"/>
  <c r="T199" i="96" l="1"/>
  <c r="U117" i="137"/>
  <c r="U120" i="137" l="1"/>
  <c r="U119" i="137"/>
  <c r="U233" i="96" s="1"/>
  <c r="U199" i="96" l="1"/>
  <c r="V117" i="137"/>
  <c r="V119" i="137" l="1"/>
  <c r="V233" i="96" s="1"/>
  <c r="V120" i="137"/>
  <c r="V199" i="96" l="1"/>
  <c r="W117" i="137"/>
  <c r="W119" i="137" l="1"/>
  <c r="W120" i="137"/>
  <c r="C119" i="137" l="1"/>
  <c r="C77" i="137"/>
  <c r="I77" i="137" l="1"/>
  <c r="V134" i="137"/>
  <c r="W134" i="137"/>
  <c r="L134" i="137"/>
  <c r="P134" i="137"/>
  <c r="Q77" i="137"/>
  <c r="I134" i="137"/>
  <c r="T134" i="137"/>
  <c r="G77" i="137"/>
  <c r="M134" i="137"/>
  <c r="H134" i="137"/>
  <c r="O77" i="137"/>
  <c r="F134" i="137"/>
  <c r="J134" i="137"/>
  <c r="D134" i="137"/>
  <c r="R134" i="137"/>
  <c r="E134" i="137"/>
  <c r="G134" i="137"/>
  <c r="S134" i="137"/>
  <c r="K134" i="137"/>
  <c r="N134" i="137"/>
  <c r="W77" i="137"/>
  <c r="J77" i="137"/>
  <c r="N77" i="137"/>
  <c r="U134" i="137"/>
  <c r="T77" i="137"/>
  <c r="R77" i="137"/>
  <c r="Q134" i="137"/>
  <c r="O134" i="137"/>
  <c r="P77" i="137"/>
  <c r="M77" i="137"/>
  <c r="C84" i="137"/>
  <c r="V77" i="137"/>
  <c r="U77" i="137"/>
  <c r="F77" i="137"/>
  <c r="E77" i="137"/>
  <c r="H77" i="137"/>
  <c r="K77" i="137"/>
  <c r="D77" i="137"/>
  <c r="S77" i="137"/>
  <c r="L77" i="137"/>
  <c r="C233" i="96"/>
  <c r="D9" i="137"/>
  <c r="P135" i="137" l="1"/>
  <c r="P84" i="137"/>
  <c r="P85" i="137" s="1"/>
  <c r="C85" i="137"/>
  <c r="C91" i="137"/>
  <c r="N6" i="137" s="1"/>
  <c r="M135" i="137"/>
  <c r="M84" i="137"/>
  <c r="M85" i="137" s="1"/>
  <c r="J135" i="137"/>
  <c r="J84" i="137"/>
  <c r="J85" i="137" s="1"/>
  <c r="K135" i="137"/>
  <c r="K84" i="137"/>
  <c r="K85" i="137" s="1"/>
  <c r="W84" i="137"/>
  <c r="W135" i="137"/>
  <c r="Q135" i="137"/>
  <c r="Q84" i="137"/>
  <c r="Q85" i="137" s="1"/>
  <c r="E135" i="137"/>
  <c r="E84" i="137"/>
  <c r="E85" i="137" s="1"/>
  <c r="F135" i="137"/>
  <c r="F84" i="137"/>
  <c r="F85" i="137" s="1"/>
  <c r="T135" i="137"/>
  <c r="T84" i="137"/>
  <c r="T85" i="137" s="1"/>
  <c r="S135" i="137"/>
  <c r="S84" i="137"/>
  <c r="S85" i="137" s="1"/>
  <c r="N135" i="137"/>
  <c r="N84" i="137"/>
  <c r="N85" i="137" s="1"/>
  <c r="D84" i="137"/>
  <c r="D85" i="137" s="1"/>
  <c r="D135" i="137"/>
  <c r="D136" i="137" s="1"/>
  <c r="H84" i="137"/>
  <c r="H85" i="137" s="1"/>
  <c r="H135" i="137"/>
  <c r="O84" i="137"/>
  <c r="O85" i="137" s="1"/>
  <c r="O135" i="137"/>
  <c r="R135" i="137"/>
  <c r="R84" i="137"/>
  <c r="R85" i="137" s="1"/>
  <c r="U135" i="137"/>
  <c r="U84" i="137"/>
  <c r="L135" i="137"/>
  <c r="L84" i="137"/>
  <c r="L85" i="137" s="1"/>
  <c r="V84" i="137"/>
  <c r="V135" i="137"/>
  <c r="G135" i="137"/>
  <c r="G84" i="137"/>
  <c r="G85" i="137" s="1"/>
  <c r="I84" i="137"/>
  <c r="I85" i="137" s="1"/>
  <c r="I135" i="137"/>
  <c r="E132" i="137" l="1"/>
  <c r="E136" i="137" s="1"/>
  <c r="D267" i="96"/>
  <c r="Q88" i="137"/>
  <c r="Q165" i="96"/>
  <c r="S165" i="96"/>
  <c r="S88" i="137"/>
  <c r="O88" i="137"/>
  <c r="O165" i="96"/>
  <c r="L165" i="96"/>
  <c r="L88" i="137"/>
  <c r="U91" i="137"/>
  <c r="U85" i="137"/>
  <c r="P165" i="96"/>
  <c r="P88" i="137"/>
  <c r="V91" i="137"/>
  <c r="V85" i="137"/>
  <c r="T165" i="96"/>
  <c r="T88" i="137"/>
  <c r="W91" i="137"/>
  <c r="W85" i="137"/>
  <c r="W88" i="137" s="1"/>
  <c r="F165" i="96"/>
  <c r="F88" i="137"/>
  <c r="I88" i="137"/>
  <c r="I165" i="96"/>
  <c r="D165" i="96"/>
  <c r="D88" i="137"/>
  <c r="M165" i="96"/>
  <c r="M88" i="137"/>
  <c r="H165" i="96"/>
  <c r="H88" i="137"/>
  <c r="C165" i="96"/>
  <c r="C182" i="96" s="1"/>
  <c r="K16" i="104" s="1"/>
  <c r="C88" i="137"/>
  <c r="K165" i="96"/>
  <c r="K88" i="137"/>
  <c r="G165" i="96"/>
  <c r="G88" i="137"/>
  <c r="R165" i="96"/>
  <c r="R88" i="137"/>
  <c r="N165" i="96"/>
  <c r="N88" i="137"/>
  <c r="E165" i="96"/>
  <c r="E88" i="137"/>
  <c r="J165" i="96"/>
  <c r="J88" i="137"/>
  <c r="N89" i="137" l="1"/>
  <c r="N102" i="137" s="1"/>
  <c r="N98" i="137" s="1"/>
  <c r="V165" i="96"/>
  <c r="V88" i="137"/>
  <c r="P89" i="137"/>
  <c r="P102" i="137" s="1"/>
  <c r="P98" i="137" s="1"/>
  <c r="I89" i="137"/>
  <c r="I102" i="137" s="1"/>
  <c r="I98" i="137" s="1"/>
  <c r="I90" i="137"/>
  <c r="I131" i="96" s="1"/>
  <c r="AG131" i="96" s="1"/>
  <c r="H89" i="137"/>
  <c r="H102" i="137" s="1"/>
  <c r="H98" i="137" s="1"/>
  <c r="H90" i="137"/>
  <c r="H131" i="96" s="1"/>
  <c r="AF131" i="96" s="1"/>
  <c r="J89" i="137"/>
  <c r="J102" i="137" s="1"/>
  <c r="J98" i="137" s="1"/>
  <c r="G89" i="137"/>
  <c r="G102" i="137" s="1"/>
  <c r="G98" i="137" s="1"/>
  <c r="G90" i="137"/>
  <c r="G131" i="96" s="1"/>
  <c r="AE131" i="96" s="1"/>
  <c r="M89" i="137"/>
  <c r="M102" i="137" s="1"/>
  <c r="M98" i="137" s="1"/>
  <c r="Q89" i="137"/>
  <c r="Q102" i="137" s="1"/>
  <c r="Q98" i="137" s="1"/>
  <c r="Q90" i="137"/>
  <c r="Q131" i="96" s="1"/>
  <c r="R89" i="137"/>
  <c r="R102" i="137" s="1"/>
  <c r="R98" i="137" s="1"/>
  <c r="R90" i="137"/>
  <c r="R131" i="96" s="1"/>
  <c r="S89" i="137"/>
  <c r="S102" i="137" s="1"/>
  <c r="S98" i="137" s="1"/>
  <c r="W89" i="137"/>
  <c r="W102" i="137" s="1"/>
  <c r="W98" i="137" s="1"/>
  <c r="W103" i="137" s="1"/>
  <c r="W90" i="137"/>
  <c r="W92" i="137" s="1"/>
  <c r="E89" i="137"/>
  <c r="E102" i="137" s="1"/>
  <c r="E98" i="137" s="1"/>
  <c r="L89" i="137"/>
  <c r="L102" i="137" s="1"/>
  <c r="L98" i="137" s="1"/>
  <c r="O89" i="137"/>
  <c r="O102" i="137" s="1"/>
  <c r="O98" i="137" s="1"/>
  <c r="F89" i="137"/>
  <c r="F102" i="137" s="1"/>
  <c r="F98" i="137" s="1"/>
  <c r="U165" i="96"/>
  <c r="U182" i="96" s="1"/>
  <c r="U88" i="137"/>
  <c r="K89" i="137"/>
  <c r="K102" i="137" s="1"/>
  <c r="K98" i="137" s="1"/>
  <c r="D89" i="137"/>
  <c r="D90" i="137" s="1"/>
  <c r="T89" i="137"/>
  <c r="T102" i="137" s="1"/>
  <c r="T98" i="137" s="1"/>
  <c r="E267" i="96"/>
  <c r="F132" i="137"/>
  <c r="F136" i="137" s="1"/>
  <c r="D131" i="96" l="1"/>
  <c r="AB131" i="96" s="1"/>
  <c r="F318" i="96"/>
  <c r="F335" i="96" s="1"/>
  <c r="F103" i="137"/>
  <c r="W105" i="137"/>
  <c r="W110" i="137"/>
  <c r="W109" i="137"/>
  <c r="I318" i="96"/>
  <c r="I335" i="96" s="1"/>
  <c r="I103" i="137"/>
  <c r="P318" i="96"/>
  <c r="P335" i="96" s="1"/>
  <c r="P103" i="137"/>
  <c r="O90" i="137"/>
  <c r="O131" i="96" s="1"/>
  <c r="P90" i="137"/>
  <c r="P131" i="96" s="1"/>
  <c r="S90" i="137"/>
  <c r="S131" i="96" s="1"/>
  <c r="V89" i="137"/>
  <c r="V102" i="137" s="1"/>
  <c r="V98" i="137" s="1"/>
  <c r="T90" i="137"/>
  <c r="T131" i="96" s="1"/>
  <c r="F90" i="137"/>
  <c r="F131" i="96" s="1"/>
  <c r="AD131" i="96" s="1"/>
  <c r="K103" i="137"/>
  <c r="K318" i="96"/>
  <c r="K335" i="96" s="1"/>
  <c r="J318" i="96"/>
  <c r="J335" i="96" s="1"/>
  <c r="J103" i="137"/>
  <c r="L90" i="137"/>
  <c r="L131" i="96" s="1"/>
  <c r="AJ131" i="96" s="1"/>
  <c r="R318" i="96"/>
  <c r="R335" i="96" s="1"/>
  <c r="R103" i="137"/>
  <c r="J90" i="137"/>
  <c r="J131" i="96" s="1"/>
  <c r="AH131" i="96" s="1"/>
  <c r="V182" i="96"/>
  <c r="T318" i="96"/>
  <c r="T335" i="96" s="1"/>
  <c r="T103" i="137"/>
  <c r="M90" i="137"/>
  <c r="M131" i="96" s="1"/>
  <c r="C89" i="137"/>
  <c r="C102" i="137" s="1"/>
  <c r="C98" i="137" s="1"/>
  <c r="D102" i="137"/>
  <c r="D98" i="137" s="1"/>
  <c r="L103" i="137"/>
  <c r="L318" i="96"/>
  <c r="L335" i="96" s="1"/>
  <c r="K90" i="137"/>
  <c r="K131" i="96" s="1"/>
  <c r="AI131" i="96" s="1"/>
  <c r="F267" i="96"/>
  <c r="G132" i="137"/>
  <c r="G136" i="137" s="1"/>
  <c r="E318" i="96"/>
  <c r="E335" i="96" s="1"/>
  <c r="E103" i="137"/>
  <c r="N318" i="96"/>
  <c r="N335" i="96" s="1"/>
  <c r="N103" i="137"/>
  <c r="M318" i="96"/>
  <c r="M335" i="96" s="1"/>
  <c r="M103" i="137"/>
  <c r="O103" i="137"/>
  <c r="O318" i="96"/>
  <c r="O335" i="96" s="1"/>
  <c r="S318" i="96"/>
  <c r="S335" i="96" s="1"/>
  <c r="S103" i="137"/>
  <c r="G103" i="137"/>
  <c r="G318" i="96"/>
  <c r="G335" i="96" s="1"/>
  <c r="U89" i="137"/>
  <c r="U102" i="137" s="1"/>
  <c r="U98" i="137" s="1"/>
  <c r="E90" i="137"/>
  <c r="E131" i="96" s="1"/>
  <c r="AC131" i="96" s="1"/>
  <c r="Q318" i="96"/>
  <c r="Q335" i="96" s="1"/>
  <c r="Q103" i="137"/>
  <c r="H103" i="137"/>
  <c r="H318" i="96"/>
  <c r="H335" i="96" s="1"/>
  <c r="N90" i="137"/>
  <c r="N131" i="96" s="1"/>
  <c r="V318" i="96" l="1"/>
  <c r="V103" i="137"/>
  <c r="S105" i="137"/>
  <c r="S109" i="137"/>
  <c r="S110" i="137"/>
  <c r="J109" i="137"/>
  <c r="J110" i="137"/>
  <c r="O110" i="137"/>
  <c r="O109" i="137"/>
  <c r="O105" i="137"/>
  <c r="C318" i="96"/>
  <c r="C335" i="96" s="1"/>
  <c r="C103" i="137"/>
  <c r="Q110" i="137"/>
  <c r="Q105" i="137"/>
  <c r="Q109" i="137"/>
  <c r="F109" i="137"/>
  <c r="F110" i="137"/>
  <c r="G267" i="96"/>
  <c r="H132" i="137"/>
  <c r="H136" i="137" s="1"/>
  <c r="K109" i="137"/>
  <c r="K110" i="137"/>
  <c r="P110" i="137"/>
  <c r="P109" i="137"/>
  <c r="P105" i="137"/>
  <c r="H109" i="137"/>
  <c r="H110" i="137"/>
  <c r="E109" i="137"/>
  <c r="E110" i="137"/>
  <c r="V90" i="137"/>
  <c r="T105" i="137"/>
  <c r="T110" i="137"/>
  <c r="T109" i="137"/>
  <c r="U90" i="137"/>
  <c r="N105" i="137"/>
  <c r="N109" i="137"/>
  <c r="N110" i="137"/>
  <c r="L110" i="137"/>
  <c r="L109" i="137"/>
  <c r="U318" i="96"/>
  <c r="U335" i="96" s="1"/>
  <c r="U103" i="137"/>
  <c r="M109" i="137"/>
  <c r="M110" i="137"/>
  <c r="G109" i="137"/>
  <c r="G110" i="137"/>
  <c r="D103" i="137"/>
  <c r="D318" i="96"/>
  <c r="D335" i="96" s="1"/>
  <c r="R110" i="137"/>
  <c r="R105" i="137"/>
  <c r="R109" i="137"/>
  <c r="I109" i="137"/>
  <c r="I110" i="137"/>
  <c r="V131" i="96" l="1"/>
  <c r="V92" i="137"/>
  <c r="D109" i="137"/>
  <c r="D110" i="137"/>
  <c r="U110" i="137"/>
  <c r="U109" i="137"/>
  <c r="U105" i="137"/>
  <c r="H267" i="96"/>
  <c r="I132" i="137"/>
  <c r="I136" i="137" s="1"/>
  <c r="V105" i="137"/>
  <c r="C105" i="137" s="1"/>
  <c r="V110" i="137"/>
  <c r="V109" i="137"/>
  <c r="U92" i="137"/>
  <c r="U131" i="96"/>
  <c r="U148" i="96" s="1"/>
  <c r="C90" i="137"/>
  <c r="V335" i="96"/>
  <c r="N8" i="137" l="1"/>
  <c r="E16" i="104" s="1"/>
  <c r="I10" i="137"/>
  <c r="C106" i="137"/>
  <c r="J132" i="137"/>
  <c r="J136" i="137" s="1"/>
  <c r="I267" i="96"/>
  <c r="B109" i="137"/>
  <c r="I9" i="137" s="1"/>
  <c r="N9" i="137"/>
  <c r="H16" i="104" s="1"/>
  <c r="C131" i="96"/>
  <c r="C92" i="137"/>
  <c r="N7" i="137" s="1"/>
  <c r="V148" i="96"/>
  <c r="J267" i="96" l="1"/>
  <c r="K132" i="137"/>
  <c r="K136" i="137" s="1"/>
  <c r="C148" i="96"/>
  <c r="L16" i="104" s="1"/>
  <c r="AA131" i="96"/>
  <c r="G16" i="104"/>
  <c r="F34" i="175" s="1"/>
  <c r="D34" i="175"/>
  <c r="K267" i="96" l="1"/>
  <c r="L132" i="137"/>
  <c r="L136" i="137" s="1"/>
  <c r="M132" i="137" l="1"/>
  <c r="M136" i="137" s="1"/>
  <c r="L267" i="96"/>
  <c r="N132" i="137" l="1"/>
  <c r="N136" i="137" s="1"/>
  <c r="M267" i="96"/>
  <c r="O132" i="137" l="1"/>
  <c r="O136" i="137" s="1"/>
  <c r="N267" i="96"/>
  <c r="O267" i="96" l="1"/>
  <c r="P132" i="137"/>
  <c r="P136" i="137" s="1"/>
  <c r="P267" i="96" l="1"/>
  <c r="Q132" i="137"/>
  <c r="Q136" i="137" s="1"/>
  <c r="Q267" i="96" l="1"/>
  <c r="R132" i="137"/>
  <c r="R136" i="137" s="1"/>
  <c r="R267" i="96" l="1"/>
  <c r="S132" i="137"/>
  <c r="S136" i="137" s="1"/>
  <c r="T132" i="137" l="1"/>
  <c r="T136" i="137" s="1"/>
  <c r="S267" i="96"/>
  <c r="T267" i="96" l="1"/>
  <c r="U132" i="137"/>
  <c r="U136" i="137" s="1"/>
  <c r="V132" i="137" l="1"/>
  <c r="V136" i="137" s="1"/>
  <c r="U267" i="96"/>
  <c r="W132" i="137" l="1"/>
  <c r="W136" i="137" s="1"/>
  <c r="V267" i="96"/>
  <c r="C114" i="160"/>
  <c r="F116" i="160" s="1"/>
  <c r="D116" i="160" l="1"/>
  <c r="D245" i="96" s="1"/>
  <c r="I7" i="160"/>
  <c r="F245" i="96"/>
  <c r="F117" i="160"/>
  <c r="I116" i="160"/>
  <c r="I245" i="96" s="1"/>
  <c r="O116" i="160"/>
  <c r="O245" i="96" s="1"/>
  <c r="M116" i="160"/>
  <c r="M245" i="96" s="1"/>
  <c r="E116" i="160"/>
  <c r="G116" i="160"/>
  <c r="G245" i="96" s="1"/>
  <c r="L116" i="160"/>
  <c r="L245" i="96" s="1"/>
  <c r="K116" i="160"/>
  <c r="K245" i="96" s="1"/>
  <c r="H116" i="160"/>
  <c r="H245" i="96" s="1"/>
  <c r="Q116" i="160"/>
  <c r="Q245" i="96" s="1"/>
  <c r="J116" i="160"/>
  <c r="J245" i="96" s="1"/>
  <c r="N116" i="160"/>
  <c r="N245" i="96" s="1"/>
  <c r="R116" i="160"/>
  <c r="R245" i="96" s="1"/>
  <c r="P116" i="160"/>
  <c r="P245" i="96" s="1"/>
  <c r="C116" i="160" l="1"/>
  <c r="D117" i="160"/>
  <c r="F119" i="160"/>
  <c r="F228" i="96" s="1"/>
  <c r="F120" i="160"/>
  <c r="E245" i="96"/>
  <c r="E117" i="160"/>
  <c r="D120" i="160" l="1"/>
  <c r="D194" i="96" s="1"/>
  <c r="D119" i="160"/>
  <c r="D228" i="96" s="1"/>
  <c r="F194" i="96"/>
  <c r="G117" i="160"/>
  <c r="E120" i="160"/>
  <c r="E194" i="96" s="1"/>
  <c r="E119" i="160"/>
  <c r="G119" i="160" l="1"/>
  <c r="G228" i="96" s="1"/>
  <c r="G120" i="160"/>
  <c r="E228" i="96"/>
  <c r="G194" i="96" l="1"/>
  <c r="H117" i="160"/>
  <c r="H119" i="160" l="1"/>
  <c r="H120" i="160"/>
  <c r="H194" i="96" l="1"/>
  <c r="I117" i="160"/>
  <c r="H228" i="96"/>
  <c r="I120" i="160" l="1"/>
  <c r="I119" i="160"/>
  <c r="I228" i="96" l="1"/>
  <c r="I194" i="96"/>
  <c r="J117" i="160"/>
  <c r="J119" i="160" l="1"/>
  <c r="J120" i="160"/>
  <c r="J194" i="96" l="1"/>
  <c r="K117" i="160"/>
  <c r="J228" i="96"/>
  <c r="K119" i="160" l="1"/>
  <c r="K228" i="96" s="1"/>
  <c r="K120" i="160"/>
  <c r="K194" i="96" l="1"/>
  <c r="L117" i="160"/>
  <c r="L120" i="160" l="1"/>
  <c r="L119" i="160"/>
  <c r="L228" i="96" s="1"/>
  <c r="M117" i="160" l="1"/>
  <c r="L194" i="96"/>
  <c r="M119" i="160" l="1"/>
  <c r="M120" i="160"/>
  <c r="M194" i="96" l="1"/>
  <c r="N117" i="160"/>
  <c r="M228" i="96"/>
  <c r="N119" i="160" l="1"/>
  <c r="N228" i="96" s="1"/>
  <c r="N120" i="160"/>
  <c r="N194" i="96" l="1"/>
  <c r="O117" i="160"/>
  <c r="P118" i="160" s="1"/>
  <c r="Q118" i="160" s="1"/>
  <c r="O119" i="160" l="1"/>
  <c r="O228" i="96" s="1"/>
  <c r="P211" i="96"/>
  <c r="O120" i="160"/>
  <c r="O194" i="96" l="1"/>
  <c r="P117" i="160"/>
  <c r="Q211" i="96" l="1"/>
  <c r="Q219" i="96" s="1"/>
  <c r="Q31" i="96" s="1"/>
  <c r="T9" i="99" s="1"/>
  <c r="C118" i="160"/>
  <c r="C211" i="96" s="1"/>
  <c r="P119" i="160"/>
  <c r="P228" i="96" s="1"/>
  <c r="P120" i="160"/>
  <c r="P194" i="96" l="1"/>
  <c r="Q117" i="160"/>
  <c r="Q119" i="160" l="1"/>
  <c r="Q120" i="160"/>
  <c r="Q78" i="160" l="1"/>
  <c r="Q228" i="96"/>
  <c r="Q194" i="96"/>
  <c r="R117" i="160"/>
  <c r="Q87" i="160" l="1"/>
  <c r="R120" i="160"/>
  <c r="R194" i="96" s="1"/>
  <c r="R119" i="160"/>
  <c r="C119" i="160" s="1"/>
  <c r="C228" i="96" l="1"/>
  <c r="D9" i="160"/>
  <c r="R228" i="96"/>
  <c r="R78" i="160"/>
  <c r="C77" i="160"/>
  <c r="D77" i="160" l="1"/>
  <c r="I77" i="160"/>
  <c r="J134" i="160"/>
  <c r="N134" i="160"/>
  <c r="M77" i="160"/>
  <c r="R134" i="160"/>
  <c r="I134" i="160"/>
  <c r="J77" i="160"/>
  <c r="E134" i="160"/>
  <c r="H134" i="160"/>
  <c r="O134" i="160"/>
  <c r="G134" i="160"/>
  <c r="K77" i="160"/>
  <c r="C84" i="160"/>
  <c r="Q77" i="160"/>
  <c r="F77" i="160"/>
  <c r="M134" i="160"/>
  <c r="O77" i="160"/>
  <c r="R77" i="160"/>
  <c r="L134" i="160"/>
  <c r="N77" i="160"/>
  <c r="P134" i="160"/>
  <c r="F134" i="160"/>
  <c r="L77" i="160"/>
  <c r="D134" i="160"/>
  <c r="K134" i="160"/>
  <c r="G77" i="160"/>
  <c r="E77" i="160"/>
  <c r="P77" i="160"/>
  <c r="Q134" i="160"/>
  <c r="H77" i="160"/>
  <c r="R87" i="160"/>
  <c r="C78" i="160"/>
  <c r="C87" i="160" s="1"/>
  <c r="J135" i="160" l="1"/>
  <c r="J84" i="160"/>
  <c r="J85" i="160" s="1"/>
  <c r="L135" i="160"/>
  <c r="L84" i="160"/>
  <c r="L85" i="160" s="1"/>
  <c r="C91" i="160"/>
  <c r="N6" i="160" s="1"/>
  <c r="C85" i="160"/>
  <c r="P135" i="160"/>
  <c r="P84" i="160"/>
  <c r="E135" i="160"/>
  <c r="E84" i="160"/>
  <c r="E85" i="160" s="1"/>
  <c r="H84" i="160"/>
  <c r="H85" i="160" s="1"/>
  <c r="H135" i="160"/>
  <c r="K135" i="160"/>
  <c r="K84" i="160"/>
  <c r="K85" i="160" s="1"/>
  <c r="G135" i="160"/>
  <c r="G84" i="160"/>
  <c r="G85" i="160" s="1"/>
  <c r="F135" i="160"/>
  <c r="F84" i="160"/>
  <c r="F85" i="160" s="1"/>
  <c r="Q135" i="160"/>
  <c r="Q84" i="160"/>
  <c r="N135" i="160"/>
  <c r="N84" i="160"/>
  <c r="N85" i="160" s="1"/>
  <c r="M135" i="160"/>
  <c r="M84" i="160"/>
  <c r="M85" i="160" s="1"/>
  <c r="R135" i="160"/>
  <c r="R84" i="160"/>
  <c r="O135" i="160"/>
  <c r="O84" i="160"/>
  <c r="O85" i="160" s="1"/>
  <c r="I135" i="160"/>
  <c r="I84" i="160"/>
  <c r="I85" i="160" s="1"/>
  <c r="D135" i="160"/>
  <c r="D136" i="160" s="1"/>
  <c r="D84" i="160"/>
  <c r="D85" i="160" s="1"/>
  <c r="R85" i="160" l="1"/>
  <c r="R91" i="160"/>
  <c r="D262" i="96"/>
  <c r="E132" i="160"/>
  <c r="E136" i="160" s="1"/>
  <c r="G160" i="96"/>
  <c r="G88" i="160"/>
  <c r="N88" i="160"/>
  <c r="N160" i="96"/>
  <c r="I160" i="96"/>
  <c r="I88" i="160"/>
  <c r="C88" i="160"/>
  <c r="C160" i="96"/>
  <c r="C177" i="96" s="1"/>
  <c r="K11" i="104" s="1"/>
  <c r="O88" i="160"/>
  <c r="O160" i="96"/>
  <c r="M160" i="96"/>
  <c r="M88" i="160"/>
  <c r="P91" i="160"/>
  <c r="P85" i="160"/>
  <c r="K160" i="96"/>
  <c r="K88" i="160"/>
  <c r="Q91" i="160"/>
  <c r="Q85" i="160"/>
  <c r="L160" i="96"/>
  <c r="L88" i="160"/>
  <c r="H160" i="96"/>
  <c r="H88" i="160"/>
  <c r="R88" i="160"/>
  <c r="R160" i="96"/>
  <c r="R177" i="96" s="1"/>
  <c r="F160" i="96"/>
  <c r="F88" i="160"/>
  <c r="E88" i="160"/>
  <c r="E160" i="96"/>
  <c r="J88" i="160"/>
  <c r="J160" i="96"/>
  <c r="D160" i="96"/>
  <c r="D88" i="160"/>
  <c r="I89" i="160" l="1"/>
  <c r="I102" i="160" s="1"/>
  <c r="I98" i="160" s="1"/>
  <c r="M89" i="160"/>
  <c r="M102" i="160" s="1"/>
  <c r="M98" i="160" s="1"/>
  <c r="G89" i="160"/>
  <c r="G102" i="160" s="1"/>
  <c r="G98" i="160" s="1"/>
  <c r="P88" i="160"/>
  <c r="P160" i="96"/>
  <c r="L89" i="160"/>
  <c r="L102" i="160" s="1"/>
  <c r="L98" i="160" s="1"/>
  <c r="E89" i="160"/>
  <c r="E102" i="160" s="1"/>
  <c r="E98" i="160" s="1"/>
  <c r="F90" i="160"/>
  <c r="F126" i="96" s="1"/>
  <c r="AD126" i="96" s="1"/>
  <c r="F89" i="160"/>
  <c r="F102" i="160" s="1"/>
  <c r="F98" i="160" s="1"/>
  <c r="Q88" i="160"/>
  <c r="Q160" i="96"/>
  <c r="H89" i="160"/>
  <c r="H102" i="160" s="1"/>
  <c r="H98" i="160" s="1"/>
  <c r="J89" i="160"/>
  <c r="J102" i="160" s="1"/>
  <c r="J98" i="160" s="1"/>
  <c r="N89" i="160"/>
  <c r="N102" i="160" s="1"/>
  <c r="N98" i="160" s="1"/>
  <c r="O89" i="160"/>
  <c r="O102" i="160" s="1"/>
  <c r="O98" i="160" s="1"/>
  <c r="D89" i="160"/>
  <c r="D90" i="160" s="1"/>
  <c r="K89" i="160"/>
  <c r="K102" i="160" s="1"/>
  <c r="K98" i="160" s="1"/>
  <c r="E262" i="96"/>
  <c r="F132" i="160"/>
  <c r="F136" i="160" s="1"/>
  <c r="R89" i="160"/>
  <c r="R102" i="160" s="1"/>
  <c r="O90" i="160" l="1"/>
  <c r="O126" i="96" s="1"/>
  <c r="R90" i="160"/>
  <c r="P89" i="160"/>
  <c r="P102" i="160" s="1"/>
  <c r="P98" i="160" s="1"/>
  <c r="K313" i="96"/>
  <c r="K330" i="96" s="1"/>
  <c r="K103" i="160"/>
  <c r="G313" i="96"/>
  <c r="G330" i="96" s="1"/>
  <c r="G103" i="160"/>
  <c r="Q177" i="96"/>
  <c r="K90" i="160"/>
  <c r="K126" i="96" s="1"/>
  <c r="AI126" i="96" s="1"/>
  <c r="D126" i="96"/>
  <c r="AB126" i="96" s="1"/>
  <c r="M313" i="96"/>
  <c r="M330" i="96" s="1"/>
  <c r="M103" i="160"/>
  <c r="Q89" i="160"/>
  <c r="Q102" i="160" s="1"/>
  <c r="F313" i="96"/>
  <c r="F330" i="96" s="1"/>
  <c r="F103" i="160"/>
  <c r="J103" i="160"/>
  <c r="J313" i="96"/>
  <c r="J330" i="96" s="1"/>
  <c r="E313" i="96"/>
  <c r="E330" i="96" s="1"/>
  <c r="E103" i="160"/>
  <c r="R103" i="160"/>
  <c r="R313" i="96"/>
  <c r="O313" i="96"/>
  <c r="O103" i="160"/>
  <c r="J90" i="160"/>
  <c r="J126" i="96" s="1"/>
  <c r="AH126" i="96" s="1"/>
  <c r="E90" i="160"/>
  <c r="E126" i="96" s="1"/>
  <c r="AC126" i="96" s="1"/>
  <c r="M90" i="160"/>
  <c r="M126" i="96" s="1"/>
  <c r="P177" i="96"/>
  <c r="I313" i="96"/>
  <c r="I330" i="96" s="1"/>
  <c r="I103" i="160"/>
  <c r="N103" i="160"/>
  <c r="N313" i="96"/>
  <c r="N90" i="160"/>
  <c r="N126" i="96" s="1"/>
  <c r="G90" i="160"/>
  <c r="G126" i="96" s="1"/>
  <c r="AE126" i="96" s="1"/>
  <c r="D102" i="160"/>
  <c r="D98" i="160" s="1"/>
  <c r="H313" i="96"/>
  <c r="H330" i="96" s="1"/>
  <c r="H103" i="160"/>
  <c r="L313" i="96"/>
  <c r="L330" i="96" s="1"/>
  <c r="L103" i="160"/>
  <c r="F262" i="96"/>
  <c r="G132" i="160"/>
  <c r="G136" i="160" s="1"/>
  <c r="H90" i="160"/>
  <c r="H126" i="96" s="1"/>
  <c r="AF126" i="96" s="1"/>
  <c r="L90" i="160"/>
  <c r="L126" i="96" s="1"/>
  <c r="AJ126" i="96" s="1"/>
  <c r="I90" i="160"/>
  <c r="I126" i="96" s="1"/>
  <c r="AG126" i="96" s="1"/>
  <c r="R126" i="96" l="1"/>
  <c r="R143" i="96" s="1"/>
  <c r="R92" i="160"/>
  <c r="Q90" i="160"/>
  <c r="C89" i="160"/>
  <c r="C102" i="160" s="1"/>
  <c r="C98" i="160" s="1"/>
  <c r="C103" i="160" s="1"/>
  <c r="R330" i="96"/>
  <c r="Q92" i="160"/>
  <c r="Q126" i="96"/>
  <c r="C313" i="96"/>
  <c r="C330" i="96" s="1"/>
  <c r="R110" i="160"/>
  <c r="R105" i="160"/>
  <c r="C105" i="160" s="1"/>
  <c r="C106" i="160" s="1"/>
  <c r="R109" i="160"/>
  <c r="B109" i="160" s="1"/>
  <c r="Q313" i="96"/>
  <c r="G110" i="160"/>
  <c r="G109" i="160"/>
  <c r="O330" i="96"/>
  <c r="D103" i="160"/>
  <c r="D313" i="96"/>
  <c r="D330" i="96" s="1"/>
  <c r="E110" i="160"/>
  <c r="E109" i="160"/>
  <c r="K109" i="160"/>
  <c r="K110" i="160"/>
  <c r="L110" i="160"/>
  <c r="L109" i="160"/>
  <c r="N330" i="96"/>
  <c r="H110" i="160"/>
  <c r="H109" i="160"/>
  <c r="P313" i="96"/>
  <c r="P103" i="160"/>
  <c r="G262" i="96"/>
  <c r="H132" i="160"/>
  <c r="H136" i="160" s="1"/>
  <c r="M110" i="160"/>
  <c r="M109" i="160"/>
  <c r="N109" i="160"/>
  <c r="N110" i="160"/>
  <c r="N105" i="160"/>
  <c r="J110" i="160"/>
  <c r="J109" i="160"/>
  <c r="I110" i="160"/>
  <c r="I109" i="160"/>
  <c r="O105" i="160"/>
  <c r="O109" i="160"/>
  <c r="O110" i="160"/>
  <c r="F109" i="160"/>
  <c r="F110" i="160"/>
  <c r="P90" i="160"/>
  <c r="C90" i="160" s="1"/>
  <c r="N9" i="160" l="1"/>
  <c r="H11" i="104" s="1"/>
  <c r="C126" i="96"/>
  <c r="C92" i="160"/>
  <c r="N7" i="160" s="1"/>
  <c r="D109" i="160"/>
  <c r="D110" i="160"/>
  <c r="P92" i="160"/>
  <c r="P126" i="96"/>
  <c r="P330" i="96"/>
  <c r="Q143" i="96"/>
  <c r="Q330" i="96"/>
  <c r="P109" i="160"/>
  <c r="P110" i="160"/>
  <c r="Q110" i="160"/>
  <c r="Q109" i="160"/>
  <c r="H262" i="96"/>
  <c r="I132" i="160"/>
  <c r="I136" i="160" s="1"/>
  <c r="I9" i="160" l="1"/>
  <c r="P143" i="96"/>
  <c r="N8" i="160"/>
  <c r="E11" i="104" s="1"/>
  <c r="I10" i="160"/>
  <c r="AA126" i="96"/>
  <c r="C143" i="96"/>
  <c r="L11" i="104" s="1"/>
  <c r="J132" i="160"/>
  <c r="J136" i="160" s="1"/>
  <c r="I262" i="96"/>
  <c r="G11" i="104" l="1"/>
  <c r="I11" i="104"/>
  <c r="J262" i="96"/>
  <c r="K132" i="160"/>
  <c r="K136" i="160" s="1"/>
  <c r="K262" i="96" l="1"/>
  <c r="L132" i="160"/>
  <c r="L136" i="160" s="1"/>
  <c r="L262" i="96" l="1"/>
  <c r="M132" i="160"/>
  <c r="M136" i="160" s="1"/>
  <c r="M262" i="96" l="1"/>
  <c r="N132" i="160"/>
  <c r="N136" i="160" s="1"/>
  <c r="O132" i="160" l="1"/>
  <c r="O136" i="160" s="1"/>
  <c r="N262" i="96"/>
  <c r="O262" i="96" l="1"/>
  <c r="P132" i="160"/>
  <c r="P136" i="160" s="1"/>
  <c r="P262" i="96" l="1"/>
  <c r="Q132" i="160"/>
  <c r="Q136" i="160" s="1"/>
  <c r="Q262" i="96" l="1"/>
  <c r="R132" i="160"/>
  <c r="R136" i="160" s="1"/>
  <c r="R262" i="96" s="1"/>
  <c r="C114" i="132"/>
  <c r="D116" i="132" l="1"/>
  <c r="V116" i="132"/>
  <c r="V248" i="96" s="1"/>
  <c r="V253" i="96" s="1"/>
  <c r="W116" i="132"/>
  <c r="D248" i="96"/>
  <c r="D117" i="132"/>
  <c r="L116" i="132"/>
  <c r="L248" i="96" s="1"/>
  <c r="H116" i="132"/>
  <c r="H248" i="96" s="1"/>
  <c r="O116" i="132"/>
  <c r="O248" i="96" s="1"/>
  <c r="S116" i="132"/>
  <c r="S248" i="96" s="1"/>
  <c r="T116" i="132"/>
  <c r="T248" i="96" s="1"/>
  <c r="I116" i="132"/>
  <c r="I248" i="96" s="1"/>
  <c r="M116" i="132"/>
  <c r="M248" i="96" s="1"/>
  <c r="J116" i="132"/>
  <c r="J248" i="96" s="1"/>
  <c r="R116" i="132"/>
  <c r="R248" i="96" s="1"/>
  <c r="N116" i="132"/>
  <c r="N248" i="96" s="1"/>
  <c r="G116" i="132"/>
  <c r="G248" i="96" s="1"/>
  <c r="P116" i="132"/>
  <c r="P248" i="96" s="1"/>
  <c r="U116" i="132"/>
  <c r="U248" i="96" s="1"/>
  <c r="U253" i="96" s="1"/>
  <c r="Q116" i="132"/>
  <c r="Q248" i="96" s="1"/>
  <c r="E116" i="132"/>
  <c r="I7" i="132"/>
  <c r="K116" i="132"/>
  <c r="K248" i="96" s="1"/>
  <c r="F116" i="132"/>
  <c r="D120" i="132" l="1"/>
  <c r="D197" i="96" s="1"/>
  <c r="D119" i="132"/>
  <c r="F248" i="96"/>
  <c r="F117" i="132"/>
  <c r="E248" i="96"/>
  <c r="E117" i="132"/>
  <c r="C116" i="132"/>
  <c r="D231" i="96" l="1"/>
  <c r="F119" i="132"/>
  <c r="F231" i="96" s="1"/>
  <c r="F120" i="132"/>
  <c r="E119" i="132"/>
  <c r="E231" i="96" s="1"/>
  <c r="E120" i="132"/>
  <c r="E197" i="96" s="1"/>
  <c r="F197" i="96" l="1"/>
  <c r="G117" i="132"/>
  <c r="G119" i="132" l="1"/>
  <c r="G120" i="132"/>
  <c r="G197" i="96" l="1"/>
  <c r="H117" i="132"/>
  <c r="G231" i="96"/>
  <c r="H119" i="132" l="1"/>
  <c r="H120" i="132"/>
  <c r="H197" i="96" l="1"/>
  <c r="I117" i="132"/>
  <c r="H231" i="96"/>
  <c r="I119" i="132" l="1"/>
  <c r="I120" i="132"/>
  <c r="I197" i="96" l="1"/>
  <c r="J117" i="132"/>
  <c r="I231" i="96"/>
  <c r="J119" i="132" l="1"/>
  <c r="J120" i="132"/>
  <c r="J197" i="96" l="1"/>
  <c r="K117" i="132"/>
  <c r="J231" i="96"/>
  <c r="K119" i="132" l="1"/>
  <c r="K231" i="96" s="1"/>
  <c r="K120" i="132"/>
  <c r="K197" i="96" l="1"/>
  <c r="L117" i="132"/>
  <c r="L119" i="132" l="1"/>
  <c r="L231" i="96" s="1"/>
  <c r="L120" i="132"/>
  <c r="L197" i="96" l="1"/>
  <c r="M117" i="132"/>
  <c r="M119" i="132" l="1"/>
  <c r="M120" i="132"/>
  <c r="M197" i="96" l="1"/>
  <c r="N117" i="132"/>
  <c r="M231" i="96"/>
  <c r="N119" i="132" l="1"/>
  <c r="N231" i="96" s="1"/>
  <c r="N120" i="132"/>
  <c r="N197" i="96" l="1"/>
  <c r="O117" i="132"/>
  <c r="O119" i="132" l="1"/>
  <c r="O231" i="96" s="1"/>
  <c r="O120" i="132"/>
  <c r="O197" i="96" l="1"/>
  <c r="P117" i="132"/>
  <c r="P119" i="132" l="1"/>
  <c r="P231" i="96" s="1"/>
  <c r="P120" i="132"/>
  <c r="Q117" i="132" l="1"/>
  <c r="P197" i="96"/>
  <c r="Q119" i="132" l="1"/>
  <c r="Q231" i="96" s="1"/>
  <c r="Q120" i="132"/>
  <c r="Q197" i="96" l="1"/>
  <c r="R117" i="132"/>
  <c r="S118" i="132" s="1"/>
  <c r="T118" i="132" l="1"/>
  <c r="S214" i="96"/>
  <c r="R119" i="132"/>
  <c r="R231" i="96" s="1"/>
  <c r="R120" i="132"/>
  <c r="U118" i="132" l="1"/>
  <c r="T214" i="96"/>
  <c r="R197" i="96"/>
  <c r="S117" i="132"/>
  <c r="U214" i="96" l="1"/>
  <c r="U219" i="96" s="1"/>
  <c r="U31" i="96" s="1"/>
  <c r="V118" i="132"/>
  <c r="S119" i="132"/>
  <c r="S231" i="96" s="1"/>
  <c r="S120" i="132"/>
  <c r="W118" i="132" l="1"/>
  <c r="V214" i="96"/>
  <c r="V219" i="96" s="1"/>
  <c r="V31" i="96" s="1"/>
  <c r="S197" i="96"/>
  <c r="T117" i="132"/>
  <c r="T119" i="132" l="1"/>
  <c r="T120" i="132"/>
  <c r="T231" i="96" l="1"/>
  <c r="T197" i="96"/>
  <c r="U117" i="132"/>
  <c r="U120" i="132" l="1"/>
  <c r="U119" i="132"/>
  <c r="C119" i="132" s="1"/>
  <c r="U197" i="96" l="1"/>
  <c r="U202" i="96" s="1"/>
  <c r="U30" i="96" s="1"/>
  <c r="V117" i="132"/>
  <c r="C231" i="96"/>
  <c r="D9" i="132"/>
  <c r="U231" i="96"/>
  <c r="U236" i="96" s="1"/>
  <c r="U32" i="96" s="1"/>
  <c r="C77" i="132"/>
  <c r="W134" i="132" l="1"/>
  <c r="V134" i="132"/>
  <c r="V77" i="132"/>
  <c r="W77" i="132"/>
  <c r="V119" i="132"/>
  <c r="V120" i="132"/>
  <c r="K77" i="132"/>
  <c r="L77" i="132"/>
  <c r="I134" i="132"/>
  <c r="M134" i="132"/>
  <c r="U77" i="132"/>
  <c r="F134" i="132"/>
  <c r="Q134" i="132"/>
  <c r="G77" i="132"/>
  <c r="P134" i="132"/>
  <c r="K134" i="132"/>
  <c r="S134" i="132"/>
  <c r="F77" i="132"/>
  <c r="R77" i="132"/>
  <c r="S77" i="132"/>
  <c r="G134" i="132"/>
  <c r="E134" i="132"/>
  <c r="D77" i="132"/>
  <c r="U134" i="132"/>
  <c r="H134" i="132"/>
  <c r="R134" i="132"/>
  <c r="J134" i="132"/>
  <c r="H77" i="132"/>
  <c r="I77" i="132"/>
  <c r="O134" i="132"/>
  <c r="N134" i="132"/>
  <c r="D134" i="132"/>
  <c r="L134" i="132"/>
  <c r="T134" i="132"/>
  <c r="M77" i="132"/>
  <c r="E77" i="132"/>
  <c r="J77" i="132"/>
  <c r="P77" i="132"/>
  <c r="Q77" i="132"/>
  <c r="O77" i="132"/>
  <c r="T77" i="132"/>
  <c r="N77" i="132"/>
  <c r="V84" i="132" l="1"/>
  <c r="V135" i="132"/>
  <c r="W117" i="132"/>
  <c r="V197" i="96"/>
  <c r="V202" i="96" s="1"/>
  <c r="V30" i="96" s="1"/>
  <c r="W84" i="132"/>
  <c r="W135" i="132"/>
  <c r="V78" i="132"/>
  <c r="V231" i="96"/>
  <c r="V236" i="96" s="1"/>
  <c r="V32" i="96" s="1"/>
  <c r="E135" i="132"/>
  <c r="E84" i="132"/>
  <c r="E85" i="132" s="1"/>
  <c r="S84" i="132"/>
  <c r="S135" i="132"/>
  <c r="R135" i="132"/>
  <c r="R84" i="132"/>
  <c r="R85" i="132" s="1"/>
  <c r="U135" i="132"/>
  <c r="U84" i="132"/>
  <c r="J135" i="132"/>
  <c r="J84" i="132"/>
  <c r="J85" i="132" s="1"/>
  <c r="I135" i="132"/>
  <c r="I84" i="132"/>
  <c r="I85" i="132" s="1"/>
  <c r="M84" i="132"/>
  <c r="M85" i="132" s="1"/>
  <c r="M135" i="132"/>
  <c r="T135" i="132"/>
  <c r="T84" i="132"/>
  <c r="F135" i="132"/>
  <c r="F84" i="132"/>
  <c r="F85" i="132" s="1"/>
  <c r="G135" i="132"/>
  <c r="G84" i="132"/>
  <c r="G85" i="132" s="1"/>
  <c r="O135" i="132"/>
  <c r="O84" i="132"/>
  <c r="O85" i="132" s="1"/>
  <c r="Q135" i="132"/>
  <c r="Q84" i="132"/>
  <c r="Q85" i="132" s="1"/>
  <c r="H135" i="132"/>
  <c r="H84" i="132"/>
  <c r="H85" i="132" s="1"/>
  <c r="N135" i="132"/>
  <c r="N84" i="132"/>
  <c r="N85" i="132" s="1"/>
  <c r="L135" i="132"/>
  <c r="L84" i="132"/>
  <c r="L85" i="132" s="1"/>
  <c r="P135" i="132"/>
  <c r="P84" i="132"/>
  <c r="P85" i="132" s="1"/>
  <c r="D135" i="132"/>
  <c r="D136" i="132" s="1"/>
  <c r="D84" i="132"/>
  <c r="K84" i="132"/>
  <c r="K85" i="132" s="1"/>
  <c r="K135" i="132"/>
  <c r="V87" i="132" l="1"/>
  <c r="D85" i="132"/>
  <c r="C84" i="132"/>
  <c r="C91" i="132" s="1"/>
  <c r="N6" i="132" s="1"/>
  <c r="W120" i="132"/>
  <c r="W119" i="132"/>
  <c r="W78" i="132" s="1"/>
  <c r="W87" i="132" s="1"/>
  <c r="W91" i="132"/>
  <c r="W85" i="132"/>
  <c r="W88" i="132" s="1"/>
  <c r="V91" i="132"/>
  <c r="V85" i="132"/>
  <c r="O163" i="96"/>
  <c r="O88" i="132"/>
  <c r="M163" i="96"/>
  <c r="M88" i="132"/>
  <c r="N88" i="132"/>
  <c r="N163" i="96"/>
  <c r="I163" i="96"/>
  <c r="I88" i="132"/>
  <c r="R88" i="132"/>
  <c r="R163" i="96"/>
  <c r="H163" i="96"/>
  <c r="H88" i="132"/>
  <c r="F88" i="132"/>
  <c r="F163" i="96"/>
  <c r="J88" i="132"/>
  <c r="J163" i="96"/>
  <c r="P88" i="132"/>
  <c r="P163" i="96"/>
  <c r="S85" i="132"/>
  <c r="S91" i="132"/>
  <c r="Q88" i="132"/>
  <c r="Q163" i="96"/>
  <c r="T91" i="132"/>
  <c r="T85" i="132"/>
  <c r="U91" i="132"/>
  <c r="U85" i="132"/>
  <c r="E163" i="96"/>
  <c r="E88" i="132"/>
  <c r="D265" i="96"/>
  <c r="E132" i="132"/>
  <c r="E136" i="132" s="1"/>
  <c r="K88" i="132"/>
  <c r="K163" i="96"/>
  <c r="G88" i="132"/>
  <c r="G163" i="96"/>
  <c r="D163" i="96"/>
  <c r="D88" i="132"/>
  <c r="L163" i="96"/>
  <c r="L88" i="132"/>
  <c r="C85" i="132" l="1"/>
  <c r="C163" i="96" s="1"/>
  <c r="C180" i="96" s="1"/>
  <c r="K14" i="104" s="1"/>
  <c r="C78" i="132"/>
  <c r="C87" i="132"/>
  <c r="V88" i="132"/>
  <c r="V163" i="96"/>
  <c r="W89" i="132"/>
  <c r="W102" i="132" s="1"/>
  <c r="W98" i="132" s="1"/>
  <c r="W103" i="132" s="1"/>
  <c r="W90" i="132"/>
  <c r="W92" i="132" s="1"/>
  <c r="N89" i="132"/>
  <c r="N102" i="132" s="1"/>
  <c r="N98" i="132" s="1"/>
  <c r="Q89" i="132"/>
  <c r="Q102" i="132" s="1"/>
  <c r="Q98" i="132" s="1"/>
  <c r="E265" i="96"/>
  <c r="F132" i="132"/>
  <c r="F136" i="132" s="1"/>
  <c r="E89" i="132"/>
  <c r="E102" i="132" s="1"/>
  <c r="E98" i="132" s="1"/>
  <c r="H89" i="132"/>
  <c r="H102" i="132" s="1"/>
  <c r="H98" i="132" s="1"/>
  <c r="S163" i="96"/>
  <c r="S88" i="132"/>
  <c r="C88" i="132" s="1"/>
  <c r="U163" i="96"/>
  <c r="U88" i="132"/>
  <c r="M89" i="132"/>
  <c r="M102" i="132" s="1"/>
  <c r="M98" i="132" s="1"/>
  <c r="F89" i="132"/>
  <c r="F102" i="132" s="1"/>
  <c r="F98" i="132" s="1"/>
  <c r="T88" i="132"/>
  <c r="T163" i="96"/>
  <c r="O89" i="132"/>
  <c r="O102" i="132" s="1"/>
  <c r="O98" i="132" s="1"/>
  <c r="L89" i="132"/>
  <c r="L102" i="132" s="1"/>
  <c r="L98" i="132" s="1"/>
  <c r="I89" i="132"/>
  <c r="I102" i="132" s="1"/>
  <c r="I98" i="132" s="1"/>
  <c r="D89" i="132"/>
  <c r="G89" i="132"/>
  <c r="G102" i="132" s="1"/>
  <c r="G98" i="132" s="1"/>
  <c r="P89" i="132"/>
  <c r="P102" i="132" s="1"/>
  <c r="P98" i="132" s="1"/>
  <c r="R89" i="132"/>
  <c r="R102" i="132" s="1"/>
  <c r="R98" i="132" s="1"/>
  <c r="K89" i="132"/>
  <c r="K102" i="132" s="1"/>
  <c r="K98" i="132" s="1"/>
  <c r="J89" i="132"/>
  <c r="J102" i="132" s="1"/>
  <c r="J98" i="132" s="1"/>
  <c r="D90" i="132" l="1"/>
  <c r="W105" i="132"/>
  <c r="W109" i="132"/>
  <c r="W110" i="132"/>
  <c r="V180" i="96"/>
  <c r="V168" i="96"/>
  <c r="V89" i="132"/>
  <c r="V102" i="132" s="1"/>
  <c r="V98" i="132" s="1"/>
  <c r="V90" i="132"/>
  <c r="F90" i="132"/>
  <c r="F129" i="96" s="1"/>
  <c r="AD129" i="96" s="1"/>
  <c r="K90" i="132"/>
  <c r="K129" i="96" s="1"/>
  <c r="AI129" i="96" s="1"/>
  <c r="N90" i="132"/>
  <c r="N129" i="96" s="1"/>
  <c r="R90" i="132"/>
  <c r="R129" i="96" s="1"/>
  <c r="L90" i="132"/>
  <c r="L129" i="96" s="1"/>
  <c r="AJ129" i="96" s="1"/>
  <c r="P90" i="132"/>
  <c r="P129" i="96" s="1"/>
  <c r="M90" i="132"/>
  <c r="M129" i="96" s="1"/>
  <c r="E90" i="132"/>
  <c r="E129" i="96" s="1"/>
  <c r="AC129" i="96" s="1"/>
  <c r="J90" i="132"/>
  <c r="J129" i="96" s="1"/>
  <c r="AH129" i="96" s="1"/>
  <c r="D129" i="96"/>
  <c r="AB129" i="96" s="1"/>
  <c r="U89" i="132"/>
  <c r="U102" i="132" s="1"/>
  <c r="U98" i="132" s="1"/>
  <c r="F265" i="96"/>
  <c r="G132" i="132"/>
  <c r="G136" i="132" s="1"/>
  <c r="U180" i="96"/>
  <c r="U168" i="96"/>
  <c r="Q103" i="132"/>
  <c r="Q316" i="96"/>
  <c r="K316" i="96"/>
  <c r="K333" i="96" s="1"/>
  <c r="K103" i="132"/>
  <c r="I103" i="132"/>
  <c r="I316" i="96"/>
  <c r="I333" i="96" s="1"/>
  <c r="S180" i="96"/>
  <c r="Q90" i="132"/>
  <c r="Q129" i="96" s="1"/>
  <c r="T89" i="132"/>
  <c r="T102" i="132" s="1"/>
  <c r="T98" i="132" s="1"/>
  <c r="I90" i="132"/>
  <c r="I129" i="96" s="1"/>
  <c r="AG129" i="96" s="1"/>
  <c r="F316" i="96"/>
  <c r="F333" i="96" s="1"/>
  <c r="F103" i="132"/>
  <c r="D102" i="132"/>
  <c r="D98" i="132" s="1"/>
  <c r="P103" i="132"/>
  <c r="P316" i="96"/>
  <c r="L103" i="132"/>
  <c r="L316" i="96"/>
  <c r="L333" i="96" s="1"/>
  <c r="H90" i="132"/>
  <c r="H129" i="96" s="1"/>
  <c r="AF129" i="96" s="1"/>
  <c r="N316" i="96"/>
  <c r="N103" i="132"/>
  <c r="O103" i="132"/>
  <c r="O316" i="96"/>
  <c r="T180" i="96"/>
  <c r="R103" i="132"/>
  <c r="R316" i="96"/>
  <c r="S89" i="132"/>
  <c r="S102" i="132" s="1"/>
  <c r="S98" i="132" s="1"/>
  <c r="H103" i="132"/>
  <c r="H316" i="96"/>
  <c r="H333" i="96" s="1"/>
  <c r="G103" i="132"/>
  <c r="G316" i="96"/>
  <c r="G333" i="96" s="1"/>
  <c r="J316" i="96"/>
  <c r="J333" i="96" s="1"/>
  <c r="J103" i="132"/>
  <c r="G90" i="132"/>
  <c r="G129" i="96" s="1"/>
  <c r="AE129" i="96" s="1"/>
  <c r="O90" i="132"/>
  <c r="O129" i="96" s="1"/>
  <c r="M103" i="132"/>
  <c r="M316" i="96"/>
  <c r="M333" i="96" s="1"/>
  <c r="E103" i="132"/>
  <c r="E316" i="96"/>
  <c r="E333" i="96" s="1"/>
  <c r="C89" i="132" l="1"/>
  <c r="V92" i="132"/>
  <c r="V129" i="96"/>
  <c r="V316" i="96"/>
  <c r="V103" i="132"/>
  <c r="V185" i="96"/>
  <c r="V7" i="96"/>
  <c r="U90" i="132"/>
  <c r="U129" i="96" s="1"/>
  <c r="G265" i="96"/>
  <c r="H132" i="132"/>
  <c r="H136" i="132" s="1"/>
  <c r="J110" i="132"/>
  <c r="J109" i="132"/>
  <c r="R333" i="96"/>
  <c r="K110" i="132"/>
  <c r="K109" i="132"/>
  <c r="F110" i="132"/>
  <c r="F109" i="132"/>
  <c r="I109" i="132"/>
  <c r="I110" i="132"/>
  <c r="R110" i="132"/>
  <c r="R105" i="132"/>
  <c r="R109" i="132"/>
  <c r="O333" i="96"/>
  <c r="P109" i="132"/>
  <c r="P110" i="132"/>
  <c r="P105" i="132"/>
  <c r="O110" i="132"/>
  <c r="O105" i="132"/>
  <c r="O109" i="132"/>
  <c r="T90" i="132"/>
  <c r="Q333" i="96"/>
  <c r="U103" i="132"/>
  <c r="U316" i="96"/>
  <c r="L110" i="132"/>
  <c r="L109" i="132"/>
  <c r="P333" i="96"/>
  <c r="T103" i="132"/>
  <c r="T316" i="96"/>
  <c r="N105" i="132"/>
  <c r="N109" i="132"/>
  <c r="N110" i="132"/>
  <c r="D316" i="96"/>
  <c r="D333" i="96" s="1"/>
  <c r="D103" i="132"/>
  <c r="Q110" i="132"/>
  <c r="Q109" i="132"/>
  <c r="Q105" i="132"/>
  <c r="U7" i="96"/>
  <c r="U185" i="96"/>
  <c r="E110" i="132"/>
  <c r="E109" i="132"/>
  <c r="G110" i="132"/>
  <c r="G109" i="132"/>
  <c r="M110" i="132"/>
  <c r="M109" i="132"/>
  <c r="H110" i="132"/>
  <c r="H109" i="132"/>
  <c r="S103" i="132"/>
  <c r="S316" i="96"/>
  <c r="S90" i="132"/>
  <c r="N333" i="96"/>
  <c r="C102" i="132"/>
  <c r="C98" i="132" s="1"/>
  <c r="C90" i="132" l="1"/>
  <c r="V333" i="96"/>
  <c r="V338" i="96" s="1"/>
  <c r="V321" i="96"/>
  <c r="V27" i="96" s="1"/>
  <c r="V28" i="96" s="1"/>
  <c r="V10" i="96"/>
  <c r="V15" i="96"/>
  <c r="V16" i="96"/>
  <c r="V6" i="96"/>
  <c r="V105" i="132"/>
  <c r="V110" i="132"/>
  <c r="V109" i="132"/>
  <c r="V146" i="96"/>
  <c r="V134" i="96"/>
  <c r="U92" i="132"/>
  <c r="U321" i="96"/>
  <c r="U27" i="96" s="1"/>
  <c r="U28" i="96" s="1"/>
  <c r="U333" i="96"/>
  <c r="U338" i="96" s="1"/>
  <c r="U105" i="132"/>
  <c r="U110" i="132"/>
  <c r="U109" i="132"/>
  <c r="S92" i="132"/>
  <c r="S129" i="96"/>
  <c r="U15" i="96"/>
  <c r="U10" i="96"/>
  <c r="U6" i="96"/>
  <c r="U16" i="96"/>
  <c r="C103" i="132"/>
  <c r="C316" i="96"/>
  <c r="C333" i="96" s="1"/>
  <c r="T333" i="96"/>
  <c r="U146" i="96"/>
  <c r="U134" i="96"/>
  <c r="T110" i="132"/>
  <c r="T109" i="132"/>
  <c r="T105" i="132"/>
  <c r="D110" i="132"/>
  <c r="D109" i="132"/>
  <c r="T92" i="132"/>
  <c r="T129" i="96"/>
  <c r="S333" i="96"/>
  <c r="H265" i="96"/>
  <c r="I132" i="132"/>
  <c r="I136" i="132" s="1"/>
  <c r="S105" i="132"/>
  <c r="S109" i="132"/>
  <c r="S110" i="132"/>
  <c r="C105" i="132" l="1"/>
  <c r="C106" i="132" s="1"/>
  <c r="V12" i="96"/>
  <c r="V151" i="96"/>
  <c r="B109" i="132"/>
  <c r="I9" i="132" s="1"/>
  <c r="T146" i="96"/>
  <c r="I265" i="96"/>
  <c r="J132" i="132"/>
  <c r="J136" i="132" s="1"/>
  <c r="C129" i="96"/>
  <c r="C92" i="132"/>
  <c r="N7" i="132" s="1"/>
  <c r="N9" i="132"/>
  <c r="H14" i="104" s="1"/>
  <c r="S146" i="96"/>
  <c r="U151" i="96"/>
  <c r="U12" i="96"/>
  <c r="U11" i="96" s="1"/>
  <c r="I10" i="132" l="1"/>
  <c r="N8" i="132"/>
  <c r="E14" i="104" s="1"/>
  <c r="G14" i="104" s="1"/>
  <c r="F33" i="175" s="1"/>
  <c r="F6" i="175" s="1"/>
  <c r="V17" i="96"/>
  <c r="V14" i="96"/>
  <c r="V11" i="96"/>
  <c r="J265" i="96"/>
  <c r="K132" i="132"/>
  <c r="K136" i="132" s="1"/>
  <c r="AA129" i="96"/>
  <c r="C146" i="96"/>
  <c r="L14" i="104" s="1"/>
  <c r="U14" i="96"/>
  <c r="U17" i="96"/>
  <c r="D33" i="175" l="1"/>
  <c r="D6" i="175" s="1"/>
  <c r="I14" i="104"/>
  <c r="K265" i="96"/>
  <c r="L132" i="132"/>
  <c r="L136" i="132" s="1"/>
  <c r="M132" i="132" l="1"/>
  <c r="M136" i="132" s="1"/>
  <c r="L265" i="96"/>
  <c r="M265" i="96" l="1"/>
  <c r="N132" i="132"/>
  <c r="N136" i="132" s="1"/>
  <c r="N265" i="96" l="1"/>
  <c r="O132" i="132"/>
  <c r="O136" i="132" s="1"/>
  <c r="O265" i="96" l="1"/>
  <c r="P132" i="132"/>
  <c r="P136" i="132" s="1"/>
  <c r="Q132" i="132" l="1"/>
  <c r="Q136" i="132" s="1"/>
  <c r="P265" i="96"/>
  <c r="Q265" i="96" l="1"/>
  <c r="R132" i="132"/>
  <c r="R136" i="132" s="1"/>
  <c r="R265" i="96" l="1"/>
  <c r="S132" i="132"/>
  <c r="S136" i="132" s="1"/>
  <c r="T132" i="132" l="1"/>
  <c r="T136" i="132" s="1"/>
  <c r="S265" i="96"/>
  <c r="T265" i="96" l="1"/>
  <c r="U132" i="132"/>
  <c r="U136" i="132" s="1"/>
  <c r="C115" i="161"/>
  <c r="H117" i="161" s="1"/>
  <c r="H251" i="96" s="1"/>
  <c r="U265" i="96" l="1"/>
  <c r="U270" i="96" s="1"/>
  <c r="U23" i="96" s="1"/>
  <c r="V132" i="132"/>
  <c r="V136" i="132" s="1"/>
  <c r="D117" i="161"/>
  <c r="D118" i="161" s="1"/>
  <c r="L117" i="161"/>
  <c r="L251" i="96" s="1"/>
  <c r="M117" i="161"/>
  <c r="M251" i="96" s="1"/>
  <c r="J117" i="161"/>
  <c r="J251" i="96" s="1"/>
  <c r="L119" i="161"/>
  <c r="E117" i="161"/>
  <c r="O117" i="161"/>
  <c r="O251" i="96" s="1"/>
  <c r="I117" i="161"/>
  <c r="I251" i="96" s="1"/>
  <c r="G117" i="161"/>
  <c r="G251" i="96" s="1"/>
  <c r="N117" i="161"/>
  <c r="N251" i="96" s="1"/>
  <c r="F117" i="161"/>
  <c r="K117" i="161"/>
  <c r="K251" i="96" s="1"/>
  <c r="I7" i="161"/>
  <c r="W132" i="132" l="1"/>
  <c r="W136" i="132" s="1"/>
  <c r="V265" i="96"/>
  <c r="V270" i="96" s="1"/>
  <c r="V23" i="96" s="1"/>
  <c r="D251" i="96"/>
  <c r="D121" i="161"/>
  <c r="D200" i="96" s="1"/>
  <c r="D120" i="161"/>
  <c r="E251" i="96"/>
  <c r="E118" i="161"/>
  <c r="C119" i="161"/>
  <c r="C217" i="96" s="1"/>
  <c r="L217" i="96"/>
  <c r="L219" i="96" s="1"/>
  <c r="L31" i="96" s="1"/>
  <c r="O9" i="99" s="1"/>
  <c r="F251" i="96"/>
  <c r="F118" i="161"/>
  <c r="C117" i="161"/>
  <c r="D234" i="96" l="1"/>
  <c r="F120" i="161"/>
  <c r="F234" i="96" s="1"/>
  <c r="F121" i="161"/>
  <c r="E120" i="161"/>
  <c r="E121" i="161"/>
  <c r="E200" i="96" s="1"/>
  <c r="E234" i="96" l="1"/>
  <c r="F200" i="96"/>
  <c r="G118" i="161"/>
  <c r="G120" i="161" l="1"/>
  <c r="G121" i="161"/>
  <c r="H118" i="161" l="1"/>
  <c r="G200" i="96"/>
  <c r="G234" i="96"/>
  <c r="H120" i="161" l="1"/>
  <c r="H121" i="161"/>
  <c r="H200" i="96" l="1"/>
  <c r="I118" i="161"/>
  <c r="H234" i="96"/>
  <c r="I120" i="161" l="1"/>
  <c r="I121" i="161"/>
  <c r="I200" i="96" l="1"/>
  <c r="J118" i="161"/>
  <c r="I234" i="96"/>
  <c r="J120" i="161" l="1"/>
  <c r="J234" i="96" s="1"/>
  <c r="J121" i="161"/>
  <c r="K118" i="161" l="1"/>
  <c r="J200" i="96"/>
  <c r="K120" i="161" l="1"/>
  <c r="K234" i="96" s="1"/>
  <c r="K121" i="161"/>
  <c r="K200" i="96" l="1"/>
  <c r="L118" i="161"/>
  <c r="L120" i="161" l="1"/>
  <c r="L234" i="96" s="1"/>
  <c r="L121" i="161"/>
  <c r="L200" i="96" l="1"/>
  <c r="M118" i="161"/>
  <c r="M120" i="161" l="1"/>
  <c r="M121" i="161"/>
  <c r="M200" i="96" l="1"/>
  <c r="N118" i="161"/>
  <c r="M234" i="96"/>
  <c r="C78" i="161"/>
  <c r="D135" i="161" l="1"/>
  <c r="G78" i="161"/>
  <c r="M135" i="161"/>
  <c r="E135" i="161"/>
  <c r="I78" i="161"/>
  <c r="N135" i="161"/>
  <c r="L135" i="161"/>
  <c r="F135" i="161"/>
  <c r="F78" i="161"/>
  <c r="M78" i="161"/>
  <c r="I135" i="161"/>
  <c r="J135" i="161"/>
  <c r="H78" i="161"/>
  <c r="K135" i="161"/>
  <c r="G135" i="161"/>
  <c r="L78" i="161"/>
  <c r="O135" i="161"/>
  <c r="H135" i="161"/>
  <c r="C85" i="161"/>
  <c r="K78" i="161"/>
  <c r="J78" i="161"/>
  <c r="E78" i="161"/>
  <c r="D78" i="161"/>
  <c r="O78" i="161"/>
  <c r="N78" i="161"/>
  <c r="N120" i="161"/>
  <c r="N121" i="161"/>
  <c r="O136" i="161" l="1"/>
  <c r="O85" i="161"/>
  <c r="L136" i="161"/>
  <c r="L85" i="161"/>
  <c r="L86" i="161" s="1"/>
  <c r="D136" i="161"/>
  <c r="D85" i="161"/>
  <c r="D86" i="161" s="1"/>
  <c r="N200" i="96"/>
  <c r="O118" i="161"/>
  <c r="I85" i="161"/>
  <c r="I86" i="161" s="1"/>
  <c r="I136" i="161"/>
  <c r="E136" i="161"/>
  <c r="E85" i="161"/>
  <c r="E86" i="161" s="1"/>
  <c r="H136" i="161"/>
  <c r="H85" i="161"/>
  <c r="H86" i="161" s="1"/>
  <c r="M136" i="161"/>
  <c r="M85" i="161"/>
  <c r="M86" i="161" s="1"/>
  <c r="G136" i="161"/>
  <c r="G85" i="161"/>
  <c r="G86" i="161" s="1"/>
  <c r="J136" i="161"/>
  <c r="J85" i="161"/>
  <c r="J86" i="161" s="1"/>
  <c r="N234" i="96"/>
  <c r="N79" i="161"/>
  <c r="N88" i="161" s="1"/>
  <c r="K136" i="161"/>
  <c r="K85" i="161"/>
  <c r="K86" i="161" s="1"/>
  <c r="C92" i="161"/>
  <c r="N6" i="161" s="1"/>
  <c r="C86" i="161"/>
  <c r="N136" i="161"/>
  <c r="N85" i="161"/>
  <c r="F136" i="161"/>
  <c r="F85" i="161"/>
  <c r="F86" i="161" s="1"/>
  <c r="D137" i="161"/>
  <c r="O86" i="161" l="1"/>
  <c r="O92" i="161"/>
  <c r="O121" i="161"/>
  <c r="O200" i="96" s="1"/>
  <c r="O120" i="161"/>
  <c r="C120" i="161" s="1"/>
  <c r="M166" i="96"/>
  <c r="M89" i="161"/>
  <c r="E133" i="161"/>
  <c r="E137" i="161" s="1"/>
  <c r="D268" i="96"/>
  <c r="D89" i="161"/>
  <c r="D166" i="96"/>
  <c r="J166" i="96"/>
  <c r="J89" i="161"/>
  <c r="F89" i="161"/>
  <c r="F166" i="96"/>
  <c r="H166" i="96"/>
  <c r="H89" i="161"/>
  <c r="N92" i="161"/>
  <c r="N86" i="161"/>
  <c r="L89" i="161"/>
  <c r="L166" i="96"/>
  <c r="G166" i="96"/>
  <c r="G89" i="161"/>
  <c r="O166" i="96"/>
  <c r="O183" i="96" s="1"/>
  <c r="K166" i="96"/>
  <c r="K89" i="161"/>
  <c r="E166" i="96"/>
  <c r="E89" i="161"/>
  <c r="C166" i="96"/>
  <c r="C183" i="96" s="1"/>
  <c r="K17" i="104" s="1"/>
  <c r="C89" i="161"/>
  <c r="I89" i="161"/>
  <c r="I166" i="96"/>
  <c r="C234" i="96" l="1"/>
  <c r="D9" i="161"/>
  <c r="H90" i="161"/>
  <c r="H103" i="161" s="1"/>
  <c r="H99" i="161" s="1"/>
  <c r="H91" i="161"/>
  <c r="H132" i="96" s="1"/>
  <c r="AF132" i="96" s="1"/>
  <c r="I90" i="161"/>
  <c r="I103" i="161" s="1"/>
  <c r="I99" i="161" s="1"/>
  <c r="E268" i="96"/>
  <c r="F133" i="161"/>
  <c r="F137" i="161" s="1"/>
  <c r="G90" i="161"/>
  <c r="G103" i="161" s="1"/>
  <c r="G99" i="161" s="1"/>
  <c r="E90" i="161"/>
  <c r="E103" i="161" s="1"/>
  <c r="E99" i="161" s="1"/>
  <c r="L90" i="161"/>
  <c r="L103" i="161" s="1"/>
  <c r="L99" i="161" s="1"/>
  <c r="J90" i="161"/>
  <c r="J103" i="161" s="1"/>
  <c r="J99" i="161" s="1"/>
  <c r="J91" i="161"/>
  <c r="J132" i="96" s="1"/>
  <c r="AH132" i="96" s="1"/>
  <c r="O79" i="161"/>
  <c r="O88" i="161" s="1"/>
  <c r="O89" i="161" s="1"/>
  <c r="O234" i="96"/>
  <c r="D90" i="161"/>
  <c r="F90" i="161"/>
  <c r="F103" i="161" s="1"/>
  <c r="F99" i="161" s="1"/>
  <c r="M90" i="161"/>
  <c r="M103" i="161" s="1"/>
  <c r="M99" i="161" s="1"/>
  <c r="K90" i="161"/>
  <c r="K103" i="161" s="1"/>
  <c r="K99" i="161" s="1"/>
  <c r="N89" i="161"/>
  <c r="N166" i="96"/>
  <c r="L91" i="161" l="1"/>
  <c r="L132" i="96" s="1"/>
  <c r="AJ132" i="96" s="1"/>
  <c r="K91" i="161"/>
  <c r="K132" i="96" s="1"/>
  <c r="AI132" i="96" s="1"/>
  <c r="G91" i="161"/>
  <c r="G132" i="96" s="1"/>
  <c r="AE132" i="96" s="1"/>
  <c r="G319" i="96"/>
  <c r="G336" i="96" s="1"/>
  <c r="G104" i="161"/>
  <c r="M91" i="161"/>
  <c r="M132" i="96" s="1"/>
  <c r="O90" i="161"/>
  <c r="O103" i="161" s="1"/>
  <c r="O99" i="161" s="1"/>
  <c r="F104" i="161"/>
  <c r="F319" i="96"/>
  <c r="F336" i="96" s="1"/>
  <c r="I319" i="96"/>
  <c r="I336" i="96" s="1"/>
  <c r="I104" i="161"/>
  <c r="C90" i="161"/>
  <c r="C103" i="161" s="1"/>
  <c r="C99" i="161" s="1"/>
  <c r="D103" i="161"/>
  <c r="D99" i="161" s="1"/>
  <c r="L104" i="161"/>
  <c r="L319" i="96"/>
  <c r="L336" i="96" s="1"/>
  <c r="I91" i="161"/>
  <c r="I132" i="96" s="1"/>
  <c r="AG132" i="96" s="1"/>
  <c r="J319" i="96"/>
  <c r="J336" i="96" s="1"/>
  <c r="J104" i="161"/>
  <c r="E104" i="161"/>
  <c r="E319" i="96"/>
  <c r="E336" i="96" s="1"/>
  <c r="M319" i="96"/>
  <c r="M336" i="96" s="1"/>
  <c r="M104" i="161"/>
  <c r="F268" i="96"/>
  <c r="G133" i="161"/>
  <c r="G137" i="161" s="1"/>
  <c r="F91" i="161"/>
  <c r="F132" i="96" s="1"/>
  <c r="AD132" i="96" s="1"/>
  <c r="N183" i="96"/>
  <c r="N90" i="161"/>
  <c r="N103" i="161" s="1"/>
  <c r="N99" i="161" s="1"/>
  <c r="N91" i="161"/>
  <c r="D91" i="161"/>
  <c r="K319" i="96"/>
  <c r="K336" i="96" s="1"/>
  <c r="K104" i="161"/>
  <c r="E91" i="161"/>
  <c r="E132" i="96" s="1"/>
  <c r="AC132" i="96" s="1"/>
  <c r="H104" i="161"/>
  <c r="H319" i="96"/>
  <c r="H336" i="96" s="1"/>
  <c r="O91" i="161" l="1"/>
  <c r="K111" i="161"/>
  <c r="K110" i="161"/>
  <c r="D132" i="96"/>
  <c r="AB132" i="96" s="1"/>
  <c r="C91" i="161"/>
  <c r="H133" i="161"/>
  <c r="H137" i="161" s="1"/>
  <c r="G268" i="96"/>
  <c r="F111" i="161"/>
  <c r="F110" i="161"/>
  <c r="O104" i="161"/>
  <c r="O319" i="96"/>
  <c r="N93" i="161"/>
  <c r="N132" i="96"/>
  <c r="D319" i="96"/>
  <c r="D336" i="96" s="1"/>
  <c r="D104" i="161"/>
  <c r="M111" i="161"/>
  <c r="M110" i="161"/>
  <c r="M106" i="161"/>
  <c r="C106" i="161" s="1"/>
  <c r="L110" i="161"/>
  <c r="L111" i="161"/>
  <c r="N319" i="96"/>
  <c r="N104" i="161"/>
  <c r="E111" i="161"/>
  <c r="E110" i="161"/>
  <c r="I111" i="161"/>
  <c r="I110" i="161"/>
  <c r="G111" i="161"/>
  <c r="G110" i="161"/>
  <c r="C319" i="96"/>
  <c r="C336" i="96" s="1"/>
  <c r="C104" i="161"/>
  <c r="H111" i="161"/>
  <c r="H110" i="161"/>
  <c r="J110" i="161"/>
  <c r="J111" i="161"/>
  <c r="O132" i="96" l="1"/>
  <c r="O149" i="96" s="1"/>
  <c r="O93" i="161"/>
  <c r="N106" i="161"/>
  <c r="N110" i="161"/>
  <c r="N111" i="161"/>
  <c r="I133" i="161"/>
  <c r="I137" i="161" s="1"/>
  <c r="H268" i="96"/>
  <c r="N149" i="96"/>
  <c r="N8" i="161"/>
  <c r="E17" i="104" s="1"/>
  <c r="G17" i="104" s="1"/>
  <c r="I10" i="161"/>
  <c r="C107" i="161"/>
  <c r="D110" i="161"/>
  <c r="B110" i="161" s="1"/>
  <c r="I9" i="161" s="1"/>
  <c r="D111" i="161"/>
  <c r="N336" i="96"/>
  <c r="N9" i="161"/>
  <c r="H17" i="104" s="1"/>
  <c r="C93" i="161"/>
  <c r="N7" i="161" s="1"/>
  <c r="C132" i="96"/>
  <c r="O336" i="96"/>
  <c r="O110" i="161"/>
  <c r="O111" i="161"/>
  <c r="O106" i="161"/>
  <c r="I268" i="96" l="1"/>
  <c r="J133" i="161"/>
  <c r="J137" i="161" s="1"/>
  <c r="AA132" i="96"/>
  <c r="C149" i="96"/>
  <c r="L17" i="104" s="1"/>
  <c r="J268" i="96" l="1"/>
  <c r="K133" i="161"/>
  <c r="K137" i="161" s="1"/>
  <c r="L133" i="161" l="1"/>
  <c r="L137" i="161" s="1"/>
  <c r="K268" i="96"/>
  <c r="M133" i="161" l="1"/>
  <c r="M137" i="161" s="1"/>
  <c r="L268" i="96"/>
  <c r="N133" i="161" l="1"/>
  <c r="N137" i="161" s="1"/>
  <c r="M268" i="96"/>
  <c r="N268" i="96" l="1"/>
  <c r="O133" i="161"/>
  <c r="O137" i="161" s="1"/>
  <c r="O268" i="96" s="1"/>
  <c r="C114" i="157"/>
  <c r="D116" i="157" l="1"/>
  <c r="T116" i="157"/>
  <c r="D252" i="96"/>
  <c r="D117" i="157"/>
  <c r="I7" i="157"/>
  <c r="F116" i="157"/>
  <c r="S116" i="157"/>
  <c r="S252" i="96" s="1"/>
  <c r="S253" i="96" s="1"/>
  <c r="Q116" i="157"/>
  <c r="Q252" i="96" s="1"/>
  <c r="Q253" i="96" s="1"/>
  <c r="J116" i="157"/>
  <c r="J252" i="96" s="1"/>
  <c r="K116" i="157"/>
  <c r="K252" i="96" s="1"/>
  <c r="N116" i="157"/>
  <c r="N252" i="96" s="1"/>
  <c r="N253" i="96" s="1"/>
  <c r="O116" i="157"/>
  <c r="O252" i="96" s="1"/>
  <c r="O253" i="96" s="1"/>
  <c r="P116" i="157"/>
  <c r="G116" i="157"/>
  <c r="G252" i="96" s="1"/>
  <c r="L116" i="157"/>
  <c r="L252" i="96" s="1"/>
  <c r="R116" i="157"/>
  <c r="R252" i="96" s="1"/>
  <c r="R253" i="96" s="1"/>
  <c r="E116" i="157"/>
  <c r="M116" i="157"/>
  <c r="M252" i="96" s="1"/>
  <c r="H116" i="157"/>
  <c r="H252" i="96" s="1"/>
  <c r="I116" i="157"/>
  <c r="I252" i="96" s="1"/>
  <c r="P252" i="96" l="1"/>
  <c r="P253" i="96" s="1"/>
  <c r="R118" i="157"/>
  <c r="S118" i="157" s="1"/>
  <c r="T252" i="96"/>
  <c r="T253" i="96" s="1"/>
  <c r="C116" i="157"/>
  <c r="P218" i="96"/>
  <c r="P219" i="96" s="1"/>
  <c r="P31" i="96" s="1"/>
  <c r="S9" i="99" s="1"/>
  <c r="D120" i="157"/>
  <c r="D201" i="96" s="1"/>
  <c r="D119" i="157"/>
  <c r="F252" i="96"/>
  <c r="F117" i="157"/>
  <c r="E252" i="96"/>
  <c r="E117" i="157"/>
  <c r="E120" i="157" l="1"/>
  <c r="E201" i="96" s="1"/>
  <c r="E119" i="157"/>
  <c r="E235" i="96" s="1"/>
  <c r="F119" i="157"/>
  <c r="F235" i="96" s="1"/>
  <c r="F120" i="157"/>
  <c r="D235" i="96"/>
  <c r="F201" i="96" l="1"/>
  <c r="G117" i="157"/>
  <c r="G119" i="157" l="1"/>
  <c r="G120" i="157"/>
  <c r="G201" i="96" l="1"/>
  <c r="H117" i="157"/>
  <c r="G235" i="96"/>
  <c r="H119" i="157" l="1"/>
  <c r="H120" i="157"/>
  <c r="H201" i="96" l="1"/>
  <c r="I117" i="157"/>
  <c r="H235" i="96"/>
  <c r="I119" i="157" l="1"/>
  <c r="I120" i="157"/>
  <c r="I201" i="96" l="1"/>
  <c r="J117" i="157"/>
  <c r="I235" i="96"/>
  <c r="J119" i="157" l="1"/>
  <c r="J120" i="157"/>
  <c r="J201" i="96" l="1"/>
  <c r="K117" i="157"/>
  <c r="J235" i="96"/>
  <c r="K119" i="157" l="1"/>
  <c r="K235" i="96" s="1"/>
  <c r="K120" i="157"/>
  <c r="K201" i="96" l="1"/>
  <c r="L117" i="157"/>
  <c r="L119" i="157" l="1"/>
  <c r="L235" i="96" s="1"/>
  <c r="L120" i="157"/>
  <c r="L201" i="96" l="1"/>
  <c r="M117" i="157"/>
  <c r="M120" i="157" l="1"/>
  <c r="M119" i="157"/>
  <c r="M235" i="96" l="1"/>
  <c r="M201" i="96"/>
  <c r="N117" i="157"/>
  <c r="N119" i="157" l="1"/>
  <c r="N235" i="96" s="1"/>
  <c r="N236" i="96" s="1"/>
  <c r="N32" i="96" s="1"/>
  <c r="Q10" i="99" s="1"/>
  <c r="N120" i="157"/>
  <c r="N201" i="96" l="1"/>
  <c r="N202" i="96" s="1"/>
  <c r="N30" i="96" s="1"/>
  <c r="O117" i="157"/>
  <c r="R218" i="96" l="1"/>
  <c r="R219" i="96" s="1"/>
  <c r="R31" i="96" s="1"/>
  <c r="U9" i="99" s="1"/>
  <c r="O119" i="157"/>
  <c r="O235" i="96" s="1"/>
  <c r="O236" i="96" s="1"/>
  <c r="O32" i="96" s="1"/>
  <c r="R10" i="99" s="1"/>
  <c r="O120" i="157"/>
  <c r="S218" i="96" l="1"/>
  <c r="S219" i="96" s="1"/>
  <c r="S31" i="96" s="1"/>
  <c r="V9" i="99" s="1"/>
  <c r="T218" i="96"/>
  <c r="T219" i="96" s="1"/>
  <c r="T31" i="96" s="1"/>
  <c r="W9" i="99" s="1"/>
  <c r="C118" i="157"/>
  <c r="C218" i="96" s="1"/>
  <c r="O201" i="96"/>
  <c r="O202" i="96" s="1"/>
  <c r="O30" i="96" s="1"/>
  <c r="P117" i="157"/>
  <c r="P119" i="157" s="1"/>
  <c r="P120" i="157" l="1"/>
  <c r="P235" i="96"/>
  <c r="P236" i="96" s="1"/>
  <c r="P32" i="96" s="1"/>
  <c r="S10" i="99" s="1"/>
  <c r="P201" i="96" l="1"/>
  <c r="P202" i="96" s="1"/>
  <c r="P30" i="96" s="1"/>
  <c r="Q117" i="157"/>
  <c r="Q119" i="157" l="1"/>
  <c r="Q235" i="96" s="1"/>
  <c r="Q236" i="96" s="1"/>
  <c r="Q32" i="96" s="1"/>
  <c r="T10" i="99" s="1"/>
  <c r="Q120" i="157"/>
  <c r="Q201" i="96" l="1"/>
  <c r="Q202" i="96" s="1"/>
  <c r="Q30" i="96" s="1"/>
  <c r="R117" i="157"/>
  <c r="R119" i="157" l="1"/>
  <c r="R235" i="96" s="1"/>
  <c r="R236" i="96" s="1"/>
  <c r="R32" i="96" s="1"/>
  <c r="U10" i="99" s="1"/>
  <c r="R120" i="157"/>
  <c r="R201" i="96" l="1"/>
  <c r="R202" i="96" s="1"/>
  <c r="R30" i="96" s="1"/>
  <c r="S117" i="157"/>
  <c r="S120" i="157" l="1"/>
  <c r="S119" i="157"/>
  <c r="S201" i="96" l="1"/>
  <c r="S202" i="96" s="1"/>
  <c r="S30" i="96" s="1"/>
  <c r="T117" i="157"/>
  <c r="C119" i="157"/>
  <c r="C235" i="96" s="1"/>
  <c r="C77" i="157"/>
  <c r="S235" i="96"/>
  <c r="S236" i="96" s="1"/>
  <c r="S32" i="96" s="1"/>
  <c r="V10" i="99" s="1"/>
  <c r="T134" i="157" l="1"/>
  <c r="T77" i="157"/>
  <c r="T120" i="157"/>
  <c r="T201" i="96" s="1"/>
  <c r="T202" i="96" s="1"/>
  <c r="T30" i="96" s="1"/>
  <c r="T119" i="157"/>
  <c r="D9" i="157"/>
  <c r="F77" i="157"/>
  <c r="L77" i="157"/>
  <c r="C84" i="157"/>
  <c r="K77" i="157"/>
  <c r="G77" i="157"/>
  <c r="S134" i="157"/>
  <c r="O134" i="157"/>
  <c r="P77" i="157"/>
  <c r="R77" i="157"/>
  <c r="P134" i="157"/>
  <c r="H134" i="157"/>
  <c r="E77" i="157"/>
  <c r="M134" i="157"/>
  <c r="E134" i="157"/>
  <c r="S77" i="157"/>
  <c r="L134" i="157"/>
  <c r="Q134" i="157"/>
  <c r="Q77" i="157"/>
  <c r="O77" i="157"/>
  <c r="I134" i="157"/>
  <c r="H77" i="157"/>
  <c r="N134" i="157"/>
  <c r="F134" i="157"/>
  <c r="D77" i="157"/>
  <c r="I77" i="157"/>
  <c r="G134" i="157"/>
  <c r="K134" i="157"/>
  <c r="J77" i="157"/>
  <c r="M77" i="157"/>
  <c r="D134" i="157"/>
  <c r="J134" i="157"/>
  <c r="R134" i="157"/>
  <c r="N77" i="157"/>
  <c r="T78" i="157" l="1"/>
  <c r="T235" i="96"/>
  <c r="T236" i="96" s="1"/>
  <c r="T32" i="96" s="1"/>
  <c r="W10" i="99" s="1"/>
  <c r="T84" i="157"/>
  <c r="T135" i="157"/>
  <c r="D135" i="157"/>
  <c r="D136" i="157" s="1"/>
  <c r="D84" i="157"/>
  <c r="D85" i="157" s="1"/>
  <c r="P135" i="157"/>
  <c r="P84" i="157"/>
  <c r="S135" i="157"/>
  <c r="S84" i="157"/>
  <c r="H135" i="157"/>
  <c r="H84" i="157"/>
  <c r="H85" i="157" s="1"/>
  <c r="K135" i="157"/>
  <c r="K84" i="157"/>
  <c r="K85" i="157" s="1"/>
  <c r="O135" i="157"/>
  <c r="O84" i="157"/>
  <c r="Q135" i="157"/>
  <c r="Q84" i="157"/>
  <c r="L135" i="157"/>
  <c r="L84" i="157"/>
  <c r="L85" i="157" s="1"/>
  <c r="M84" i="157"/>
  <c r="M85" i="157" s="1"/>
  <c r="M135" i="157"/>
  <c r="G135" i="157"/>
  <c r="G84" i="157"/>
  <c r="G85" i="157" s="1"/>
  <c r="J135" i="157"/>
  <c r="J84" i="157"/>
  <c r="J85" i="157" s="1"/>
  <c r="E84" i="157"/>
  <c r="E85" i="157" s="1"/>
  <c r="E135" i="157"/>
  <c r="C85" i="157"/>
  <c r="C91" i="157"/>
  <c r="N6" i="157" s="1"/>
  <c r="N135" i="157"/>
  <c r="N84" i="157"/>
  <c r="N85" i="157" s="1"/>
  <c r="I135" i="157"/>
  <c r="I84" i="157"/>
  <c r="R135" i="157"/>
  <c r="R84" i="157"/>
  <c r="F135" i="157"/>
  <c r="F84" i="157"/>
  <c r="F85" i="157" s="1"/>
  <c r="T87" i="157" l="1"/>
  <c r="C78" i="157"/>
  <c r="C87" i="157" s="1"/>
  <c r="C88" i="157" s="1"/>
  <c r="T91" i="157"/>
  <c r="T85" i="157"/>
  <c r="O85" i="157"/>
  <c r="O88" i="157" s="1"/>
  <c r="O91" i="157"/>
  <c r="I85" i="157"/>
  <c r="I167" i="96" s="1"/>
  <c r="I184" i="96" s="1"/>
  <c r="I91" i="157"/>
  <c r="P85" i="157"/>
  <c r="P88" i="157" s="1"/>
  <c r="P91" i="157"/>
  <c r="E167" i="96"/>
  <c r="E88" i="157"/>
  <c r="J167" i="96"/>
  <c r="J88" i="157"/>
  <c r="N167" i="96"/>
  <c r="N168" i="96" s="1"/>
  <c r="N88" i="157"/>
  <c r="H88" i="157"/>
  <c r="H167" i="96"/>
  <c r="Q91" i="157"/>
  <c r="Q85" i="157"/>
  <c r="S91" i="157"/>
  <c r="S85" i="157"/>
  <c r="G167" i="96"/>
  <c r="G88" i="157"/>
  <c r="F167" i="96"/>
  <c r="F88" i="157"/>
  <c r="C167" i="96"/>
  <c r="C184" i="96" s="1"/>
  <c r="K18" i="104" s="1"/>
  <c r="D167" i="96"/>
  <c r="D88" i="157"/>
  <c r="K167" i="96"/>
  <c r="K88" i="157"/>
  <c r="M167" i="96"/>
  <c r="M88" i="157"/>
  <c r="R91" i="157"/>
  <c r="R85" i="157"/>
  <c r="L167" i="96"/>
  <c r="L88" i="157"/>
  <c r="D269" i="96"/>
  <c r="E132" i="157"/>
  <c r="E136" i="157" s="1"/>
  <c r="I88" i="157" l="1"/>
  <c r="T88" i="157"/>
  <c r="T167" i="96"/>
  <c r="P167" i="96"/>
  <c r="O167" i="96"/>
  <c r="O184" i="96" s="1"/>
  <c r="P184" i="96"/>
  <c r="G89" i="157"/>
  <c r="G102" i="157" s="1"/>
  <c r="G98" i="157" s="1"/>
  <c r="R167" i="96"/>
  <c r="R88" i="157"/>
  <c r="S167" i="96"/>
  <c r="S88" i="157"/>
  <c r="N89" i="157"/>
  <c r="N102" i="157" s="1"/>
  <c r="N98" i="157" s="1"/>
  <c r="I89" i="157"/>
  <c r="I102" i="157" s="1"/>
  <c r="I98" i="157" s="1"/>
  <c r="F89" i="157"/>
  <c r="F102" i="157" s="1"/>
  <c r="F98" i="157" s="1"/>
  <c r="E269" i="96"/>
  <c r="F132" i="157"/>
  <c r="F136" i="157" s="1"/>
  <c r="Q88" i="157"/>
  <c r="Q167" i="96"/>
  <c r="E89" i="157"/>
  <c r="E102" i="157" s="1"/>
  <c r="E98" i="157" s="1"/>
  <c r="D89" i="157"/>
  <c r="N185" i="96"/>
  <c r="N7" i="96"/>
  <c r="M89" i="157"/>
  <c r="M102" i="157" s="1"/>
  <c r="M98" i="157" s="1"/>
  <c r="K89" i="157"/>
  <c r="K102" i="157" s="1"/>
  <c r="K98" i="157" s="1"/>
  <c r="J89" i="157"/>
  <c r="J102" i="157" s="1"/>
  <c r="J98" i="157" s="1"/>
  <c r="L89" i="157"/>
  <c r="L102" i="157" s="1"/>
  <c r="L98" i="157" s="1"/>
  <c r="O89" i="157"/>
  <c r="O102" i="157" s="1"/>
  <c r="O98" i="157" s="1"/>
  <c r="P89" i="157"/>
  <c r="P102" i="157" s="1"/>
  <c r="P98" i="157" s="1"/>
  <c r="H89" i="157"/>
  <c r="H102" i="157" s="1"/>
  <c r="H98" i="157" s="1"/>
  <c r="P168" i="96" l="1"/>
  <c r="P7" i="96" s="1"/>
  <c r="P16" i="96" s="1"/>
  <c r="D90" i="157"/>
  <c r="T184" i="96"/>
  <c r="T168" i="96"/>
  <c r="T89" i="157"/>
  <c r="T102" i="157" s="1"/>
  <c r="T98" i="157" s="1"/>
  <c r="O168" i="96"/>
  <c r="J90" i="157"/>
  <c r="J133" i="96" s="1"/>
  <c r="AH133" i="96" s="1"/>
  <c r="N320" i="96"/>
  <c r="N103" i="157"/>
  <c r="N6" i="96"/>
  <c r="N10" i="96"/>
  <c r="N16" i="96"/>
  <c r="N15" i="96"/>
  <c r="L103" i="157"/>
  <c r="L320" i="96"/>
  <c r="L337" i="96" s="1"/>
  <c r="L90" i="157"/>
  <c r="L133" i="96" s="1"/>
  <c r="AJ133" i="96" s="1"/>
  <c r="Q89" i="157"/>
  <c r="Q102" i="157" s="1"/>
  <c r="Q98" i="157" s="1"/>
  <c r="J103" i="157"/>
  <c r="J320" i="96"/>
  <c r="J337" i="96" s="1"/>
  <c r="N90" i="157"/>
  <c r="N133" i="96" s="1"/>
  <c r="N134" i="96" s="1"/>
  <c r="O320" i="96"/>
  <c r="O103" i="157"/>
  <c r="D133" i="96"/>
  <c r="AB133" i="96" s="1"/>
  <c r="S89" i="157"/>
  <c r="S102" i="157" s="1"/>
  <c r="S98" i="157" s="1"/>
  <c r="E320" i="96"/>
  <c r="E337" i="96" s="1"/>
  <c r="E103" i="157"/>
  <c r="E90" i="157"/>
  <c r="E133" i="96" s="1"/>
  <c r="AC133" i="96" s="1"/>
  <c r="R184" i="96"/>
  <c r="R168" i="96"/>
  <c r="H320" i="96"/>
  <c r="H337" i="96" s="1"/>
  <c r="H103" i="157"/>
  <c r="S184" i="96"/>
  <c r="S168" i="96"/>
  <c r="K103" i="157"/>
  <c r="K320" i="96"/>
  <c r="K337" i="96" s="1"/>
  <c r="F320" i="96"/>
  <c r="F337" i="96" s="1"/>
  <c r="F103" i="157"/>
  <c r="O90" i="157"/>
  <c r="F90" i="157"/>
  <c r="F133" i="96" s="1"/>
  <c r="AD133" i="96" s="1"/>
  <c r="G320" i="96"/>
  <c r="G337" i="96" s="1"/>
  <c r="G103" i="157"/>
  <c r="Q184" i="96"/>
  <c r="Q168" i="96"/>
  <c r="H90" i="157"/>
  <c r="H133" i="96" s="1"/>
  <c r="AF133" i="96" s="1"/>
  <c r="P103" i="157"/>
  <c r="P320" i="96"/>
  <c r="F269" i="96"/>
  <c r="G132" i="157"/>
  <c r="G136" i="157" s="1"/>
  <c r="P90" i="157"/>
  <c r="D102" i="157"/>
  <c r="D98" i="157" s="1"/>
  <c r="R89" i="157"/>
  <c r="R102" i="157" s="1"/>
  <c r="R98" i="157" s="1"/>
  <c r="K90" i="157"/>
  <c r="K133" i="96" s="1"/>
  <c r="AI133" i="96" s="1"/>
  <c r="M320" i="96"/>
  <c r="M337" i="96" s="1"/>
  <c r="M103" i="157"/>
  <c r="I320" i="96"/>
  <c r="I337" i="96" s="1"/>
  <c r="I103" i="157"/>
  <c r="M90" i="157"/>
  <c r="M133" i="96" s="1"/>
  <c r="I90" i="157"/>
  <c r="G90" i="157"/>
  <c r="G133" i="96" s="1"/>
  <c r="AE133" i="96" s="1"/>
  <c r="T90" i="157" l="1"/>
  <c r="P185" i="96"/>
  <c r="C89" i="157"/>
  <c r="C102" i="157" s="1"/>
  <c r="C98" i="157" s="1"/>
  <c r="T92" i="157"/>
  <c r="T133" i="96"/>
  <c r="T103" i="157"/>
  <c r="T320" i="96"/>
  <c r="T185" i="96"/>
  <c r="T7" i="96"/>
  <c r="O7" i="96"/>
  <c r="O185" i="96"/>
  <c r="P15" i="96"/>
  <c r="S62" i="95"/>
  <c r="S74" i="95" s="1"/>
  <c r="P6" i="96"/>
  <c r="P10" i="96"/>
  <c r="O133" i="96"/>
  <c r="O92" i="157"/>
  <c r="I133" i="96"/>
  <c r="I92" i="157"/>
  <c r="Q90" i="157"/>
  <c r="Q92" i="157" s="1"/>
  <c r="P133" i="96"/>
  <c r="P92" i="157"/>
  <c r="S90" i="157"/>
  <c r="S133" i="96" s="1"/>
  <c r="O337" i="96"/>
  <c r="O338" i="96" s="1"/>
  <c r="O321" i="96"/>
  <c r="O27" i="96" s="1"/>
  <c r="O28" i="96" s="1"/>
  <c r="L109" i="157"/>
  <c r="L110" i="157"/>
  <c r="G269" i="96"/>
  <c r="H132" i="157"/>
  <c r="H136" i="157" s="1"/>
  <c r="Q80" i="95"/>
  <c r="I75" i="183"/>
  <c r="Q74" i="95"/>
  <c r="Q61" i="95"/>
  <c r="S185" i="96"/>
  <c r="S7" i="96"/>
  <c r="S320" i="96"/>
  <c r="S103" i="157"/>
  <c r="J110" i="157"/>
  <c r="J109" i="157"/>
  <c r="N151" i="96"/>
  <c r="N12" i="96"/>
  <c r="M110" i="157"/>
  <c r="M109" i="157"/>
  <c r="R103" i="157"/>
  <c r="R320" i="96"/>
  <c r="Q103" i="157"/>
  <c r="Q320" i="96"/>
  <c r="E110" i="157"/>
  <c r="E109" i="157"/>
  <c r="P105" i="157"/>
  <c r="P110" i="157"/>
  <c r="P109" i="157"/>
  <c r="Q185" i="96"/>
  <c r="Q7" i="96"/>
  <c r="F109" i="157"/>
  <c r="F110" i="157"/>
  <c r="R185" i="96"/>
  <c r="R7" i="96"/>
  <c r="N110" i="157"/>
  <c r="N109" i="157"/>
  <c r="N105" i="157"/>
  <c r="G109" i="157"/>
  <c r="G110" i="157"/>
  <c r="K109" i="157"/>
  <c r="K110" i="157"/>
  <c r="P337" i="96"/>
  <c r="P338" i="96" s="1"/>
  <c r="P321" i="96"/>
  <c r="P27" i="96" s="1"/>
  <c r="P28" i="96" s="1"/>
  <c r="H109" i="157"/>
  <c r="H110" i="157"/>
  <c r="R90" i="157"/>
  <c r="D103" i="157"/>
  <c r="D320" i="96"/>
  <c r="D337" i="96" s="1"/>
  <c r="I110" i="157"/>
  <c r="I109" i="157"/>
  <c r="O105" i="157"/>
  <c r="O109" i="157"/>
  <c r="O110" i="157"/>
  <c r="N321" i="96"/>
  <c r="N27" i="96" s="1"/>
  <c r="N28" i="96" s="1"/>
  <c r="N337" i="96"/>
  <c r="N338" i="96" s="1"/>
  <c r="C90" i="157" l="1"/>
  <c r="T337" i="96"/>
  <c r="T338" i="96" s="1"/>
  <c r="T321" i="96"/>
  <c r="T27" i="96" s="1"/>
  <c r="T28" i="96" s="1"/>
  <c r="T109" i="157"/>
  <c r="T105" i="157"/>
  <c r="T110" i="157"/>
  <c r="T10" i="96"/>
  <c r="T15" i="96"/>
  <c r="T16" i="96"/>
  <c r="T6" i="96"/>
  <c r="T150" i="96"/>
  <c r="T134" i="96"/>
  <c r="Q133" i="96"/>
  <c r="Q150" i="96" s="1"/>
  <c r="S80" i="95"/>
  <c r="S61" i="95"/>
  <c r="S9" i="95" s="1"/>
  <c r="O15" i="96"/>
  <c r="O6" i="96"/>
  <c r="O10" i="96"/>
  <c r="R62" i="95"/>
  <c r="O16" i="96"/>
  <c r="O134" i="96"/>
  <c r="O150" i="96"/>
  <c r="AG133" i="96"/>
  <c r="I150" i="96"/>
  <c r="S92" i="157"/>
  <c r="P134" i="96"/>
  <c r="P150" i="96"/>
  <c r="R16" i="96"/>
  <c r="R6" i="96"/>
  <c r="R15" i="96"/>
  <c r="R10" i="96"/>
  <c r="U62" i="95"/>
  <c r="N17" i="96"/>
  <c r="N14" i="96"/>
  <c r="D110" i="157"/>
  <c r="D109" i="157"/>
  <c r="R110" i="157"/>
  <c r="R105" i="157"/>
  <c r="R109" i="157"/>
  <c r="H269" i="96"/>
  <c r="I132" i="157"/>
  <c r="I136" i="157" s="1"/>
  <c r="R133" i="96"/>
  <c r="R92" i="157"/>
  <c r="R321" i="96"/>
  <c r="R27" i="96" s="1"/>
  <c r="R28" i="96" s="1"/>
  <c r="R337" i="96"/>
  <c r="R338" i="96" s="1"/>
  <c r="Q337" i="96"/>
  <c r="Q338" i="96" s="1"/>
  <c r="Q321" i="96"/>
  <c r="Q27" i="96" s="1"/>
  <c r="Q28" i="96" s="1"/>
  <c r="S110" i="157"/>
  <c r="S109" i="157"/>
  <c r="S105" i="157"/>
  <c r="S10" i="96"/>
  <c r="S6" i="96"/>
  <c r="S16" i="96"/>
  <c r="S15" i="96"/>
  <c r="V62" i="95"/>
  <c r="Q6" i="96"/>
  <c r="Q15" i="96"/>
  <c r="Q10" i="96"/>
  <c r="Q16" i="96"/>
  <c r="T62" i="95"/>
  <c r="Q110" i="157"/>
  <c r="Q105" i="157"/>
  <c r="Q109" i="157"/>
  <c r="N11" i="96"/>
  <c r="S321" i="96"/>
  <c r="S27" i="96" s="1"/>
  <c r="S28" i="96" s="1"/>
  <c r="S337" i="96"/>
  <c r="S338" i="96" s="1"/>
  <c r="S150" i="96"/>
  <c r="S134" i="96"/>
  <c r="Q79" i="95"/>
  <c r="I74" i="183"/>
  <c r="Q73" i="95"/>
  <c r="C103" i="157"/>
  <c r="C320" i="96"/>
  <c r="C337" i="96" s="1"/>
  <c r="C105" i="157" l="1"/>
  <c r="C106" i="157" s="1"/>
  <c r="B109" i="157"/>
  <c r="I9" i="157" s="1"/>
  <c r="T151" i="96"/>
  <c r="T12" i="96"/>
  <c r="T11" i="96" s="1"/>
  <c r="S73" i="95"/>
  <c r="S79" i="95"/>
  <c r="Q134" i="96"/>
  <c r="Q151" i="96" s="1"/>
  <c r="R74" i="95"/>
  <c r="R61" i="95"/>
  <c r="R80" i="95"/>
  <c r="O12" i="96"/>
  <c r="O151" i="96"/>
  <c r="P12" i="96"/>
  <c r="P151" i="96"/>
  <c r="S8" i="95"/>
  <c r="S35" i="95"/>
  <c r="E15" i="183"/>
  <c r="S15" i="95"/>
  <c r="T80" i="95"/>
  <c r="T74" i="95"/>
  <c r="T61" i="95"/>
  <c r="U80" i="95"/>
  <c r="U74" i="95"/>
  <c r="U61" i="95"/>
  <c r="R150" i="96"/>
  <c r="R134" i="96"/>
  <c r="I269" i="96"/>
  <c r="J132" i="157"/>
  <c r="J136" i="157" s="1"/>
  <c r="N9" i="157"/>
  <c r="H18" i="104" s="1"/>
  <c r="C92" i="157"/>
  <c r="N7" i="157" s="1"/>
  <c r="C133" i="96"/>
  <c r="I62" i="183"/>
  <c r="J62" i="183" s="1"/>
  <c r="C15" i="183"/>
  <c r="Q35" i="95"/>
  <c r="S151" i="96"/>
  <c r="S12" i="96"/>
  <c r="V80" i="95"/>
  <c r="V74" i="95"/>
  <c r="V61" i="95"/>
  <c r="T17" i="96" l="1"/>
  <c r="T14" i="96"/>
  <c r="S8" i="97"/>
  <c r="S16" i="97" s="1"/>
  <c r="S28" i="98" s="1"/>
  <c r="L46" i="178"/>
  <c r="L47" i="178" s="1"/>
  <c r="L50" i="178" s="1"/>
  <c r="Q12" i="96"/>
  <c r="Q17" i="96" s="1"/>
  <c r="R79" i="95"/>
  <c r="R73" i="95"/>
  <c r="O11" i="96"/>
  <c r="O14" i="96"/>
  <c r="O17" i="96"/>
  <c r="N8" i="157"/>
  <c r="E18" i="104" s="1"/>
  <c r="I10" i="157"/>
  <c r="P14" i="96"/>
  <c r="P11" i="96"/>
  <c r="P17" i="96"/>
  <c r="C150" i="96"/>
  <c r="L18" i="104" s="1"/>
  <c r="AA133" i="96"/>
  <c r="V79" i="95"/>
  <c r="V73" i="95"/>
  <c r="V9" i="95"/>
  <c r="T79" i="95"/>
  <c r="T73" i="95"/>
  <c r="T9" i="95"/>
  <c r="R12" i="96"/>
  <c r="R151" i="96"/>
  <c r="J269" i="96"/>
  <c r="K132" i="157"/>
  <c r="K136" i="157" s="1"/>
  <c r="S14" i="96"/>
  <c r="S17" i="96"/>
  <c r="U73" i="95"/>
  <c r="U79" i="95"/>
  <c r="U9" i="95"/>
  <c r="S23" i="95"/>
  <c r="L56" i="178" s="1"/>
  <c r="S37" i="95"/>
  <c r="S58" i="98"/>
  <c r="S16" i="95"/>
  <c r="I64" i="183"/>
  <c r="J64" i="183" s="1"/>
  <c r="Q58" i="98"/>
  <c r="Q43" i="95"/>
  <c r="Q37" i="95"/>
  <c r="S11" i="96"/>
  <c r="S19" i="97" l="1"/>
  <c r="S21" i="97" s="1"/>
  <c r="Q14" i="96"/>
  <c r="Q11" i="96"/>
  <c r="S32" i="98"/>
  <c r="S36" i="98" s="1"/>
  <c r="L28" i="178"/>
  <c r="L27" i="178" s="1"/>
  <c r="L26" i="178" s="1"/>
  <c r="D31" i="175"/>
  <c r="D4" i="175" s="1"/>
  <c r="D15" i="183"/>
  <c r="G18" i="104"/>
  <c r="F31" i="175" s="1"/>
  <c r="F4" i="175" s="1"/>
  <c r="I18" i="104"/>
  <c r="Q59" i="98"/>
  <c r="Q61" i="98"/>
  <c r="H15" i="183"/>
  <c r="V35" i="95"/>
  <c r="V8" i="95"/>
  <c r="V15" i="95"/>
  <c r="Q21" i="97"/>
  <c r="Q37" i="97"/>
  <c r="Q40" i="97" s="1"/>
  <c r="I69" i="183"/>
  <c r="J69" i="183" s="1"/>
  <c r="S59" i="98"/>
  <c r="S61" i="98"/>
  <c r="R17" i="96"/>
  <c r="R14" i="96"/>
  <c r="R11" i="96"/>
  <c r="F15" i="183"/>
  <c r="T35" i="95"/>
  <c r="T8" i="95"/>
  <c r="T15" i="95"/>
  <c r="K269" i="96"/>
  <c r="L132" i="157"/>
  <c r="L136" i="157" s="1"/>
  <c r="U35" i="95"/>
  <c r="U8" i="95"/>
  <c r="G15" i="183"/>
  <c r="U15" i="95"/>
  <c r="U58" i="98" s="1"/>
  <c r="S25" i="95"/>
  <c r="N46" i="178" l="1"/>
  <c r="N47" i="178" s="1"/>
  <c r="N50" i="178" s="1"/>
  <c r="U8" i="97"/>
  <c r="U16" i="97" s="1"/>
  <c r="U61" i="98"/>
  <c r="U59" i="98"/>
  <c r="T8" i="97"/>
  <c r="T16" i="97" s="1"/>
  <c r="T37" i="97" s="1"/>
  <c r="T40" i="97" s="1"/>
  <c r="M46" i="178"/>
  <c r="M47" i="178" s="1"/>
  <c r="M50" i="178" s="1"/>
  <c r="S26" i="95"/>
  <c r="E18" i="183" s="1"/>
  <c r="E17" i="183" s="1"/>
  <c r="L57" i="178"/>
  <c r="L58" i="178" s="1"/>
  <c r="L60" i="178" s="1"/>
  <c r="S43" i="95"/>
  <c r="R8" i="97"/>
  <c r="R16" i="97" s="1"/>
  <c r="R28" i="98" s="1"/>
  <c r="R32" i="98" s="1"/>
  <c r="R36" i="98" s="1"/>
  <c r="T43" i="95"/>
  <c r="T16" i="95"/>
  <c r="T37" i="95"/>
  <c r="T58" i="98"/>
  <c r="T23" i="95"/>
  <c r="M56" i="178" s="1"/>
  <c r="V43" i="95"/>
  <c r="V16" i="95"/>
  <c r="V37" i="95"/>
  <c r="V23" i="95"/>
  <c r="U43" i="95"/>
  <c r="U16" i="95"/>
  <c r="U37" i="95"/>
  <c r="U23" i="95"/>
  <c r="N56" i="178" s="1"/>
  <c r="Q23" i="97"/>
  <c r="L269" i="96"/>
  <c r="M132" i="157"/>
  <c r="M136" i="157" s="1"/>
  <c r="U19" i="97" l="1"/>
  <c r="U21" i="97" s="1"/>
  <c r="U28" i="98"/>
  <c r="U37" i="97"/>
  <c r="U40" i="97" s="1"/>
  <c r="S29" i="95"/>
  <c r="S3" i="95" s="1"/>
  <c r="S38" i="95"/>
  <c r="T28" i="98"/>
  <c r="T32" i="98" s="1"/>
  <c r="T36" i="98" s="1"/>
  <c r="T19" i="97"/>
  <c r="T21" i="97" s="1"/>
  <c r="T23" i="97" s="1"/>
  <c r="T12" i="103" s="1"/>
  <c r="R37" i="97"/>
  <c r="R40" i="97" s="1"/>
  <c r="S37" i="97"/>
  <c r="S40" i="97" s="1"/>
  <c r="R19" i="97"/>
  <c r="R21" i="97" s="1"/>
  <c r="T25" i="95"/>
  <c r="U25" i="95"/>
  <c r="S27" i="100"/>
  <c r="S28" i="100" s="1"/>
  <c r="E20" i="183"/>
  <c r="E23" i="183" s="1"/>
  <c r="S36" i="100"/>
  <c r="S8" i="103"/>
  <c r="T61" i="98"/>
  <c r="T59" i="98"/>
  <c r="V25" i="95"/>
  <c r="V26" i="95" s="1"/>
  <c r="N132" i="157"/>
  <c r="N136" i="157" s="1"/>
  <c r="M269" i="96"/>
  <c r="I70" i="183"/>
  <c r="J70" i="183" s="1"/>
  <c r="Q38" i="95"/>
  <c r="C18" i="183"/>
  <c r="C17" i="183" s="1"/>
  <c r="S39" i="95" l="1"/>
  <c r="U26" i="95"/>
  <c r="N57" i="178"/>
  <c r="N58" i="178" s="1"/>
  <c r="N60" i="178" s="1"/>
  <c r="N28" i="178"/>
  <c r="N27" i="178" s="1"/>
  <c r="N26" i="178" s="1"/>
  <c r="U32" i="98"/>
  <c r="U36" i="98" s="1"/>
  <c r="U23" i="97"/>
  <c r="U12" i="103" s="1"/>
  <c r="M28" i="178"/>
  <c r="M27" i="178" s="1"/>
  <c r="M26" i="178" s="1"/>
  <c r="T26" i="95"/>
  <c r="T29" i="95" s="1"/>
  <c r="T3" i="95" s="1"/>
  <c r="M57" i="178"/>
  <c r="M58" i="178" s="1"/>
  <c r="M60" i="178" s="1"/>
  <c r="S23" i="97"/>
  <c r="S12" i="103" s="1"/>
  <c r="S15" i="103" s="1"/>
  <c r="R23" i="97"/>
  <c r="G18" i="183"/>
  <c r="G17" i="183" s="1"/>
  <c r="U29" i="95"/>
  <c r="U38" i="95"/>
  <c r="Q27" i="100"/>
  <c r="Q28" i="100" s="1"/>
  <c r="C20" i="183"/>
  <c r="C23" i="183" s="1"/>
  <c r="Q36" i="100"/>
  <c r="I72" i="183"/>
  <c r="Q39" i="95"/>
  <c r="Q44" i="95"/>
  <c r="H18" i="183"/>
  <c r="H17" i="183" s="1"/>
  <c r="V38" i="95"/>
  <c r="V29" i="95"/>
  <c r="V3" i="95" s="1"/>
  <c r="N269" i="96"/>
  <c r="N270" i="96" s="1"/>
  <c r="N23" i="96" s="1"/>
  <c r="O132" i="157"/>
  <c r="O136" i="157" s="1"/>
  <c r="F18" i="183" l="1"/>
  <c r="F17" i="183" s="1"/>
  <c r="U3" i="95"/>
  <c r="U36" i="100"/>
  <c r="U8" i="103"/>
  <c r="U15" i="103" s="1"/>
  <c r="U25" i="103" s="1"/>
  <c r="U34" i="103" s="1"/>
  <c r="U27" i="100"/>
  <c r="U28" i="100" s="1"/>
  <c r="T38" i="95"/>
  <c r="S25" i="103"/>
  <c r="S34" i="103" s="1"/>
  <c r="L72" i="178"/>
  <c r="L83" i="178" s="1"/>
  <c r="D18" i="183"/>
  <c r="D17" i="183" s="1"/>
  <c r="R10" i="100"/>
  <c r="R41" i="98" s="1"/>
  <c r="R44" i="98" s="1"/>
  <c r="Q25" i="103"/>
  <c r="Q34" i="103" s="1"/>
  <c r="G20" i="183"/>
  <c r="G23" i="183" s="1"/>
  <c r="U44" i="95"/>
  <c r="U39" i="95"/>
  <c r="H20" i="183"/>
  <c r="H23" i="183" s="1"/>
  <c r="V39" i="95"/>
  <c r="V44" i="95"/>
  <c r="I78" i="183"/>
  <c r="J72" i="183"/>
  <c r="P132" i="157"/>
  <c r="P136" i="157" s="1"/>
  <c r="O269" i="96"/>
  <c r="O270" i="96" s="1"/>
  <c r="O23" i="96" s="1"/>
  <c r="T36" i="100"/>
  <c r="T8" i="103"/>
  <c r="T15" i="103" s="1"/>
  <c r="F20" i="183"/>
  <c r="F23" i="183" s="1"/>
  <c r="T44" i="95"/>
  <c r="T39" i="95"/>
  <c r="T27" i="100"/>
  <c r="T28" i="100" s="1"/>
  <c r="Q42" i="100"/>
  <c r="T25" i="103" l="1"/>
  <c r="T34" i="103" s="1"/>
  <c r="M72" i="178"/>
  <c r="M83" i="178" s="1"/>
  <c r="R51" i="98"/>
  <c r="R56" i="98" s="1"/>
  <c r="R50" i="98"/>
  <c r="R52" i="98" s="1"/>
  <c r="R46" i="98"/>
  <c r="R55" i="98" s="1"/>
  <c r="D20" i="183"/>
  <c r="D23" i="183" s="1"/>
  <c r="C24" i="183" s="1"/>
  <c r="R36" i="100"/>
  <c r="S44" i="95"/>
  <c r="R27" i="100"/>
  <c r="R28" i="100" s="1"/>
  <c r="R13" i="100"/>
  <c r="R42" i="100" s="1"/>
  <c r="S10" i="100"/>
  <c r="P269" i="96"/>
  <c r="P270" i="96" s="1"/>
  <c r="P23" i="96" s="1"/>
  <c r="Q132" i="157"/>
  <c r="Q136" i="157" s="1"/>
  <c r="Q47" i="100"/>
  <c r="K66" i="104" s="1"/>
  <c r="R47" i="100" l="1"/>
  <c r="L66" i="104" s="1"/>
  <c r="G33" i="104"/>
  <c r="G34" i="104" s="1"/>
  <c r="E51" i="104" s="1"/>
  <c r="G51" i="104" s="1"/>
  <c r="R7" i="98"/>
  <c r="Q53" i="98"/>
  <c r="Q46" i="98"/>
  <c r="Q51" i="98"/>
  <c r="Q50" i="98"/>
  <c r="Q52" i="98" s="1"/>
  <c r="K69" i="104" s="1"/>
  <c r="S13" i="100"/>
  <c r="S42" i="100" s="1"/>
  <c r="S47" i="100" s="1"/>
  <c r="T10" i="100"/>
  <c r="U10" i="100" s="1"/>
  <c r="S41" i="98"/>
  <c r="F48" i="175"/>
  <c r="F19" i="175" s="1"/>
  <c r="R132" i="157"/>
  <c r="R136" i="157" s="1"/>
  <c r="Q269" i="96"/>
  <c r="Q270" i="96" s="1"/>
  <c r="Q23" i="96" s="1"/>
  <c r="U41" i="98" l="1"/>
  <c r="U13" i="100"/>
  <c r="U42" i="100" s="1"/>
  <c r="U47" i="100" s="1"/>
  <c r="R12" i="98"/>
  <c r="R53" i="98"/>
  <c r="S44" i="98"/>
  <c r="S50" i="98" s="1"/>
  <c r="S52" i="98" s="1"/>
  <c r="L40" i="178"/>
  <c r="L35" i="178" s="1"/>
  <c r="L42" i="178" s="1"/>
  <c r="S35" i="103"/>
  <c r="S36" i="103" s="1"/>
  <c r="T35" i="103" s="1"/>
  <c r="T36" i="103" s="1"/>
  <c r="T13" i="100"/>
  <c r="T42" i="100" s="1"/>
  <c r="T47" i="100" s="1"/>
  <c r="T41" i="98"/>
  <c r="Q54" i="98"/>
  <c r="Q26" i="98"/>
  <c r="Q47" i="98" s="1"/>
  <c r="S132" i="157"/>
  <c r="S136" i="157" s="1"/>
  <c r="R269" i="96"/>
  <c r="R270" i="96" s="1"/>
  <c r="R23" i="96" s="1"/>
  <c r="Q56" i="98"/>
  <c r="K68" i="104" s="1"/>
  <c r="Q55" i="98"/>
  <c r="K67" i="104" s="1"/>
  <c r="L69" i="104"/>
  <c r="T7" i="98" l="1"/>
  <c r="M12" i="178" s="1"/>
  <c r="M11" i="178" s="1"/>
  <c r="M25" i="178" s="1"/>
  <c r="U35" i="103"/>
  <c r="U36" i="103" s="1"/>
  <c r="U7" i="98" s="1"/>
  <c r="T44" i="98"/>
  <c r="T51" i="98" s="1"/>
  <c r="M40" i="178"/>
  <c r="M35" i="178" s="1"/>
  <c r="M42" i="178" s="1"/>
  <c r="N40" i="178"/>
  <c r="N35" i="178" s="1"/>
  <c r="N42" i="178" s="1"/>
  <c r="U44" i="98"/>
  <c r="R26" i="98"/>
  <c r="R47" i="98" s="1"/>
  <c r="R54" i="98"/>
  <c r="S46" i="98"/>
  <c r="S55" i="98" s="1"/>
  <c r="S51" i="98"/>
  <c r="S56" i="98" s="1"/>
  <c r="S269" i="96"/>
  <c r="S270" i="96" s="1"/>
  <c r="S23" i="96" s="1"/>
  <c r="T132" i="157"/>
  <c r="T136" i="157" s="1"/>
  <c r="T269" i="96" s="1"/>
  <c r="T270" i="96" s="1"/>
  <c r="T23" i="96" s="1"/>
  <c r="S7" i="98"/>
  <c r="L12" i="178" s="1"/>
  <c r="T53" i="98"/>
  <c r="L68" i="104"/>
  <c r="L67" i="104"/>
  <c r="T46" i="98"/>
  <c r="T50" i="98"/>
  <c r="T52" i="98" s="1"/>
  <c r="U51" i="98" l="1"/>
  <c r="U56" i="98" s="1"/>
  <c r="U50" i="98"/>
  <c r="U52" i="98" s="1"/>
  <c r="U46" i="98"/>
  <c r="N12" i="178"/>
  <c r="N11" i="178" s="1"/>
  <c r="N25" i="178" s="1"/>
  <c r="U12" i="98"/>
  <c r="U53" i="98"/>
  <c r="U55" i="98"/>
  <c r="T55" i="98"/>
  <c r="T56" i="98"/>
  <c r="S53" i="98"/>
  <c r="C114" i="121"/>
  <c r="I116" i="121" s="1"/>
  <c r="I242" i="96" s="1"/>
  <c r="I253" i="96" s="1"/>
  <c r="U54" i="98" l="1"/>
  <c r="U26" i="98"/>
  <c r="U47" i="98" s="1"/>
  <c r="D116" i="121"/>
  <c r="D242" i="96" s="1"/>
  <c r="D253" i="96" s="1"/>
  <c r="F116" i="121"/>
  <c r="F242" i="96" s="1"/>
  <c r="F253" i="96" s="1"/>
  <c r="I118" i="121"/>
  <c r="M116" i="121"/>
  <c r="M242" i="96" s="1"/>
  <c r="M253" i="96" s="1"/>
  <c r="J116" i="121"/>
  <c r="J242" i="96" s="1"/>
  <c r="J253" i="96" s="1"/>
  <c r="G116" i="121"/>
  <c r="G242" i="96" s="1"/>
  <c r="G253" i="96" s="1"/>
  <c r="E116" i="121"/>
  <c r="I7" i="121"/>
  <c r="L116" i="121"/>
  <c r="L242" i="96" s="1"/>
  <c r="L253" i="96" s="1"/>
  <c r="K116" i="121"/>
  <c r="K242" i="96" s="1"/>
  <c r="K253" i="96" s="1"/>
  <c r="H116" i="121"/>
  <c r="H242" i="96" s="1"/>
  <c r="H253" i="96" s="1"/>
  <c r="D117" i="121"/>
  <c r="F117" i="121"/>
  <c r="I208" i="96" l="1"/>
  <c r="I219" i="96" s="1"/>
  <c r="I31" i="96" s="1"/>
  <c r="L9" i="99" s="1"/>
  <c r="C118" i="121"/>
  <c r="C208" i="96" s="1"/>
  <c r="C219" i="96" s="1"/>
  <c r="C116" i="121"/>
  <c r="E117" i="121"/>
  <c r="E242" i="96"/>
  <c r="E253" i="96" s="1"/>
  <c r="D120" i="121"/>
  <c r="D191" i="96" s="1"/>
  <c r="D202" i="96" s="1"/>
  <c r="D119" i="121"/>
  <c r="F119" i="121"/>
  <c r="F225" i="96" s="1"/>
  <c r="F236" i="96" s="1"/>
  <c r="F32" i="96" s="1"/>
  <c r="I10" i="99" s="1"/>
  <c r="F120" i="121"/>
  <c r="E120" i="121" l="1"/>
  <c r="E191" i="96" s="1"/>
  <c r="E202" i="96" s="1"/>
  <c r="E30" i="96" s="1"/>
  <c r="E119" i="121"/>
  <c r="E225" i="96" s="1"/>
  <c r="E236" i="96" s="1"/>
  <c r="E32" i="96" s="1"/>
  <c r="D225" i="96"/>
  <c r="D236" i="96" s="1"/>
  <c r="F191" i="96"/>
  <c r="F202" i="96" s="1"/>
  <c r="F30" i="96" s="1"/>
  <c r="I8" i="99" s="1"/>
  <c r="G117" i="121"/>
  <c r="G119" i="121" l="1"/>
  <c r="G120" i="121"/>
  <c r="G191" i="96" l="1"/>
  <c r="G202" i="96" s="1"/>
  <c r="G30" i="96" s="1"/>
  <c r="J8" i="99" s="1"/>
  <c r="H117" i="121"/>
  <c r="G225" i="96"/>
  <c r="G236" i="96" s="1"/>
  <c r="G32" i="96" s="1"/>
  <c r="J10" i="99" s="1"/>
  <c r="H119" i="121" l="1"/>
  <c r="H120" i="121"/>
  <c r="H191" i="96" l="1"/>
  <c r="H202" i="96" s="1"/>
  <c r="H30" i="96" s="1"/>
  <c r="K8" i="99" s="1"/>
  <c r="I117" i="121"/>
  <c r="H225" i="96"/>
  <c r="H236" i="96" s="1"/>
  <c r="H32" i="96" s="1"/>
  <c r="K10" i="99" s="1"/>
  <c r="I119" i="121" l="1"/>
  <c r="I120" i="121"/>
  <c r="I191" i="96" l="1"/>
  <c r="I202" i="96" s="1"/>
  <c r="I30" i="96" s="1"/>
  <c r="L8" i="99" s="1"/>
  <c r="J117" i="121"/>
  <c r="I225" i="96"/>
  <c r="I236" i="96" s="1"/>
  <c r="I32" i="96" s="1"/>
  <c r="L10" i="99" s="1"/>
  <c r="C77" i="121"/>
  <c r="L134" i="121" l="1"/>
  <c r="F134" i="121"/>
  <c r="L77" i="121"/>
  <c r="G134" i="121"/>
  <c r="E77" i="121"/>
  <c r="D134" i="121"/>
  <c r="J134" i="121"/>
  <c r="K134" i="121"/>
  <c r="H134" i="121"/>
  <c r="K77" i="121"/>
  <c r="H77" i="121"/>
  <c r="I77" i="121"/>
  <c r="F77" i="121"/>
  <c r="D77" i="121"/>
  <c r="I134" i="121"/>
  <c r="G77" i="121"/>
  <c r="M77" i="121"/>
  <c r="E134" i="121"/>
  <c r="C84" i="121"/>
  <c r="J77" i="121"/>
  <c r="M134" i="121"/>
  <c r="J119" i="121"/>
  <c r="J120" i="121"/>
  <c r="J78" i="121" l="1"/>
  <c r="J225" i="96"/>
  <c r="J236" i="96" s="1"/>
  <c r="J32" i="96" s="1"/>
  <c r="M10" i="99" s="1"/>
  <c r="D135" i="121"/>
  <c r="D84" i="121"/>
  <c r="D85" i="121" s="1"/>
  <c r="G135" i="121"/>
  <c r="G84" i="121"/>
  <c r="G85" i="121" s="1"/>
  <c r="I135" i="121"/>
  <c r="I84" i="121"/>
  <c r="I85" i="121" s="1"/>
  <c r="J191" i="96"/>
  <c r="J202" i="96" s="1"/>
  <c r="J30" i="96" s="1"/>
  <c r="M8" i="99" s="1"/>
  <c r="K117" i="121"/>
  <c r="D136" i="121"/>
  <c r="F135" i="121"/>
  <c r="F84" i="121"/>
  <c r="F85" i="121" s="1"/>
  <c r="E84" i="121"/>
  <c r="E85" i="121" s="1"/>
  <c r="E135" i="121"/>
  <c r="J84" i="121"/>
  <c r="J135" i="121"/>
  <c r="C91" i="121"/>
  <c r="N6" i="121" s="1"/>
  <c r="C85" i="121"/>
  <c r="H135" i="121"/>
  <c r="H84" i="121"/>
  <c r="H85" i="121" s="1"/>
  <c r="L84" i="121"/>
  <c r="L85" i="121" s="1"/>
  <c r="L135" i="121"/>
  <c r="K135" i="121"/>
  <c r="K84" i="121"/>
  <c r="K85" i="121" s="1"/>
  <c r="M135" i="121"/>
  <c r="M84" i="121"/>
  <c r="M85" i="121" s="1"/>
  <c r="E88" i="121" l="1"/>
  <c r="E157" i="96"/>
  <c r="E168" i="96" s="1"/>
  <c r="L157" i="96"/>
  <c r="L168" i="96" s="1"/>
  <c r="G88" i="121"/>
  <c r="G157" i="96"/>
  <c r="G168" i="96" s="1"/>
  <c r="G7" i="96" s="1"/>
  <c r="H157" i="96"/>
  <c r="H168" i="96" s="1"/>
  <c r="H88" i="121"/>
  <c r="F88" i="121"/>
  <c r="F157" i="96"/>
  <c r="F168" i="96" s="1"/>
  <c r="F7" i="96" s="1"/>
  <c r="D157" i="96"/>
  <c r="D168" i="96" s="1"/>
  <c r="D88" i="121"/>
  <c r="D259" i="96"/>
  <c r="D270" i="96" s="1"/>
  <c r="E132" i="121"/>
  <c r="E136" i="121" s="1"/>
  <c r="M157" i="96"/>
  <c r="M168" i="96" s="1"/>
  <c r="C157" i="96"/>
  <c r="K157" i="96"/>
  <c r="K168" i="96" s="1"/>
  <c r="K7" i="96" s="1"/>
  <c r="K119" i="121"/>
  <c r="K120" i="121"/>
  <c r="J91" i="121"/>
  <c r="J85" i="121"/>
  <c r="I88" i="121"/>
  <c r="I157" i="96"/>
  <c r="I168" i="96" s="1"/>
  <c r="J87" i="121"/>
  <c r="H89" i="121" l="1"/>
  <c r="H102" i="121" s="1"/>
  <c r="H98" i="121" s="1"/>
  <c r="H185" i="96"/>
  <c r="H7" i="96"/>
  <c r="G16" i="96"/>
  <c r="E12" i="171" s="1"/>
  <c r="G10" i="96"/>
  <c r="E9" i="171"/>
  <c r="E11" i="171" s="1"/>
  <c r="G15" i="96"/>
  <c r="G6" i="96"/>
  <c r="K225" i="96"/>
  <c r="K236" i="96" s="1"/>
  <c r="K32" i="96" s="1"/>
  <c r="N10" i="99" s="1"/>
  <c r="K78" i="121"/>
  <c r="G89" i="121"/>
  <c r="G102" i="121" s="1"/>
  <c r="G98" i="121" s="1"/>
  <c r="L7" i="96"/>
  <c r="L185" i="96"/>
  <c r="J157" i="96"/>
  <c r="J88" i="121"/>
  <c r="K191" i="96"/>
  <c r="K202" i="96" s="1"/>
  <c r="K30" i="96" s="1"/>
  <c r="L117" i="121"/>
  <c r="K15" i="96"/>
  <c r="K16" i="96"/>
  <c r="I12" i="171" s="1"/>
  <c r="K10" i="96"/>
  <c r="N62" i="95"/>
  <c r="I9" i="171"/>
  <c r="I11" i="171" s="1"/>
  <c r="K6" i="96"/>
  <c r="F15" i="96"/>
  <c r="F6" i="96"/>
  <c r="E129" i="68" s="1"/>
  <c r="F16" i="96"/>
  <c r="D12" i="171" s="1"/>
  <c r="F10" i="96"/>
  <c r="D9" i="171"/>
  <c r="D11" i="171" s="1"/>
  <c r="M7" i="96"/>
  <c r="M185" i="96"/>
  <c r="E259" i="96"/>
  <c r="E270" i="96" s="1"/>
  <c r="E23" i="96" s="1"/>
  <c r="F132" i="121"/>
  <c r="F136" i="121" s="1"/>
  <c r="D89" i="121"/>
  <c r="D90" i="121" s="1"/>
  <c r="I185" i="96"/>
  <c r="I7" i="96"/>
  <c r="C174" i="96"/>
  <c r="K8" i="104" s="1"/>
  <c r="C168" i="96"/>
  <c r="C185" i="96" s="1"/>
  <c r="K19" i="104" s="1"/>
  <c r="I89" i="121"/>
  <c r="I102" i="121" s="1"/>
  <c r="I98" i="121" s="1"/>
  <c r="I90" i="121"/>
  <c r="I123" i="96" s="1"/>
  <c r="F89" i="121"/>
  <c r="F102" i="121" s="1"/>
  <c r="F98" i="121" s="1"/>
  <c r="E89" i="121"/>
  <c r="E102" i="121" s="1"/>
  <c r="E98" i="121" s="1"/>
  <c r="E90" i="121"/>
  <c r="E123" i="96" s="1"/>
  <c r="D123" i="96" l="1"/>
  <c r="M10" i="96"/>
  <c r="M6" i="96"/>
  <c r="M16" i="96"/>
  <c r="M15" i="96"/>
  <c r="N80" i="95"/>
  <c r="N74" i="95"/>
  <c r="N61" i="95"/>
  <c r="J174" i="96"/>
  <c r="J168" i="96"/>
  <c r="G90" i="121"/>
  <c r="G123" i="96" s="1"/>
  <c r="F103" i="121"/>
  <c r="F310" i="96"/>
  <c r="G103" i="121"/>
  <c r="G310" i="96"/>
  <c r="H16" i="96"/>
  <c r="F12" i="171" s="1"/>
  <c r="F9" i="171"/>
  <c r="F11" i="171" s="1"/>
  <c r="H15" i="96"/>
  <c r="H6" i="96"/>
  <c r="H10" i="96"/>
  <c r="K62" i="95"/>
  <c r="I16" i="96"/>
  <c r="G12" i="171" s="1"/>
  <c r="G9" i="171"/>
  <c r="G11" i="171" s="1"/>
  <c r="L62" i="95"/>
  <c r="I6" i="96"/>
  <c r="I15" i="96"/>
  <c r="I10" i="96"/>
  <c r="L6" i="96"/>
  <c r="L15" i="96"/>
  <c r="L16" i="96"/>
  <c r="L10" i="96"/>
  <c r="O62" i="95"/>
  <c r="F129" i="68"/>
  <c r="E144" i="68"/>
  <c r="L119" i="121"/>
  <c r="L120" i="121"/>
  <c r="K87" i="121"/>
  <c r="K88" i="121" s="1"/>
  <c r="E134" i="96"/>
  <c r="AC123" i="96"/>
  <c r="AC134" i="96" s="1"/>
  <c r="E103" i="121"/>
  <c r="E310" i="96"/>
  <c r="D102" i="121"/>
  <c r="D98" i="121" s="1"/>
  <c r="AG123" i="96"/>
  <c r="AG134" i="96" s="1"/>
  <c r="I13" i="96" s="1"/>
  <c r="L87" i="95" s="1"/>
  <c r="I134" i="96"/>
  <c r="H310" i="96"/>
  <c r="H103" i="121"/>
  <c r="F90" i="121"/>
  <c r="F123" i="96" s="1"/>
  <c r="G132" i="121"/>
  <c r="G136" i="121" s="1"/>
  <c r="F259" i="96"/>
  <c r="F270" i="96" s="1"/>
  <c r="F23" i="96" s="1"/>
  <c r="I310" i="96"/>
  <c r="I103" i="121"/>
  <c r="J89" i="121"/>
  <c r="J102" i="121" s="1"/>
  <c r="J98" i="121" s="1"/>
  <c r="H90" i="121"/>
  <c r="H123" i="96" s="1"/>
  <c r="L225" i="96" l="1"/>
  <c r="L236" i="96" s="1"/>
  <c r="L32" i="96" s="1"/>
  <c r="O10" i="99" s="1"/>
  <c r="L78" i="121"/>
  <c r="G134" i="96"/>
  <c r="G12" i="96" s="1"/>
  <c r="AE123" i="96"/>
  <c r="AE134" i="96" s="1"/>
  <c r="G13" i="96" s="1"/>
  <c r="J87" i="95" s="1"/>
  <c r="P80" i="95"/>
  <c r="P74" i="95"/>
  <c r="P61" i="95"/>
  <c r="J7" i="96"/>
  <c r="J185" i="96"/>
  <c r="F134" i="96"/>
  <c r="F12" i="96" s="1"/>
  <c r="AD123" i="96"/>
  <c r="AD134" i="96" s="1"/>
  <c r="F13" i="96" s="1"/>
  <c r="E110" i="121"/>
  <c r="E109" i="121"/>
  <c r="J90" i="121"/>
  <c r="H109" i="121"/>
  <c r="H110" i="121"/>
  <c r="O80" i="95"/>
  <c r="O61" i="95"/>
  <c r="O74" i="95"/>
  <c r="L61" i="95"/>
  <c r="L80" i="95"/>
  <c r="L74" i="95"/>
  <c r="L191" i="96"/>
  <c r="L202" i="96" s="1"/>
  <c r="L30" i="96" s="1"/>
  <c r="M117" i="121"/>
  <c r="E321" i="96"/>
  <c r="E27" i="96" s="1"/>
  <c r="E28" i="96" s="1"/>
  <c r="E327" i="96"/>
  <c r="E338" i="96" s="1"/>
  <c r="G321" i="96"/>
  <c r="G27" i="96" s="1"/>
  <c r="G28" i="96" s="1"/>
  <c r="G327" i="96"/>
  <c r="G338" i="96" s="1"/>
  <c r="D103" i="121"/>
  <c r="D310" i="96"/>
  <c r="H132" i="121"/>
  <c r="H136" i="121" s="1"/>
  <c r="G259" i="96"/>
  <c r="G270" i="96" s="1"/>
  <c r="G23" i="96" s="1"/>
  <c r="H321" i="96"/>
  <c r="H27" i="96" s="1"/>
  <c r="H28" i="96" s="1"/>
  <c r="H327" i="96"/>
  <c r="H338" i="96" s="1"/>
  <c r="AF123" i="96"/>
  <c r="AF134" i="96" s="1"/>
  <c r="H13" i="96" s="1"/>
  <c r="K87" i="95" s="1"/>
  <c r="H134" i="96"/>
  <c r="I12" i="96"/>
  <c r="I151" i="96"/>
  <c r="G110" i="121"/>
  <c r="G109" i="121"/>
  <c r="N73" i="95"/>
  <c r="N79" i="95"/>
  <c r="F110" i="121"/>
  <c r="F109" i="121"/>
  <c r="J103" i="121"/>
  <c r="J310" i="96"/>
  <c r="I109" i="121"/>
  <c r="I110" i="121"/>
  <c r="I321" i="96"/>
  <c r="I27" i="96" s="1"/>
  <c r="I28" i="96" s="1"/>
  <c r="I327" i="96"/>
  <c r="I338" i="96" s="1"/>
  <c r="K89" i="121"/>
  <c r="K90" i="121"/>
  <c r="K123" i="96" s="1"/>
  <c r="K80" i="95"/>
  <c r="K61" i="95"/>
  <c r="K74" i="95"/>
  <c r="F327" i="96"/>
  <c r="F338" i="96" s="1"/>
  <c r="F321" i="96"/>
  <c r="F27" i="96" s="1"/>
  <c r="F28" i="96" s="1"/>
  <c r="AB123" i="96"/>
  <c r="AB134" i="96" s="1"/>
  <c r="D134" i="96"/>
  <c r="J110" i="121" l="1"/>
  <c r="J109" i="121"/>
  <c r="I17" i="96"/>
  <c r="I14" i="96"/>
  <c r="G10" i="171"/>
  <c r="D109" i="121"/>
  <c r="D110" i="121"/>
  <c r="J92" i="121"/>
  <c r="J123" i="96"/>
  <c r="D321" i="96"/>
  <c r="D327" i="96"/>
  <c r="D338" i="96" s="1"/>
  <c r="H12" i="96"/>
  <c r="H151" i="96"/>
  <c r="L79" i="95"/>
  <c r="L73" i="95"/>
  <c r="G14" i="96"/>
  <c r="E10" i="171"/>
  <c r="G17" i="96"/>
  <c r="G11" i="96"/>
  <c r="I11" i="96"/>
  <c r="O73" i="95"/>
  <c r="O79" i="95"/>
  <c r="F14" i="96"/>
  <c r="D10" i="171"/>
  <c r="F17" i="96"/>
  <c r="F11" i="96"/>
  <c r="L87" i="121"/>
  <c r="L88" i="121" s="1"/>
  <c r="P79" i="95"/>
  <c r="P73" i="95"/>
  <c r="K102" i="121"/>
  <c r="K98" i="121" s="1"/>
  <c r="K73" i="95"/>
  <c r="K79" i="95"/>
  <c r="AI123" i="96"/>
  <c r="AI134" i="96" s="1"/>
  <c r="K13" i="96" s="1"/>
  <c r="N87" i="95" s="1"/>
  <c r="K134" i="96"/>
  <c r="K12" i="96" s="1"/>
  <c r="J321" i="96"/>
  <c r="J27" i="96" s="1"/>
  <c r="J28" i="96" s="1"/>
  <c r="J327" i="96"/>
  <c r="J338" i="96" s="1"/>
  <c r="I132" i="121"/>
  <c r="I136" i="121" s="1"/>
  <c r="H259" i="96"/>
  <c r="H270" i="96" s="1"/>
  <c r="H23" i="96" s="1"/>
  <c r="M119" i="121"/>
  <c r="M120" i="121"/>
  <c r="M191" i="96" s="1"/>
  <c r="M202" i="96" s="1"/>
  <c r="M30" i="96" s="1"/>
  <c r="M62" i="95"/>
  <c r="H9" i="171"/>
  <c r="H11" i="171" s="1"/>
  <c r="J10" i="96"/>
  <c r="J6" i="96"/>
  <c r="H14" i="96" l="1"/>
  <c r="F10" i="171"/>
  <c r="H17" i="96"/>
  <c r="H11" i="96"/>
  <c r="K310" i="96"/>
  <c r="K103" i="121"/>
  <c r="M225" i="96"/>
  <c r="M236" i="96" s="1"/>
  <c r="M32" i="96" s="1"/>
  <c r="P10" i="99" s="1"/>
  <c r="M78" i="121"/>
  <c r="C119" i="121"/>
  <c r="AH123" i="96"/>
  <c r="AH134" i="96" s="1"/>
  <c r="J13" i="96" s="1"/>
  <c r="M87" i="95" s="1"/>
  <c r="J140" i="96"/>
  <c r="J134" i="96"/>
  <c r="M61" i="95"/>
  <c r="M80" i="95"/>
  <c r="M74" i="95"/>
  <c r="I10" i="171"/>
  <c r="K17" i="96"/>
  <c r="K14" i="96"/>
  <c r="K11" i="96"/>
  <c r="I259" i="96"/>
  <c r="I270" i="96" s="1"/>
  <c r="I23" i="96" s="1"/>
  <c r="J132" i="121"/>
  <c r="J136" i="121" s="1"/>
  <c r="L89" i="121"/>
  <c r="K321" i="96" l="1"/>
  <c r="K27" i="96" s="1"/>
  <c r="K28" i="96" s="1"/>
  <c r="K327" i="96"/>
  <c r="K338" i="96" s="1"/>
  <c r="J151" i="96"/>
  <c r="J12" i="96"/>
  <c r="L102" i="121"/>
  <c r="L98" i="121" s="1"/>
  <c r="M87" i="121"/>
  <c r="M88" i="121" s="1"/>
  <c r="C78" i="121"/>
  <c r="C87" i="121" s="1"/>
  <c r="C88" i="121" s="1"/>
  <c r="K110" i="121"/>
  <c r="K109" i="121"/>
  <c r="K132" i="121"/>
  <c r="K136" i="121" s="1"/>
  <c r="J259" i="96"/>
  <c r="J270" i="96" s="1"/>
  <c r="J23" i="96" s="1"/>
  <c r="L90" i="121"/>
  <c r="M73" i="95"/>
  <c r="M79" i="95"/>
  <c r="C225" i="96"/>
  <c r="C236" i="96" s="1"/>
  <c r="D9" i="121"/>
  <c r="J14" i="96" l="1"/>
  <c r="H10" i="171"/>
  <c r="J11" i="96"/>
  <c r="K259" i="96"/>
  <c r="K270" i="96" s="1"/>
  <c r="K23" i="96" s="1"/>
  <c r="L132" i="121"/>
  <c r="L136" i="121" s="1"/>
  <c r="L123" i="96"/>
  <c r="M89" i="121"/>
  <c r="M90" i="121" s="1"/>
  <c r="L103" i="121"/>
  <c r="L310" i="96"/>
  <c r="M123" i="96" l="1"/>
  <c r="M134" i="96" s="1"/>
  <c r="C90" i="121"/>
  <c r="M132" i="121"/>
  <c r="M136" i="121" s="1"/>
  <c r="M259" i="96" s="1"/>
  <c r="M270" i="96" s="1"/>
  <c r="M23" i="96" s="1"/>
  <c r="L259" i="96"/>
  <c r="L270" i="96" s="1"/>
  <c r="L23" i="96" s="1"/>
  <c r="L109" i="121"/>
  <c r="L110" i="121"/>
  <c r="AJ123" i="96"/>
  <c r="AJ134" i="96" s="1"/>
  <c r="L13" i="96" s="1"/>
  <c r="O87" i="95" s="1"/>
  <c r="L134" i="96"/>
  <c r="L321" i="96"/>
  <c r="L27" i="96" s="1"/>
  <c r="L28" i="96" s="1"/>
  <c r="L327" i="96"/>
  <c r="L338" i="96" s="1"/>
  <c r="M102" i="121"/>
  <c r="M98" i="121" s="1"/>
  <c r="C89" i="121"/>
  <c r="C102" i="121" s="1"/>
  <c r="C98" i="121" s="1"/>
  <c r="L12" i="96" l="1"/>
  <c r="L151" i="96"/>
  <c r="M310" i="96"/>
  <c r="M103" i="121"/>
  <c r="C310" i="96"/>
  <c r="C103" i="121"/>
  <c r="N9" i="121"/>
  <c r="H8" i="104" s="1"/>
  <c r="H19" i="104" s="1"/>
  <c r="C123" i="96"/>
  <c r="C92" i="121"/>
  <c r="N7" i="121" s="1"/>
  <c r="M151" i="96"/>
  <c r="M12" i="96"/>
  <c r="M109" i="121" l="1"/>
  <c r="B109" i="121" s="1"/>
  <c r="I9" i="121" s="1"/>
  <c r="M110" i="121"/>
  <c r="M105" i="121"/>
  <c r="C105" i="121" s="1"/>
  <c r="C321" i="96"/>
  <c r="C327" i="96"/>
  <c r="C338" i="96" s="1"/>
  <c r="L17" i="96"/>
  <c r="L14" i="96"/>
  <c r="L11" i="96"/>
  <c r="M14" i="96"/>
  <c r="M17" i="96"/>
  <c r="M11" i="96"/>
  <c r="M321" i="96"/>
  <c r="M27" i="96" s="1"/>
  <c r="M28" i="96" s="1"/>
  <c r="M327" i="96"/>
  <c r="M338" i="96" s="1"/>
  <c r="C134" i="96"/>
  <c r="C151" i="96" s="1"/>
  <c r="L19" i="104" s="1"/>
  <c r="C140" i="96"/>
  <c r="L8" i="104" s="1"/>
  <c r="AA123" i="96"/>
  <c r="AA134" i="96" s="1"/>
  <c r="C106" i="121" l="1"/>
  <c r="I10" i="121"/>
  <c r="N8" i="121"/>
  <c r="E8" i="104" s="1"/>
  <c r="I8" i="104" l="1"/>
  <c r="G8" i="104"/>
  <c r="G19" i="104" s="1"/>
  <c r="E19" i="104"/>
  <c r="D9" i="175" l="1"/>
  <c r="D8" i="175" s="1"/>
  <c r="D37" i="175"/>
  <c r="D36" i="175" s="1"/>
  <c r="I19" i="104"/>
  <c r="F37" i="175"/>
  <c r="F9" i="175"/>
  <c r="F8" i="175" s="1"/>
  <c r="G23" i="104"/>
  <c r="G26" i="104" s="1"/>
  <c r="G28" i="104" s="1"/>
  <c r="G30" i="104" s="1"/>
  <c r="F39" i="175" l="1"/>
  <c r="F36" i="175"/>
  <c r="E50" i="104"/>
  <c r="G50" i="104" s="1"/>
  <c r="F11" i="175" l="1"/>
  <c r="F43" i="175"/>
  <c r="F45" i="175" l="1"/>
  <c r="F47" i="175" s="1"/>
  <c r="F15" i="175"/>
  <c r="F18" i="175" l="1"/>
  <c r="F50" i="175"/>
  <c r="F52" i="175" l="1"/>
  <c r="F21" i="175"/>
  <c r="F23" i="175" s="1"/>
  <c r="F25" i="175" s="1"/>
  <c r="S8" i="98" l="1"/>
  <c r="T8" i="98" l="1"/>
  <c r="T12" i="98" s="1"/>
  <c r="T54" i="98" s="1"/>
  <c r="L13" i="178"/>
  <c r="L11" i="178" s="1"/>
  <c r="L25" i="178" s="1"/>
  <c r="S12" i="98"/>
  <c r="T26" i="98" l="1"/>
  <c r="T47" i="98" s="1"/>
  <c r="S54" i="98"/>
  <c r="S26" i="98"/>
  <c r="S47" i="98" s="1"/>
  <c r="P45" i="95"/>
  <c r="P33" i="95"/>
  <c r="M64" i="178"/>
  <c r="M62" i="178"/>
  <c r="M61" i="178"/>
  <c r="J64" i="104"/>
  <c r="P40" i="100"/>
  <c r="E52" i="104"/>
  <c r="G52" i="104"/>
  <c r="G53" i="104"/>
  <c r="G55" i="104"/>
  <c r="G56" i="104"/>
  <c r="L45" i="100"/>
  <c r="L44" i="100"/>
  <c r="M110" i="104"/>
  <c r="I65" i="104"/>
  <c r="O48" i="100"/>
  <c r="J109" i="104"/>
  <c r="F64" i="104"/>
  <c r="L40" i="100"/>
  <c r="O45" i="95"/>
  <c r="O33" i="95"/>
  <c r="K110" i="104"/>
  <c r="G65" i="104"/>
  <c r="M48" i="100"/>
  <c r="I110" i="104"/>
  <c r="E65" i="104"/>
  <c r="K48" i="100"/>
  <c r="G37" i="100"/>
  <c r="G38" i="100"/>
  <c r="I109" i="104"/>
  <c r="E64" i="104"/>
  <c r="K40" i="100"/>
  <c r="L64" i="178"/>
  <c r="L62" i="178"/>
  <c r="L61" i="178"/>
  <c r="D50" i="68"/>
  <c r="E8" i="68"/>
  <c r="F63" i="104"/>
  <c r="J108" i="104"/>
  <c r="H37" i="100"/>
  <c r="H38" i="100"/>
  <c r="E50" i="68"/>
  <c r="F8" i="68"/>
  <c r="Q45" i="95"/>
  <c r="Q33" i="95"/>
  <c r="F45" i="181"/>
  <c r="F44" i="181"/>
  <c r="M45" i="100"/>
  <c r="M44" i="100"/>
  <c r="J65" i="104"/>
  <c r="P48" i="100"/>
  <c r="S45" i="95"/>
  <c r="S33" i="95"/>
  <c r="G44" i="181"/>
  <c r="G45" i="181"/>
  <c r="H44" i="181"/>
  <c r="H45" i="181"/>
  <c r="U48" i="100"/>
  <c r="U40" i="100"/>
  <c r="I44" i="181"/>
  <c r="I45" i="181"/>
  <c r="M109" i="104"/>
  <c r="I64" i="104"/>
  <c r="O40" i="100"/>
  <c r="N44" i="181"/>
  <c r="N45" i="181"/>
  <c r="K45" i="100"/>
  <c r="K44" i="100"/>
  <c r="M108" i="104"/>
  <c r="O38" i="100"/>
  <c r="O37" i="100"/>
  <c r="O39" i="100"/>
  <c r="I63" i="104"/>
  <c r="F20" i="175"/>
  <c r="F49" i="175"/>
  <c r="J45" i="95"/>
  <c r="J33" i="95"/>
  <c r="M45" i="95"/>
  <c r="M33" i="95"/>
  <c r="N45" i="95"/>
  <c r="S45" i="100"/>
  <c r="S44" i="100"/>
  <c r="M40" i="100"/>
  <c r="G64" i="104"/>
  <c r="K109" i="104"/>
  <c r="K64" i="104"/>
  <c r="Q40" i="100"/>
  <c r="S48" i="100"/>
  <c r="S38" i="100"/>
  <c r="S37" i="100"/>
  <c r="S39" i="100"/>
  <c r="S40" i="100"/>
  <c r="O45" i="181"/>
  <c r="O44" i="181"/>
  <c r="M45" i="181"/>
  <c r="M44" i="181"/>
  <c r="K65" i="104"/>
  <c r="Q48" i="100"/>
  <c r="L45" i="181"/>
  <c r="L44" i="181"/>
  <c r="N44" i="100"/>
  <c r="N45" i="100"/>
  <c r="F37" i="100"/>
  <c r="F38" i="100"/>
  <c r="Y33" i="95"/>
  <c r="I33" i="95"/>
  <c r="L64" i="104"/>
  <c r="R40" i="100"/>
  <c r="L65" i="104"/>
  <c r="R48" i="100"/>
  <c r="K33" i="95"/>
  <c r="K45" i="95"/>
  <c r="U45" i="100"/>
  <c r="U43" i="100"/>
  <c r="U44" i="100"/>
  <c r="R33" i="95"/>
  <c r="R45" i="95"/>
  <c r="T45" i="95"/>
  <c r="T33" i="95"/>
  <c r="L33" i="95"/>
  <c r="L45" i="95"/>
  <c r="T48" i="100"/>
  <c r="T38" i="100"/>
  <c r="T37" i="100"/>
  <c r="T39" i="100"/>
  <c r="T40" i="100"/>
  <c r="I48" i="100"/>
  <c r="E10" i="68"/>
  <c r="I38" i="100"/>
  <c r="I37" i="100"/>
  <c r="I39" i="100"/>
  <c r="D41" i="68"/>
  <c r="N61" i="178"/>
  <c r="N62" i="178"/>
  <c r="N64" i="178"/>
  <c r="Q44" i="100"/>
  <c r="Q45" i="100"/>
  <c r="E41" i="68"/>
  <c r="J40" i="100"/>
  <c r="J48" i="100"/>
  <c r="J38" i="100"/>
  <c r="J37" i="100"/>
  <c r="J39" i="100"/>
  <c r="F10" i="68"/>
  <c r="K38" i="100"/>
  <c r="K37" i="100"/>
  <c r="K39" i="100"/>
  <c r="E63" i="104"/>
  <c r="I108" i="104"/>
  <c r="P44" i="181"/>
  <c r="L43" i="181"/>
  <c r="M43" i="181"/>
  <c r="N43" i="181"/>
  <c r="O43" i="181"/>
  <c r="P43" i="181"/>
  <c r="P45" i="181"/>
  <c r="G43" i="104"/>
  <c r="K45" i="181"/>
  <c r="K43" i="181"/>
  <c r="K44" i="181"/>
  <c r="O45" i="100"/>
  <c r="O44" i="100"/>
  <c r="T45" i="100"/>
  <c r="S43" i="100"/>
  <c r="T43" i="100"/>
  <c r="T44" i="100"/>
  <c r="J44" i="100"/>
  <c r="J45" i="100"/>
  <c r="R45" i="100"/>
  <c r="Q43" i="100"/>
  <c r="R43" i="100"/>
  <c r="R44" i="100"/>
  <c r="G41" i="104"/>
  <c r="J110" i="104"/>
  <c r="L38" i="100"/>
  <c r="L37" i="100"/>
  <c r="L39" i="100"/>
  <c r="L48" i="100"/>
  <c r="F65" i="104"/>
  <c r="L109" i="104"/>
  <c r="N40" i="100"/>
  <c r="H64" i="104"/>
  <c r="I44" i="100"/>
  <c r="I45" i="100"/>
  <c r="J44" i="181"/>
  <c r="F43" i="181"/>
  <c r="G43" i="181"/>
  <c r="H43" i="181"/>
  <c r="I43" i="181"/>
  <c r="J43" i="181"/>
  <c r="J45" i="181"/>
  <c r="P45" i="100"/>
  <c r="R38" i="100"/>
  <c r="R37" i="100"/>
  <c r="R39" i="100"/>
  <c r="L63" i="104"/>
  <c r="G36" i="104"/>
  <c r="G37" i="104"/>
  <c r="G39" i="104"/>
  <c r="G42" i="104"/>
  <c r="I43" i="100"/>
  <c r="J43" i="100"/>
  <c r="K43" i="100"/>
  <c r="L43" i="100"/>
  <c r="M43" i="100"/>
  <c r="N43" i="100"/>
  <c r="O43" i="100"/>
  <c r="P43" i="100"/>
  <c r="P44" i="100"/>
  <c r="Q38" i="100"/>
  <c r="Q37" i="100"/>
  <c r="Q39" i="100"/>
  <c r="K63" i="104"/>
  <c r="M38" i="100"/>
  <c r="M37" i="100"/>
  <c r="M39" i="100"/>
  <c r="G63" i="104"/>
  <c r="K108" i="104"/>
  <c r="V45" i="95"/>
  <c r="U37" i="100"/>
  <c r="U39" i="100"/>
  <c r="U33" i="95"/>
  <c r="U45" i="95"/>
  <c r="U38" i="100"/>
  <c r="P38" i="100"/>
  <c r="P37" i="100"/>
  <c r="P39" i="100"/>
  <c r="J63" i="10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Hung Tran</author>
  </authors>
  <commentList>
    <comment ref="I15" authorId="0" shapeId="0" xr:uid="{00000000-0006-0000-0200-000001000000}">
      <text>
        <r>
          <rPr>
            <b/>
            <sz val="9"/>
            <color indexed="81"/>
            <rFont val="Tahoma"/>
            <family val="2"/>
          </rPr>
          <t>Hung Tran:</t>
        </r>
        <r>
          <rPr>
            <sz val="9"/>
            <color indexed="81"/>
            <rFont val="Tahoma"/>
            <family val="2"/>
          </rPr>
          <t xml:space="preserve">
assume 10% PAT-MI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Hung Tran</author>
  </authors>
  <commentList>
    <comment ref="L83" authorId="0" shapeId="0" xr:uid="{00000000-0006-0000-1000-000001000000}">
      <text>
        <r>
          <rPr>
            <b/>
            <sz val="9"/>
            <color indexed="81"/>
            <rFont val="Tahoma"/>
            <family val="2"/>
          </rPr>
          <t>Hung Tran:</t>
        </r>
        <r>
          <rPr>
            <sz val="9"/>
            <color indexed="81"/>
            <rFont val="Tahoma"/>
            <family val="2"/>
          </rPr>
          <t xml:space="preserve">
CT15 and Tan Kieng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hainh</author>
  </authors>
  <commentList>
    <comment ref="B8" authorId="0" shapeId="0" xr:uid="{00000000-0006-0000-1600-000001000000}">
      <text>
        <r>
          <rPr>
            <b/>
            <sz val="9"/>
            <color indexed="81"/>
            <rFont val="Tahoma"/>
            <family val="2"/>
          </rPr>
          <t>hainh:</t>
        </r>
        <r>
          <rPr>
            <sz val="9"/>
            <color indexed="81"/>
            <rFont val="Tahoma"/>
            <family val="2"/>
          </rPr>
          <t xml:space="preserve">
acquired from Thuy Loi - state-owned enteprise (factory before).
Location: Subway station in D9 + 3-4km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hainh</author>
  </authors>
  <commentList>
    <comment ref="B8" authorId="0" shapeId="0" xr:uid="{00000000-0006-0000-1700-000001000000}">
      <text>
        <r>
          <rPr>
            <b/>
            <sz val="9"/>
            <color indexed="81"/>
            <rFont val="Tahoma"/>
            <family val="2"/>
          </rPr>
          <t>hainh:</t>
        </r>
        <r>
          <rPr>
            <sz val="9"/>
            <color indexed="81"/>
            <rFont val="Tahoma"/>
            <family val="2"/>
          </rPr>
          <t xml:space="preserve">
acquired from Thuy Loi - state-owned enteprise (factory before).
Location: Subway station in D9 + 3-4km</t>
        </r>
      </text>
    </comment>
    <comment ref="T21" authorId="0" shapeId="0" xr:uid="{00000000-0006-0000-1700-000002000000}">
      <text>
        <r>
          <rPr>
            <b/>
            <sz val="9"/>
            <color indexed="81"/>
            <rFont val="Tahoma"/>
            <family val="2"/>
          </rPr>
          <t>hainh:</t>
        </r>
        <r>
          <rPr>
            <sz val="9"/>
            <color indexed="81"/>
            <rFont val="Tahoma"/>
            <family val="2"/>
          </rPr>
          <t xml:space="preserve">
Riverside Garden</t>
        </r>
      </text>
    </comment>
    <comment ref="T22" authorId="0" shapeId="0" xr:uid="{00000000-0006-0000-1700-000003000000}">
      <text>
        <r>
          <rPr>
            <b/>
            <sz val="9"/>
            <color indexed="81"/>
            <rFont val="Tahoma"/>
            <family val="2"/>
          </rPr>
          <t>hainh:</t>
        </r>
        <r>
          <rPr>
            <sz val="9"/>
            <color indexed="81"/>
            <rFont val="Tahoma"/>
            <family val="2"/>
          </rPr>
          <t xml:space="preserve">
Green City</t>
        </r>
      </text>
    </comment>
    <comment ref="T23" authorId="0" shapeId="0" xr:uid="{00000000-0006-0000-1700-000004000000}">
      <text>
        <r>
          <rPr>
            <b/>
            <sz val="9"/>
            <color indexed="81"/>
            <rFont val="Tahoma"/>
            <family val="2"/>
          </rPr>
          <t>hainh:</t>
        </r>
        <r>
          <rPr>
            <sz val="9"/>
            <color indexed="81"/>
            <rFont val="Tahoma"/>
            <family val="2"/>
          </rPr>
          <t xml:space="preserve">
Land acquisition</t>
        </r>
      </text>
    </comment>
    <comment ref="S35" authorId="0" shapeId="0" xr:uid="{00000000-0006-0000-1700-000005000000}">
      <text>
        <r>
          <rPr>
            <b/>
            <sz val="9"/>
            <color indexed="81"/>
            <rFont val="Tahoma"/>
            <family val="2"/>
          </rPr>
          <t>hainh:</t>
        </r>
        <r>
          <rPr>
            <sz val="9"/>
            <color indexed="81"/>
            <rFont val="Tahoma"/>
            <family val="2"/>
          </rPr>
          <t xml:space="preserve">
acquired from Thuy Loi - state-owned enteprise (factory before).
Location: Subway station in D9 + 3-4km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hainh</author>
  </authors>
  <commentList>
    <comment ref="B8" authorId="0" shapeId="0" xr:uid="{00000000-0006-0000-1900-000001000000}">
      <text>
        <r>
          <rPr>
            <b/>
            <sz val="9"/>
            <color indexed="81"/>
            <rFont val="Tahoma"/>
            <family val="2"/>
          </rPr>
          <t>hainh:</t>
        </r>
        <r>
          <rPr>
            <sz val="9"/>
            <color indexed="81"/>
            <rFont val="Tahoma"/>
            <family val="2"/>
          </rPr>
          <t xml:space="preserve">
acquired from Thuy Loi - state-owned enteprise (factory before).
Location: Subway station in D9 + 3-4km</t>
        </r>
      </text>
    </comment>
    <comment ref="T22" authorId="0" shapeId="0" xr:uid="{00000000-0006-0000-1900-000002000000}">
      <text>
        <r>
          <rPr>
            <b/>
            <sz val="9"/>
            <color indexed="81"/>
            <rFont val="Tahoma"/>
            <family val="2"/>
          </rPr>
          <t>hainh:</t>
        </r>
        <r>
          <rPr>
            <sz val="9"/>
            <color indexed="81"/>
            <rFont val="Tahoma"/>
            <family val="2"/>
          </rPr>
          <t xml:space="preserve">
Riverside Garden</t>
        </r>
      </text>
    </comment>
    <comment ref="T23" authorId="0" shapeId="0" xr:uid="{00000000-0006-0000-1900-000003000000}">
      <text>
        <r>
          <rPr>
            <b/>
            <sz val="9"/>
            <color indexed="81"/>
            <rFont val="Tahoma"/>
            <family val="2"/>
          </rPr>
          <t>hainh:</t>
        </r>
        <r>
          <rPr>
            <sz val="9"/>
            <color indexed="81"/>
            <rFont val="Tahoma"/>
            <family val="2"/>
          </rPr>
          <t xml:space="preserve">
Green City</t>
        </r>
      </text>
    </comment>
    <comment ref="T24" authorId="0" shapeId="0" xr:uid="{00000000-0006-0000-1900-000004000000}">
      <text>
        <r>
          <rPr>
            <b/>
            <sz val="9"/>
            <color indexed="81"/>
            <rFont val="Tahoma"/>
            <family val="2"/>
          </rPr>
          <t>hainh:</t>
        </r>
        <r>
          <rPr>
            <sz val="9"/>
            <color indexed="81"/>
            <rFont val="Tahoma"/>
            <family val="2"/>
          </rPr>
          <t xml:space="preserve">
Land acquisition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hainh</author>
  </authors>
  <commentList>
    <comment ref="B8" authorId="0" shapeId="0" xr:uid="{00000000-0006-0000-1A00-000001000000}">
      <text>
        <r>
          <rPr>
            <b/>
            <sz val="9"/>
            <color indexed="81"/>
            <rFont val="Tahoma"/>
            <family val="2"/>
          </rPr>
          <t>hainh:</t>
        </r>
        <r>
          <rPr>
            <sz val="9"/>
            <color indexed="81"/>
            <rFont val="Tahoma"/>
            <family val="2"/>
          </rPr>
          <t xml:space="preserve">
acquired from Thuy Loi - state-owned enteprise (factory before).
Location: Subway station in D9 + 3-4km</t>
        </r>
      </text>
    </comment>
    <comment ref="T22" authorId="0" shapeId="0" xr:uid="{00000000-0006-0000-1A00-000002000000}">
      <text>
        <r>
          <rPr>
            <b/>
            <sz val="9"/>
            <color indexed="81"/>
            <rFont val="Tahoma"/>
            <family val="2"/>
          </rPr>
          <t>hainh:</t>
        </r>
        <r>
          <rPr>
            <sz val="9"/>
            <color indexed="81"/>
            <rFont val="Tahoma"/>
            <family val="2"/>
          </rPr>
          <t xml:space="preserve">
Riverside Garden</t>
        </r>
      </text>
    </comment>
    <comment ref="T23" authorId="0" shapeId="0" xr:uid="{00000000-0006-0000-1A00-000003000000}">
      <text>
        <r>
          <rPr>
            <b/>
            <sz val="9"/>
            <color indexed="81"/>
            <rFont val="Tahoma"/>
            <family val="2"/>
          </rPr>
          <t>hainh:</t>
        </r>
        <r>
          <rPr>
            <sz val="9"/>
            <color indexed="81"/>
            <rFont val="Tahoma"/>
            <family val="2"/>
          </rPr>
          <t xml:space="preserve">
Green City</t>
        </r>
      </text>
    </comment>
    <comment ref="T24" authorId="0" shapeId="0" xr:uid="{00000000-0006-0000-1A00-000004000000}">
      <text>
        <r>
          <rPr>
            <b/>
            <sz val="9"/>
            <color indexed="81"/>
            <rFont val="Tahoma"/>
            <family val="2"/>
          </rPr>
          <t>hainh:</t>
        </r>
        <r>
          <rPr>
            <sz val="9"/>
            <color indexed="81"/>
            <rFont val="Tahoma"/>
            <family val="2"/>
          </rPr>
          <t xml:space="preserve">
Land acquisition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thohv</author>
  </authors>
  <commentList>
    <comment ref="H29" authorId="0" shapeId="0" xr:uid="{00000000-0006-0000-1B00-000001000000}">
      <text>
        <r>
          <rPr>
            <b/>
            <sz val="9"/>
            <color indexed="81"/>
            <rFont val="Tahoma"/>
            <family val="2"/>
          </rPr>
          <t>thohv:</t>
        </r>
        <r>
          <rPr>
            <sz val="9"/>
            <color indexed="81"/>
            <rFont val="Tahoma"/>
            <family val="2"/>
          </rPr>
          <t xml:space="preserve">
non-cash 
should be added to to cf</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thohv</author>
  </authors>
  <commentList>
    <comment ref="I30" authorId="0" shapeId="0" xr:uid="{00000000-0006-0000-1C00-000001000000}">
      <text>
        <r>
          <rPr>
            <b/>
            <sz val="9"/>
            <color indexed="81"/>
            <rFont val="Tahoma"/>
            <family val="2"/>
          </rPr>
          <t>thohv:</t>
        </r>
        <r>
          <rPr>
            <sz val="9"/>
            <color indexed="81"/>
            <rFont val="Tahoma"/>
            <family val="2"/>
          </rPr>
          <t xml:space="preserve">
20bn of real estate investment will be moved to long-term investment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thohv</author>
  </authors>
  <commentList>
    <comment ref="E16" authorId="0" shapeId="0" xr:uid="{00000000-0006-0000-1D00-000001000000}">
      <text>
        <r>
          <rPr>
            <b/>
            <sz val="9"/>
            <color indexed="81"/>
            <rFont val="Tahoma"/>
            <family val="2"/>
          </rPr>
          <t>thohv:</t>
        </r>
        <r>
          <rPr>
            <sz val="9"/>
            <color indexed="81"/>
            <rFont val="Tahoma"/>
            <family val="2"/>
          </rPr>
          <t xml:space="preserve">
FCFE
Account for proceeds from share issuance</t>
        </r>
      </text>
    </comment>
    <comment ref="E19" authorId="0" shapeId="0" xr:uid="{00000000-0006-0000-1D00-000002000000}">
      <text>
        <r>
          <rPr>
            <b/>
            <sz val="9"/>
            <color indexed="81"/>
            <rFont val="Tahoma"/>
            <family val="2"/>
          </rPr>
          <t>thohv:</t>
        </r>
        <r>
          <rPr>
            <sz val="9"/>
            <color indexed="81"/>
            <rFont val="Tahoma"/>
            <family val="2"/>
          </rPr>
          <t xml:space="preserve">
Q3 2015</t>
        </r>
      </text>
    </comment>
    <comment ref="E22" authorId="0" shapeId="0" xr:uid="{00000000-0006-0000-1D00-000003000000}">
      <text>
        <r>
          <rPr>
            <b/>
            <sz val="9"/>
            <color indexed="81"/>
            <rFont val="Tahoma"/>
            <family val="2"/>
          </rPr>
          <t>thohv:</t>
        </r>
        <r>
          <rPr>
            <sz val="9"/>
            <color indexed="81"/>
            <rFont val="Tahoma"/>
            <family val="2"/>
          </rPr>
          <t xml:space="preserve">
Q3 3015</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thohv</author>
  </authors>
  <commentList>
    <comment ref="L79" authorId="0" shapeId="0" xr:uid="{00000000-0006-0000-2300-000001000000}">
      <text>
        <r>
          <rPr>
            <b/>
            <sz val="9"/>
            <color indexed="81"/>
            <rFont val="Tahoma"/>
            <family val="2"/>
          </rPr>
          <t>thohv:</t>
        </r>
        <r>
          <rPr>
            <sz val="9"/>
            <color indexed="81"/>
            <rFont val="Tahoma"/>
            <family val="2"/>
          </rPr>
          <t xml:space="preserve">
CTD number
Will use more companies for reference later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thohoang</author>
  </authors>
  <commentList>
    <comment ref="F32" authorId="0" shapeId="0" xr:uid="{00000000-0006-0000-2400-000001000000}">
      <text>
        <r>
          <rPr>
            <b/>
            <sz val="9"/>
            <color indexed="81"/>
            <rFont val="Tahoma"/>
            <family val="2"/>
          </rPr>
          <t>thohoang:</t>
        </r>
        <r>
          <rPr>
            <sz val="9"/>
            <color indexed="81"/>
            <rFont val="Tahoma"/>
            <family val="2"/>
          </rPr>
          <t xml:space="preserve">
further 20% for stock dividend in 2013</t>
        </r>
      </text>
    </comment>
    <comment ref="H32" authorId="0" shapeId="0" xr:uid="{00000000-0006-0000-2400-000002000000}">
      <text>
        <r>
          <rPr>
            <b/>
            <sz val="9"/>
            <color indexed="81"/>
            <rFont val="Tahoma"/>
            <family val="2"/>
          </rPr>
          <t>thohoang:</t>
        </r>
        <r>
          <rPr>
            <sz val="9"/>
            <color indexed="81"/>
            <rFont val="Tahoma"/>
            <family val="2"/>
          </rPr>
          <t xml:space="preserve">
Adjust for 15% stock dividend in 2016
10% dividend in Jun 2015 and 7% dividend in Feb 2015</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Minh Trinh Hoang</author>
  </authors>
  <commentList>
    <comment ref="C12" authorId="0" shapeId="0" xr:uid="{6F806701-6E36-4EB6-B17F-D824D4817A59}">
      <text>
        <r>
          <rPr>
            <b/>
            <sz val="9"/>
            <color indexed="81"/>
            <rFont val="Tahoma"/>
            <family val="2"/>
          </rPr>
          <t>Override by dangvu@dragoncapital.com</t>
        </r>
      </text>
    </comment>
    <comment ref="D12" authorId="0" shapeId="0" xr:uid="{62271DDC-4FE9-4521-9AC4-D2DA53191295}">
      <text>
        <r>
          <rPr>
            <b/>
            <sz val="9"/>
            <color indexed="81"/>
            <rFont val="Tahoma"/>
            <family val="2"/>
          </rPr>
          <t>Override by dangvu@dragoncapital.com</t>
        </r>
      </text>
    </comment>
    <comment ref="E12" authorId="0" shapeId="0" xr:uid="{15536357-6EDC-4CC9-A0C4-A9997F984B33}">
      <text>
        <r>
          <rPr>
            <b/>
            <sz val="9"/>
            <color indexed="81"/>
            <rFont val="Tahoma"/>
            <family val="2"/>
          </rPr>
          <t>Override by dangvu@dragoncapital.com</t>
        </r>
      </text>
    </comment>
    <comment ref="C13" authorId="0" shapeId="0" xr:uid="{C96D54C6-4825-4F8E-865A-CF85C5E76A0A}">
      <text>
        <r>
          <rPr>
            <b/>
            <sz val="9"/>
            <color indexed="81"/>
            <rFont val="Tahoma"/>
            <family val="2"/>
          </rPr>
          <t>Override by dangvu@dragoncapital.com</t>
        </r>
      </text>
    </comment>
    <comment ref="D13" authorId="0" shapeId="0" xr:uid="{ECCF8AEF-15F6-4F9C-846B-59C6801C1358}">
      <text>
        <r>
          <rPr>
            <b/>
            <sz val="9"/>
            <color indexed="81"/>
            <rFont val="Tahoma"/>
            <family val="2"/>
          </rPr>
          <t>Override by dangvu@dragoncapital.com</t>
        </r>
      </text>
    </comment>
    <comment ref="E13" authorId="0" shapeId="0" xr:uid="{1A768430-235D-47B7-9C0E-12747C1F3BB0}">
      <text>
        <r>
          <rPr>
            <b/>
            <sz val="9"/>
            <color indexed="81"/>
            <rFont val="Tahoma"/>
            <family val="2"/>
          </rPr>
          <t>Override by dangvu@dragoncapital.com</t>
        </r>
      </text>
    </comment>
    <comment ref="C14" authorId="0" shapeId="0" xr:uid="{FB3E1235-AEA6-4493-A3B7-F38A9C855C03}">
      <text>
        <r>
          <rPr>
            <b/>
            <sz val="9"/>
            <color indexed="81"/>
            <rFont val="Tahoma"/>
            <family val="2"/>
          </rPr>
          <t>Override by dangvu@dragoncapital.com</t>
        </r>
      </text>
    </comment>
    <comment ref="D14" authorId="0" shapeId="0" xr:uid="{78DF1E70-0C51-470C-AF7D-54C4DE271467}">
      <text>
        <r>
          <rPr>
            <b/>
            <sz val="9"/>
            <color indexed="81"/>
            <rFont val="Tahoma"/>
            <family val="2"/>
          </rPr>
          <t>Override by dangvu@dragoncapital.com</t>
        </r>
      </text>
    </comment>
    <comment ref="E14" authorId="0" shapeId="0" xr:uid="{94196599-9BE3-4EF2-840F-87B300E63E24}">
      <text>
        <r>
          <rPr>
            <b/>
            <sz val="9"/>
            <color indexed="81"/>
            <rFont val="Tahoma"/>
            <family val="2"/>
          </rPr>
          <t>Override by dangvu@dragoncapital.com</t>
        </r>
      </text>
    </comment>
    <comment ref="C15" authorId="0" shapeId="0" xr:uid="{817399B5-B008-4EDB-AD2C-52DAA8533553}">
      <text>
        <r>
          <rPr>
            <b/>
            <sz val="9"/>
            <color indexed="81"/>
            <rFont val="Tahoma"/>
            <family val="2"/>
          </rPr>
          <t>Override by dangvu@dragoncapital.com</t>
        </r>
      </text>
    </comment>
    <comment ref="D15" authorId="0" shapeId="0" xr:uid="{C554BD3F-BFDA-441C-99B7-03932335D3C1}">
      <text>
        <r>
          <rPr>
            <b/>
            <sz val="9"/>
            <color indexed="81"/>
            <rFont val="Tahoma"/>
            <family val="2"/>
          </rPr>
          <t>Override by dangvu@dragoncapital.com</t>
        </r>
      </text>
    </comment>
    <comment ref="E15" authorId="0" shapeId="0" xr:uid="{2E8B7F37-85D0-4838-B79B-E90951EE10FD}">
      <text>
        <r>
          <rPr>
            <b/>
            <sz val="9"/>
            <color indexed="81"/>
            <rFont val="Tahoma"/>
            <family val="2"/>
          </rPr>
          <t>Override by dangvu@dragoncapital.com</t>
        </r>
      </text>
    </comment>
    <comment ref="C16" authorId="0" shapeId="0" xr:uid="{9D98214F-101D-42AB-ADB4-DA6017C93AF7}">
      <text>
        <r>
          <rPr>
            <b/>
            <sz val="9"/>
            <color indexed="81"/>
            <rFont val="Tahoma"/>
            <family val="2"/>
          </rPr>
          <t>Override by dangvu@dragoncapital.com</t>
        </r>
      </text>
    </comment>
    <comment ref="D16" authorId="0" shapeId="0" xr:uid="{7C6A15EF-34B7-4FF0-BC5E-92A1135140AC}">
      <text>
        <r>
          <rPr>
            <b/>
            <sz val="9"/>
            <color indexed="81"/>
            <rFont val="Tahoma"/>
            <family val="2"/>
          </rPr>
          <t>Override by dangvu@dragoncapital.com</t>
        </r>
      </text>
    </comment>
    <comment ref="E16" authorId="0" shapeId="0" xr:uid="{BFDEB963-733B-4B48-A0D4-E06C5537E5CD}">
      <text>
        <r>
          <rPr>
            <b/>
            <sz val="9"/>
            <color indexed="81"/>
            <rFont val="Tahoma"/>
            <family val="2"/>
          </rPr>
          <t>Override by dangvu@dragoncapital.com</t>
        </r>
      </text>
    </comment>
    <comment ref="C17" authorId="0" shapeId="0" xr:uid="{6D702091-5A6F-4F5F-B5AA-F2C474320C94}">
      <text>
        <r>
          <rPr>
            <b/>
            <sz val="9"/>
            <color indexed="81"/>
            <rFont val="Tahoma"/>
            <family val="2"/>
          </rPr>
          <t>Override by dangvu@dragoncapital.com</t>
        </r>
      </text>
    </comment>
    <comment ref="D17" authorId="0" shapeId="0" xr:uid="{4215ACEE-4ABA-40EA-8FA1-F7C1BDE76C6A}">
      <text>
        <r>
          <rPr>
            <b/>
            <sz val="9"/>
            <color indexed="81"/>
            <rFont val="Tahoma"/>
            <family val="2"/>
          </rPr>
          <t>Override by dangvu@dragoncapital.com</t>
        </r>
      </text>
    </comment>
    <comment ref="E17" authorId="0" shapeId="0" xr:uid="{55937C32-1DC9-4036-B7D5-CCADD788569C}">
      <text>
        <r>
          <rPr>
            <b/>
            <sz val="9"/>
            <color indexed="81"/>
            <rFont val="Tahoma"/>
            <family val="2"/>
          </rPr>
          <t>Override by dangvu@dragoncapital.com</t>
        </r>
      </text>
    </comment>
    <comment ref="C18" authorId="0" shapeId="0" xr:uid="{378F0895-00E4-4C60-B40C-7A2A0D8796F8}">
      <text>
        <r>
          <rPr>
            <b/>
            <sz val="9"/>
            <color indexed="81"/>
            <rFont val="Tahoma"/>
            <family val="2"/>
          </rPr>
          <t>Override by dangvu@dragoncapital.com</t>
        </r>
      </text>
    </comment>
    <comment ref="D18" authorId="0" shapeId="0" xr:uid="{63259BDB-213F-4836-BBEE-DF0449BE7490}">
      <text>
        <r>
          <rPr>
            <b/>
            <sz val="9"/>
            <color indexed="81"/>
            <rFont val="Tahoma"/>
            <family val="2"/>
          </rPr>
          <t>Override by dangvu@dragoncapital.com</t>
        </r>
      </text>
    </comment>
    <comment ref="E18" authorId="0" shapeId="0" xr:uid="{559E30AB-1980-40F7-B81F-3278216CA94B}">
      <text>
        <r>
          <rPr>
            <b/>
            <sz val="9"/>
            <color indexed="81"/>
            <rFont val="Tahoma"/>
            <family val="2"/>
          </rPr>
          <t>Override by dangvu@dragoncapital.com</t>
        </r>
      </text>
    </comment>
    <comment ref="C19" authorId="0" shapeId="0" xr:uid="{0AC2BA98-656E-42E6-AF27-D478F4F51012}">
      <text>
        <r>
          <rPr>
            <b/>
            <sz val="9"/>
            <color indexed="81"/>
            <rFont val="Tahoma"/>
            <family val="2"/>
          </rPr>
          <t>Override by dangvu@dragoncapital.com</t>
        </r>
      </text>
    </comment>
    <comment ref="D19" authorId="0" shapeId="0" xr:uid="{F6C38C06-A3DB-4DA9-910D-7FFCBB6FA46D}">
      <text>
        <r>
          <rPr>
            <b/>
            <sz val="9"/>
            <color indexed="81"/>
            <rFont val="Tahoma"/>
            <family val="2"/>
          </rPr>
          <t>Override by dangvu@dragoncapital.com</t>
        </r>
      </text>
    </comment>
    <comment ref="E19" authorId="0" shapeId="0" xr:uid="{F1D0CFCB-E681-486B-8FBA-BDBECD4351E0}">
      <text>
        <r>
          <rPr>
            <b/>
            <sz val="9"/>
            <color indexed="81"/>
            <rFont val="Tahoma"/>
            <family val="2"/>
          </rPr>
          <t>Override by dangvu@dragoncapital.com</t>
        </r>
      </text>
    </comment>
    <comment ref="C20" authorId="0" shapeId="0" xr:uid="{5EA986D2-0945-4B15-94C2-0B06EE3914C1}">
      <text>
        <r>
          <rPr>
            <b/>
            <sz val="9"/>
            <color indexed="81"/>
            <rFont val="Tahoma"/>
            <family val="2"/>
          </rPr>
          <t>Override by dangvu@dragoncapital.com</t>
        </r>
      </text>
    </comment>
    <comment ref="D20" authorId="0" shapeId="0" xr:uid="{F63EB9C7-1816-4AC8-B718-E2787CCC3430}">
      <text>
        <r>
          <rPr>
            <b/>
            <sz val="9"/>
            <color indexed="81"/>
            <rFont val="Tahoma"/>
            <family val="2"/>
          </rPr>
          <t>Override by dangvu@dragoncapital.com</t>
        </r>
      </text>
    </comment>
    <comment ref="E20" authorId="0" shapeId="0" xr:uid="{69EFC90F-4395-4878-9455-2DC0F0AFCF4A}">
      <text>
        <r>
          <rPr>
            <b/>
            <sz val="9"/>
            <color indexed="81"/>
            <rFont val="Tahoma"/>
            <family val="2"/>
          </rPr>
          <t>Override by dangvu@dragoncapital.com</t>
        </r>
      </text>
    </comment>
    <comment ref="C21" authorId="0" shapeId="0" xr:uid="{E3D45AC2-E37F-42C3-9595-B1819BD739FF}">
      <text>
        <r>
          <rPr>
            <b/>
            <sz val="9"/>
            <color indexed="81"/>
            <rFont val="Tahoma"/>
            <family val="2"/>
          </rPr>
          <t>Override by dangvu@dragoncapital.com</t>
        </r>
      </text>
    </comment>
    <comment ref="D21" authorId="0" shapeId="0" xr:uid="{B95E1146-3CB2-44F0-949C-344F0FA5BF24}">
      <text>
        <r>
          <rPr>
            <b/>
            <sz val="9"/>
            <color indexed="81"/>
            <rFont val="Tahoma"/>
            <family val="2"/>
          </rPr>
          <t>Override by dangvu@dragoncapital.com</t>
        </r>
      </text>
    </comment>
    <comment ref="E21" authorId="0" shapeId="0" xr:uid="{8A716273-F47B-4B43-88CF-ACAE337077DB}">
      <text>
        <r>
          <rPr>
            <b/>
            <sz val="9"/>
            <color indexed="81"/>
            <rFont val="Tahoma"/>
            <family val="2"/>
          </rPr>
          <t>Override by dangvu@dragoncapital.com</t>
        </r>
      </text>
    </comment>
    <comment ref="C23" authorId="0" shapeId="0" xr:uid="{BE6FCA4E-FFEE-4EE2-99A0-E4E4D149D212}">
      <text>
        <r>
          <rPr>
            <b/>
            <sz val="9"/>
            <color indexed="81"/>
            <rFont val="Tahoma"/>
            <family val="2"/>
          </rPr>
          <t>Override by dangvu@dragoncapital.com</t>
        </r>
      </text>
    </comment>
    <comment ref="D23" authorId="0" shapeId="0" xr:uid="{23DC005F-6843-4DE6-AC4C-5B07037DC4FE}">
      <text>
        <r>
          <rPr>
            <b/>
            <sz val="9"/>
            <color indexed="81"/>
            <rFont val="Tahoma"/>
            <family val="2"/>
          </rPr>
          <t>Override by dangvu@dragoncapital.com</t>
        </r>
      </text>
    </comment>
    <comment ref="E23" authorId="0" shapeId="0" xr:uid="{48DBFEE2-F2C5-4B52-9432-C51E627220DC}">
      <text>
        <r>
          <rPr>
            <b/>
            <sz val="9"/>
            <color indexed="81"/>
            <rFont val="Tahoma"/>
            <family val="2"/>
          </rPr>
          <t>Override by dangvu@dragoncapital.com</t>
        </r>
      </text>
    </comment>
    <comment ref="C24" authorId="0" shapeId="0" xr:uid="{40F57F9A-05D4-4B1E-AACE-6B27524C2B6D}">
      <text>
        <r>
          <rPr>
            <b/>
            <sz val="9"/>
            <color indexed="81"/>
            <rFont val="Tahoma"/>
            <family val="2"/>
          </rPr>
          <t>Override by dangvu@dragoncapital.com</t>
        </r>
      </text>
    </comment>
    <comment ref="D24" authorId="0" shapeId="0" xr:uid="{177B4C27-F2D6-42FC-834B-AA96D65EA0FB}">
      <text>
        <r>
          <rPr>
            <b/>
            <sz val="9"/>
            <color indexed="81"/>
            <rFont val="Tahoma"/>
            <family val="2"/>
          </rPr>
          <t>Override by dangvu@dragoncapital.com</t>
        </r>
      </text>
    </comment>
    <comment ref="E24" authorId="0" shapeId="0" xr:uid="{4E4F3435-2704-4329-B512-CC3DCCFBEB76}">
      <text>
        <r>
          <rPr>
            <b/>
            <sz val="9"/>
            <color indexed="81"/>
            <rFont val="Tahoma"/>
            <family val="2"/>
          </rPr>
          <t>Override by dangvu@dragoncapital.com</t>
        </r>
      </text>
    </comment>
    <comment ref="C25" authorId="0" shapeId="0" xr:uid="{1AF8420B-8E99-45F8-ABF7-216FC4896ABE}">
      <text>
        <r>
          <rPr>
            <b/>
            <sz val="9"/>
            <color indexed="81"/>
            <rFont val="Tahoma"/>
            <family val="2"/>
          </rPr>
          <t>Override by dangvu@dragoncapital.com</t>
        </r>
      </text>
    </comment>
    <comment ref="D25" authorId="0" shapeId="0" xr:uid="{88FFB5B7-9E9B-4DA9-8F9D-F35A968AA725}">
      <text>
        <r>
          <rPr>
            <b/>
            <sz val="9"/>
            <color indexed="81"/>
            <rFont val="Tahoma"/>
            <family val="2"/>
          </rPr>
          <t>Override by dangvu@dragoncapital.com</t>
        </r>
      </text>
    </comment>
    <comment ref="E25" authorId="0" shapeId="0" xr:uid="{3F24E4C1-69E5-478C-84A6-3C8059909738}">
      <text>
        <r>
          <rPr>
            <b/>
            <sz val="9"/>
            <color indexed="81"/>
            <rFont val="Tahoma"/>
            <family val="2"/>
          </rPr>
          <t>Override by dangvu@dragoncapital.com</t>
        </r>
      </text>
    </comment>
    <comment ref="C26" authorId="0" shapeId="0" xr:uid="{7DE2CB8E-8D2E-49D6-9FBA-B8175F1DC705}">
      <text>
        <r>
          <rPr>
            <b/>
            <sz val="9"/>
            <color indexed="81"/>
            <rFont val="Tahoma"/>
            <family val="2"/>
          </rPr>
          <t>Override by dangvu@dragoncapital.com</t>
        </r>
      </text>
    </comment>
    <comment ref="D26" authorId="0" shapeId="0" xr:uid="{0A5FBCA2-C8C2-4E88-9EB6-A94DD4444DAE}">
      <text>
        <r>
          <rPr>
            <b/>
            <sz val="9"/>
            <color indexed="81"/>
            <rFont val="Tahoma"/>
            <family val="2"/>
          </rPr>
          <t>Override by dangvu@dragoncapital.com</t>
        </r>
      </text>
    </comment>
    <comment ref="E26" authorId="0" shapeId="0" xr:uid="{B268A3C9-9364-4997-BC25-4CF5C2636DE0}">
      <text>
        <r>
          <rPr>
            <b/>
            <sz val="9"/>
            <color indexed="81"/>
            <rFont val="Tahoma"/>
            <family val="2"/>
          </rPr>
          <t>Override by dangvu@dragoncapital.com</t>
        </r>
      </text>
    </comment>
    <comment ref="C27" authorId="0" shapeId="0" xr:uid="{00292711-622C-4C32-9E28-3130E2A6F6F8}">
      <text>
        <r>
          <rPr>
            <b/>
            <sz val="9"/>
            <color indexed="81"/>
            <rFont val="Tahoma"/>
            <family val="2"/>
          </rPr>
          <t>Override by dangvu@dragoncapital.com</t>
        </r>
      </text>
    </comment>
    <comment ref="D27" authorId="0" shapeId="0" xr:uid="{DEA5D2FC-6D3B-469E-B7CB-782AE1122569}">
      <text>
        <r>
          <rPr>
            <b/>
            <sz val="9"/>
            <color indexed="81"/>
            <rFont val="Tahoma"/>
            <family val="2"/>
          </rPr>
          <t>Override by dangvu@dragoncapital.com</t>
        </r>
      </text>
    </comment>
    <comment ref="E27" authorId="0" shapeId="0" xr:uid="{78B5AFF5-51FB-4DE4-96B2-4739237953B5}">
      <text>
        <r>
          <rPr>
            <b/>
            <sz val="9"/>
            <color indexed="81"/>
            <rFont val="Tahoma"/>
            <family val="2"/>
          </rPr>
          <t>Override by dangvu@dragoncapital.com</t>
        </r>
      </text>
    </comment>
    <comment ref="C35" authorId="0" shapeId="0" xr:uid="{A444DE3D-08D7-483B-991D-7CF6136DD427}">
      <text>
        <r>
          <rPr>
            <b/>
            <sz val="9"/>
            <color indexed="81"/>
            <rFont val="Tahoma"/>
            <family val="2"/>
          </rPr>
          <t>Override by dangvu@dragoncapital.com</t>
        </r>
      </text>
    </comment>
    <comment ref="D35" authorId="0" shapeId="0" xr:uid="{0C794050-28CC-4EDB-B716-3A66E0F12F76}">
      <text>
        <r>
          <rPr>
            <b/>
            <sz val="9"/>
            <color indexed="81"/>
            <rFont val="Tahoma"/>
            <family val="2"/>
          </rPr>
          <t>Override by dangvu@dragoncapital.com</t>
        </r>
      </text>
    </comment>
    <comment ref="E35" authorId="0" shapeId="0" xr:uid="{08DB526A-13F8-4BB2-897C-19BF9FDE94BE}">
      <text>
        <r>
          <rPr>
            <b/>
            <sz val="9"/>
            <color indexed="81"/>
            <rFont val="Tahoma"/>
            <family val="2"/>
          </rPr>
          <t>Override by dangvu@dragoncapital.com</t>
        </r>
      </text>
    </comment>
    <comment ref="C36" authorId="0" shapeId="0" xr:uid="{9C8F2FFA-485A-4061-9A8A-83E1FC0D2D1A}">
      <text>
        <r>
          <rPr>
            <b/>
            <sz val="9"/>
            <color indexed="81"/>
            <rFont val="Tahoma"/>
            <family val="2"/>
          </rPr>
          <t>Override by dangvu@dragoncapital.com</t>
        </r>
      </text>
    </comment>
    <comment ref="D36" authorId="0" shapeId="0" xr:uid="{710237E1-FF42-452A-9388-BD47C92711E2}">
      <text>
        <r>
          <rPr>
            <b/>
            <sz val="9"/>
            <color indexed="81"/>
            <rFont val="Tahoma"/>
            <family val="2"/>
          </rPr>
          <t>Override by dangvu@dragoncapital.com</t>
        </r>
      </text>
    </comment>
    <comment ref="E36" authorId="0" shapeId="0" xr:uid="{5F3E97FC-628D-4A6C-8BC9-EFCC437CBD14}">
      <text>
        <r>
          <rPr>
            <b/>
            <sz val="9"/>
            <color indexed="81"/>
            <rFont val="Tahoma"/>
            <family val="2"/>
          </rPr>
          <t>Override by dangvu@dragoncapital.com</t>
        </r>
      </text>
    </comment>
    <comment ref="C37" authorId="0" shapeId="0" xr:uid="{6533C376-5F18-4EED-B3C1-F3E75BE679DA}">
      <text>
        <r>
          <rPr>
            <b/>
            <sz val="9"/>
            <color indexed="81"/>
            <rFont val="Tahoma"/>
            <family val="2"/>
          </rPr>
          <t>Override by dangvu@dragoncapital.com</t>
        </r>
      </text>
    </comment>
    <comment ref="D37" authorId="0" shapeId="0" xr:uid="{8E8C185A-2320-4BB2-979D-00B68DF34E6F}">
      <text>
        <r>
          <rPr>
            <b/>
            <sz val="9"/>
            <color indexed="81"/>
            <rFont val="Tahoma"/>
            <family val="2"/>
          </rPr>
          <t>Override by dangvu@dragoncapital.com</t>
        </r>
      </text>
    </comment>
    <comment ref="E37" authorId="0" shapeId="0" xr:uid="{7D8EB9EF-3E0A-4030-88B0-2B7071BE295F}">
      <text>
        <r>
          <rPr>
            <b/>
            <sz val="9"/>
            <color indexed="81"/>
            <rFont val="Tahoma"/>
            <family val="2"/>
          </rPr>
          <t>Override by dangvu@dragoncapital.com</t>
        </r>
      </text>
    </comment>
    <comment ref="C38" authorId="0" shapeId="0" xr:uid="{38959664-0FD3-4DEF-8D76-151B6009096C}">
      <text>
        <r>
          <rPr>
            <b/>
            <sz val="9"/>
            <color indexed="81"/>
            <rFont val="Tahoma"/>
            <family val="2"/>
          </rPr>
          <t>Override by dangvu@dragoncapital.com</t>
        </r>
      </text>
    </comment>
    <comment ref="D38" authorId="0" shapeId="0" xr:uid="{BB6FBE96-EFD7-41AB-98A5-F22F7AB309D0}">
      <text>
        <r>
          <rPr>
            <b/>
            <sz val="9"/>
            <color indexed="81"/>
            <rFont val="Tahoma"/>
            <family val="2"/>
          </rPr>
          <t>Override by dangvu@dragoncapital.com</t>
        </r>
      </text>
    </comment>
    <comment ref="E38" authorId="0" shapeId="0" xr:uid="{D80A367F-3796-4D79-B772-93060263A7C9}">
      <text>
        <r>
          <rPr>
            <b/>
            <sz val="9"/>
            <color indexed="81"/>
            <rFont val="Tahoma"/>
            <family val="2"/>
          </rPr>
          <t>Override by dangvu@dragoncapital.com</t>
        </r>
      </text>
    </comment>
    <comment ref="C39" authorId="0" shapeId="0" xr:uid="{E883F2FF-2014-4F67-8815-542B5E78FBA2}">
      <text>
        <r>
          <rPr>
            <b/>
            <sz val="9"/>
            <color indexed="81"/>
            <rFont val="Tahoma"/>
            <family val="2"/>
          </rPr>
          <t>Override by dangvu@dragoncapital.com</t>
        </r>
      </text>
    </comment>
    <comment ref="D39" authorId="0" shapeId="0" xr:uid="{0FDCC2A6-0FB4-4003-A663-9B1FBADC7FFC}">
      <text>
        <r>
          <rPr>
            <b/>
            <sz val="9"/>
            <color indexed="81"/>
            <rFont val="Tahoma"/>
            <family val="2"/>
          </rPr>
          <t>Override by dangvu@dragoncapital.com</t>
        </r>
      </text>
    </comment>
    <comment ref="E39" authorId="0" shapeId="0" xr:uid="{6B085953-75F7-4FF9-993E-8786CE849782}">
      <text>
        <r>
          <rPr>
            <b/>
            <sz val="9"/>
            <color indexed="81"/>
            <rFont val="Tahoma"/>
            <family val="2"/>
          </rPr>
          <t>Override by dangvu@dragoncapital.com</t>
        </r>
      </text>
    </comment>
    <comment ref="C40" authorId="0" shapeId="0" xr:uid="{6DDBD1EF-A5E4-428D-A89D-77BEE8C742DB}">
      <text>
        <r>
          <rPr>
            <b/>
            <sz val="9"/>
            <color indexed="81"/>
            <rFont val="Tahoma"/>
            <family val="2"/>
          </rPr>
          <t>Override by dangvu@dragoncapital.com</t>
        </r>
      </text>
    </comment>
    <comment ref="D40" authorId="0" shapeId="0" xr:uid="{C773977A-9357-473F-B87B-88B23CD922FC}">
      <text>
        <r>
          <rPr>
            <b/>
            <sz val="9"/>
            <color indexed="81"/>
            <rFont val="Tahoma"/>
            <family val="2"/>
          </rPr>
          <t>Override by dangvu@dragoncapital.com</t>
        </r>
      </text>
    </comment>
    <comment ref="E40" authorId="0" shapeId="0" xr:uid="{37C40CF9-49C2-439F-8105-D6DB4DF4EBB7}">
      <text>
        <r>
          <rPr>
            <b/>
            <sz val="9"/>
            <color indexed="81"/>
            <rFont val="Tahoma"/>
            <family val="2"/>
          </rPr>
          <t>Override by dangvu@dragoncapital.com</t>
        </r>
      </text>
    </comment>
    <comment ref="C41" authorId="0" shapeId="0" xr:uid="{E865EE20-2F5D-459A-81EB-3883CE930588}">
      <text>
        <r>
          <rPr>
            <b/>
            <sz val="9"/>
            <color indexed="81"/>
            <rFont val="Tahoma"/>
            <family val="2"/>
          </rPr>
          <t>Override by dangvu@dragoncapital.com</t>
        </r>
      </text>
    </comment>
    <comment ref="D41" authorId="0" shapeId="0" xr:uid="{1079BF44-9C39-4FF4-8D88-23DF0CA8C0D1}">
      <text>
        <r>
          <rPr>
            <b/>
            <sz val="9"/>
            <color indexed="81"/>
            <rFont val="Tahoma"/>
            <family val="2"/>
          </rPr>
          <t>Override by dangvu@dragoncapital.com</t>
        </r>
      </text>
    </comment>
    <comment ref="E41" authorId="0" shapeId="0" xr:uid="{1A0F6100-85EC-4B19-82BC-9A801004A902}">
      <text>
        <r>
          <rPr>
            <b/>
            <sz val="9"/>
            <color indexed="81"/>
            <rFont val="Tahoma"/>
            <family val="2"/>
          </rPr>
          <t>Override by dangvu@dragoncapital.com</t>
        </r>
      </text>
    </comment>
    <comment ref="C42" authorId="0" shapeId="0" xr:uid="{B19ED645-EE27-452C-9E8F-D0B0CA9E8904}">
      <text>
        <r>
          <rPr>
            <b/>
            <sz val="9"/>
            <color indexed="81"/>
            <rFont val="Tahoma"/>
            <family val="2"/>
          </rPr>
          <t>Override by dangvu@dragoncapital.com</t>
        </r>
      </text>
    </comment>
    <comment ref="D42" authorId="0" shapeId="0" xr:uid="{775E8D83-C3A4-4F94-81F4-391BD04CC3F0}">
      <text>
        <r>
          <rPr>
            <b/>
            <sz val="9"/>
            <color indexed="81"/>
            <rFont val="Tahoma"/>
            <family val="2"/>
          </rPr>
          <t>Override by dangvu@dragoncapital.com</t>
        </r>
      </text>
    </comment>
    <comment ref="E42" authorId="0" shapeId="0" xr:uid="{700CF497-C6DE-4542-ADB3-47C44EB9541F}">
      <text>
        <r>
          <rPr>
            <b/>
            <sz val="9"/>
            <color indexed="81"/>
            <rFont val="Tahoma"/>
            <family val="2"/>
          </rPr>
          <t>Override by dangvu@dragoncapital.com</t>
        </r>
      </text>
    </comment>
    <comment ref="C43" authorId="0" shapeId="0" xr:uid="{B76C169D-619B-426D-998F-54924B2811D9}">
      <text>
        <r>
          <rPr>
            <b/>
            <sz val="9"/>
            <color indexed="81"/>
            <rFont val="Tahoma"/>
            <family val="2"/>
          </rPr>
          <t>Override by dangvu@dragoncapital.com</t>
        </r>
      </text>
    </comment>
    <comment ref="D43" authorId="0" shapeId="0" xr:uid="{6A8CE9F8-8027-416C-8F98-5B41A1579A94}">
      <text>
        <r>
          <rPr>
            <b/>
            <sz val="9"/>
            <color indexed="81"/>
            <rFont val="Tahoma"/>
            <family val="2"/>
          </rPr>
          <t>Override by dangvu@dragoncapital.com</t>
        </r>
      </text>
    </comment>
    <comment ref="E43" authorId="0" shapeId="0" xr:uid="{80F8C9AD-478C-46D8-BCAC-B9D6BE3EC1A0}">
      <text>
        <r>
          <rPr>
            <b/>
            <sz val="9"/>
            <color indexed="81"/>
            <rFont val="Tahoma"/>
            <family val="2"/>
          </rPr>
          <t>Override by dangvu@dragoncapital.com</t>
        </r>
      </text>
    </comment>
    <comment ref="D44" authorId="0" shapeId="0" xr:uid="{F4F3C6F2-1477-4F8A-B8FA-D1A25A0333D5}">
      <text>
        <r>
          <rPr>
            <b/>
            <sz val="9"/>
            <color indexed="81"/>
            <rFont val="Tahoma"/>
            <family val="2"/>
          </rPr>
          <t>Override by dangvu@dragoncapital.com</t>
        </r>
      </text>
    </comment>
    <comment ref="E44" authorId="0" shapeId="0" xr:uid="{436CE9E4-496B-4DAB-90E8-9B1242E332AE}">
      <text>
        <r>
          <rPr>
            <b/>
            <sz val="9"/>
            <color indexed="81"/>
            <rFont val="Tahoma"/>
            <family val="2"/>
          </rPr>
          <t>Override by dangvu@dragoncapital.com</t>
        </r>
      </text>
    </comment>
    <comment ref="C45" authorId="0" shapeId="0" xr:uid="{ABE34AAD-062E-4AEC-BA20-8418A409D5B8}">
      <text>
        <r>
          <rPr>
            <b/>
            <sz val="9"/>
            <color indexed="81"/>
            <rFont val="Tahoma"/>
            <family val="2"/>
          </rPr>
          <t>Override by dangvu@dragoncapital.com</t>
        </r>
      </text>
    </comment>
    <comment ref="D45" authorId="0" shapeId="0" xr:uid="{53D1A97B-A556-4210-8529-4705157F387F}">
      <text>
        <r>
          <rPr>
            <b/>
            <sz val="9"/>
            <color indexed="81"/>
            <rFont val="Tahoma"/>
            <family val="2"/>
          </rPr>
          <t>Override by dangvu@dragoncapital.com</t>
        </r>
      </text>
    </comment>
    <comment ref="E45" authorId="0" shapeId="0" xr:uid="{08018837-A467-4D95-A368-E73E52087F88}">
      <text>
        <r>
          <rPr>
            <b/>
            <sz val="9"/>
            <color indexed="81"/>
            <rFont val="Tahoma"/>
            <family val="2"/>
          </rPr>
          <t>Override by dangvu@dragoncapital.com</t>
        </r>
      </text>
    </comment>
    <comment ref="C47" authorId="0" shapeId="0" xr:uid="{D4D7D9E8-ABE7-4111-AC06-3E26E96EC375}">
      <text>
        <r>
          <rPr>
            <b/>
            <sz val="9"/>
            <color indexed="81"/>
            <rFont val="Tahoma"/>
            <family val="2"/>
          </rPr>
          <t>Override by dangvu@dragoncapital.com</t>
        </r>
      </text>
    </comment>
    <comment ref="D47" authorId="0" shapeId="0" xr:uid="{95F3DC51-5947-4785-A7AF-F026A26E754E}">
      <text>
        <r>
          <rPr>
            <b/>
            <sz val="9"/>
            <color indexed="81"/>
            <rFont val="Tahoma"/>
            <family val="2"/>
          </rPr>
          <t>Override by dangvu@dragoncapital.com</t>
        </r>
      </text>
    </comment>
    <comment ref="E47" authorId="0" shapeId="0" xr:uid="{1D867E0D-B5FF-49B4-AF18-0C5FF38FDF03}">
      <text>
        <r>
          <rPr>
            <b/>
            <sz val="9"/>
            <color indexed="81"/>
            <rFont val="Tahoma"/>
            <family val="2"/>
          </rPr>
          <t>Override by dangvu@dragoncapital.com</t>
        </r>
      </text>
    </comment>
    <comment ref="C48" authorId="0" shapeId="0" xr:uid="{2E2D9F66-BABD-40E9-B168-0A7AE3ECC6FC}">
      <text>
        <r>
          <rPr>
            <b/>
            <sz val="9"/>
            <color indexed="81"/>
            <rFont val="Tahoma"/>
            <family val="2"/>
          </rPr>
          <t>Override by dangvu@dragoncapital.com</t>
        </r>
      </text>
    </comment>
    <comment ref="D48" authorId="0" shapeId="0" xr:uid="{D4FA86BF-57A1-466F-B30D-A626E997A2C9}">
      <text>
        <r>
          <rPr>
            <b/>
            <sz val="9"/>
            <color indexed="81"/>
            <rFont val="Tahoma"/>
            <family val="2"/>
          </rPr>
          <t>Override by dangvu@dragoncapital.com</t>
        </r>
      </text>
    </comment>
    <comment ref="E48" authorId="0" shapeId="0" xr:uid="{30A38F53-169C-46FC-B2D8-13444127CDF2}">
      <text>
        <r>
          <rPr>
            <b/>
            <sz val="9"/>
            <color indexed="81"/>
            <rFont val="Tahoma"/>
            <family val="2"/>
          </rPr>
          <t>Override by dangvu@dragoncapital.com</t>
        </r>
      </text>
    </comment>
    <comment ref="C49" authorId="0" shapeId="0" xr:uid="{F4985C55-16BE-4C08-B335-78C2ADE5D3CB}">
      <text>
        <r>
          <rPr>
            <b/>
            <sz val="9"/>
            <color indexed="81"/>
            <rFont val="Tahoma"/>
            <family val="2"/>
          </rPr>
          <t>Override by dangvu@dragoncapital.com</t>
        </r>
      </text>
    </comment>
    <comment ref="D49" authorId="0" shapeId="0" xr:uid="{9B6A4063-E8D4-4D7F-89CE-912C272E0116}">
      <text>
        <r>
          <rPr>
            <b/>
            <sz val="9"/>
            <color indexed="81"/>
            <rFont val="Tahoma"/>
            <family val="2"/>
          </rPr>
          <t>Override by dangvu@dragoncapital.com</t>
        </r>
      </text>
    </comment>
    <comment ref="E49" authorId="0" shapeId="0" xr:uid="{4739E9DA-84F9-4FC8-88F2-4CD14473EF2B}">
      <text>
        <r>
          <rPr>
            <b/>
            <sz val="9"/>
            <color indexed="81"/>
            <rFont val="Tahoma"/>
            <family val="2"/>
          </rPr>
          <t>Override by dangvu@dragoncapital.com</t>
        </r>
      </text>
    </comment>
    <comment ref="C50" authorId="0" shapeId="0" xr:uid="{1A5DE486-1A41-44FE-B5F6-DDDF1601C52C}">
      <text>
        <r>
          <rPr>
            <b/>
            <sz val="9"/>
            <color indexed="81"/>
            <rFont val="Tahoma"/>
            <family val="2"/>
          </rPr>
          <t>Override by dangvu@dragoncapital.com</t>
        </r>
      </text>
    </comment>
    <comment ref="D50" authorId="0" shapeId="0" xr:uid="{BC80C357-59A4-4CD5-97C1-47A61D2F726F}">
      <text>
        <r>
          <rPr>
            <b/>
            <sz val="9"/>
            <color indexed="81"/>
            <rFont val="Tahoma"/>
            <family val="2"/>
          </rPr>
          <t>Override by dangvu@dragoncapital.com</t>
        </r>
      </text>
    </comment>
    <comment ref="E50" authorId="0" shapeId="0" xr:uid="{2E22E9B4-4340-45B0-AEC2-3C9E3A7E393A}">
      <text>
        <r>
          <rPr>
            <b/>
            <sz val="9"/>
            <color indexed="81"/>
            <rFont val="Tahoma"/>
            <family val="2"/>
          </rPr>
          <t>Override by dangvu@dragoncapital.com</t>
        </r>
      </text>
    </comment>
    <comment ref="C51" authorId="0" shapeId="0" xr:uid="{9AFD2CCF-A3E3-46E0-BA7C-FB6C26354146}">
      <text>
        <r>
          <rPr>
            <b/>
            <sz val="9"/>
            <color indexed="81"/>
            <rFont val="Tahoma"/>
            <family val="2"/>
          </rPr>
          <t>Override by dangvu@dragoncapital.com</t>
        </r>
      </text>
    </comment>
    <comment ref="D51" authorId="0" shapeId="0" xr:uid="{F4FD3E8D-ACD7-4F25-8DEF-34BEEAC4115F}">
      <text>
        <r>
          <rPr>
            <b/>
            <sz val="9"/>
            <color indexed="81"/>
            <rFont val="Tahoma"/>
            <family val="2"/>
          </rPr>
          <t>Override by dangvu@dragoncapital.com</t>
        </r>
      </text>
    </comment>
    <comment ref="E51" authorId="0" shapeId="0" xr:uid="{76BE7C26-47E7-4D9D-884A-2FDC37AF4ADB}">
      <text>
        <r>
          <rPr>
            <b/>
            <sz val="9"/>
            <color indexed="81"/>
            <rFont val="Tahoma"/>
            <family val="2"/>
          </rPr>
          <t>Override by dangvu@dragoncapital.com</t>
        </r>
      </text>
    </comment>
    <comment ref="C52" authorId="0" shapeId="0" xr:uid="{76DD645A-E4AF-4880-A722-2F8C7BDF6845}">
      <text>
        <r>
          <rPr>
            <b/>
            <sz val="9"/>
            <color indexed="81"/>
            <rFont val="Tahoma"/>
            <family val="2"/>
          </rPr>
          <t>Override by dangvu@dragoncapital.com</t>
        </r>
      </text>
    </comment>
    <comment ref="D52" authorId="0" shapeId="0" xr:uid="{09FB5F12-F034-453F-97F1-C4FE769D5A52}">
      <text>
        <r>
          <rPr>
            <b/>
            <sz val="9"/>
            <color indexed="81"/>
            <rFont val="Tahoma"/>
            <family val="2"/>
          </rPr>
          <t>Override by dangvu@dragoncapital.com</t>
        </r>
      </text>
    </comment>
    <comment ref="E52" authorId="0" shapeId="0" xr:uid="{D635C262-081E-41E6-B49C-A7EE0CE2A90C}">
      <text>
        <r>
          <rPr>
            <b/>
            <sz val="9"/>
            <color indexed="81"/>
            <rFont val="Tahoma"/>
            <family val="2"/>
          </rPr>
          <t>Override by dangvu@dragoncapital.com</t>
        </r>
      </text>
    </comment>
    <comment ref="C53" authorId="0" shapeId="0" xr:uid="{44FBAFF8-B36E-4EDB-A59F-B4441A35F7E1}">
      <text>
        <r>
          <rPr>
            <b/>
            <sz val="9"/>
            <color indexed="81"/>
            <rFont val="Tahoma"/>
            <family val="2"/>
          </rPr>
          <t>Override by dangvu@dragoncapital.com</t>
        </r>
      </text>
    </comment>
    <comment ref="D53" authorId="0" shapeId="0" xr:uid="{C83FFADC-2134-46B5-AB13-B9122960684F}">
      <text>
        <r>
          <rPr>
            <b/>
            <sz val="9"/>
            <color indexed="81"/>
            <rFont val="Tahoma"/>
            <family val="2"/>
          </rPr>
          <t>Override by dangvu@dragoncapital.com</t>
        </r>
      </text>
    </comment>
    <comment ref="E53" authorId="0" shapeId="0" xr:uid="{6EEF0A55-CA26-4F34-9529-30805FA7E5EF}">
      <text>
        <r>
          <rPr>
            <b/>
            <sz val="9"/>
            <color indexed="81"/>
            <rFont val="Tahoma"/>
            <family val="2"/>
          </rPr>
          <t>Override by dangvu@dragoncapital.com</t>
        </r>
      </text>
    </comment>
    <comment ref="C54" authorId="0" shapeId="0" xr:uid="{745273F1-BAAC-474D-89F6-6BD69B84DEE2}">
      <text>
        <r>
          <rPr>
            <b/>
            <sz val="9"/>
            <color indexed="81"/>
            <rFont val="Tahoma"/>
            <family val="2"/>
          </rPr>
          <t>Override by dangvu@dragoncapital.com</t>
        </r>
      </text>
    </comment>
    <comment ref="D54" authorId="0" shapeId="0" xr:uid="{ED389D66-5CD3-4FEF-8139-8213A3B2757C}">
      <text>
        <r>
          <rPr>
            <b/>
            <sz val="9"/>
            <color indexed="81"/>
            <rFont val="Tahoma"/>
            <family val="2"/>
          </rPr>
          <t>Override by dangvu@dragoncapital.com</t>
        </r>
      </text>
    </comment>
    <comment ref="E54" authorId="0" shapeId="0" xr:uid="{30ABC14C-BAEE-484A-99FF-C151016F882C}">
      <text>
        <r>
          <rPr>
            <b/>
            <sz val="9"/>
            <color indexed="81"/>
            <rFont val="Tahoma"/>
            <family val="2"/>
          </rPr>
          <t>Override by dangvu@dragoncapital.com</t>
        </r>
      </text>
    </comment>
    <comment ref="C55" authorId="0" shapeId="0" xr:uid="{147D660E-7D89-42CC-BE03-27EBA0FCE902}">
      <text>
        <r>
          <rPr>
            <b/>
            <sz val="9"/>
            <color indexed="81"/>
            <rFont val="Tahoma"/>
            <family val="2"/>
          </rPr>
          <t>Override by dangvu@dragoncapital.com</t>
        </r>
      </text>
    </comment>
    <comment ref="D55" authorId="0" shapeId="0" xr:uid="{91D0492E-5ECE-4892-9200-C0FE2C348545}">
      <text>
        <r>
          <rPr>
            <b/>
            <sz val="9"/>
            <color indexed="81"/>
            <rFont val="Tahoma"/>
            <family val="2"/>
          </rPr>
          <t>Override by dangvu@dragoncapital.com</t>
        </r>
      </text>
    </comment>
    <comment ref="E55" authorId="0" shapeId="0" xr:uid="{35A0A165-1175-4879-B13D-41658EE4FB58}">
      <text>
        <r>
          <rPr>
            <b/>
            <sz val="9"/>
            <color indexed="81"/>
            <rFont val="Tahoma"/>
            <family val="2"/>
          </rPr>
          <t>Override by dangvu@dragoncapital.com</t>
        </r>
      </text>
    </comment>
    <comment ref="C56" authorId="0" shapeId="0" xr:uid="{1CE10264-60B6-4B83-9C13-0FAD523CE5FE}">
      <text>
        <r>
          <rPr>
            <b/>
            <sz val="9"/>
            <color indexed="81"/>
            <rFont val="Tahoma"/>
            <family val="2"/>
          </rPr>
          <t>Override by dangvu@dragoncapital.com</t>
        </r>
      </text>
    </comment>
    <comment ref="D56" authorId="0" shapeId="0" xr:uid="{15FFB896-4231-442F-826F-AB6AA913DB6D}">
      <text>
        <r>
          <rPr>
            <b/>
            <sz val="9"/>
            <color indexed="81"/>
            <rFont val="Tahoma"/>
            <family val="2"/>
          </rPr>
          <t>Override by dangvu@dragoncapital.com</t>
        </r>
      </text>
    </comment>
    <comment ref="E56" authorId="0" shapeId="0" xr:uid="{62CF0D61-B4B5-4D49-9510-F5910BFCDC7D}">
      <text>
        <r>
          <rPr>
            <b/>
            <sz val="9"/>
            <color indexed="81"/>
            <rFont val="Tahoma"/>
            <family val="2"/>
          </rPr>
          <t>Override by dangvu@dragoncapital.com</t>
        </r>
      </text>
    </comment>
    <comment ref="C57" authorId="0" shapeId="0" xr:uid="{EB6C0854-36B5-419C-ADE8-8A2F0CF20E8E}">
      <text>
        <r>
          <rPr>
            <b/>
            <sz val="9"/>
            <color indexed="81"/>
            <rFont val="Tahoma"/>
            <family val="2"/>
          </rPr>
          <t>Override by dangvu@dragoncapital.com</t>
        </r>
      </text>
    </comment>
    <comment ref="D57" authorId="0" shapeId="0" xr:uid="{5E999C7A-F200-48DD-B318-44FA89B7D19D}">
      <text>
        <r>
          <rPr>
            <b/>
            <sz val="9"/>
            <color indexed="81"/>
            <rFont val="Tahoma"/>
            <family val="2"/>
          </rPr>
          <t>Override by dangvu@dragoncapital.com</t>
        </r>
      </text>
    </comment>
    <comment ref="E57" authorId="0" shapeId="0" xr:uid="{E18C8311-345A-4209-9B68-2779222E4065}">
      <text>
        <r>
          <rPr>
            <b/>
            <sz val="9"/>
            <color indexed="81"/>
            <rFont val="Tahoma"/>
            <family val="2"/>
          </rPr>
          <t>Override by dangvu@dragoncapital.com</t>
        </r>
      </text>
    </comment>
    <comment ref="E58" authorId="0" shapeId="0" xr:uid="{20AB0950-2E39-459F-9936-32FF5FAF0455}">
      <text>
        <r>
          <rPr>
            <b/>
            <sz val="9"/>
            <color indexed="81"/>
            <rFont val="Tahoma"/>
            <family val="2"/>
          </rPr>
          <t>Override by dangvu@dragoncapital.com</t>
        </r>
      </text>
    </comment>
    <comment ref="C59" authorId="0" shapeId="0" xr:uid="{F6FB2D0F-AABD-4940-B728-41FDEEAFE95B}">
      <text>
        <r>
          <rPr>
            <b/>
            <sz val="9"/>
            <color indexed="81"/>
            <rFont val="Tahoma"/>
            <family val="2"/>
          </rPr>
          <t>Override by dangvu@dragoncapital.com</t>
        </r>
      </text>
    </comment>
    <comment ref="D59" authorId="0" shapeId="0" xr:uid="{508640D5-C5B4-4B20-9EC1-04019CEF14A9}">
      <text>
        <r>
          <rPr>
            <b/>
            <sz val="9"/>
            <color indexed="81"/>
            <rFont val="Tahoma"/>
            <family val="2"/>
          </rPr>
          <t>Override by dangvu@dragoncapital.com</t>
        </r>
      </text>
    </comment>
    <comment ref="E59" authorId="0" shapeId="0" xr:uid="{7439A131-A820-4A68-A713-0DB3640C270A}">
      <text>
        <r>
          <rPr>
            <b/>
            <sz val="9"/>
            <color indexed="81"/>
            <rFont val="Tahoma"/>
            <family val="2"/>
          </rPr>
          <t>Override by dangvu@dragoncapital.com</t>
        </r>
      </text>
    </comment>
    <comment ref="C60" authorId="0" shapeId="0" xr:uid="{99D219FA-CC69-4FDC-A5C4-F6BBC52FBCA7}">
      <text>
        <r>
          <rPr>
            <b/>
            <sz val="9"/>
            <color indexed="81"/>
            <rFont val="Tahoma"/>
            <family val="2"/>
          </rPr>
          <t>Override by dangvu@dragoncapital.com</t>
        </r>
      </text>
    </comment>
    <comment ref="D60" authorId="0" shapeId="0" xr:uid="{39724452-587A-4C32-8EBC-51FA97DF8802}">
      <text>
        <r>
          <rPr>
            <b/>
            <sz val="9"/>
            <color indexed="81"/>
            <rFont val="Tahoma"/>
            <family val="2"/>
          </rPr>
          <t>Override by dangvu@dragoncapital.com</t>
        </r>
      </text>
    </comment>
    <comment ref="E60" authorId="0" shapeId="0" xr:uid="{C7751B2A-8234-4CA4-9138-206447666909}">
      <text>
        <r>
          <rPr>
            <b/>
            <sz val="9"/>
            <color indexed="81"/>
            <rFont val="Tahoma"/>
            <family val="2"/>
          </rPr>
          <t>Override by dangvu@dragoncapital.com</t>
        </r>
      </text>
    </comment>
    <comment ref="E61" authorId="0" shapeId="0" xr:uid="{DA05170A-E8FC-4502-AA4E-56A5837C0B90}">
      <text>
        <r>
          <rPr>
            <b/>
            <sz val="9"/>
            <color indexed="81"/>
            <rFont val="Tahoma"/>
            <family val="2"/>
          </rPr>
          <t>Override by dangvu@dragoncapital.com</t>
        </r>
      </text>
    </comment>
    <comment ref="E62" authorId="0" shapeId="0" xr:uid="{8C5AE86E-0E0B-4B7C-BF2B-A27CC97EE86F}">
      <text>
        <r>
          <rPr>
            <b/>
            <sz val="9"/>
            <color indexed="81"/>
            <rFont val="Tahoma"/>
            <family val="2"/>
          </rPr>
          <t>Override by dangvu@dragoncapital.com</t>
        </r>
      </text>
    </comment>
    <comment ref="C63" authorId="0" shapeId="0" xr:uid="{50818A98-2657-46F1-B854-39E203159226}">
      <text>
        <r>
          <rPr>
            <b/>
            <sz val="9"/>
            <color indexed="81"/>
            <rFont val="Tahoma"/>
            <family val="2"/>
          </rPr>
          <t>Override by dangvu@dragoncapital.com</t>
        </r>
      </text>
    </comment>
    <comment ref="D63" authorId="0" shapeId="0" xr:uid="{A2C8A29C-E32C-4182-810F-283EFC449E70}">
      <text>
        <r>
          <rPr>
            <b/>
            <sz val="9"/>
            <color indexed="81"/>
            <rFont val="Tahoma"/>
            <family val="2"/>
          </rPr>
          <t>Override by dangvu@dragoncapital.com</t>
        </r>
      </text>
    </comment>
    <comment ref="E63" authorId="0" shapeId="0" xr:uid="{7FDEAB7B-455A-4914-B3D4-BA6EF5582ED3}">
      <text>
        <r>
          <rPr>
            <b/>
            <sz val="9"/>
            <color indexed="81"/>
            <rFont val="Tahoma"/>
            <family val="2"/>
          </rPr>
          <t>Override by dangvu@dragoncapital.com</t>
        </r>
      </text>
    </comment>
    <comment ref="C64" authorId="0" shapeId="0" xr:uid="{9B761080-B008-4900-9631-B6F75395E6ED}">
      <text>
        <r>
          <rPr>
            <b/>
            <sz val="9"/>
            <color indexed="81"/>
            <rFont val="Tahoma"/>
            <family val="2"/>
          </rPr>
          <t>Override by dangvu@dragoncapital.com</t>
        </r>
      </text>
    </comment>
    <comment ref="D64" authorId="0" shapeId="0" xr:uid="{2D001470-24B8-44C0-BC0E-47D7CB9CFEBE}">
      <text>
        <r>
          <rPr>
            <b/>
            <sz val="9"/>
            <color indexed="81"/>
            <rFont val="Tahoma"/>
            <family val="2"/>
          </rPr>
          <t>Override by dangvu@dragoncapital.com</t>
        </r>
      </text>
    </comment>
    <comment ref="E64" authorId="0" shapeId="0" xr:uid="{46E3B7CE-E713-4F0E-BEB7-F27D8CE85D98}">
      <text>
        <r>
          <rPr>
            <b/>
            <sz val="9"/>
            <color indexed="81"/>
            <rFont val="Tahoma"/>
            <family val="2"/>
          </rPr>
          <t>Override by dangvu@dragoncapital.com</t>
        </r>
      </text>
    </comment>
    <comment ref="C65" authorId="0" shapeId="0" xr:uid="{33E7FC1D-5B2E-408C-9C51-1A5F14AF1BD9}">
      <text>
        <r>
          <rPr>
            <b/>
            <sz val="9"/>
            <color indexed="81"/>
            <rFont val="Tahoma"/>
            <family val="2"/>
          </rPr>
          <t>Override by dangvu@dragoncapital.com</t>
        </r>
      </text>
    </comment>
    <comment ref="D65" authorId="0" shapeId="0" xr:uid="{27032819-44FD-4F6E-858D-CFBE3AA42B8E}">
      <text>
        <r>
          <rPr>
            <b/>
            <sz val="9"/>
            <color indexed="81"/>
            <rFont val="Tahoma"/>
            <family val="2"/>
          </rPr>
          <t>Override by dangvu@dragoncapital.com</t>
        </r>
      </text>
    </comment>
    <comment ref="E65" authorId="0" shapeId="0" xr:uid="{E043B85A-6922-4E08-98D3-0D1B0A784671}">
      <text>
        <r>
          <rPr>
            <b/>
            <sz val="9"/>
            <color indexed="81"/>
            <rFont val="Tahoma"/>
            <family val="2"/>
          </rPr>
          <t>Override by dangvu@dragoncapital.com</t>
        </r>
      </text>
    </comment>
    <comment ref="C66" authorId="0" shapeId="0" xr:uid="{09FD47A6-774C-46B9-9746-59C18BEE4A1D}">
      <text>
        <r>
          <rPr>
            <b/>
            <sz val="9"/>
            <color indexed="81"/>
            <rFont val="Tahoma"/>
            <family val="2"/>
          </rPr>
          <t>Override by dangvu@dragoncapital.com</t>
        </r>
      </text>
    </comment>
    <comment ref="D66" authorId="0" shapeId="0" xr:uid="{85438F18-7B0D-41F6-90F9-47A97D8B771B}">
      <text>
        <r>
          <rPr>
            <b/>
            <sz val="9"/>
            <color indexed="81"/>
            <rFont val="Tahoma"/>
            <family val="2"/>
          </rPr>
          <t>Override by dangvu@dragoncapital.com</t>
        </r>
      </text>
    </comment>
    <comment ref="E66" authorId="0" shapeId="0" xr:uid="{9CD5E872-0478-4AA1-8458-86A16DB6EF15}">
      <text>
        <r>
          <rPr>
            <b/>
            <sz val="9"/>
            <color indexed="81"/>
            <rFont val="Tahoma"/>
            <family val="2"/>
          </rPr>
          <t>Override by dangvu@dragoncapital.com</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Minh Bui Ngoc (AMIR)</author>
  </authors>
  <commentList>
    <comment ref="C61" authorId="0" shapeId="0" xr:uid="{89210CEA-7272-482E-8D92-587164AE5F5E}">
      <text>
        <r>
          <rPr>
            <b/>
            <sz val="9"/>
            <color indexed="81"/>
            <rFont val="Tahoma"/>
            <family val="2"/>
          </rPr>
          <t>Override by thohoang@dragoncapital.com</t>
        </r>
      </text>
    </comment>
    <comment ref="D61" authorId="0" shapeId="0" xr:uid="{C8B2F32D-5456-4D7B-BED9-CE01AD896572}">
      <text>
        <r>
          <rPr>
            <b/>
            <sz val="9"/>
            <color indexed="81"/>
            <rFont val="Tahoma"/>
            <family val="2"/>
          </rPr>
          <t>Override by thohoang@dragoncapital.com</t>
        </r>
      </text>
    </comment>
    <comment ref="E61" authorId="0" shapeId="0" xr:uid="{5A1E6AB9-7C2D-4877-AEA0-351FC2E62733}">
      <text>
        <r>
          <rPr>
            <b/>
            <sz val="9"/>
            <color indexed="81"/>
            <rFont val="Tahoma"/>
            <family val="2"/>
          </rPr>
          <t>Override by thohoang@dragoncapital.com</t>
        </r>
      </text>
    </comment>
    <comment ref="F61" authorId="0" shapeId="0" xr:uid="{C7F77443-E4B4-487C-9FBD-56BA712FC702}">
      <text>
        <r>
          <rPr>
            <b/>
            <sz val="9"/>
            <color indexed="81"/>
            <rFont val="Tahoma"/>
            <family val="2"/>
          </rPr>
          <t>Override by thohoang@dragoncapital.com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phapdv</author>
  </authors>
  <commentList>
    <comment ref="B95" authorId="0" shapeId="0" xr:uid="{00000000-0006-0000-4100-000001000000}">
      <text>
        <r>
          <rPr>
            <b/>
            <sz val="9"/>
            <color indexed="81"/>
            <rFont val="Tahoma"/>
            <family val="2"/>
          </rPr>
          <t>phapdv:</t>
        </r>
        <r>
          <rPr>
            <sz val="9"/>
            <color indexed="81"/>
            <rFont val="Tahoma"/>
            <family val="2"/>
          </rPr>
          <t xml:space="preserve">
Vingroup pays an annual land rental fee of VND2.4bn for this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phapdv</author>
  </authors>
  <commentList>
    <comment ref="D106" authorId="0" shapeId="0" xr:uid="{00000000-0006-0000-4200-000001000000}">
      <text>
        <r>
          <rPr>
            <b/>
            <sz val="9"/>
            <color indexed="81"/>
            <rFont val="Tahoma"/>
            <family val="2"/>
          </rPr>
          <t>phapdv:</t>
        </r>
        <r>
          <rPr>
            <sz val="9"/>
            <color indexed="81"/>
            <rFont val="Tahoma"/>
            <family val="2"/>
          </rPr>
          <t xml:space="preserve">
Assume equivalent to prevailing grade A asking rent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phapdv</author>
  </authors>
  <commentList>
    <comment ref="D106" authorId="0" shapeId="0" xr:uid="{00000000-0006-0000-4300-000001000000}">
      <text>
        <r>
          <rPr>
            <b/>
            <sz val="9"/>
            <color indexed="81"/>
            <rFont val="Tahoma"/>
            <family val="2"/>
          </rPr>
          <t>phapdv:</t>
        </r>
        <r>
          <rPr>
            <sz val="9"/>
            <color indexed="81"/>
            <rFont val="Tahoma"/>
            <family val="2"/>
          </rPr>
          <t xml:space="preserve">
Assume equivalent to prevailing grade A asking rent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thohv</author>
  </authors>
  <commentList>
    <comment ref="D39" authorId="0" shapeId="0" xr:uid="{00000000-0006-0000-4500-000001000000}">
      <text>
        <r>
          <rPr>
            <b/>
            <sz val="9"/>
            <color indexed="81"/>
            <rFont val="Tahoma"/>
            <family val="2"/>
          </rPr>
          <t>thohv:</t>
        </r>
        <r>
          <rPr>
            <sz val="9"/>
            <color indexed="81"/>
            <rFont val="Tahoma"/>
            <family val="2"/>
          </rPr>
          <t xml:space="preserve">
before 2013</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phapdv</author>
  </authors>
  <commentList>
    <comment ref="C4" authorId="0" shapeId="0" xr:uid="{00000000-0006-0000-4700-000001000000}">
      <text>
        <r>
          <rPr>
            <b/>
            <sz val="9"/>
            <color indexed="81"/>
            <rFont val="Tahoma"/>
            <family val="2"/>
          </rPr>
          <t>phapdv:</t>
        </r>
        <r>
          <rPr>
            <sz val="9"/>
            <color indexed="81"/>
            <rFont val="Tahoma"/>
            <family val="2"/>
          </rPr>
          <t xml:space="preserve">
Including 70bn from selling Binh Duong Riverside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hainh</author>
  </authors>
  <commentList>
    <comment ref="B6" authorId="0" shapeId="0" xr:uid="{00000000-0006-0000-4900-000001000000}">
      <text>
        <r>
          <rPr>
            <b/>
            <sz val="9"/>
            <color indexed="81"/>
            <rFont val="Tahoma"/>
            <family val="2"/>
          </rPr>
          <t>hainh:</t>
        </r>
        <r>
          <rPr>
            <sz val="9"/>
            <color indexed="81"/>
            <rFont val="Tahoma"/>
            <family val="2"/>
          </rPr>
          <t xml:space="preserve">
acquired from Thuy Loi - state-owned enteprise (factory before).
Location: Subway station in D9 + 3-4km</t>
        </r>
      </text>
    </comment>
    <comment ref="U29" authorId="0" shapeId="0" xr:uid="{00000000-0006-0000-4900-000002000000}">
      <text>
        <r>
          <rPr>
            <b/>
            <sz val="9"/>
            <color indexed="81"/>
            <rFont val="Tahoma"/>
            <family val="2"/>
          </rPr>
          <t>hainh:</t>
        </r>
        <r>
          <rPr>
            <sz val="9"/>
            <color indexed="81"/>
            <rFont val="Tahoma"/>
            <family val="2"/>
          </rPr>
          <t xml:space="preserve">
Riverside Garden</t>
        </r>
      </text>
    </comment>
    <comment ref="U30" authorId="0" shapeId="0" xr:uid="{00000000-0006-0000-4900-000003000000}">
      <text>
        <r>
          <rPr>
            <b/>
            <sz val="9"/>
            <color indexed="81"/>
            <rFont val="Tahoma"/>
            <family val="2"/>
          </rPr>
          <t>hainh:</t>
        </r>
        <r>
          <rPr>
            <sz val="9"/>
            <color indexed="81"/>
            <rFont val="Tahoma"/>
            <family val="2"/>
          </rPr>
          <t xml:space="preserve">
Green City</t>
        </r>
      </text>
    </comment>
    <comment ref="U31" authorId="0" shapeId="0" xr:uid="{00000000-0006-0000-4900-000004000000}">
      <text>
        <r>
          <rPr>
            <b/>
            <sz val="9"/>
            <color indexed="81"/>
            <rFont val="Tahoma"/>
            <family val="2"/>
          </rPr>
          <t>hainh:</t>
        </r>
        <r>
          <rPr>
            <sz val="9"/>
            <color indexed="81"/>
            <rFont val="Tahoma"/>
            <family val="2"/>
          </rPr>
          <t xml:space="preserve">
Land acquisition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Hung Tran</author>
    <author>phapdv</author>
  </authors>
  <commentList>
    <comment ref="F37" authorId="0" shapeId="0" xr:uid="{00000000-0006-0000-4A00-000001000000}">
      <text>
        <r>
          <rPr>
            <b/>
            <sz val="9"/>
            <color indexed="81"/>
            <rFont val="Tahoma"/>
            <family val="2"/>
          </rPr>
          <t>Hung Tran:</t>
        </r>
        <r>
          <rPr>
            <sz val="9"/>
            <color indexed="81"/>
            <rFont val="Tahoma"/>
            <family val="2"/>
          </rPr>
          <t xml:space="preserve">
to be confirm by DXG</t>
        </r>
      </text>
    </comment>
    <comment ref="D114" authorId="1" shapeId="0" xr:uid="{00000000-0006-0000-4A00-000002000000}">
      <text>
        <r>
          <rPr>
            <b/>
            <sz val="9"/>
            <color indexed="81"/>
            <rFont val="Tahoma"/>
            <family val="2"/>
          </rPr>
          <t>phapdv:</t>
        </r>
        <r>
          <rPr>
            <sz val="9"/>
            <color indexed="81"/>
            <rFont val="Tahoma"/>
            <family val="2"/>
          </rPr>
          <t xml:space="preserve">
Assume equivalent to prevailing grade A asking rent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thohv</author>
  </authors>
  <commentList>
    <comment ref="D46" authorId="0" shapeId="0" xr:uid="{00000000-0006-0000-4B00-000001000000}">
      <text>
        <r>
          <rPr>
            <b/>
            <sz val="9"/>
            <color indexed="81"/>
            <rFont val="Tahoma"/>
            <family val="2"/>
          </rPr>
          <t>thohv:</t>
        </r>
        <r>
          <rPr>
            <sz val="9"/>
            <color indexed="81"/>
            <rFont val="Tahoma"/>
            <family val="2"/>
          </rPr>
          <t xml:space="preserve">
780bn, 406 units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thohv</author>
  </authors>
  <commentList>
    <comment ref="D46" authorId="0" shapeId="0" xr:uid="{00000000-0006-0000-4D00-000001000000}">
      <text>
        <r>
          <rPr>
            <b/>
            <sz val="9"/>
            <color indexed="81"/>
            <rFont val="Tahoma"/>
            <family val="2"/>
          </rPr>
          <t>thohv:</t>
        </r>
        <r>
          <rPr>
            <sz val="9"/>
            <color indexed="81"/>
            <rFont val="Tahoma"/>
            <family val="2"/>
          </rPr>
          <t xml:space="preserve">
Company: Revenue of VND6,786bn
Total investment: VND5,436bn
PBT: VND1,350bn
Total units: 3,100
Price per unit: VND2,189mn
Land area: 67,143m2
GFA: 379,668m2
Sellable GFA: 303,734m2
Aim to acquire in Q4 2015 with total cost of 1,000bn, 700bn paid with loan from Vietinbank
Launch in Q4 2016</t>
        </r>
      </text>
    </comment>
    <comment ref="C119" authorId="0" shapeId="0" xr:uid="{00000000-0006-0000-4D00-000002000000}">
      <text>
        <r>
          <rPr>
            <b/>
            <sz val="9"/>
            <color indexed="81"/>
            <rFont val="Tahoma"/>
            <family val="2"/>
          </rPr>
          <t>thohv:</t>
        </r>
        <r>
          <rPr>
            <sz val="9"/>
            <color indexed="81"/>
            <rFont val="Tahoma"/>
            <family val="2"/>
          </rPr>
          <t xml:space="preserve">
700bn to finance land cost already</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hainh</author>
  </authors>
  <commentList>
    <comment ref="B307" authorId="0" shapeId="0" xr:uid="{00000000-0006-0000-4E00-000001000000}">
      <text>
        <r>
          <rPr>
            <b/>
            <sz val="9"/>
            <color indexed="81"/>
            <rFont val="Tahoma"/>
            <family val="2"/>
          </rPr>
          <t>hainh:</t>
        </r>
        <r>
          <rPr>
            <sz val="9"/>
            <color indexed="81"/>
            <rFont val="Tahoma"/>
            <family val="2"/>
          </rPr>
          <t xml:space="preserve">
acquired from Thuy Loi - state-owned enteprise (factory before).
Location: Subway station in D9 + 3-4km</t>
        </r>
      </text>
    </comment>
  </commentList>
</comments>
</file>

<file path=xl/sharedStrings.xml><?xml version="1.0" encoding="utf-8"?>
<sst xmlns="http://schemas.openxmlformats.org/spreadsheetml/2006/main" count="9415" uniqueCount="2586">
  <si>
    <t>Units: Billion VND</t>
  </si>
  <si>
    <t>add: depreciation</t>
  </si>
  <si>
    <t>Unlevered free cash flow</t>
  </si>
  <si>
    <t>Sales</t>
  </si>
  <si>
    <t>EBITDA</t>
  </si>
  <si>
    <t>P/E</t>
  </si>
  <si>
    <t>P/B</t>
  </si>
  <si>
    <t>ROE DuPont</t>
  </si>
  <si>
    <t>ROA DuPont</t>
  </si>
  <si>
    <t>ROIC</t>
  </si>
  <si>
    <t>Outstanding shares (million)</t>
  </si>
  <si>
    <t>Forecast</t>
  </si>
  <si>
    <t>Terminal value % of total PV of FCF</t>
  </si>
  <si>
    <t>Terminal growth</t>
  </si>
  <si>
    <t>WACC</t>
  </si>
  <si>
    <t>INCOME STATEMENT ASSUMPTIONS</t>
  </si>
  <si>
    <t xml:space="preserve">  - Sales exp % sales</t>
  </si>
  <si>
    <t xml:space="preserve">  - General and admin exp % sales</t>
  </si>
  <si>
    <t>  - Foreign exchange losses (gains)</t>
  </si>
  <si>
    <t>  - Income tax %</t>
  </si>
  <si>
    <t>BALANCE SHEET ASSUMPTIONS</t>
  </si>
  <si>
    <t>CASH FLOW ASSUMPTIONS</t>
  </si>
  <si>
    <t>Capex as % sales</t>
  </si>
  <si>
    <t>Dividend payout ratio</t>
  </si>
  <si>
    <t>Minimum cash balance as % sales</t>
  </si>
  <si>
    <t>INCOME STATEMENT</t>
  </si>
  <si>
    <t>Revenue</t>
  </si>
  <si>
    <t>  - Cost of Goods Sold</t>
  </si>
  <si>
    <t>Gross profit</t>
  </si>
  <si>
    <t xml:space="preserve">  - Sales/Marketing/Advertising Expenses</t>
  </si>
  <si>
    <t xml:space="preserve">  - General and Administrative Expenses</t>
  </si>
  <si>
    <t>  - Interest Expense</t>
  </si>
  <si>
    <t>  - Foreign Exchange (Losses) Gains</t>
  </si>
  <si>
    <t>  - Net Non-Operating (Losses) Gains</t>
  </si>
  <si>
    <t>EBT</t>
  </si>
  <si>
    <t>  - Income Tax Expense</t>
  </si>
  <si>
    <t>Profit after tax</t>
  </si>
  <si>
    <t>  - Minority Interests</t>
  </si>
  <si>
    <t>Net Income to common</t>
  </si>
  <si>
    <t>Earnings per share (basic) VND</t>
  </si>
  <si>
    <t>Outstanding shares (million shares)</t>
  </si>
  <si>
    <t>Depreciation expense</t>
  </si>
  <si>
    <t>Notes</t>
  </si>
  <si>
    <t>BALANCE SHEET</t>
  </si>
  <si>
    <t>Assets</t>
  </si>
  <si>
    <t>  + Cash &amp; Near Cash Items</t>
  </si>
  <si>
    <t>  + Short-Term Investments</t>
  </si>
  <si>
    <t>Constant; assume no changes</t>
  </si>
  <si>
    <t>  + Accounts &amp; Notes Receivable</t>
  </si>
  <si>
    <t>  + Inventories</t>
  </si>
  <si>
    <t>  + Other Current Assets</t>
  </si>
  <si>
    <t>Total Current Assets</t>
  </si>
  <si>
    <t>   + Gross Fixed Assets</t>
  </si>
  <si>
    <t>    - Accumulated Depreciation</t>
  </si>
  <si>
    <t>  + Net Fixed Assets</t>
  </si>
  <si>
    <t>  + Long-Term Investments</t>
  </si>
  <si>
    <t>  + Other Long-Term Assets</t>
  </si>
  <si>
    <t>Total Long-Term Assets</t>
  </si>
  <si>
    <t>Total Assets</t>
  </si>
  <si>
    <t>Liabilities &amp; Stockholders' Equity</t>
  </si>
  <si>
    <t>  + Accounts Payable</t>
  </si>
  <si>
    <t>  + Short-Term Borrowings</t>
  </si>
  <si>
    <t>  + Other Short-Term Liabilities</t>
  </si>
  <si>
    <t>Total Current Liabilities</t>
  </si>
  <si>
    <t>  + Long-Term Borrowings</t>
  </si>
  <si>
    <t>  + Other Long-Term Liabilities</t>
  </si>
  <si>
    <t>Total Long-Term Liabilities</t>
  </si>
  <si>
    <t>Total Liabilities</t>
  </si>
  <si>
    <t>  + Total Preferred Equity</t>
  </si>
  <si>
    <t>  + Additional paid in capital</t>
  </si>
  <si>
    <t>  + Share Capital</t>
  </si>
  <si>
    <t>  + Retained Earnings &amp; Other Equity</t>
  </si>
  <si>
    <t>  + Minority Interest</t>
  </si>
  <si>
    <t>Total Shareholders' Equity</t>
  </si>
  <si>
    <t>Total Liabilities &amp; Equity</t>
  </si>
  <si>
    <t>Check</t>
  </si>
  <si>
    <t>WORKING CAPITAL</t>
  </si>
  <si>
    <t>(increase)/decrease in AR</t>
  </si>
  <si>
    <t>(increase)/decrease in inventory</t>
  </si>
  <si>
    <t>(increase)/decrease in other current assets</t>
  </si>
  <si>
    <t>increase/(decrease) in AP</t>
  </si>
  <si>
    <t>increase/(decrease) in other ST liabilities</t>
  </si>
  <si>
    <t>CASH FLOW STATEMENT</t>
  </si>
  <si>
    <t>Beginning cash</t>
  </si>
  <si>
    <t>  + Net Income</t>
  </si>
  <si>
    <t>  + Depreciation &amp; Amortization</t>
  </si>
  <si>
    <t>  + Other Non-Cash Adjustments</t>
  </si>
  <si>
    <t>  + Changes in Non-Cash Capital</t>
  </si>
  <si>
    <t>Cash From Operating Activities</t>
  </si>
  <si>
    <t>  + Disposal of Fixed Assets</t>
  </si>
  <si>
    <t>  + Capital Expenditures</t>
  </si>
  <si>
    <t>  + Increase in Investments</t>
  </si>
  <si>
    <t>  + Decrease in Investments</t>
  </si>
  <si>
    <t>  + Other Investing Activities</t>
  </si>
  <si>
    <t>Cash From Investing Activities</t>
  </si>
  <si>
    <t>  + Dividends Paid</t>
  </si>
  <si>
    <t>  + Increase in Capital Stocks</t>
  </si>
  <si>
    <t>  + Decrease in Capital Stocks</t>
  </si>
  <si>
    <t>Cash available / (required before debt)</t>
  </si>
  <si>
    <t>  + Other Financing Activities</t>
  </si>
  <si>
    <t>Cash from Financing Activities</t>
  </si>
  <si>
    <t>Net Changes in Cash</t>
  </si>
  <si>
    <t>Ending cash</t>
  </si>
  <si>
    <t>FINANCIAL RATIO ANALYSIS</t>
  </si>
  <si>
    <t>Market cap year end</t>
  </si>
  <si>
    <t>Total average invested capital</t>
  </si>
  <si>
    <t>Total average assets</t>
  </si>
  <si>
    <t>Total average equity</t>
  </si>
  <si>
    <t>Total average inventory</t>
  </si>
  <si>
    <t>DSO Days AR outstanding</t>
  </si>
  <si>
    <t>DPO Days AP outstanding</t>
  </si>
  <si>
    <t>Cash conversion cycle (days)</t>
  </si>
  <si>
    <t>Inventory turnover ratio x</t>
  </si>
  <si>
    <t>Dividend yield</t>
  </si>
  <si>
    <t>Capex as % of sales</t>
  </si>
  <si>
    <t>Book value per share</t>
  </si>
  <si>
    <t>EV / EBITDA</t>
  </si>
  <si>
    <t>Profitability ratios</t>
  </si>
  <si>
    <t>Gross profit margin</t>
  </si>
  <si>
    <t>Liquidity ratios</t>
  </si>
  <si>
    <t>Cash ratio</t>
  </si>
  <si>
    <t>Operating cash flow per share (VND)</t>
  </si>
  <si>
    <t>  - Minority Interests as % of profit after tax</t>
  </si>
  <si>
    <t>Earnings per share (basic)</t>
  </si>
  <si>
    <t>Outstanding shares</t>
  </si>
  <si>
    <t>  + Cash &amp; Near Cash Items as % sales</t>
  </si>
  <si>
    <t>   + Gross Fixed Assets</t>
  </si>
  <si>
    <t>Interest coverage ratio</t>
  </si>
  <si>
    <t>SALES_REV_TURN</t>
  </si>
  <si>
    <t>IS_COGS_TO_FE_AND_PP_AND_G</t>
  </si>
  <si>
    <t>ARD_SALES_MKT_ADVERTISING_EXP</t>
  </si>
  <si>
    <t>ARD_GENERAL_ADMINISTRATIVE_EXP</t>
  </si>
  <si>
    <t>IS_INT_EXPENSE</t>
  </si>
  <si>
    <t>IS_FOREIGN_EXCH_LOSS</t>
  </si>
  <si>
    <t>IS_NET_NON_OPER_LOSS</t>
  </si>
  <si>
    <t>IS_INC_TAX_EXP</t>
  </si>
  <si>
    <t>MIN_NONCONTROL_INTEREST_CREDITS</t>
  </si>
  <si>
    <t>BS_CASH_NEAR_CASH_ITEM</t>
  </si>
  <si>
    <t>BS_MKT_SEC_OTHER_ST_INVEST</t>
  </si>
  <si>
    <t>BS_ACCT_NOTE_RCV</t>
  </si>
  <si>
    <t>BS_INVENTORIES</t>
  </si>
  <si>
    <t>BS_OTHER_CUR_ASSET</t>
  </si>
  <si>
    <t>BS_CUR_ASSET_REPORT</t>
  </si>
  <si>
    <t>BS_GROSS_FIX_ASSET</t>
  </si>
  <si>
    <t>BS_ACCUM_DEPR</t>
  </si>
  <si>
    <t>BS_NET_FIX_ASSET</t>
  </si>
  <si>
    <t>BS_LT_INVEST</t>
  </si>
  <si>
    <t>BS_OTHER_ASSET_DEF_CHNG_OTHER</t>
  </si>
  <si>
    <t>BS_TOT_NON_CUR_ASSET</t>
  </si>
  <si>
    <t>BS_TOT_ASSET</t>
  </si>
  <si>
    <t>BS_ACCT_PAYABLE</t>
  </si>
  <si>
    <t>BS_ST_BORROW</t>
  </si>
  <si>
    <t>BS_OTHER_ST_LIAB</t>
  </si>
  <si>
    <t>BS_CUR_LIAB</t>
  </si>
  <si>
    <t>BS_LT_BORROW</t>
  </si>
  <si>
    <t>BS_OTHER_LT_LIABILITIES</t>
  </si>
  <si>
    <t>NON_CUR_LIAB</t>
  </si>
  <si>
    <t>BS_TOT_LIAB2</t>
  </si>
  <si>
    <t>BS_PFD_EQY</t>
  </si>
  <si>
    <t>ARD_ADDITIONAL_PAID_IN_CAPITAL</t>
  </si>
  <si>
    <t>ARD_TOTAL_SHARE_CAPITAL</t>
  </si>
  <si>
    <t>BS_RETAIN_EARN</t>
  </si>
  <si>
    <t>MINORITY_NONCONTROLLING_INTEREST</t>
  </si>
  <si>
    <t>TOT_SHRHLDR_EQY</t>
  </si>
  <si>
    <t>TOT_LIAB_AND_EQY</t>
  </si>
  <si>
    <t>CF_NET_INC</t>
  </si>
  <si>
    <t>CF_DEPR_AMORT</t>
  </si>
  <si>
    <t>CF_OTHER_NON_CASH_ADJUST</t>
  </si>
  <si>
    <t>CF_CHNG_NON_CASH_WORK_CAP</t>
  </si>
  <si>
    <t>CF_CASH_FROM_OPER</t>
  </si>
  <si>
    <t>CF_DISP_FIX_ASSET</t>
  </si>
  <si>
    <t>CF_CAP_EXPEND_PRPTY_ADD</t>
  </si>
  <si>
    <t>CF_INCR_INVEST</t>
  </si>
  <si>
    <t>CF_DECR_INVEST</t>
  </si>
  <si>
    <t>CF_OTHER_INV_ACT</t>
  </si>
  <si>
    <t>CF_CASH_FROM_INV_ACT</t>
  </si>
  <si>
    <t>CF_DVD_PAID</t>
  </si>
  <si>
    <t>CF_INCR_CAP_STOCK</t>
  </si>
  <si>
    <t>CF_DECR_CAP_STOCK</t>
  </si>
  <si>
    <t>CF_OTHER_FNC_ACT</t>
  </si>
  <si>
    <t>CF_CASH_FROM_FNC_ACT</t>
  </si>
  <si>
    <t>CF_NET_CHNG_CASH</t>
  </si>
  <si>
    <t>Doanh thu thuần</t>
  </si>
  <si>
    <t>Lợi nhuận gộp</t>
  </si>
  <si>
    <t>Lợi nhuận thuần HĐKD</t>
  </si>
  <si>
    <t>Lợi nhuận khác</t>
  </si>
  <si>
    <t>Lợi nhuận trước thuế</t>
  </si>
  <si>
    <t>Tổng tài sản dài hạn</t>
  </si>
  <si>
    <t>Net Income</t>
  </si>
  <si>
    <t xml:space="preserve">LNST </t>
  </si>
  <si>
    <t>Tổng Tài sản</t>
  </si>
  <si>
    <t>LNST của cổ đông CT Mẹ</t>
  </si>
  <si>
    <t>Khấu hao</t>
  </si>
  <si>
    <t>Nợ ngắn hạn</t>
  </si>
  <si>
    <t>Tăng trưởng doanh thu</t>
  </si>
  <si>
    <t>Nợ dài hạn</t>
  </si>
  <si>
    <t>EPS growth</t>
  </si>
  <si>
    <t>Gross margin</t>
  </si>
  <si>
    <t>Tỷ suất lợi nhuận gộp</t>
  </si>
  <si>
    <t>Vốn chủ sở hữu</t>
  </si>
  <si>
    <t>Tổng cộng nguồn vốn</t>
  </si>
  <si>
    <t>Lưu chuyển tiền tệ</t>
  </si>
  <si>
    <t>Lợi nhuận sau thuế</t>
  </si>
  <si>
    <t>CS thanh toán hiện hành</t>
  </si>
  <si>
    <t>CS thanh toán nhanh</t>
  </si>
  <si>
    <t>Chỉ số khả năng sinh lợi</t>
  </si>
  <si>
    <t>ROE</t>
  </si>
  <si>
    <t>Chỉ số hiệu quả vận hành</t>
  </si>
  <si>
    <t>Số ngày phải thu</t>
  </si>
  <si>
    <t>Số ngày tồn kho</t>
  </si>
  <si>
    <t>Số ngày phải trả</t>
  </si>
  <si>
    <t>Tiền từ hoạt động đầu tư</t>
  </si>
  <si>
    <t>Định giá</t>
  </si>
  <si>
    <t>Tổng lưu chuyển tiền tệ</t>
  </si>
  <si>
    <t>EV/EBITDA</t>
  </si>
  <si>
    <t>Historical</t>
  </si>
  <si>
    <t xml:space="preserve">INCOME STATEMENT GROWTH RATE % ANALYSIS </t>
  </si>
  <si>
    <t>BALANCE SHEET COMMON SIZE ANALYSIS</t>
  </si>
  <si>
    <t>EBIT * (1 - tax)</t>
  </si>
  <si>
    <t>Net income to common</t>
  </si>
  <si>
    <t>Net income before minority interest</t>
  </si>
  <si>
    <t>Country</t>
  </si>
  <si>
    <t>Mkt Cap</t>
  </si>
  <si>
    <t>Business lines</t>
  </si>
  <si>
    <t>P/EBITDA</t>
  </si>
  <si>
    <t>slope, m</t>
  </si>
  <si>
    <t>y-intercept, b</t>
  </si>
  <si>
    <t>Correlation coefficient, r</t>
  </si>
  <si>
    <t>Company ROE</t>
  </si>
  <si>
    <t>Standard error</t>
  </si>
  <si>
    <t>  - Non-Operating (Losses) Gains</t>
  </si>
  <si>
    <t>Non-Operating (Losses) Gains</t>
  </si>
  <si>
    <t>Peer counts / averages</t>
  </si>
  <si>
    <t xml:space="preserve">PV of levered FCF </t>
  </si>
  <si>
    <t>FCFF</t>
  </si>
  <si>
    <t>FCFE</t>
  </si>
  <si>
    <t>Levered free cash flow</t>
  </si>
  <si>
    <t>  - Minority Interests % as EBT</t>
  </si>
  <si>
    <t>Enterprise value (EV)</t>
  </si>
  <si>
    <t>Minority interest (book value)</t>
  </si>
  <si>
    <t>less: capex</t>
  </si>
  <si>
    <t>Discounted PER</t>
  </si>
  <si>
    <t>PE_RATIO</t>
  </si>
  <si>
    <t>Depreciation</t>
  </si>
  <si>
    <t>add: net borrowing</t>
  </si>
  <si>
    <t>Fair value minority interest using P/B x</t>
  </si>
  <si>
    <t>add: short and long-term debt</t>
  </si>
  <si>
    <t>(incr) / decr in NWC</t>
  </si>
  <si>
    <t>Reinvestment rate</t>
  </si>
  <si>
    <t>Forecasted growth</t>
  </si>
  <si>
    <t>Non-cash working capital % of sales</t>
  </si>
  <si>
    <t>Target price</t>
  </si>
  <si>
    <t>Upside/Downside</t>
  </si>
  <si>
    <t>Key indicators</t>
  </si>
  <si>
    <t>52-week low</t>
  </si>
  <si>
    <t>52-week high</t>
  </si>
  <si>
    <t>PRICE</t>
  </si>
  <si>
    <t>BUY</t>
  </si>
  <si>
    <t>ADD</t>
  </si>
  <si>
    <t>HOLD</t>
  </si>
  <si>
    <t>REDUCE</t>
  </si>
  <si>
    <t>Start Date</t>
  </si>
  <si>
    <t>End Date</t>
  </si>
  <si>
    <t>Current price</t>
  </si>
  <si>
    <t>Market cap (USD million)</t>
  </si>
  <si>
    <t>Market cap (VND billion)</t>
  </si>
  <si>
    <t>R-squared, r2 (closer to 1.0 is better)</t>
  </si>
  <si>
    <t>3M</t>
  </si>
  <si>
    <t>6M</t>
  </si>
  <si>
    <t>Date</t>
  </si>
  <si>
    <t>12M</t>
  </si>
  <si>
    <t>Relative to Index</t>
  </si>
  <si>
    <t>PV of FCF</t>
  </si>
  <si>
    <t>  - other comprehensive income</t>
  </si>
  <si>
    <t>Year 1</t>
  </si>
  <si>
    <t xml:space="preserve"> Year 2</t>
  </si>
  <si>
    <t>Year 10</t>
  </si>
  <si>
    <t xml:space="preserve"> Year 3</t>
  </si>
  <si>
    <t xml:space="preserve"> Year 4</t>
  </si>
  <si>
    <t xml:space="preserve"> Year 5</t>
  </si>
  <si>
    <t xml:space="preserve"> Year 6</t>
  </si>
  <si>
    <t xml:space="preserve"> Year 7</t>
  </si>
  <si>
    <t xml:space="preserve"> Year 8</t>
  </si>
  <si>
    <t xml:space="preserve"> Year 9</t>
  </si>
  <si>
    <t>Share price at yearend</t>
  </si>
  <si>
    <t>Forecast length in years</t>
  </si>
  <si>
    <t>Relative to index</t>
  </si>
  <si>
    <t>Operating profit</t>
  </si>
  <si>
    <t>EBIT</t>
  </si>
  <si>
    <t>Price per share</t>
  </si>
  <si>
    <t>Tax</t>
  </si>
  <si>
    <t>  + Change in long-term debt</t>
  </si>
  <si>
    <t>  + Change in short-term debt</t>
  </si>
  <si>
    <t>  + Other short-term liabilities</t>
  </si>
  <si>
    <t>  + Short-term debt</t>
  </si>
  <si>
    <t>  - Interest Expense [link from Debt Sweep]</t>
  </si>
  <si>
    <t>Multi-stage DCF Valuation</t>
  </si>
  <si>
    <t>Total current assets</t>
  </si>
  <si>
    <t>  + Long-term debt</t>
  </si>
  <si>
    <t>Tài sản</t>
  </si>
  <si>
    <t>Income statement</t>
  </si>
  <si>
    <t>Total long-term assets</t>
  </si>
  <si>
    <t>Total current liabilities</t>
  </si>
  <si>
    <t>Total long-term liabilities</t>
  </si>
  <si>
    <t>  + Short-term investments</t>
  </si>
  <si>
    <t>  + Other current assets</t>
  </si>
  <si>
    <t>   + Gross fixed assets</t>
  </si>
  <si>
    <t>  + Net fixed assets</t>
  </si>
  <si>
    <t>  + Long-term investments</t>
  </si>
  <si>
    <t>  + Other long-term assets</t>
  </si>
  <si>
    <t>  + Accounts payable</t>
  </si>
  <si>
    <t>  + Short-term borrowings</t>
  </si>
  <si>
    <t>  + Other long-term liabilities</t>
  </si>
  <si>
    <t>  + Dividends paid</t>
  </si>
  <si>
    <t>  + Total preferred equity</t>
  </si>
  <si>
    <t>  + Share capital</t>
  </si>
  <si>
    <t>  + Minority interest</t>
  </si>
  <si>
    <t>  + Change in investments</t>
  </si>
  <si>
    <t>Days AR outstanding</t>
  </si>
  <si>
    <t>Days AP outstanding</t>
  </si>
  <si>
    <t>DIO Days inventory on hand</t>
  </si>
  <si>
    <t>Days inventory on hand</t>
  </si>
  <si>
    <t>* EBIT Margin (EBIT/Sales)</t>
  </si>
  <si>
    <t>* Asset turnover (Sales/assets)</t>
  </si>
  <si>
    <t>ROA Dupont = EBIT margin * TB * IB * asset turnover</t>
  </si>
  <si>
    <t xml:space="preserve">* Interest burden IB (EBT/EBIT) </t>
  </si>
  <si>
    <t>Profit after tax margin</t>
  </si>
  <si>
    <t>Efficiency ratios</t>
  </si>
  <si>
    <t>* Tax burden</t>
  </si>
  <si>
    <t>* Interest burden</t>
  </si>
  <si>
    <t>* Asset turnover</t>
  </si>
  <si>
    <t>Leverage ratio</t>
  </si>
  <si>
    <t>ROE Dupont = ROA * leverage ratio</t>
  </si>
  <si>
    <t>Solvency ratios</t>
  </si>
  <si>
    <t>Debt-to-assets (ST&amp;LT debt) / total assets</t>
  </si>
  <si>
    <t>Leverage ratio (total assets/ total equity)</t>
  </si>
  <si>
    <t>Quick ratio</t>
  </si>
  <si>
    <t>Current ratio</t>
  </si>
  <si>
    <t>EPS (basic)</t>
  </si>
  <si>
    <t>Valuation ratios</t>
  </si>
  <si>
    <t>Price-to-earnings (P/E)</t>
  </si>
  <si>
    <t>Price-to-book value (P/B)</t>
  </si>
  <si>
    <t>Dividend payout</t>
  </si>
  <si>
    <t>COMMON SIZE INCOME STATEMENT % SALES</t>
  </si>
  <si>
    <t>ROIC (profit after tax / total invested capital)</t>
  </si>
  <si>
    <t>Total invested capital (ST&amp; LT debt + equity)</t>
  </si>
  <si>
    <t>Enterprise value EV (ST&amp;LT debt + market cap + minority)</t>
  </si>
  <si>
    <t>* Tax burden TB (profit after tax/EBT)</t>
  </si>
  <si>
    <t>EPS (đ)</t>
  </si>
  <si>
    <t>CĐKT</t>
  </si>
  <si>
    <t>Balance sheet</t>
  </si>
  <si>
    <t>Days acounts receivables outstanding</t>
  </si>
  <si>
    <t>Days accounts payable outstanding</t>
  </si>
  <si>
    <t>Revenue CAGR for forecast period</t>
  </si>
  <si>
    <t>Total short- and long-term debt</t>
  </si>
  <si>
    <t>Total average short- and long-term debt</t>
  </si>
  <si>
    <t>g = reinvestment * ROIC</t>
  </si>
  <si>
    <t>Corporate income tax</t>
  </si>
  <si>
    <t>Reinvestment rate (capex - depr + NWC / after tax EBIT)</t>
  </si>
  <si>
    <t>Depreciation expense as % sales</t>
  </si>
  <si>
    <t>Debt-to-equity ratio (ST&amp;LT debt / equity)</t>
  </si>
  <si>
    <t xml:space="preserve"> - Giá vốn hàng bán</t>
  </si>
  <si>
    <t xml:space="preserve"> - Chi phí bán hàng</t>
  </si>
  <si>
    <t xml:space="preserve"> - Lợi nhuận khác</t>
  </si>
  <si>
    <t xml:space="preserve"> - Chi phí lãi vay</t>
  </si>
  <si>
    <t xml:space="preserve"> - Thuế TNDN</t>
  </si>
  <si>
    <t>Tăng trưởng LN HĐKD</t>
  </si>
  <si>
    <t>Tỷ suất LNST</t>
  </si>
  <si>
    <t>CS thanh toán tiền mặt</t>
  </si>
  <si>
    <t xml:space="preserve"> - Lợi ích cổ đông thiểu số</t>
  </si>
  <si>
    <t>Nợ / Tài sản</t>
  </si>
  <si>
    <t>Nợ / Vốn sử dụng</t>
  </si>
  <si>
    <t>Nợ / Vốn CSH</t>
  </si>
  <si>
    <t>Nợ ngắn hạn / Vốn CSH</t>
  </si>
  <si>
    <t>Nợ dài hạn / Vốn CSH</t>
  </si>
  <si>
    <t>Đòn bẩy tài chính</t>
  </si>
  <si>
    <t>Tỷ suất EBIT</t>
  </si>
  <si>
    <t>* EBIT Margin</t>
  </si>
  <si>
    <t>ROA Dupont</t>
  </si>
  <si>
    <t>ROE Dupont</t>
  </si>
  <si>
    <t>LNTT / LNST</t>
  </si>
  <si>
    <t>LNTT / EBIT</t>
  </si>
  <si>
    <t xml:space="preserve">Vòng quay tổng tài sản </t>
  </si>
  <si>
    <t xml:space="preserve">COGS / Hàng tồn kho </t>
  </si>
  <si>
    <t xml:space="preserve">Thời gian luân chuyển tiền </t>
  </si>
  <si>
    <t>Tiền đầu năm</t>
  </si>
  <si>
    <t>Tiền cuối năm</t>
  </si>
  <si>
    <t>Tổng nợ</t>
  </si>
  <si>
    <t xml:space="preserve"> + Cổ phiếu ưu đãi</t>
  </si>
  <si>
    <t xml:space="preserve"> + Thặng dư</t>
  </si>
  <si>
    <t xml:space="preserve"> + Vốn điều lệ</t>
  </si>
  <si>
    <t xml:space="preserve"> + Lợi ích cổ đông thiểu số</t>
  </si>
  <si>
    <t xml:space="preserve">Tổng tài sản ngắn hạn  </t>
  </si>
  <si>
    <t xml:space="preserve"> - (Lỗ) / lại tỷ giá</t>
  </si>
  <si>
    <t xml:space="preserve"> + Tiền và tương đương </t>
  </si>
  <si>
    <t xml:space="preserve"> + Các khoản phải thu</t>
  </si>
  <si>
    <t xml:space="preserve"> + Tài sản ngắn hạn khác</t>
  </si>
  <si>
    <t xml:space="preserve"> + Hàng tồn kho</t>
  </si>
  <si>
    <t xml:space="preserve"> + Tài sản dài hạn  </t>
  </si>
  <si>
    <t xml:space="preserve"> + Khấu hao lũy kế</t>
  </si>
  <si>
    <t xml:space="preserve"> + Tài sản dài hạn</t>
  </si>
  <si>
    <t xml:space="preserve"> + Đầu tư tài chính dài hạn</t>
  </si>
  <si>
    <t xml:space="preserve"> + Tài sản dài hạn khác</t>
  </si>
  <si>
    <t xml:space="preserve"> + Phải trả ngắn hạn</t>
  </si>
  <si>
    <t xml:space="preserve"> + Vay và nợ ngắn hạn</t>
  </si>
  <si>
    <t xml:space="preserve"> + Phải trả ngắn hạn khác</t>
  </si>
  <si>
    <t xml:space="preserve"> + Vay và nợ dài hạn</t>
  </si>
  <si>
    <t xml:space="preserve"> + Phải trả dài hạn</t>
  </si>
  <si>
    <t xml:space="preserve"> + Điều chỉnh</t>
  </si>
  <si>
    <t xml:space="preserve"> + Thay đổi vốn lưu động</t>
  </si>
  <si>
    <t xml:space="preserve"> + Thanh lý tài sản cố dinh‎</t>
  </si>
  <si>
    <t xml:space="preserve"> + Chi mua sắm TSCĐ</t>
  </si>
  <si>
    <t xml:space="preserve"> + Tăng (giảm) đầu tư</t>
  </si>
  <si>
    <t xml:space="preserve"> + Các hoạt động đầu tư khác</t>
  </si>
  <si>
    <t xml:space="preserve"> + Cổ tức đã trả</t>
  </si>
  <si>
    <t xml:space="preserve"> + Tăng (giảm) vốn</t>
  </si>
  <si>
    <t xml:space="preserve"> + Thay đổi nợ ngắn hạn</t>
  </si>
  <si>
    <t xml:space="preserve"> + Thay đổi nợ dài hạn</t>
  </si>
  <si>
    <t>Nợ &amp; Vốn chủ sở hữu</t>
  </si>
  <si>
    <t>INTEREST RATE ASSUMPTIONS</t>
  </si>
  <si>
    <t>Debt interest rate % (ST &amp; LT debt)</t>
  </si>
  <si>
    <t>Short-term investment interest rate</t>
  </si>
  <si>
    <t>Operating profit margin</t>
  </si>
  <si>
    <t>Quarter 1</t>
  </si>
  <si>
    <t>Quarter 2</t>
  </si>
  <si>
    <t>Quarter 3</t>
  </si>
  <si>
    <t>Quarter 4</t>
  </si>
  <si>
    <t>Year over Year Performance</t>
  </si>
  <si>
    <t>Reality Check</t>
  </si>
  <si>
    <t>% Forecast</t>
  </si>
  <si>
    <t>COGS % of sales</t>
  </si>
  <si>
    <t>  - Interest income (from short-term investments)</t>
  </si>
  <si>
    <t>COGS</t>
  </si>
  <si>
    <t>Labor</t>
  </si>
  <si>
    <t>Price increase %</t>
  </si>
  <si>
    <t>Volume growth %</t>
  </si>
  <si>
    <t>Revenue growth % [link to assumptions]</t>
  </si>
  <si>
    <t>Labor as % of sales</t>
  </si>
  <si>
    <t>Depreciation as % of sales</t>
  </si>
  <si>
    <t>SELLING PRICE AND COGS</t>
  </si>
  <si>
    <t>Depreciation cost increase %</t>
  </si>
  <si>
    <t>Labor cost increase %</t>
  </si>
  <si>
    <t>Raw material cost increase %</t>
  </si>
  <si>
    <t>Gross margin % [link to assumptions]</t>
  </si>
  <si>
    <t>SALES</t>
  </si>
  <si>
    <t>ASSUMPTIONS FOR GROSS MARGIN %</t>
  </si>
  <si>
    <t>ASSUMPTIONS FOR SALES GROWTH %</t>
  </si>
  <si>
    <t>Short-term debt to total assets ratio</t>
  </si>
  <si>
    <t>Long-term debt to total assets ratio</t>
  </si>
  <si>
    <t>Short-term debt-to-total assets ratio</t>
  </si>
  <si>
    <t>Debt-to-capital (ST&amp;LT debt) / (ST&amp;LT debt + equity)</t>
  </si>
  <si>
    <t>Debt-to-capital ratio</t>
  </si>
  <si>
    <t>EBIT margin</t>
  </si>
  <si>
    <t>-/+ actual</t>
  </si>
  <si>
    <t>EBITDA margin</t>
  </si>
  <si>
    <t>Net income profit margin</t>
  </si>
  <si>
    <t>Cumulative sum PV of FCF</t>
  </si>
  <si>
    <t>Use charts to check for consistency in assumptions</t>
  </si>
  <si>
    <t>add: cash &amp; ST investments</t>
  </si>
  <si>
    <t>Equity value including minority interest</t>
  </si>
  <si>
    <t>P/B of equity including minority interest</t>
  </si>
  <si>
    <t>Equity less fair value of minority interest</t>
  </si>
  <si>
    <t xml:space="preserve">  - General and administrative expenses</t>
  </si>
  <si>
    <t xml:space="preserve">  - Sales/marketing/advertising expenses</t>
  </si>
  <si>
    <t>  - Foreign Exchange (Losses) / Gains</t>
  </si>
  <si>
    <t>  - Cost of goods sold</t>
  </si>
  <si>
    <t>(increase)/decrease in net WC</t>
  </si>
  <si>
    <t>MARGIN ANALYSIS</t>
  </si>
  <si>
    <t>RATIING SCALE</t>
  </si>
  <si>
    <t>  - income/loss from equity in affliaties, JVs</t>
  </si>
  <si>
    <t>Income / loss from equity and other comprehensive income must be entered manually (if applicable for forecast period), interest income from short-term investments is based on short-term interest rate assumption</t>
  </si>
  <si>
    <t>Volume (unit)</t>
  </si>
  <si>
    <t>Selling price per unit</t>
  </si>
  <si>
    <t>Raw material as % of sales</t>
  </si>
  <si>
    <t>P &amp; L (QUARTER)</t>
  </si>
  <si>
    <t>Revenue growth % [link Sales &amp; COGS]</t>
  </si>
  <si>
    <t>COGS % of sales [link Sales &amp; COGS]</t>
  </si>
  <si>
    <t>Gross margin %  [link Sales &amp; COGS]</t>
  </si>
  <si>
    <t>Depreciation % of sales [link Sales &amp; COGS]</t>
  </si>
  <si>
    <t>PX_LAST</t>
  </si>
  <si>
    <t>PX_TO_BOOK_RATIO</t>
  </si>
  <si>
    <t>COUNTRY_FULL_NAME</t>
  </si>
  <si>
    <t>CRNCY_ADJ_MKT_CAP</t>
  </si>
  <si>
    <t>PX_TO_EBITDA</t>
  </si>
  <si>
    <t>CURRENT_EV_TO_T12M_FCF</t>
  </si>
  <si>
    <t>RETURN_COM_EQY</t>
  </si>
  <si>
    <t>CIE_DES</t>
  </si>
  <si>
    <t>Company name</t>
  </si>
  <si>
    <t>Ticker</t>
  </si>
  <si>
    <t>NAME</t>
  </si>
  <si>
    <t>PER (linear) y = peer PE * (company ROE/peer ROE)</t>
  </si>
  <si>
    <t>PER (regression)        y = m ROE + b</t>
  </si>
  <si>
    <t>PER (simple average)</t>
  </si>
  <si>
    <t>Discount %</t>
  </si>
  <si>
    <t>Country risk</t>
  </si>
  <si>
    <t>Liquidity</t>
  </si>
  <si>
    <t>Holding</t>
  </si>
  <si>
    <t>Discount</t>
  </si>
  <si>
    <t>Raw material</t>
  </si>
  <si>
    <t>  + Accounts receivable</t>
  </si>
  <si>
    <t>    - Accum. depreciation</t>
  </si>
  <si>
    <t>Liabilities &amp; Equity</t>
  </si>
  <si>
    <t>  + Other ST liabilities</t>
  </si>
  <si>
    <t>  + Other LT liabilities</t>
  </si>
  <si>
    <t>  + Addt’l paid in capital</t>
  </si>
  <si>
    <t>  + Retained earnings</t>
  </si>
  <si>
    <t>Total liabilities &amp; equity</t>
  </si>
  <si>
    <t>  + Depreciation</t>
  </si>
  <si>
    <t>  + Other non-cash adjust.</t>
  </si>
  <si>
    <t>  + Changes in non-cash</t>
  </si>
  <si>
    <t>Cash from Operations</t>
  </si>
  <si>
    <t>  + Capex</t>
  </si>
  <si>
    <t>Cash  from Investing</t>
  </si>
  <si>
    <t>  + Change in ST debt</t>
  </si>
  <si>
    <t xml:space="preserve">  + Change in LT debt</t>
  </si>
  <si>
    <t>Cash from Financing</t>
  </si>
  <si>
    <t xml:space="preserve">  - Sales &amp; marketing</t>
  </si>
  <si>
    <t xml:space="preserve">  - General &amp; admin</t>
  </si>
  <si>
    <t>  - Forex gains/(losses)</t>
  </si>
  <si>
    <t>  - Net non-op gains</t>
  </si>
  <si>
    <t>  - Interest expense</t>
  </si>
  <si>
    <t>  - Income tax expense</t>
  </si>
  <si>
    <t>  - Minority interests</t>
  </si>
  <si>
    <t>EPS</t>
  </si>
  <si>
    <t>Cash conversion cycle</t>
  </si>
  <si>
    <t>Inventory turnover</t>
  </si>
  <si>
    <t>Liquidity/Solvency</t>
  </si>
  <si>
    <t>Short-term debt to equity</t>
  </si>
  <si>
    <t>Long-term debt to equity</t>
  </si>
  <si>
    <t xml:space="preserve">     Net changes in cash</t>
  </si>
  <si>
    <t>Outstanding shares (mn)</t>
  </si>
  <si>
    <t>Debt-to-equity (*)</t>
  </si>
  <si>
    <t>Debt-to-capital (*)</t>
  </si>
  <si>
    <t>Debt-to-assets (*)</t>
  </si>
  <si>
    <t>Terminal year tax rate (marginal rate)</t>
  </si>
  <si>
    <t>less: tax</t>
  </si>
  <si>
    <t>Terminal cashflow (using marginal tax rate)</t>
  </si>
  <si>
    <t>Terminal year FCF * terminal growth</t>
  </si>
  <si>
    <t>PV of terminal value</t>
  </si>
  <si>
    <t>Terminal year WACC using marginal tax</t>
  </si>
  <si>
    <t>Earnings before tax</t>
  </si>
  <si>
    <t>PV of Terminal value</t>
  </si>
  <si>
    <t>Total PV of FCF + PV of Terminal value</t>
  </si>
  <si>
    <t>less: net capex</t>
  </si>
  <si>
    <t xml:space="preserve">  - Sales and marketing exp</t>
  </si>
  <si>
    <t xml:space="preserve">  - General and administrative exp</t>
  </si>
  <si>
    <t>  - Forex (losses) / gains</t>
  </si>
  <si>
    <t>  - Net non-operating (losses) / gains</t>
  </si>
  <si>
    <t>  - Interest exp</t>
  </si>
  <si>
    <t>  - Income tax exp</t>
  </si>
  <si>
    <t>  + Cash &amp; equivalents</t>
  </si>
  <si>
    <t>  + Accounts &amp; notes receivables</t>
  </si>
  <si>
    <t>    - Accumulated depreciation</t>
  </si>
  <si>
    <t>  + Other Long-term assets</t>
  </si>
  <si>
    <t>Total Long-term assets</t>
  </si>
  <si>
    <t>Total assets</t>
  </si>
  <si>
    <t>Liabilities &amp; stockholders' equity</t>
  </si>
  <si>
    <t>Total liabilities</t>
  </si>
  <si>
    <t>  + Retained earnings &amp; other equity</t>
  </si>
  <si>
    <t>Total shareholders' equity</t>
  </si>
  <si>
    <t>  - Non-operating (losses) / gains</t>
  </si>
  <si>
    <t>(increase) / decreace in NWC</t>
  </si>
  <si>
    <t>Ho Chi Minh</t>
  </si>
  <si>
    <t>Settings</t>
  </si>
  <si>
    <t>Avg 30-day trading vol</t>
  </si>
  <si>
    <t>VNIndex</t>
  </si>
  <si>
    <t>Cost of debt</t>
  </si>
  <si>
    <t>Cost of equity</t>
  </si>
  <si>
    <t>English</t>
  </si>
  <si>
    <t>Cash flow</t>
  </si>
  <si>
    <t>IS_OPER_INC</t>
  </si>
  <si>
    <t>IS_DEPR_EXP</t>
  </si>
  <si>
    <t>Net income to shareholders</t>
  </si>
  <si>
    <t>  - Interest Expense [link: Debt Sweep]</t>
  </si>
  <si>
    <t>PX LAST</t>
  </si>
  <si>
    <t>VND Billion</t>
  </si>
  <si>
    <t>PX TO BOOK RATIO</t>
  </si>
  <si>
    <t>Sector</t>
  </si>
  <si>
    <t>VND</t>
  </si>
  <si>
    <t>Foreign ownership %</t>
  </si>
  <si>
    <t>INDEX</t>
  </si>
  <si>
    <t>VOLUIME</t>
  </si>
  <si>
    <t>DIVIDEND_YIELD</t>
  </si>
  <si>
    <t>DVD_PAYOUT_RATIO</t>
  </si>
  <si>
    <t>Dividend per share paid</t>
  </si>
  <si>
    <t>FY</t>
  </si>
  <si>
    <t>Accumulated depreciation</t>
  </si>
  <si>
    <t>CAPEX</t>
  </si>
  <si>
    <t>Capex</t>
  </si>
  <si>
    <t>Others</t>
  </si>
  <si>
    <t>Total LT liabilities</t>
  </si>
  <si>
    <t>Total equity</t>
  </si>
  <si>
    <t>Current liabilities</t>
  </si>
  <si>
    <t>Liabilities &amp; equity</t>
  </si>
  <si>
    <t>  + Other investments</t>
  </si>
  <si>
    <t>  + Change in capital</t>
  </si>
  <si>
    <t>  + Other financing act.</t>
  </si>
  <si>
    <t>  + Disposal fixed assets</t>
  </si>
  <si>
    <t>  + Cash &amp; equivalent</t>
  </si>
  <si>
    <t>Units in VND bn</t>
  </si>
  <si>
    <t xml:space="preserve"> + LN chưa phân phối</t>
  </si>
  <si>
    <t xml:space="preserve"> - Chi phí quản lí DN</t>
  </si>
  <si>
    <t>Tiền từ hoạt động TC</t>
  </si>
  <si>
    <t>Tiền từ hoạt động KD</t>
  </si>
  <si>
    <t>Chỉ số TK/đòn bẩy TC</t>
  </si>
  <si>
    <t xml:space="preserve"> + Đầu tư TC ngắn hạn</t>
  </si>
  <si>
    <t xml:space="preserve">Khả năng TT  lãi vay </t>
  </si>
  <si>
    <t xml:space="preserve"> + Các hoạt động TC khác</t>
  </si>
  <si>
    <t>Rf</t>
  </si>
  <si>
    <t>Risk premium</t>
  </si>
  <si>
    <t>Beta</t>
  </si>
  <si>
    <t>EPS growth %</t>
  </si>
  <si>
    <t>Dividend yield %</t>
  </si>
  <si>
    <t>P/E x (mkt. price)</t>
  </si>
  <si>
    <t>P/B x (mkt. price)</t>
  </si>
  <si>
    <t>EV / EBITDA x</t>
  </si>
  <si>
    <t>ROE %</t>
  </si>
  <si>
    <t>ROA %</t>
  </si>
  <si>
    <t>ROIC %</t>
  </si>
  <si>
    <t>Debt-to-equity %</t>
  </si>
  <si>
    <t>Price performance %</t>
  </si>
  <si>
    <t>Revenue growth %</t>
  </si>
  <si>
    <t>Operating profit growth %</t>
  </si>
  <si>
    <t>EBIT growth %</t>
  </si>
  <si>
    <t>Tăng trưởng EBIT %</t>
  </si>
  <si>
    <t>Tăng trưởng EPS %</t>
  </si>
  <si>
    <t>2013A</t>
  </si>
  <si>
    <t>NPAT margin (%)</t>
  </si>
  <si>
    <t>Crude oil</t>
  </si>
  <si>
    <t>LPG</t>
  </si>
  <si>
    <t xml:space="preserve"> </t>
  </si>
  <si>
    <t>Earnings per share (adjusted)</t>
  </si>
  <si>
    <t>Currrent Price</t>
  </si>
  <si>
    <t>Market cap @ current px</t>
  </si>
  <si>
    <t>Outstanding shares (adjusted)</t>
  </si>
  <si>
    <t>EV / Sale</t>
  </si>
  <si>
    <t>Ownership</t>
  </si>
  <si>
    <t>Revenue breakdown</t>
  </si>
  <si>
    <t>Transportation</t>
  </si>
  <si>
    <t>FSO/FPSO</t>
  </si>
  <si>
    <t>Comercial</t>
  </si>
  <si>
    <t>Other</t>
  </si>
  <si>
    <t>Total</t>
  </si>
  <si>
    <t>Growth</t>
  </si>
  <si>
    <t>Services breakdown (mn tons)</t>
  </si>
  <si>
    <t>Crude oil (domestic)</t>
  </si>
  <si>
    <t>Crude oil (import)</t>
  </si>
  <si>
    <t>Refined oil</t>
  </si>
  <si>
    <t>Transportation revenue breakdown</t>
  </si>
  <si>
    <t>Type</t>
  </si>
  <si>
    <t>No. shipments</t>
  </si>
  <si>
    <t>LPG &amp; Liquid chemicals</t>
  </si>
  <si>
    <t xml:space="preserve">Từ nay đến cuối năm, nhà máy sản xuất thêm khoảng 2,6 triệu tấn (tổng sản phẩm xăng, dầu cả năm 5,2 triệu tấn), </t>
  </si>
  <si>
    <t>DXG</t>
  </si>
  <si>
    <t>Brokerage</t>
  </si>
  <si>
    <t>Average</t>
  </si>
  <si>
    <t>SG&amp;A</t>
  </si>
  <si>
    <t>EBIT Margin</t>
  </si>
  <si>
    <t>EBIT/GP</t>
  </si>
  <si>
    <t>OP after tax</t>
  </si>
  <si>
    <t>Brokerage value</t>
  </si>
  <si>
    <t>NPAT</t>
  </si>
  <si>
    <t>Construction</t>
  </si>
  <si>
    <t>Project development</t>
  </si>
  <si>
    <t>Gold Hill</t>
  </si>
  <si>
    <t>Viva City</t>
  </si>
  <si>
    <t>Sunview Town</t>
  </si>
  <si>
    <t>Riverside Garden</t>
  </si>
  <si>
    <t>Green City</t>
  </si>
  <si>
    <t>GM - Construction</t>
  </si>
  <si>
    <t>% SG&amp;A</t>
  </si>
  <si>
    <t>% SG&amp;A - Brokerage</t>
  </si>
  <si>
    <t>% SG&amp;A - Construction</t>
  </si>
  <si>
    <t>#</t>
  </si>
  <si>
    <t>Project Name</t>
  </si>
  <si>
    <t>Product</t>
  </si>
  <si>
    <t>Infra status</t>
  </si>
  <si>
    <t>Compensation %</t>
  </si>
  <si>
    <t>Land cost</t>
  </si>
  <si>
    <t>Estimated LUR</t>
  </si>
  <si>
    <t>Price after discount
(VND mn)</t>
  </si>
  <si>
    <t>Selling progress</t>
  </si>
  <si>
    <t>Collection progress</t>
  </si>
  <si>
    <t>Địa chỉ</t>
  </si>
  <si>
    <t>% owned</t>
  </si>
  <si>
    <t>Land area sqm</t>
  </si>
  <si>
    <t>GFA</t>
  </si>
  <si>
    <t>Coverage Ratio</t>
  </si>
  <si>
    <t>Marketable Land Area</t>
  </si>
  <si>
    <t>No of units/plots</t>
  </si>
  <si>
    <t>Valuation Method</t>
  </si>
  <si>
    <t>Revalued Land (VNDmn)</t>
  </si>
  <si>
    <t>Status</t>
  </si>
  <si>
    <t>Status updated</t>
  </si>
  <si>
    <t>Details</t>
  </si>
  <si>
    <t>Land lots</t>
  </si>
  <si>
    <t>Completed</t>
  </si>
  <si>
    <t>Trang Bom, Dong Nai</t>
  </si>
  <si>
    <t>DCF</t>
  </si>
  <si>
    <t>65% sold</t>
  </si>
  <si>
    <t>No</t>
  </si>
  <si>
    <t>197 (82 villas and 115 land plots)</t>
  </si>
  <si>
    <t>25% sold</t>
  </si>
  <si>
    <t>Apartments</t>
  </si>
  <si>
    <t>Sold 100%</t>
  </si>
  <si>
    <t>Phuoc Long, D9</t>
  </si>
  <si>
    <t>225 units</t>
  </si>
  <si>
    <t>1st block sold out, 2nd block sells in July 2014. 1st block built up to 7nd floor (expected Jun 2015)</t>
  </si>
  <si>
    <t>Yes</t>
  </si>
  <si>
    <t>Phu Quoc</t>
  </si>
  <si>
    <t>Sold 70% to Capitaland, negotiating to sell 25% more</t>
  </si>
  <si>
    <t>NA</t>
  </si>
  <si>
    <t>975 units</t>
  </si>
  <si>
    <t>Book Value</t>
  </si>
  <si>
    <t>Construction permit pending</t>
  </si>
  <si>
    <t>District 9</t>
  </si>
  <si>
    <t>1/500 design
90bn land cost, 200 land use fee approx. 
Start in end of 2014, only high-rise (500 units, 
Tan Son Nhat - Binh Loi highway direct connection.
Plot ratio 6.5, room size at least 70m2, mid-end. Price about 20mn (including VAT).
Investment: VND700-800bn (looking to use 20% debt)</t>
  </si>
  <si>
    <t>Low-rise, apartments</t>
  </si>
  <si>
    <t>80% for low rise, 20% for condos</t>
  </si>
  <si>
    <t>1/500 design, finalised legal document 70% for transfer of ownership, start construction (infras) in Q4/2013 or Q1/2014 (about 100bn)
mid end, 6km from CBD, close to Ha Noi highway, 10min walking to subway no.7, adjacent to Dist 2
200 low-rise (townhouse or land lots) will be constructed and sell first. (100m2, expect 15mn (land lot), 17-18mn (apartment), book revenue from 2016), Q1/2014, 600 unit for condos (60-70m2), 18 stories (maybe start construction at the end of 2015)
Sell about 100 low-rise first 
Total investment: VND1,000bn (equity: 20-25%, pre-sale: 50-60%, bank: 20-25%)</t>
  </si>
  <si>
    <t>Other projects</t>
  </si>
  <si>
    <t>Compensated 40%</t>
  </si>
  <si>
    <t>Not yet opened for sale</t>
  </si>
  <si>
    <t>Binh Trung Dong, D2</t>
  </si>
  <si>
    <t>Total project NAV</t>
  </si>
  <si>
    <t>Add brokerage value</t>
  </si>
  <si>
    <t>Add liquid assets belonging to common shareholders</t>
  </si>
  <si>
    <t>Less debt</t>
  </si>
  <si>
    <t>Net Asset Value</t>
  </si>
  <si>
    <t>Outstanding no of shares</t>
  </si>
  <si>
    <t>NAV/share</t>
  </si>
  <si>
    <t>Current share price</t>
  </si>
  <si>
    <t>Upside</t>
  </si>
  <si>
    <t>Private placement</t>
  </si>
  <si>
    <t>MP</t>
  </si>
  <si>
    <t>10% discount</t>
  </si>
  <si>
    <t>20% discount</t>
  </si>
  <si>
    <t>RNAV</t>
  </si>
  <si>
    <t>MP adjusted</t>
  </si>
  <si>
    <t>Market cap (before private placement)</t>
  </si>
  <si>
    <t>Unused capital</t>
  </si>
  <si>
    <t>Market cap (after private placement)</t>
  </si>
  <si>
    <t>No. of share (before)</t>
  </si>
  <si>
    <t>No. of share (after)</t>
  </si>
  <si>
    <t>No. of share</t>
  </si>
  <si>
    <t>Issue price</t>
  </si>
  <si>
    <t>CAPEX SUMMARY</t>
  </si>
  <si>
    <t>% Debt required out of total investment</t>
  </si>
  <si>
    <t>Total investment</t>
  </si>
  <si>
    <t>Infra cost</t>
  </si>
  <si>
    <t>Construction Cost</t>
  </si>
  <si>
    <t>Completion Year</t>
  </si>
  <si>
    <t>FINANCING SUMMARY</t>
  </si>
  <si>
    <t>Terminal Growth</t>
  </si>
  <si>
    <t>( leasing only)</t>
  </si>
  <si>
    <t>Terminal Year</t>
  </si>
  <si>
    <t>Equity</t>
  </si>
  <si>
    <t>Risk free</t>
  </si>
  <si>
    <t>Re</t>
  </si>
  <si>
    <t>Debt</t>
  </si>
  <si>
    <t>Rd</t>
  </si>
  <si>
    <t>RNAV CALCULATION</t>
  </si>
  <si>
    <t>Part 1</t>
  </si>
  <si>
    <t>LAND</t>
  </si>
  <si>
    <t>Unit</t>
  </si>
  <si>
    <t>Total Cost</t>
  </si>
  <si>
    <t>Total Land Area</t>
  </si>
  <si>
    <t>m2</t>
  </si>
  <si>
    <t>Land compensation Cost</t>
  </si>
  <si>
    <t>VND Mn/m2</t>
  </si>
  <si>
    <t>Land Use Fees/Convert Fees</t>
  </si>
  <si>
    <t>Infra Cost - MLA</t>
  </si>
  <si>
    <t>Infra cost - non MLA</t>
  </si>
  <si>
    <t>Land payment progress</t>
  </si>
  <si>
    <t>Past</t>
  </si>
  <si>
    <t>Infra payment progress</t>
  </si>
  <si>
    <t>% infra paid</t>
  </si>
  <si>
    <t>Part 2</t>
  </si>
  <si>
    <t>VILLAS</t>
  </si>
  <si>
    <t>Utilization</t>
  </si>
  <si>
    <t>%</t>
  </si>
  <si>
    <t>NSA</t>
  </si>
  <si>
    <t>Selling price -NSA</t>
  </si>
  <si>
    <t>Selling price - construction</t>
  </si>
  <si>
    <t>Villa coverage ratio</t>
  </si>
  <si>
    <t>Construction floors</t>
  </si>
  <si>
    <t>Annual price adj factor</t>
  </si>
  <si>
    <t>Liquidity discount</t>
  </si>
  <si>
    <t>Construction cost</t>
  </si>
  <si>
    <t>SGA to cash inflows</t>
  </si>
  <si>
    <t>Past (inc 2013)</t>
  </si>
  <si>
    <t>Equivalent sold amount</t>
  </si>
  <si>
    <t>% sold</t>
  </si>
  <si>
    <t>Selling price after adj factor</t>
  </si>
  <si>
    <t>Sales recognition</t>
  </si>
  <si>
    <t>Cash inflows</t>
  </si>
  <si>
    <t xml:space="preserve">% paid </t>
  </si>
  <si>
    <t>Instalment schedule</t>
  </si>
  <si>
    <t>1st year</t>
  </si>
  <si>
    <t>2nd year</t>
  </si>
  <si>
    <t>3rd year</t>
  </si>
  <si>
    <t>Const payment progress</t>
  </si>
  <si>
    <t>Const &amp; infra recognition</t>
  </si>
  <si>
    <t>Land cost recognition</t>
  </si>
  <si>
    <t>Interest depreciation</t>
  </si>
  <si>
    <t>Interest expense</t>
  </si>
  <si>
    <t>Part 3</t>
  </si>
  <si>
    <t>Retail Mall</t>
  </si>
  <si>
    <t>NLA</t>
  </si>
  <si>
    <t>Lease price, incl. service charge</t>
  </si>
  <si>
    <t>Annual lease rate adj factor</t>
  </si>
  <si>
    <t>Average Occupancy</t>
  </si>
  <si>
    <t>Selling &amp; Admin fees</t>
  </si>
  <si>
    <t>years</t>
  </si>
  <si>
    <t>Operating cost to sales</t>
  </si>
  <si>
    <t>Lease price after adj factor</t>
  </si>
  <si>
    <t>Annual lease adj factor</t>
  </si>
  <si>
    <t>Occupancy rate</t>
  </si>
  <si>
    <t>Sales revenue</t>
  </si>
  <si>
    <t>Depreciation - Land + Const + Interest</t>
  </si>
  <si>
    <t>Selling, admin fees</t>
  </si>
  <si>
    <t>Operating cost</t>
  </si>
  <si>
    <t>PBT</t>
  </si>
  <si>
    <t>Part 4</t>
  </si>
  <si>
    <t>Sports and Hotel</t>
  </si>
  <si>
    <t>Lease price</t>
  </si>
  <si>
    <t>Operating cost per NLA unit</t>
  </si>
  <si>
    <t>Annual lease ads factor</t>
  </si>
  <si>
    <t>Part 5</t>
  </si>
  <si>
    <t>School - Also for lease</t>
  </si>
  <si>
    <t>Part 6</t>
  </si>
  <si>
    <t>Parking</t>
  </si>
  <si>
    <t>Parking Slots - Car</t>
  </si>
  <si>
    <t>Parking Slots - Bike</t>
  </si>
  <si>
    <t>Fare - Car</t>
  </si>
  <si>
    <t>Fare - Bike</t>
  </si>
  <si>
    <t>Daily turnover - Car</t>
  </si>
  <si>
    <t>times</t>
  </si>
  <si>
    <t>Daily turnover - Bike</t>
  </si>
  <si>
    <t>Sales from parking - Car</t>
  </si>
  <si>
    <t>Sales from parking - Bike</t>
  </si>
  <si>
    <t>Ops cost</t>
  </si>
  <si>
    <t>P&amp;L (VILLA SALES ONLY)</t>
  </si>
  <si>
    <t>Year</t>
  </si>
  <si>
    <t>SGA</t>
  </si>
  <si>
    <t>Profit before tax</t>
  </si>
  <si>
    <t>Tax rate</t>
  </si>
  <si>
    <t>GM</t>
  </si>
  <si>
    <t>P&amp;L (ALL INCL. VILLA SALES)</t>
  </si>
  <si>
    <t>CASH FLOW (VILLA SALES)</t>
  </si>
  <si>
    <t>Cash in</t>
  </si>
  <si>
    <t>Cash out</t>
  </si>
  <si>
    <t>Land acquisition</t>
  </si>
  <si>
    <t>Infra Cost</t>
  </si>
  <si>
    <t>Income tax</t>
  </si>
  <si>
    <t>Net cash inflow</t>
  </si>
  <si>
    <t>Discount Factor</t>
  </si>
  <si>
    <t>Present Value</t>
  </si>
  <si>
    <t>NPV project</t>
  </si>
  <si>
    <t>NPV to KDH</t>
  </si>
  <si>
    <t>CASH FLOW (EXCL. APARTMENT SALES)</t>
  </si>
  <si>
    <t>Terminal value</t>
  </si>
  <si>
    <t>NPV company</t>
  </si>
  <si>
    <t>Debt and Bond Schedule</t>
  </si>
  <si>
    <t>Total required</t>
  </si>
  <si>
    <t>Disbursement %</t>
  </si>
  <si>
    <t>Tranche</t>
  </si>
  <si>
    <t>New addition (assume beginning addition)</t>
  </si>
  <si>
    <t>Beginning balance</t>
  </si>
  <si>
    <t>Interest</t>
  </si>
  <si>
    <t>Loan period (years)</t>
  </si>
  <si>
    <t>Principal repayment  starting year</t>
  </si>
  <si>
    <t>Principal payment factor</t>
  </si>
  <si>
    <t>Principal payment</t>
  </si>
  <si>
    <t>Ending balance</t>
  </si>
  <si>
    <t>APARTMENT UNITS</t>
  </si>
  <si>
    <t>Selling price</t>
  </si>
  <si>
    <t>Office</t>
  </si>
  <si>
    <t>P&amp;L</t>
  </si>
  <si>
    <t>Selling, admin, maintenance fees</t>
  </si>
  <si>
    <t>P&amp;L (APARTMENT SALES ONLY)</t>
  </si>
  <si>
    <t>P&amp;L (ALL INCL. APARTMENT SALES)</t>
  </si>
  <si>
    <t>CASH FLOW (APARTMENT SALES)</t>
  </si>
  <si>
    <t>NPV to DXG</t>
  </si>
  <si>
    <t>Initial</t>
  </si>
  <si>
    <t>Land price</t>
  </si>
  <si>
    <t>Sales progress</t>
  </si>
  <si>
    <t>Initial investment</t>
  </si>
  <si>
    <t>Assumptions</t>
  </si>
  <si>
    <t>Brokerage revenue should remain at the current level. Brokerage activities have been growing in conjunction with DXG's capital base in the past, but should be in maturation point now</t>
  </si>
  <si>
    <t>Long-term growth rate = zero</t>
  </si>
  <si>
    <t>No capex and addition WC is required for brokerage activities</t>
  </si>
  <si>
    <t>Site area</t>
  </si>
  <si>
    <t>70ha</t>
  </si>
  <si>
    <t>3,500bn</t>
  </si>
  <si>
    <t>Invest via joint venture Long Dien, who ultimately has chartered capital of VND800bn, of which DXG expects to contribute 46-47%</t>
  </si>
  <si>
    <t>DXG has invested directly VND111bn, expecting to further invest through subsdiaries Ha Thuan Hung (Phu Gia Hung) and Long Kim Phat</t>
  </si>
  <si>
    <t xml:space="preserve">15% of 70ha will be for villa land plot sales. The rest is for resort/recreational services that DXG will save for another developer to take charge. </t>
  </si>
  <si>
    <t>Land cost of about &gt;VND100bn</t>
  </si>
  <si>
    <t>The company expects to start paying land fees in Jan, then receive the investment certificate, start construction after Tet and start pre-sales in June.</t>
  </si>
  <si>
    <t xml:space="preserve">DXG's rationale to invest </t>
  </si>
  <si>
    <t>Phu Quoc will be upgraded to Urban area this June</t>
  </si>
  <si>
    <t>DXG's land is adjacent to VIC's 300ha area, in which VIC is building service areas and expects to complete in June</t>
  </si>
  <si>
    <t>https://www.vcsc.com.vn/Shared/Views/Web/MessagesDetail.aspx?id=138518&amp;lang=en-us&amp;menuID=4&amp;CatID=1219</t>
  </si>
  <si>
    <t>DXG's 2014 secondary investments</t>
  </si>
  <si>
    <t>Topaz Garden (Tan Phu, HCMC)</t>
  </si>
  <si>
    <t>My Son (Hanoi)</t>
  </si>
  <si>
    <t>DXG guidance</t>
  </si>
  <si>
    <t>Residential sales</t>
  </si>
  <si>
    <t>Traditional brokerage</t>
  </si>
  <si>
    <t>Secondary investment</t>
  </si>
  <si>
    <t>TOTAL</t>
  </si>
  <si>
    <t>SG&amp;A at parent company level</t>
  </si>
  <si>
    <t>Consolidated PBT</t>
  </si>
  <si>
    <t>VCSC forecast</t>
  </si>
  <si>
    <t>GP</t>
  </si>
  <si>
    <t>Other services</t>
  </si>
  <si>
    <t>Net financial income</t>
  </si>
  <si>
    <t>Diluted number of shares</t>
  </si>
  <si>
    <t>2014 EPS</t>
  </si>
  <si>
    <t>Unadjusted 2013 NOSH</t>
  </si>
  <si>
    <t>Adjusted 2013 NOSH</t>
  </si>
  <si>
    <t>2013 diluted EPS</t>
  </si>
  <si>
    <t>2014 EPS growth</t>
  </si>
  <si>
    <t>DX Mien Bac</t>
  </si>
  <si>
    <t>dat chi tieu nam</t>
  </si>
  <si>
    <t>My Son</t>
  </si>
  <si>
    <t>ban xong 1/2 -&gt; 2/3</t>
  </si>
  <si>
    <t>Revenue 85, Profit 35, book Q3</t>
  </si>
  <si>
    <t>Golden West</t>
  </si>
  <si>
    <t>dat coc -&gt; hop dong : 80% conversion ratio</t>
  </si>
  <si>
    <t>DX Mien Nam</t>
  </si>
  <si>
    <t>Topaz Garden</t>
  </si>
  <si>
    <t>ban het 1 block, block 2 dang ban</t>
  </si>
  <si>
    <t>DX Mien Trung</t>
  </si>
  <si>
    <t>list cap nhat du an thu cap?</t>
  </si>
  <si>
    <t>breakdown revenue, profit Q2</t>
  </si>
  <si>
    <t>2 hop dong da ky</t>
  </si>
  <si>
    <t>Cong ty doi tac da chot hop DHCD</t>
  </si>
  <si>
    <t>Vincom - Tan Cang, Cang Sai Gon</t>
  </si>
  <si>
    <t>hoan doi co phieu trong cong ty con</t>
  </si>
  <si>
    <t>Vista, the estella : high end hot hang (40tr/m2)</t>
  </si>
  <si>
    <t>DXG tro thanh co dong chien luoc, controlling interest cua cong ty do</t>
  </si>
  <si>
    <t>Tan Son Nhat Binh Loi (metro station)</t>
  </si>
  <si>
    <t>Tuyen duong vanh dai 2-3 dang lam =&gt; ket noi toi Q9</t>
  </si>
  <si>
    <t>51% con lai, mua cuoi nam</t>
  </si>
  <si>
    <t>Di doi, den bu giai toa, dau tu co so ha tang (20% de du dk chuyen nhuong du an)</t>
  </si>
  <si>
    <t>Metropolis - Vincom, Eximbank (1000 units, chuyen no thanh san pham), techcombank, Binh Thien An</t>
  </si>
  <si>
    <t>100% 88 bn, 49% 37.9bn,</t>
  </si>
  <si>
    <t>2-2.5 nam xay, 8 block + 2 block thuong mai, 160,000 dien tich thuong mai ~ mega mall (cau sai gon di xuong ben trai), metro station ngay truoc mat.</t>
  </si>
  <si>
    <t>gia ban chac khoang 30tr/m2</t>
  </si>
  <si>
    <t>Dong tien su dung dat: 2xx bn</t>
  </si>
  <si>
    <t>Riverside</t>
  </si>
  <si>
    <t>800:1200</t>
  </si>
  <si>
    <t>3 new project</t>
  </si>
  <si>
    <t>gan Riverside</t>
  </si>
  <si>
    <t>8000m2</t>
  </si>
  <si>
    <t>"Hiep Binh Chanh"</t>
  </si>
  <si>
    <t>duong 20, khuc giua mua 8000 m2 (chung cu)</t>
  </si>
  <si>
    <t>7000m2</t>
  </si>
  <si>
    <t>dat nen (35 unit), loi nhuan 20-30bn NPAT.</t>
  </si>
  <si>
    <t>Ben Chuong Duong, mat tien dai lo Dong Tay, Q1</t>
  </si>
  <si>
    <t>xay tho xong roi, chua hoan thien, 600-700bn mua lai, tien xay dung bo them khoang 200bn, profit ~300bn</t>
  </si>
  <si>
    <t>Nguyen Duy Trinh - phuong Binh Trung Tay Binh Trung Dong</t>
  </si>
  <si>
    <t>Revenue 137bn</t>
  </si>
  <si>
    <t>Q2 result</t>
  </si>
  <si>
    <t>Goldhill</t>
  </si>
  <si>
    <t>Q3 : Goldhill, My Son, Topaz</t>
  </si>
  <si>
    <t>Topaz, Le Van Thiem</t>
  </si>
  <si>
    <t>My Son - 1 phan</t>
  </si>
  <si>
    <t>Doi sang thang 9</t>
  </si>
  <si>
    <t>Viet Phuong -&gt; Viet A Bank</t>
  </si>
  <si>
    <t>ho so doi bo sung 15/08 bao cao hop nhat Q2</t>
  </si>
  <si>
    <t>hoan thanh phap ly Green City cho thu tuc phat hanh von</t>
  </si>
  <si>
    <t>6 thang sau dot phat hanh truoc</t>
  </si>
  <si>
    <t>Sunview Town 3</t>
  </si>
  <si>
    <t>Thong tu 01 - future homes collateral</t>
  </si>
  <si>
    <t>SG&amp;A/Revenue</t>
  </si>
  <si>
    <t>Other (5% total Rev)</t>
  </si>
  <si>
    <t>FIFE</t>
  </si>
  <si>
    <t>Financial income:</t>
  </si>
  <si>
    <t>Dividend income</t>
  </si>
  <si>
    <t>Deposit</t>
  </si>
  <si>
    <t>Divestment</t>
  </si>
  <si>
    <t>Financial expense:</t>
  </si>
  <si>
    <t>D/E assumption</t>
  </si>
  <si>
    <t>Other income/expense</t>
  </si>
  <si>
    <t>Net other income/expense</t>
  </si>
  <si>
    <t>Other income</t>
  </si>
  <si>
    <t>Other expense</t>
  </si>
  <si>
    <t>Forex</t>
  </si>
  <si>
    <t>Net FIFE</t>
  </si>
  <si>
    <t>Interest rate %</t>
  </si>
  <si>
    <t>OB</t>
  </si>
  <si>
    <t>Addition</t>
  </si>
  <si>
    <t>Ending</t>
  </si>
  <si>
    <t>Right issues</t>
  </si>
  <si>
    <t>Adjusted price</t>
  </si>
  <si>
    <t>Private placement + Right issue</t>
  </si>
  <si>
    <t>540 unit around 85sqm/unit</t>
  </si>
  <si>
    <t>Project acquisition</t>
  </si>
  <si>
    <t>Long-term debt</t>
  </si>
  <si>
    <t>Capital</t>
  </si>
  <si>
    <t>D/E ratio</t>
  </si>
  <si>
    <t>80% sold</t>
  </si>
  <si>
    <t>CASH FLOW</t>
  </si>
  <si>
    <t>Right issue</t>
  </si>
  <si>
    <t>Share dividend</t>
  </si>
  <si>
    <t>Current share outstanding</t>
  </si>
  <si>
    <t>Adjusted share price</t>
  </si>
  <si>
    <t>Discounted RNAV</t>
  </si>
  <si>
    <t>CAGR</t>
  </si>
  <si>
    <t>Cash and cash equivalent</t>
  </si>
  <si>
    <t>D/E</t>
  </si>
  <si>
    <t>ROA</t>
  </si>
  <si>
    <t>Binh Duong Riverside</t>
  </si>
  <si>
    <t>1st layer</t>
  </si>
  <si>
    <t>2nd layer</t>
  </si>
  <si>
    <t>Financial expense</t>
  </si>
  <si>
    <t>Project</t>
  </si>
  <si>
    <t>Total number of units</t>
  </si>
  <si>
    <t>Selling period (month)</t>
  </si>
  <si>
    <t>Selling rate</t>
  </si>
  <si>
    <t>(unit/month)</t>
  </si>
  <si>
    <t>Phu Gia Hung</t>
  </si>
  <si>
    <t>Sunview Town 1&amp;2</t>
  </si>
  <si>
    <t>Sunview Town 3 (block Ruby)</t>
  </si>
  <si>
    <t>Sunview Town 3 (block Sapphire)</t>
  </si>
  <si>
    <t>Average selling rate</t>
  </si>
  <si>
    <t>Discount 10%</t>
  </si>
  <si>
    <t>HCMC</t>
  </si>
  <si>
    <t>Dong Nai</t>
  </si>
  <si>
    <t>Land costs</t>
  </si>
  <si>
    <t>Construction costs</t>
  </si>
  <si>
    <t>SG&amp;A and interest expense</t>
  </si>
  <si>
    <t>Expected investment</t>
  </si>
  <si>
    <t>Capital invested</t>
  </si>
  <si>
    <t>To be injected</t>
  </si>
  <si>
    <t>Dự án</t>
  </si>
  <si>
    <t xml:space="preserve">Địa điểm </t>
  </si>
  <si>
    <t>Tình trạng (Đã ký HĐ/Đang thương thuyết)</t>
  </si>
  <si>
    <t>Quy mô (số căn hộ, đất nền)</t>
  </si>
  <si>
    <t>Tổng giá trị</t>
  </si>
  <si>
    <t>Unit price</t>
  </si>
  <si>
    <t>Profit margin</t>
  </si>
  <si>
    <t>LN chênh lệch</t>
  </si>
  <si>
    <t>Unit sold</t>
  </si>
  <si>
    <t>Unrecognized value</t>
  </si>
  <si>
    <t>Unrecognized profit</t>
  </si>
  <si>
    <t>Tình trạng bán hàng</t>
  </si>
  <si>
    <t>Miền Bắc</t>
  </si>
  <si>
    <t>Lê Văn Thiêm, Q Thanh Xuân, Hà Nội</t>
  </si>
  <si>
    <t>Đã ký</t>
  </si>
  <si>
    <t>Đã bán hết 100%</t>
  </si>
  <si>
    <t xml:space="preserve">Mỹ Sơn </t>
  </si>
  <si>
    <t>Nguyễn Huy Tưởng, Q Thanh Xuân, Hà Nội</t>
  </si>
  <si>
    <t>Đã bán được 203 sp</t>
  </si>
  <si>
    <t>Hoàng Văn Thụ</t>
  </si>
  <si>
    <t>Q Hoàng Mai, Hà Nội</t>
  </si>
  <si>
    <t>Sẽ triển khai bán trong 2015</t>
  </si>
  <si>
    <t>Viêt Hưng</t>
  </si>
  <si>
    <t>Q Long Biên Hà Nội</t>
  </si>
  <si>
    <t>Thương thảo</t>
  </si>
  <si>
    <t>Miền Nam</t>
  </si>
  <si>
    <t>4S</t>
  </si>
  <si>
    <t>Đường 30, P. Linh Đông, Q Thủ Đức</t>
  </si>
  <si>
    <t>Đã bán hết 100%,</t>
  </si>
  <si>
    <t>SV3</t>
  </si>
  <si>
    <t>Phạm Văn Chiêu Q Gò Vấp</t>
  </si>
  <si>
    <t>Đã ký kết GĐ 3, dự kiến bán hàng trong Q4-2014</t>
  </si>
  <si>
    <t>Việt Phát</t>
  </si>
  <si>
    <t>Trịnh Đình Thảo Q Tân Phú</t>
  </si>
  <si>
    <t>Đã bán xong 80% sp</t>
  </si>
  <si>
    <t>Bình Trị Đông</t>
  </si>
  <si>
    <t>Bình Tân</t>
  </si>
  <si>
    <t>Dự kiến triển khai bán hàng trong T10/2014</t>
  </si>
  <si>
    <t>Miền Trung</t>
  </si>
  <si>
    <t>Ngân Câu Ngân Giang GĐ3</t>
  </si>
  <si>
    <t>Xã Điện Ngọc, Điện Bàn, Quảng Nam</t>
  </si>
  <si>
    <t>Đã bán hết 100% Sp, dự kiến ký tiếp giai đoạn 4 của dự án trong tháng ngày</t>
  </si>
  <si>
    <t>Đà Năng</t>
  </si>
  <si>
    <t>Đã bán hơn 50% Sp dự án</t>
  </si>
  <si>
    <t>Đông Nam Bộ</t>
  </si>
  <si>
    <t>DA Đồng Nai</t>
  </si>
  <si>
    <t>Biên Hòa, Đồng Nai</t>
  </si>
  <si>
    <t>Sẽ triền khai bán trong Q4/2014</t>
  </si>
  <si>
    <t>Lịch thanh toán tiền</t>
  </si>
  <si>
    <t>Ước tính thời gian xây dựng</t>
  </si>
  <si>
    <t>Tiến độ thi công</t>
  </si>
  <si>
    <t>30%, 10% (floor 4), 10% (floor 12), 10% (floor 20), 10% (floor 30), 30% handover</t>
  </si>
  <si>
    <t>3 (đầu Q1 2013 - cuối 2015, đầu 2016), 30 floors</t>
  </si>
  <si>
    <t>25%, 10% (floor 3), 10% (floor 9), 10% (floor 15), 15% (cất nóc), 30% bàn giao</t>
  </si>
  <si>
    <t>24 floors (Q1 2012 - Q1 2016)</t>
  </si>
  <si>
    <t>Floor 3 (2floor per month)</t>
  </si>
  <si>
    <t>Floor 2 or 3 (2 floor per month)</t>
  </si>
  <si>
    <t>20%, 10% (basement), 10% (floor 5), 10% (floor 10), 10% (floor 15), 10% (floor 20),
30% handover</t>
  </si>
  <si>
    <t>20 floors</t>
  </si>
  <si>
    <t>20%, 7.5% (floor 3), 7.5% (floor 6), 7.5% (floor 10),7.5% (floor 14), 5% cat noc, 5% xay to floor 3, 5% xay to floor 6, 5% xay to floor 10, 30% handover</t>
  </si>
  <si>
    <t xml:space="preserve">3 block 15 floor, 1 block 20 floor, total 1,116 units, </t>
  </si>
  <si>
    <t>block nao?</t>
  </si>
  <si>
    <t>Past 
(up to Sep 14)</t>
  </si>
  <si>
    <t>Contract value</t>
  </si>
  <si>
    <t>Net Cash inflows</t>
  </si>
  <si>
    <t>% received</t>
  </si>
  <si>
    <t>Brokerage + SI</t>
  </si>
  <si>
    <t>SI</t>
  </si>
  <si>
    <t>Add SI</t>
  </si>
  <si>
    <t>Tools and supply</t>
  </si>
  <si>
    <t>DXG Construction 's CIP</t>
  </si>
  <si>
    <t>The Morning Star</t>
  </si>
  <si>
    <t>VNDmn</t>
  </si>
  <si>
    <t>Viva City's income</t>
  </si>
  <si>
    <t>Interest after tax</t>
  </si>
  <si>
    <t>% revenue of BK</t>
  </si>
  <si>
    <t>Working capital</t>
  </si>
  <si>
    <t>Gross development value</t>
  </si>
  <si>
    <t>Sunview:</t>
  </si>
  <si>
    <t>Free cash flow to the firm:</t>
  </si>
  <si>
    <t>Change in WC</t>
  </si>
  <si>
    <t>Capital structure</t>
  </si>
  <si>
    <t>Total liabilties</t>
  </si>
  <si>
    <t>Other short-term liabilities % inventory</t>
  </si>
  <si>
    <t>Sold new projects</t>
  </si>
  <si>
    <t>Parent</t>
  </si>
  <si>
    <t>Conso</t>
  </si>
  <si>
    <t>Revenue deduction</t>
  </si>
  <si>
    <t>Gross revenue</t>
  </si>
  <si>
    <t>Selling expense</t>
  </si>
  <si>
    <t>SG&amp;A expense</t>
  </si>
  <si>
    <t>Financial income</t>
  </si>
  <si>
    <t>Q3</t>
  </si>
  <si>
    <t>9 months</t>
  </si>
  <si>
    <t>Profit/(loss) shared</t>
  </si>
  <si>
    <t>Minority interest</t>
  </si>
  <si>
    <t>NPAT common</t>
  </si>
  <si>
    <t>Dif</t>
  </si>
  <si>
    <t>Residential projects</t>
  </si>
  <si>
    <t>Secondary investment value</t>
  </si>
  <si>
    <t>Net liquid asset</t>
  </si>
  <si>
    <t>Projects</t>
  </si>
  <si>
    <t>Location</t>
  </si>
  <si>
    <t>Land area</t>
  </si>
  <si>
    <t>No. of unit</t>
  </si>
  <si>
    <t>Coverage</t>
  </si>
  <si>
    <t>No. of floor</t>
  </si>
  <si>
    <t>Profit</t>
  </si>
  <si>
    <t>Sales period</t>
  </si>
  <si>
    <t>Revenue recognition</t>
  </si>
  <si>
    <t>Hiep Binh Phuoc</t>
  </si>
  <si>
    <t>1.2 ha</t>
  </si>
  <si>
    <t>700 apartments</t>
  </si>
  <si>
    <t>40-45%</t>
  </si>
  <si>
    <t>Dien Bien Phu</t>
  </si>
  <si>
    <t>7000 sqm</t>
  </si>
  <si>
    <t>418 apartments</t>
  </si>
  <si>
    <t>33-40%</t>
  </si>
  <si>
    <t>2015-2016</t>
  </si>
  <si>
    <t>2017-2018</t>
  </si>
  <si>
    <t>Cang hoa qua</t>
  </si>
  <si>
    <t>Q7</t>
  </si>
  <si>
    <t>1.2 ha, 9800 sqm land</t>
  </si>
  <si>
    <t>547 apartments</t>
  </si>
  <si>
    <t>Q3 2015</t>
  </si>
  <si>
    <t>2016-2017</t>
  </si>
  <si>
    <t>C15 Viet Hung</t>
  </si>
  <si>
    <t>HN</t>
  </si>
  <si>
    <t>1.6ha</t>
  </si>
  <si>
    <t>406 apartments</t>
  </si>
  <si>
    <t>T7 2015</t>
  </si>
  <si>
    <t>TK 21</t>
  </si>
  <si>
    <t>7481 sqm</t>
  </si>
  <si>
    <t>380 apartments</t>
  </si>
  <si>
    <t>T5 2015</t>
  </si>
  <si>
    <t>total 2015 investment</t>
  </si>
  <si>
    <t>Q4</t>
  </si>
  <si>
    <t>Cash inflow</t>
  </si>
  <si>
    <t>PP</t>
  </si>
  <si>
    <t>Thieu</t>
  </si>
  <si>
    <t>phut 16 pause</t>
  </si>
  <si>
    <t>Tan Thuan</t>
  </si>
  <si>
    <t>Viet Hung</t>
  </si>
  <si>
    <t>Infrastructure in progress</t>
  </si>
  <si>
    <t>Other (12% total Rev)</t>
  </si>
  <si>
    <t>Financial Statements</t>
  </si>
  <si>
    <t>Key Metrics</t>
  </si>
  <si>
    <t>2015F</t>
  </si>
  <si>
    <t>2016F</t>
  </si>
  <si>
    <t>Fully diluted share count</t>
  </si>
  <si>
    <t>2014A</t>
  </si>
  <si>
    <t>Total LT assets</t>
  </si>
  <si>
    <t>Profitability</t>
  </si>
  <si>
    <t>NPAT margin %</t>
  </si>
  <si>
    <t>Efficiency</t>
  </si>
  <si>
    <t>Days AR</t>
  </si>
  <si>
    <t>Days AP</t>
  </si>
  <si>
    <t>1Q</t>
  </si>
  <si>
    <t>2Q</t>
  </si>
  <si>
    <t>3Q</t>
  </si>
  <si>
    <t>4Q</t>
  </si>
  <si>
    <t>YTD</t>
  </si>
  <si>
    <t>VCSC fcst</t>
  </si>
  <si>
    <t>Revenues</t>
  </si>
  <si>
    <t>GP margin (%)</t>
  </si>
  <si>
    <t>OP margin (%)</t>
  </si>
  <si>
    <t>Discounted NAV</t>
  </si>
  <si>
    <t>Q1</t>
  </si>
  <si>
    <t>Q2</t>
  </si>
  <si>
    <t>2015E</t>
  </si>
  <si>
    <t xml:space="preserve">NPAT </t>
  </si>
  <si>
    <t>Earnings per share</t>
  </si>
  <si>
    <t>Gross margin RE</t>
  </si>
  <si>
    <t>RE</t>
  </si>
  <si>
    <t>Gross margin Brokerage</t>
  </si>
  <si>
    <t>Gross margin construction</t>
  </si>
  <si>
    <t>Gross profit brokerage</t>
  </si>
  <si>
    <t>Gross profit construction</t>
  </si>
  <si>
    <t>Gross profit RE</t>
  </si>
  <si>
    <t>COGS - RE</t>
  </si>
  <si>
    <t>COGS - Construction</t>
  </si>
  <si>
    <t>COGS - Brokerage</t>
  </si>
  <si>
    <t>3B Riverside</t>
  </si>
  <si>
    <t>Arisen</t>
  </si>
  <si>
    <t>Total income</t>
  </si>
  <si>
    <t>Real Estate</t>
  </si>
  <si>
    <t>DXG target</t>
  </si>
  <si>
    <t>Net profit</t>
  </si>
  <si>
    <t>N.M</t>
  </si>
  <si>
    <t>Viva</t>
  </si>
  <si>
    <t>Sunview</t>
  </si>
  <si>
    <t>Booked</t>
  </si>
  <si>
    <t>Unbooked sales contract</t>
  </si>
  <si>
    <t>Balance</t>
  </si>
  <si>
    <t>No.</t>
  </si>
  <si>
    <t>DXG’s stake</t>
  </si>
  <si>
    <t>No. Of units</t>
  </si>
  <si>
    <t>Product type</t>
  </si>
  <si>
    <t>DXG total investment (VNDbn)</t>
  </si>
  <si>
    <t>DXG Northern</t>
  </si>
  <si>
    <t>Apartment</t>
  </si>
  <si>
    <t>Hoang Van Thu</t>
  </si>
  <si>
    <t>CIRI Kim Giang</t>
  </si>
  <si>
    <t>CT2B</t>
  </si>
  <si>
    <t>360 Giai Phong</t>
  </si>
  <si>
    <t>Nghia Do phase 2</t>
  </si>
  <si>
    <t>DXG Central</t>
  </si>
  <si>
    <t>An Vien</t>
  </si>
  <si>
    <t>DXG Southern</t>
  </si>
  <si>
    <t>Thanh Thai phase 1</t>
  </si>
  <si>
    <t>Topaz City</t>
  </si>
  <si>
    <t>Saigonres</t>
  </si>
  <si>
    <t>Truong Thinh</t>
  </si>
  <si>
    <t>Binh Dang</t>
  </si>
  <si>
    <t>Thanh Thai phase 2</t>
  </si>
  <si>
    <t>1Q13</t>
  </si>
  <si>
    <t>2Q13</t>
  </si>
  <si>
    <t>3Q13</t>
  </si>
  <si>
    <t>4Q13</t>
  </si>
  <si>
    <t>1Q14</t>
  </si>
  <si>
    <t>2Q14</t>
  </si>
  <si>
    <t>3Q14</t>
  </si>
  <si>
    <t>4Q14</t>
  </si>
  <si>
    <t>1Q15</t>
  </si>
  <si>
    <t>Brokerage revenue</t>
  </si>
  <si>
    <t>FY15</t>
  </si>
  <si>
    <t>MI</t>
  </si>
  <si>
    <t>2Q15</t>
  </si>
  <si>
    <t>3Q15</t>
  </si>
  <si>
    <t>4Q15</t>
  </si>
  <si>
    <t>Number of unit launched</t>
  </si>
  <si>
    <t>Sales launched</t>
  </si>
  <si>
    <t>Total group investment</t>
  </si>
  <si>
    <t>1Q15 (T2)</t>
  </si>
  <si>
    <t>1Q16 (T2)</t>
  </si>
  <si>
    <t>4Q14 (T12)</t>
  </si>
  <si>
    <t>3Q14 (T9)</t>
  </si>
  <si>
    <t>3Q14 (T7)</t>
  </si>
  <si>
    <t>4Q14 (T11,T12)</t>
  </si>
  <si>
    <t>2Q15 (T5)</t>
  </si>
  <si>
    <t>3Q15 (T9)</t>
  </si>
  <si>
    <t>4Q15 (T10)</t>
  </si>
  <si>
    <t>2Q15 (T6)</t>
  </si>
  <si>
    <t xml:space="preserve">   Brokerage</t>
  </si>
  <si>
    <t xml:space="preserve">   Real Estate</t>
  </si>
  <si>
    <t xml:space="preserve">   Construction</t>
  </si>
  <si>
    <t>Sales &amp; marketing exp</t>
  </si>
  <si>
    <t>General admin exp</t>
  </si>
  <si>
    <t>Non-operating profit</t>
  </si>
  <si>
    <t>NPAT (after minority interest)</t>
  </si>
  <si>
    <t>Gross profit margin %</t>
  </si>
  <si>
    <t xml:space="preserve">   Brokerage GPM%</t>
  </si>
  <si>
    <t xml:space="preserve">   Real estate GPM%</t>
  </si>
  <si>
    <t xml:space="preserve">   Construction GPM%</t>
  </si>
  <si>
    <t>Sales &amp; marketing % sales</t>
  </si>
  <si>
    <t>General admin % sales</t>
  </si>
  <si>
    <t>Operating profit margin %</t>
  </si>
  <si>
    <t>EBIT margin %</t>
  </si>
  <si>
    <t>EBITDA margin %</t>
  </si>
  <si>
    <t>Effective tax rate %</t>
  </si>
  <si>
    <t>FY14A</t>
  </si>
  <si>
    <t>FY15 forecast (old)</t>
  </si>
  <si>
    <t>FY15 forecast (new)</t>
  </si>
  <si>
    <t>Gold Hill Revenue</t>
  </si>
  <si>
    <t>Sunview Town Revenue</t>
  </si>
  <si>
    <t>Construction Revenue</t>
  </si>
  <si>
    <t>Brokerage Revenue</t>
  </si>
  <si>
    <t>1Q15A</t>
  </si>
  <si>
    <t>2Q15F</t>
  </si>
  <si>
    <t>3Q15F</t>
  </si>
  <si>
    <t>4Q15F</t>
  </si>
  <si>
    <t>% DXG Ownership</t>
  </si>
  <si>
    <t>Land area (sqm)</t>
  </si>
  <si>
    <t>GFA (sqm)</t>
  </si>
  <si>
    <t>BIVI</t>
  </si>
  <si>
    <t>Thu Duc, HCMC</t>
  </si>
  <si>
    <t>Tam Da</t>
  </si>
  <si>
    <t>CT15</t>
  </si>
  <si>
    <t>Long Bien, Ha Noi</t>
  </si>
  <si>
    <t>TK21</t>
  </si>
  <si>
    <t>District 7, HCMC</t>
  </si>
  <si>
    <t>Tam Thong</t>
  </si>
  <si>
    <t>District 8, HCMC</t>
  </si>
  <si>
    <t>Today price</t>
  </si>
  <si>
    <t>NPAT (VND'b)</t>
  </si>
  <si>
    <t>Year-end share count (mn)</t>
  </si>
  <si>
    <t>Adjusted year-end share count</t>
  </si>
  <si>
    <t>ESOP</t>
  </si>
  <si>
    <t>Share dividend (to be issued)</t>
  </si>
  <si>
    <t>Total Equity</t>
  </si>
  <si>
    <t>Book value</t>
  </si>
  <si>
    <t>PBR at market price</t>
  </si>
  <si>
    <t>Financial expenses</t>
  </si>
  <si>
    <t>Shared profit/loss from associates</t>
  </si>
  <si>
    <t>Net other income/expenses</t>
  </si>
  <si>
    <t>Cash &amp; cash equivalents</t>
  </si>
  <si>
    <t> - COGS</t>
  </si>
  <si>
    <t>Short term investment</t>
  </si>
  <si>
    <t>Gross Profit</t>
  </si>
  <si>
    <t>Accounts receivables</t>
  </si>
  <si>
    <t xml:space="preserve"> - Sales &amp; Marketing exp</t>
  </si>
  <si>
    <t>Inventories</t>
  </si>
  <si>
    <t xml:space="preserve"> - General &amp; Admin exp</t>
  </si>
  <si>
    <t>Other current assets</t>
  </si>
  <si>
    <t>Operating Profit (EBIT)</t>
  </si>
  <si>
    <t>Total Current assets</t>
  </si>
  <si>
    <t> - Financial income</t>
  </si>
  <si>
    <t xml:space="preserve"> - Financial expenses</t>
  </si>
  <si>
    <t>Fix assets, gross</t>
  </si>
  <si>
    <t> - Share profit/loss fr associates</t>
  </si>
  <si>
    <t xml:space="preserve"> - Depreciation</t>
  </si>
  <si>
    <t> - Net other income/(loss)</t>
  </si>
  <si>
    <t>Fix assets, net</t>
  </si>
  <si>
    <t>Profit before Tax</t>
  </si>
  <si>
    <t>LT investment</t>
  </si>
  <si>
    <t>  - Income Tax</t>
  </si>
  <si>
    <t>LT assets other</t>
  </si>
  <si>
    <t>NPAT before MI</t>
  </si>
  <si>
    <t>  - Minority Interest</t>
  </si>
  <si>
    <t>Accounts payable</t>
  </si>
  <si>
    <t> Long term debt</t>
  </si>
  <si>
    <t>EPS basic reported, VND</t>
  </si>
  <si>
    <t>Other LT liabilities</t>
  </si>
  <si>
    <t>Preferred Equity</t>
  </si>
  <si>
    <t>RATIOS</t>
  </si>
  <si>
    <t>Paid in capital/Issued capital</t>
  </si>
  <si>
    <t>Add. share capital/sh. premium</t>
  </si>
  <si>
    <t>Rev growth</t>
  </si>
  <si>
    <t>Retained earnings</t>
  </si>
  <si>
    <t>Op. profit (EBIT) growth %</t>
  </si>
  <si>
    <t>Other equity</t>
  </si>
  <si>
    <t>PBT growth</t>
  </si>
  <si>
    <t>Op. profit (EBIT) margin</t>
  </si>
  <si>
    <t>Beginning Cash Balance</t>
  </si>
  <si>
    <t>NPAT less MI, adj. margin</t>
  </si>
  <si>
    <t>Dep. &amp; amortization </t>
  </si>
  <si>
    <t>Change in Working Capital</t>
  </si>
  <si>
    <t>Other adjustments</t>
  </si>
  <si>
    <t>Days Inventory On Hand</t>
  </si>
  <si>
    <t>Capital Expenditures, net</t>
  </si>
  <si>
    <t>Investments, net</t>
  </si>
  <si>
    <t>Cash from Investing</t>
  </si>
  <si>
    <t>Cash Conversion Days</t>
  </si>
  <si>
    <t>Dividends Paid</t>
  </si>
  <si>
    <t>∆ in Share Capital</t>
  </si>
  <si>
    <t>∆ in LT debt</t>
  </si>
  <si>
    <t>Current Ratio</t>
  </si>
  <si>
    <t>∆ in ST debt</t>
  </si>
  <si>
    <t>Quick Ratio</t>
  </si>
  <si>
    <t>Other financing cash flows </t>
  </si>
  <si>
    <t>Cash Ratio</t>
  </si>
  <si>
    <t>Debt / Assets</t>
  </si>
  <si>
    <t>Net Change in Cash</t>
  </si>
  <si>
    <t>Debt / Capital</t>
  </si>
  <si>
    <t>Ending Cash Balance</t>
  </si>
  <si>
    <t>Net Debt / Equity</t>
  </si>
  <si>
    <t>Interest Coverage </t>
  </si>
  <si>
    <t>Extraordinary items</t>
  </si>
  <si>
    <t>Net income to common (NPAT after MI)</t>
  </si>
  <si>
    <t>NPAT after MI adjusted for extraordinary items</t>
  </si>
  <si>
    <t>EPS AND P/E CALCULATION TEMPLATE</t>
  </si>
  <si>
    <t>IMPORTANT NOTES:</t>
  </si>
  <si>
    <t>NOTE:</t>
  </si>
  <si>
    <t>figures in blue font should be hard-coded in manually; figures in black font are automatically calculated</t>
  </si>
  <si>
    <t>It is necessary to treat Rights Issues as dilutive because the rights can be transfered and results in a change in capital - similar to a new issuance where the original shareholder will be diluted.</t>
  </si>
  <si>
    <t>COMPANY TICKER</t>
  </si>
  <si>
    <t>The bonus element of rights issue must be calculated. The bonus shares must be added to prior periods. If this is not done, EPS growth will be "penalized" for those shares. Refer to theorectical ex-rights price calculation. In this example for DXG, this HAS NOT been done yet.</t>
  </si>
  <si>
    <t>UPCOMING RIGHTS ISSUE IN 2016</t>
  </si>
  <si>
    <t>Rights Issue/Placement</t>
  </si>
  <si>
    <t>We will forego time adjustments and will assume capital is raised at the beginning of the year. This is to "contain" the full dilution impact within the same year. Using weighted average will allow the dilution to "spill over" resulting in lower EPS growth in the following year. I feel it is more important to understand the what is happening in terms of capital changes versus pursuing pinpoint accuracy. To see an example of this effect change Time Weight from 100% to 50% in year to 2013 then check impact on EPS growth vs. NPAT growth.</t>
  </si>
  <si>
    <t>Theorectical Ex-Rights Price</t>
  </si>
  <si>
    <t>Exercise Price</t>
  </si>
  <si>
    <t>Include upcoming Rights Issue</t>
  </si>
  <si>
    <t>Fair value shares</t>
  </si>
  <si>
    <t>If we include upcoming share expansions that result in change in capital, it is necessary to adjust the stock price to calculate multiples.</t>
  </si>
  <si>
    <t>Current reporting year</t>
  </si>
  <si>
    <t>2015</t>
  </si>
  <si>
    <t>Bonus element</t>
  </si>
  <si>
    <t>If upcoming share expansion does not result in change in capital, use market price, as there will be no changes in EPS growth or PER.</t>
  </si>
  <si>
    <t>TIME WEIGHT</t>
  </si>
  <si>
    <t>NPAT less MI, adjusted</t>
  </si>
  <si>
    <t>NPAT less Minority Interest, excluding after tax exceptional items and deduct contribution to employee bonus</t>
  </si>
  <si>
    <t>Begin</t>
  </si>
  <si>
    <t>Breakdown of new shares added each year:</t>
  </si>
  <si>
    <t>Dilutive - Change in capital resources</t>
  </si>
  <si>
    <t>Follow-on share offerings</t>
  </si>
  <si>
    <t>Rights issue (fair value)</t>
  </si>
  <si>
    <t>Note I have made abitrary changes to completed rights issues i.e split fair and bonus to illustrate. These are not actual figures. Rights issue for 2016 is properly calculated</t>
  </si>
  <si>
    <t>Non-Dilutive - no change in capital resources</t>
  </si>
  <si>
    <t>Rights issue (bonus element)</t>
  </si>
  <si>
    <t>For further reference see link below.</t>
  </si>
  <si>
    <t>Bonus shares</t>
  </si>
  <si>
    <t>http://accounting-simplified.com/ifrs/ias-33-eps/basic/rights-issue.html#adjustment</t>
  </si>
  <si>
    <t>Year end count unadjusted</t>
  </si>
  <si>
    <t>Adjusted share count (m)</t>
  </si>
  <si>
    <t>Unadjusted EPS</t>
  </si>
  <si>
    <t>Adjusted EPS</t>
  </si>
  <si>
    <t>Going forward, C200 requires adjustment for employee bonus, we will start applying this treatment now</t>
  </si>
  <si>
    <t>Adj EPS growth</t>
  </si>
  <si>
    <t>NPAT growth</t>
  </si>
  <si>
    <t>NPAT less MI, reported</t>
  </si>
  <si>
    <t>EPS basic reported</t>
  </si>
  <si>
    <t>EPS fully diluted</t>
  </si>
  <si>
    <t>Adjusted share count (basic)</t>
  </si>
  <si>
    <t>EPS basic adjusted</t>
  </si>
  <si>
    <t>Fully diluted shares</t>
  </si>
  <si>
    <t>Interest capitalised</t>
  </si>
  <si>
    <t>Total interest</t>
  </si>
  <si>
    <t>Effective tax rate</t>
  </si>
  <si>
    <t>Tan Kieng</t>
  </si>
  <si>
    <t>land</t>
  </si>
  <si>
    <t>Acquisition price</t>
  </si>
  <si>
    <t>Mỹ Sơn</t>
  </si>
  <si>
    <t>Utilisation</t>
  </si>
  <si>
    <t>NPV</t>
  </si>
  <si>
    <t>CIT rate</t>
  </si>
  <si>
    <t>Interest rate</t>
  </si>
  <si>
    <t>% Debt / Total investment assumption</t>
  </si>
  <si>
    <t xml:space="preserve">VCSC standard --&gt; </t>
  </si>
  <si>
    <t>Infra Cost - non MLA</t>
  </si>
  <si>
    <t>Payment progress</t>
  </si>
  <si>
    <t>Land</t>
  </si>
  <si>
    <t>Infra</t>
  </si>
  <si>
    <t>--&gt; GDV est.</t>
  </si>
  <si>
    <t>Construction payment progress</t>
  </si>
  <si>
    <t>Cash outflows</t>
  </si>
  <si>
    <t>Construction recognition</t>
  </si>
  <si>
    <t>Land + infra cost recognition</t>
  </si>
  <si>
    <t>Cost recognition</t>
  </si>
  <si>
    <t>--&gt; Adj of bonus welfare fund (C200)</t>
  </si>
  <si>
    <t>For IRR --&gt;</t>
  </si>
  <si>
    <t>GPM</t>
  </si>
  <si>
    <t>Net profit margin</t>
  </si>
  <si>
    <r>
      <t>NPAT less MI, reported</t>
    </r>
    <r>
      <rPr>
        <vertAlign val="superscript"/>
        <sz val="8"/>
        <color theme="1"/>
        <rFont val="Arial"/>
        <family val="2"/>
        <scheme val="major"/>
      </rPr>
      <t> </t>
    </r>
    <r>
      <rPr>
        <b/>
        <vertAlign val="subscript"/>
        <sz val="8"/>
        <color theme="1"/>
        <rFont val="Arial"/>
        <family val="2"/>
        <scheme val="major"/>
      </rPr>
      <t xml:space="preserve"> </t>
    </r>
  </si>
  <si>
    <t>Quarterly Results (as reported)</t>
  </si>
  <si>
    <t xml:space="preserve">     In which, interest expense</t>
  </si>
  <si>
    <t>Short-term debt</t>
  </si>
  <si>
    <t>Other ST liabilities</t>
  </si>
  <si>
    <t>Revenues, VND Billion</t>
  </si>
  <si>
    <t>NPAT guidance, unadjusted</t>
  </si>
  <si>
    <t>NPAT guidance, adjusted</t>
  </si>
  <si>
    <t>Op Profit (EBIT) margin</t>
  </si>
  <si>
    <t>NPAT less MI (adj.) margin</t>
  </si>
  <si>
    <t>Revenue, YoY growth</t>
  </si>
  <si>
    <t>Op Profit (EBIT) YoY growth</t>
  </si>
  <si>
    <t>Real estate</t>
  </si>
  <si>
    <t>Total
equity</t>
  </si>
  <si>
    <t>Net revenue</t>
  </si>
  <si>
    <t>1H15</t>
  </si>
  <si>
    <t>Basic EPS</t>
  </si>
  <si>
    <t>Diluted EPS</t>
  </si>
  <si>
    <t>1H14</t>
  </si>
  <si>
    <t>Delta</t>
  </si>
  <si>
    <t>NP margin</t>
  </si>
  <si>
    <t>Inventory</t>
  </si>
  <si>
    <t>Rev.</t>
  </si>
  <si>
    <t>Tam Thong 1,2</t>
  </si>
  <si>
    <t>Gross development cost</t>
  </si>
  <si>
    <t>Trả trước người bán</t>
  </si>
  <si>
    <t>Ký quỹ ký cược</t>
  </si>
  <si>
    <t>Phải thu khác</t>
  </si>
  <si>
    <t>Hàng tồn kho</t>
  </si>
  <si>
    <t>BDS đầu tư</t>
  </si>
  <si>
    <t>Thu Duc</t>
  </si>
  <si>
    <t>--&gt; Total construction cost</t>
  </si>
  <si>
    <t>Net Debt/Equity</t>
  </si>
  <si>
    <t>406 units</t>
  </si>
  <si>
    <t>Complex</t>
  </si>
  <si>
    <t>BV</t>
  </si>
  <si>
    <t>Add construction</t>
  </si>
  <si>
    <t>EPS basic adjusted, VND </t>
  </si>
  <si>
    <t>EPS fully diluted, VND</t>
  </si>
  <si>
    <t>-0.1 (-0.6 %)</t>
  </si>
  <si>
    <t xml:space="preserve">  </t>
  </si>
  <si>
    <t>-0.3 (-1.8 %)</t>
  </si>
  <si>
    <t>0.9 (5.7 %)</t>
  </si>
  <si>
    <t>-0.4 (-2.5 %)</t>
  </si>
  <si>
    <t>0.2 (1.2 %)</t>
  </si>
  <si>
    <t>0.5 (3.2 %)</t>
  </si>
  <si>
    <t>1.0 (6.8 %)</t>
  </si>
  <si>
    <t>-0.7 (-4.6 %)</t>
  </si>
  <si>
    <t>-1.1 (-6.7 %)</t>
  </si>
  <si>
    <t>-0.2 (-1.2 %)</t>
  </si>
  <si>
    <t>-0.4 (-2.3 %)</t>
  </si>
  <si>
    <t>-0.7 (-3.9 %)</t>
  </si>
  <si>
    <t>0.0 (0.0 %)</t>
  </si>
  <si>
    <t>-0.5 (-2.7 %)</t>
  </si>
  <si>
    <t>-0.7 (-3.7 %)</t>
  </si>
  <si>
    <t>-0.2 (-1.0 %)</t>
  </si>
  <si>
    <t>0.2 (1.0 %)</t>
  </si>
  <si>
    <t>0.3 (1.6 %)</t>
  </si>
  <si>
    <t>0.6 (3.3 %)</t>
  </si>
  <si>
    <t>0.2 (1.1 %)</t>
  </si>
  <si>
    <t>-0.4 (-2.1 %)</t>
  </si>
  <si>
    <t>0.5 (2.7 %)</t>
  </si>
  <si>
    <t>-0.3 (-1.6 %)</t>
  </si>
  <si>
    <t>Gold Hill City</t>
  </si>
  <si>
    <t>VNDb</t>
  </si>
  <si>
    <t>USDm</t>
  </si>
  <si>
    <t>Luxcity</t>
  </si>
  <si>
    <t>Currency unit: VNDmn</t>
  </si>
  <si>
    <t>Capex Summary</t>
  </si>
  <si>
    <t>Financing Summary</t>
  </si>
  <si>
    <t>Terminal Growth (Leasing only)</t>
  </si>
  <si>
    <t>% Debt</t>
  </si>
  <si>
    <t>First Year</t>
  </si>
  <si>
    <t>First Year WACC</t>
  </si>
  <si>
    <t>Current year (End of)</t>
  </si>
  <si>
    <t>Cost of Capital</t>
  </si>
  <si>
    <t>% Equity</t>
  </si>
  <si>
    <t>RNAV Calulation</t>
  </si>
  <si>
    <t>Unit value</t>
  </si>
  <si>
    <t>Total value</t>
  </si>
  <si>
    <t>Total land area</t>
  </si>
  <si>
    <t>M2</t>
  </si>
  <si>
    <t>Marketable land area</t>
  </si>
  <si>
    <t>Land compensation cost</t>
  </si>
  <si>
    <t>VNDmn/M2</t>
  </si>
  <si>
    <t>Land use fees/Convert fees</t>
  </si>
  <si>
    <t>Infra Cost - Non MLA</t>
  </si>
  <si>
    <t>Infrastructure payment progress</t>
  </si>
  <si>
    <t>% payment</t>
  </si>
  <si>
    <t>Utilization rate</t>
  </si>
  <si>
    <t>Selling price - GFA</t>
  </si>
  <si>
    <t>SG&amp;A to cash inflows</t>
  </si>
  <si>
    <t>Price adjusted factor</t>
  </si>
  <si>
    <t>Selling progess</t>
  </si>
  <si>
    <t>Adjusted selling price</t>
  </si>
  <si>
    <t>Cost</t>
  </si>
  <si>
    <t>Construction and infras recognition</t>
  </si>
  <si>
    <t>PBT margin</t>
  </si>
  <si>
    <t>Infrastructure cost</t>
  </si>
  <si>
    <t>Discount factor</t>
  </si>
  <si>
    <t>Total debt required</t>
  </si>
  <si>
    <t>% Disbursement</t>
  </si>
  <si>
    <t>Disbursement</t>
  </si>
  <si>
    <t>Repayment</t>
  </si>
  <si>
    <t>Accumulated cash collection</t>
  </si>
  <si>
    <t>Accumulated revenue recognition</t>
  </si>
  <si>
    <t>Accumulated sales contract</t>
  </si>
  <si>
    <t>% collected</t>
  </si>
  <si>
    <t>Advance from customers</t>
  </si>
  <si>
    <t>Receivable</t>
  </si>
  <si>
    <t>Opening balance</t>
  </si>
  <si>
    <t>Interest capitalized</t>
  </si>
  <si>
    <t>Transferred to COGS</t>
  </si>
  <si>
    <t>* End</t>
  </si>
  <si>
    <t xml:space="preserve">Apartment </t>
  </si>
  <si>
    <t>Full project</t>
  </si>
  <si>
    <t>Construction cost (GFA)</t>
  </si>
  <si>
    <t>IRR</t>
  </si>
  <si>
    <t>Cash flow and NPV</t>
  </si>
  <si>
    <t>NPV to Company</t>
  </si>
  <si>
    <t>Project RNAV to Company</t>
  </si>
  <si>
    <t>Debt, bond  and equity schedule</t>
  </si>
  <si>
    <t>Debt repayment</t>
  </si>
  <si>
    <t>Debt disbursement</t>
  </si>
  <si>
    <t>Project Summary</t>
  </si>
  <si>
    <t>da</t>
  </si>
  <si>
    <t>Land Lots</t>
  </si>
  <si>
    <t>Project: Viva City</t>
  </si>
  <si>
    <t>Project: CT15</t>
  </si>
  <si>
    <t>Gross margin (%)</t>
  </si>
  <si>
    <t>PAT</t>
  </si>
  <si>
    <t>Income Statement</t>
  </si>
  <si>
    <t>x</t>
  </si>
  <si>
    <t>Other non-operating (income) / expense</t>
  </si>
  <si>
    <t>Pretax income</t>
  </si>
  <si>
    <t xml:space="preserve">Net income </t>
  </si>
  <si>
    <t>Margins</t>
  </si>
  <si>
    <t>SG&amp;A margin</t>
  </si>
  <si>
    <t>Net income margin</t>
  </si>
  <si>
    <t>Growth rate analysis</t>
  </si>
  <si>
    <t>Sales growth rate</t>
  </si>
  <si>
    <t>EBIT growth rate</t>
  </si>
  <si>
    <t>EPS growth rate</t>
  </si>
  <si>
    <t>Historical year</t>
  </si>
  <si>
    <t>Projected year</t>
  </si>
  <si>
    <t>Cost of goods sold</t>
  </si>
  <si>
    <t>SG&amp;A expenses</t>
  </si>
  <si>
    <t>Income taxes</t>
  </si>
  <si>
    <t>NPATMI</t>
  </si>
  <si>
    <t>2014-2019</t>
  </si>
  <si>
    <t>2015-2019</t>
  </si>
  <si>
    <t>Working capital balances</t>
  </si>
  <si>
    <t>Total non-cash current assets:</t>
  </si>
  <si>
    <t>Total non-debt current liabilities</t>
  </si>
  <si>
    <t>Net working capital / (deficit)</t>
  </si>
  <si>
    <t>(Increase) / decrease in working capital</t>
  </si>
  <si>
    <t>Ratios and assumptions</t>
  </si>
  <si>
    <t>Cash flows by individual accounts</t>
  </si>
  <si>
    <t>END</t>
  </si>
  <si>
    <t>Working Capital</t>
  </si>
  <si>
    <t>Cash</t>
  </si>
  <si>
    <t>Accounts receivable, net</t>
  </si>
  <si>
    <t>Total current assets:</t>
  </si>
  <si>
    <t>PP&amp;E, net</t>
  </si>
  <si>
    <t>Other long-term assets</t>
  </si>
  <si>
    <t>Total assets:</t>
  </si>
  <si>
    <t>Other current liabilities</t>
  </si>
  <si>
    <t>Total current liabilities:</t>
  </si>
  <si>
    <t>Other liabilities</t>
  </si>
  <si>
    <t>Total liabilities:</t>
  </si>
  <si>
    <t>Total stockholders' equity</t>
  </si>
  <si>
    <t>Total liabilities and equity:</t>
  </si>
  <si>
    <t>Parity check (A = L+E)</t>
  </si>
  <si>
    <t>Total debt</t>
  </si>
  <si>
    <t>Balance Sheet</t>
  </si>
  <si>
    <t>Customer advancement</t>
  </si>
  <si>
    <t>Accounts receivable, net (collection period in days)</t>
  </si>
  <si>
    <t>Inventory (days outstanding)</t>
  </si>
  <si>
    <t>Other current assets (% of sales</t>
  </si>
  <si>
    <t>Net income</t>
  </si>
  <si>
    <t>Dividends</t>
  </si>
  <si>
    <t>Share issuance (Repurchase)</t>
  </si>
  <si>
    <t>Dividend assumptions</t>
  </si>
  <si>
    <t>New shares - millions</t>
  </si>
  <si>
    <t>Price</t>
  </si>
  <si>
    <t>Proceeds</t>
  </si>
  <si>
    <t>Shares</t>
  </si>
  <si>
    <t>Beginning number of shares</t>
  </si>
  <si>
    <t>Added in the year</t>
  </si>
  <si>
    <t>Ending number of shares</t>
  </si>
  <si>
    <t>Total number of shares (in millions)</t>
  </si>
  <si>
    <t>Capital expenditure</t>
  </si>
  <si>
    <t>Capital expenditure as % of sale</t>
  </si>
  <si>
    <t>Beginning net PP&amp;E</t>
  </si>
  <si>
    <t>Capital expenditures</t>
  </si>
  <si>
    <t>(Depreciation expense)</t>
  </si>
  <si>
    <t>(Asset sales and write-offs)</t>
  </si>
  <si>
    <t>Ending net PP&amp;E</t>
  </si>
  <si>
    <t xml:space="preserve">Existing PP&amp;E, net </t>
  </si>
  <si>
    <t>Useful life</t>
  </si>
  <si>
    <t>New PP&amp;E</t>
  </si>
  <si>
    <t>From existing PP&amp;E</t>
  </si>
  <si>
    <t>Amortization</t>
  </si>
  <si>
    <t>Beginning net intagibles</t>
  </si>
  <si>
    <t>(Amortization expense)</t>
  </si>
  <si>
    <t>Ending net intangibles</t>
  </si>
  <si>
    <t>From existing intangibles</t>
  </si>
  <si>
    <t>Existing intagibles</t>
  </si>
  <si>
    <t>Intangibles</t>
  </si>
  <si>
    <t>Long-term investment</t>
  </si>
  <si>
    <t>Work-in-progress construction</t>
  </si>
  <si>
    <t>Cash Flow Statement</t>
  </si>
  <si>
    <t>Operating activities</t>
  </si>
  <si>
    <t>(Increase)/Decrease in working capital</t>
  </si>
  <si>
    <t>(Increase)/Decrease in other long-term assets</t>
  </si>
  <si>
    <t>Increase/(Decrease) in other long-term liabilities</t>
  </si>
  <si>
    <t>Cash flow from operating activities</t>
  </si>
  <si>
    <t>Investing activities</t>
  </si>
  <si>
    <t>Asset sales</t>
  </si>
  <si>
    <t>Financing activities</t>
  </si>
  <si>
    <t>Net debt issuance</t>
  </si>
  <si>
    <t>Cash available for financing activities</t>
  </si>
  <si>
    <t>Net change in cash</t>
  </si>
  <si>
    <t>Beginning cash balance</t>
  </si>
  <si>
    <t>Ending cash balance</t>
  </si>
  <si>
    <t>EBIT coverage</t>
  </si>
  <si>
    <t>Valuation</t>
  </si>
  <si>
    <t>Cash flow from investing activities</t>
  </si>
  <si>
    <t>Cash flow from financing activities</t>
  </si>
  <si>
    <t>Opal Riverside</t>
  </si>
  <si>
    <t>Project name</t>
  </si>
  <si>
    <t>NAV</t>
  </si>
  <si>
    <t>Brokerage and Construction</t>
  </si>
  <si>
    <t>Net NAV</t>
  </si>
  <si>
    <t>Shares outstanding</t>
  </si>
  <si>
    <t>Target share price</t>
  </si>
  <si>
    <t>LDG Investment</t>
  </si>
  <si>
    <t>LDG market cap</t>
  </si>
  <si>
    <t>DXG's ownership</t>
  </si>
  <si>
    <t>DXG's investment value</t>
  </si>
  <si>
    <t>Investment in LDG</t>
  </si>
  <si>
    <t>Total debt / EBIT</t>
  </si>
  <si>
    <t>New share price</t>
  </si>
  <si>
    <t>Current market cap</t>
  </si>
  <si>
    <t>Proceeds from equity issuance</t>
  </si>
  <si>
    <t>Tan Kieng - Greeny Riverview</t>
  </si>
  <si>
    <t>Green City - The Palm City</t>
  </si>
  <si>
    <t>Bivi - Polaris Riverview</t>
  </si>
  <si>
    <t>Venice City</t>
  </si>
  <si>
    <t>Project NAV</t>
  </si>
  <si>
    <t>No Share Issuance Scenario</t>
  </si>
  <si>
    <t>Project: Venice City</t>
  </si>
  <si>
    <t>Tam Thong - Auris City</t>
  </si>
  <si>
    <t>Tam Thong - Cara Riverview</t>
  </si>
  <si>
    <t>Square Plaza</t>
  </si>
  <si>
    <t>Townhouses</t>
  </si>
  <si>
    <t>Real estate investment</t>
  </si>
  <si>
    <t>Sales progress (%)</t>
  </si>
  <si>
    <t>Deposit interest</t>
  </si>
  <si>
    <t>Cash proceeds from share issuance</t>
  </si>
  <si>
    <t>Currency unit: VNDbn</t>
  </si>
  <si>
    <t>Tam Da - Zen Riverside</t>
  </si>
  <si>
    <t>Brokerage and construction</t>
  </si>
  <si>
    <t>Profit from associates</t>
  </si>
  <si>
    <t>% NAV</t>
  </si>
  <si>
    <t>USD NAV</t>
  </si>
  <si>
    <t>Exchange rate</t>
  </si>
  <si>
    <t>Bivi</t>
  </si>
  <si>
    <t>Tam Thong 1</t>
  </si>
  <si>
    <t>Tan Kieng - 2</t>
  </si>
  <si>
    <t>Share capital</t>
  </si>
  <si>
    <t>Additional paid in capital</t>
  </si>
  <si>
    <t>Total Preferred Equity</t>
  </si>
  <si>
    <t>Share Capital</t>
  </si>
  <si>
    <t>Minority Interest</t>
  </si>
  <si>
    <t>Non-cash adjustment</t>
  </si>
  <si>
    <t>Dividends paid</t>
  </si>
  <si>
    <t>NPATMI attributable to shareholders</t>
  </si>
  <si>
    <t>Revenue, VND b</t>
  </si>
  <si>
    <t>growth %</t>
  </si>
  <si>
    <t>NPATMI, VND b</t>
  </si>
  <si>
    <t>EPS growth % reported (*)</t>
  </si>
  <si>
    <t>Dividend / Share, VND</t>
  </si>
  <si>
    <t>Dividend Yield % at market price</t>
  </si>
  <si>
    <t>Net Debt / Equity %</t>
  </si>
  <si>
    <t>EPS growth % normalized (*)</t>
  </si>
  <si>
    <t>PER at mkt prce (reported)</t>
  </si>
  <si>
    <t>PER at mkt price (normalized)</t>
  </si>
  <si>
    <t>Summary Table</t>
  </si>
  <si>
    <t>Weighted average number of shares</t>
  </si>
  <si>
    <t xml:space="preserve">FY15 new forecast /FY14A </t>
  </si>
  <si>
    <t>Contribution to bonus and welfare fund</t>
  </si>
  <si>
    <t>Debt shown in BS</t>
  </si>
  <si>
    <t>2017F</t>
  </si>
  <si>
    <t>Admin</t>
  </si>
  <si>
    <t>Selling</t>
  </si>
  <si>
    <t>Gross PP&amp;E</t>
  </si>
  <si>
    <t>Gross intangbiles</t>
  </si>
  <si>
    <t>Accumulated amortization</t>
  </si>
  <si>
    <t>  + Retained Earnings</t>
  </si>
  <si>
    <t>  + Others</t>
  </si>
  <si>
    <t>Retained Earnings</t>
  </si>
  <si>
    <t>Net debt/equity</t>
  </si>
  <si>
    <t>Add cash and cash equivalent</t>
  </si>
  <si>
    <t>Project: Opal Tower - In NN</t>
  </si>
  <si>
    <t>Currency unit: VND bn</t>
  </si>
  <si>
    <t>Units</t>
  </si>
  <si>
    <t>Unit size</t>
  </si>
  <si>
    <t>PAT margin</t>
  </si>
  <si>
    <t>Land cost as % of revenue</t>
  </si>
  <si>
    <t>NAV/PAT</t>
  </si>
  <si>
    <t>Construction cost as % of revenue</t>
  </si>
  <si>
    <t>Assumption Summary</t>
  </si>
  <si>
    <t>Land price - VNDmn/m2</t>
  </si>
  <si>
    <t>Construction cost - VNDmn/m2</t>
  </si>
  <si>
    <t>SG&amp;A as % of cash inflows</t>
  </si>
  <si>
    <t>Selling price - NSA</t>
  </si>
  <si>
    <t>Units sold</t>
  </si>
  <si>
    <t>Net cash inflow + debt</t>
  </si>
  <si>
    <t>District</t>
  </si>
  <si>
    <t>Commercial and retail area</t>
  </si>
  <si>
    <t>Selling Price VNDmn/m2</t>
  </si>
  <si>
    <t>Effective NAV</t>
  </si>
  <si>
    <t>Minus debt</t>
  </si>
  <si>
    <t>Equity value</t>
  </si>
  <si>
    <t>Share count - mn</t>
  </si>
  <si>
    <t>NPATMI margin</t>
  </si>
  <si>
    <t>PAT margin (%)</t>
  </si>
  <si>
    <t>Ending Debt Balance</t>
  </si>
  <si>
    <t>Interest outflow</t>
  </si>
  <si>
    <t>Ending debt balance</t>
  </si>
  <si>
    <t>Ending inventory</t>
  </si>
  <si>
    <t>Cash outflow</t>
  </si>
  <si>
    <t>NPATMI growth rate</t>
  </si>
  <si>
    <t>Total debt/total equity</t>
  </si>
  <si>
    <t>EBIT margin (%)</t>
  </si>
  <si>
    <t>Minority ownership</t>
  </si>
  <si>
    <t>PAT Margin</t>
  </si>
  <si>
    <t>Contract sales value</t>
  </si>
  <si>
    <t>2018F</t>
  </si>
  <si>
    <t>2019F</t>
  </si>
  <si>
    <t>Total units</t>
  </si>
  <si>
    <t>Sales progress - units</t>
  </si>
  <si>
    <t>Sales progress - Value</t>
  </si>
  <si>
    <t>Capitalized all</t>
  </si>
  <si>
    <t>Opal Garden</t>
  </si>
  <si>
    <t>Lux Garden</t>
  </si>
  <si>
    <t>Brokerage, Secondary Investment and Construction</t>
  </si>
  <si>
    <t>Brokerage and Secondary Investment</t>
  </si>
  <si>
    <t>Revenue growth (%)</t>
  </si>
  <si>
    <t>SG&amp;A (%)</t>
  </si>
  <si>
    <t>% Minority interest</t>
  </si>
  <si>
    <t>Brokerage segment</t>
  </si>
  <si>
    <t>Receivables</t>
  </si>
  <si>
    <t>Days of sales</t>
  </si>
  <si>
    <t>Days of inventory</t>
  </si>
  <si>
    <t>Payable</t>
  </si>
  <si>
    <t>Days of payable</t>
  </si>
  <si>
    <t>Multiple</t>
  </si>
  <si>
    <t>Discounted FCFF</t>
  </si>
  <si>
    <t>EV</t>
  </si>
  <si>
    <t>DXG Ownership</t>
  </si>
  <si>
    <t>EV Attributable to DXG</t>
  </si>
  <si>
    <t>Receivable - Deposit for brokerage segment</t>
  </si>
  <si>
    <t xml:space="preserve">Total </t>
  </si>
  <si>
    <t>Add long-term investment</t>
  </si>
  <si>
    <t>P/B at target price</t>
  </si>
  <si>
    <t>Market price</t>
  </si>
  <si>
    <t>Development</t>
  </si>
  <si>
    <t>Project Charts</t>
  </si>
  <si>
    <t>Cash inflow/contract sales value</t>
  </si>
  <si>
    <t>NPAT margin</t>
  </si>
  <si>
    <t>Shareholder equity</t>
  </si>
  <si>
    <t>DXG Charts</t>
  </si>
  <si>
    <t>P/E at target price</t>
  </si>
  <si>
    <t>P/B at market price</t>
  </si>
  <si>
    <t>P/E at market price</t>
  </si>
  <si>
    <t>Revenue %</t>
  </si>
  <si>
    <t>2020F</t>
  </si>
  <si>
    <t>P/B Multiple</t>
  </si>
  <si>
    <t>Target P/B price</t>
  </si>
  <si>
    <t>Target NAV price</t>
  </si>
  <si>
    <t>Final target price</t>
  </si>
  <si>
    <t>Total Project NAV</t>
  </si>
  <si>
    <t xml:space="preserve">Revenue (VND bn) </t>
  </si>
  <si>
    <t xml:space="preserve">Net Profit (VND bn) </t>
  </si>
  <si>
    <t>EPS (VND)</t>
  </si>
  <si>
    <t xml:space="preserve">VALUATION METHOD </t>
  </si>
  <si>
    <t xml:space="preserve">Fair price </t>
  </si>
  <si>
    <t xml:space="preserve">Weight </t>
  </si>
  <si>
    <t xml:space="preserve">VND/share </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</si>
  <si>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</si>
  <si>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</si>
  <si>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</si>
  <si>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</si>
  <si>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</si>
  <si>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</si>
  <si>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</si>
  <si>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</si>
  <si>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</si>
  <si>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</si>
  <si>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</si>
  <si>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</si>
  <si>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</si>
  <si>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</si>
  <si>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</si>
  <si>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</si>
  <si>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</si>
  <si>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</si>
  <si>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</si>
  <si>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</si>
  <si>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</si>
  <si>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</si>
  <si>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Q4 2015</t>
  </si>
  <si>
    <t>Q1 2016</t>
  </si>
  <si>
    <t>Q2 2016</t>
  </si>
  <si>
    <t>Q3 2016</t>
  </si>
  <si>
    <t>P/E Multiple</t>
  </si>
  <si>
    <t>Target P/E price</t>
  </si>
  <si>
    <t>Q4 2016</t>
  </si>
  <si>
    <t>Q1 2017</t>
  </si>
  <si>
    <t>Opal City</t>
  </si>
  <si>
    <t>Gem Riverside</t>
  </si>
  <si>
    <t xml:space="preserve">Upside </t>
  </si>
  <si>
    <t>Absorption rate</t>
  </si>
  <si>
    <t>Lux City</t>
  </si>
  <si>
    <t>Opal Skyview</t>
  </si>
  <si>
    <t>Add cash and cash equivalent and deposit</t>
  </si>
  <si>
    <t>Minus debt and liabilities</t>
  </si>
  <si>
    <t>Weight</t>
  </si>
  <si>
    <t>Q2 2017</t>
  </si>
  <si>
    <t>Q4 2017F</t>
  </si>
  <si>
    <t>Nam Hoi An</t>
  </si>
  <si>
    <t>Q3 2017</t>
  </si>
  <si>
    <t>Revenue growth</t>
  </si>
  <si>
    <t>VCSC</t>
  </si>
  <si>
    <t>HSC</t>
  </si>
  <si>
    <t>Target Price</t>
  </si>
  <si>
    <t>Opal Boulevard</t>
  </si>
  <si>
    <t>Average Price</t>
  </si>
  <si>
    <t>Target 10.0x P/E price</t>
  </si>
  <si>
    <t>Revenue Growth (%)</t>
  </si>
  <si>
    <t>Net Profit Growth (%)</t>
  </si>
  <si>
    <t>EPS Growth (%)</t>
  </si>
  <si>
    <t>PER (x)</t>
  </si>
  <si>
    <t>PBR (x)</t>
  </si>
  <si>
    <t>ROA (%)</t>
  </si>
  <si>
    <t>ROE (%)</t>
  </si>
  <si>
    <t>Debt/Equity (%)</t>
  </si>
  <si>
    <t>Opal Skyline</t>
  </si>
  <si>
    <t>Thuan An</t>
  </si>
  <si>
    <t>Opal Cityview</t>
  </si>
  <si>
    <t>Thu Dau Mot</t>
  </si>
  <si>
    <t>2021F</t>
  </si>
  <si>
    <t>92ha Dong Nai</t>
  </si>
  <si>
    <t>Long Duc</t>
  </si>
  <si>
    <t>Target 1.8x P/B price</t>
  </si>
  <si>
    <t>2019 Earnings</t>
  </si>
  <si>
    <t>LDG</t>
  </si>
  <si>
    <t>Project Transfer</t>
  </si>
  <si>
    <t>Parent equity</t>
  </si>
  <si>
    <t>KẾ HOẠCH LỢI NHUẬN 3 NĂM (2019 - 2021)</t>
  </si>
  <si>
    <t xml:space="preserve">Dt đã đền bù (ha) </t>
  </si>
  <si>
    <t>Launch</t>
  </si>
  <si>
    <t>Sale price
VNDmn/m2</t>
  </si>
  <si>
    <t>High-rise</t>
  </si>
  <si>
    <t>LN dự kiến ghi</t>
  </si>
  <si>
    <t>VĐL</t>
  </si>
  <si>
    <t>2022F</t>
  </si>
  <si>
    <t>Q2 2019</t>
  </si>
  <si>
    <t>Market Cap (VND bn)</t>
  </si>
  <si>
    <t xml:space="preserve">+ Debt </t>
  </si>
  <si>
    <t xml:space="preserve">-  Cash  </t>
  </si>
  <si>
    <t xml:space="preserve">+  Minority Interest </t>
  </si>
  <si>
    <t>Enterprise Value (VND bn)</t>
  </si>
  <si>
    <t>Foreign Available</t>
  </si>
  <si>
    <t>USD Market Cap ($m)</t>
  </si>
  <si>
    <r>
      <t>Avg. Daily Turnover (</t>
    </r>
    <r>
      <rPr>
        <sz val="8"/>
        <color rgb="FF595959"/>
        <rFont val="Arial"/>
        <family val="2"/>
      </rPr>
      <t>$m)</t>
    </r>
    <r>
      <rPr>
        <sz val="8"/>
        <color rgb="FF4E4D4A"/>
        <rFont val="Arial"/>
        <family val="2"/>
      </rPr>
      <t xml:space="preserve"> </t>
    </r>
  </si>
  <si>
    <t>Diamond Key Code</t>
  </si>
  <si>
    <t>Company Code</t>
  </si>
  <si>
    <t>Analyst</t>
  </si>
  <si>
    <t>Recommendation</t>
  </si>
  <si>
    <t>TARGET PRICE</t>
  </si>
  <si>
    <t>Target_Price</t>
  </si>
  <si>
    <t>Lower Bound</t>
  </si>
  <si>
    <t>Lower_Bound_Price</t>
  </si>
  <si>
    <t>Upper Bound</t>
  </si>
  <si>
    <t>Upper_Bound_Price</t>
  </si>
  <si>
    <t>Coverage Status</t>
  </si>
  <si>
    <t>Coverage_Status</t>
  </si>
  <si>
    <t>CURRENT ASSETS</t>
  </si>
  <si>
    <t>Current_Asset</t>
  </si>
  <si>
    <t xml:space="preserve">     Cash and cash equivalents</t>
  </si>
  <si>
    <t>Cash_Equivalent</t>
  </si>
  <si>
    <t xml:space="preserve">     Short-term investments</t>
  </si>
  <si>
    <t>Short_Investment</t>
  </si>
  <si>
    <t xml:space="preserve">     Accounts receivables</t>
  </si>
  <si>
    <t>Accounts_Receivable</t>
  </si>
  <si>
    <t xml:space="preserve">     Inventories</t>
  </si>
  <si>
    <t xml:space="preserve">     Other current assets</t>
  </si>
  <si>
    <t>Other_Current_Asset</t>
  </si>
  <si>
    <t>LONG-TERM ASSETS</t>
  </si>
  <si>
    <t>Long_Term_Asset</t>
  </si>
  <si>
    <t xml:space="preserve">     Tangible fixed assets</t>
  </si>
  <si>
    <t>Tangible_Fixed_Asset</t>
  </si>
  <si>
    <t xml:space="preserve">     Intangible fixed assets</t>
  </si>
  <si>
    <t>Intangible_Fixed_Asset</t>
  </si>
  <si>
    <t xml:space="preserve">     Investment properties</t>
  </si>
  <si>
    <t>Investment_Property</t>
  </si>
  <si>
    <t xml:space="preserve">     Construction in progress</t>
  </si>
  <si>
    <t xml:space="preserve">     Goodwill</t>
  </si>
  <si>
    <t>Goodwill</t>
  </si>
  <si>
    <t xml:space="preserve">     Long-term investments</t>
  </si>
  <si>
    <t>Long_Term_Invest</t>
  </si>
  <si>
    <t xml:space="preserve">     Other long-term assets</t>
  </si>
  <si>
    <t>Other_Long_Term_Assets</t>
  </si>
  <si>
    <t>TOTAL ASSETS</t>
  </si>
  <si>
    <t>TOTAL_Asset</t>
  </si>
  <si>
    <t>LIABILITIES</t>
  </si>
  <si>
    <t>TOTAL_Liabilities</t>
  </si>
  <si>
    <t>CURRENT LIABILITIES</t>
  </si>
  <si>
    <t>Current_Liabilities</t>
  </si>
  <si>
    <t xml:space="preserve">     Account payable</t>
  </si>
  <si>
    <t>Account_Payable</t>
  </si>
  <si>
    <t xml:space="preserve">     Advance from Customers</t>
  </si>
  <si>
    <t>Advance_From_Custmers</t>
  </si>
  <si>
    <t xml:space="preserve">     Short-term borrowings</t>
  </si>
  <si>
    <t>ST_Debt</t>
  </si>
  <si>
    <t xml:space="preserve">     Other current liabilities</t>
  </si>
  <si>
    <t>Other_Current_Liabilities</t>
  </si>
  <si>
    <t>LONG-TERM LIABILITIES</t>
  </si>
  <si>
    <t>LT_Liabilities</t>
  </si>
  <si>
    <t xml:space="preserve">     Long-term borrowings</t>
  </si>
  <si>
    <t>LT_Debt</t>
  </si>
  <si>
    <t xml:space="preserve">     Other long-term liabilities</t>
  </si>
  <si>
    <t>Other_LT_Liabilities</t>
  </si>
  <si>
    <t>OWNER'S EQUITY</t>
  </si>
  <si>
    <t>TOTAL_Equity</t>
  </si>
  <si>
    <t xml:space="preserve">     Share capital</t>
  </si>
  <si>
    <t>Share_Capital</t>
  </si>
  <si>
    <t xml:space="preserve">     Share premium</t>
  </si>
  <si>
    <t>Share_Premium</t>
  </si>
  <si>
    <t xml:space="preserve">     Treasury shares</t>
  </si>
  <si>
    <t>Treasury_Share</t>
  </si>
  <si>
    <t xml:space="preserve">     Other funds</t>
  </si>
  <si>
    <t>Other_Funds</t>
  </si>
  <si>
    <t xml:space="preserve">     Retain earnings</t>
  </si>
  <si>
    <t>Retain_Earning</t>
  </si>
  <si>
    <t xml:space="preserve">     Minority interests</t>
  </si>
  <si>
    <t>Minority_Interest</t>
  </si>
  <si>
    <t>TOTAL RESOURCES</t>
  </si>
  <si>
    <t>TOTAL_Resources</t>
  </si>
  <si>
    <t>Net sales</t>
  </si>
  <si>
    <t>Net_Revenue</t>
  </si>
  <si>
    <t>Cost of sales</t>
  </si>
  <si>
    <t>Gross_Profit</t>
  </si>
  <si>
    <t>Selling expenses</t>
  </si>
  <si>
    <t>Selling_Expense</t>
  </si>
  <si>
    <t>General and admin expenses</t>
  </si>
  <si>
    <t>GA_Expense</t>
  </si>
  <si>
    <t>Financial_Income</t>
  </si>
  <si>
    <t>Financial_Expense</t>
  </si>
  <si>
    <t xml:space="preserve">     Interest Expense</t>
  </si>
  <si>
    <t>Interest_Expense</t>
  </si>
  <si>
    <t>Net other income/(expenses)</t>
  </si>
  <si>
    <t>Other_Income</t>
  </si>
  <si>
    <t>Income from investments in other entities</t>
  </si>
  <si>
    <t>Affliate_Income</t>
  </si>
  <si>
    <t>Minority interests</t>
  </si>
  <si>
    <t>Minority_Interest_In_Earning</t>
  </si>
  <si>
    <t>PATMI</t>
  </si>
  <si>
    <t>Bonus and welfare fund</t>
  </si>
  <si>
    <t>Welfare_Fund</t>
  </si>
  <si>
    <t>PATMI - after bonus</t>
  </si>
  <si>
    <t>NPATMIWF</t>
  </si>
  <si>
    <t>Weighted average outstanding shares</t>
  </si>
  <si>
    <t>WOS</t>
  </si>
  <si>
    <t>Basic EPS (VND per share)</t>
  </si>
  <si>
    <t>Cash Flow</t>
  </si>
  <si>
    <t xml:space="preserve">Depreciation and Amortization </t>
  </si>
  <si>
    <t>Dep_Expense</t>
  </si>
  <si>
    <t>Adjustment of Non-cash Item</t>
  </si>
  <si>
    <t>Adj_Non_Cash_Item</t>
  </si>
  <si>
    <t>Adj_Working_Cap</t>
  </si>
  <si>
    <t>Other Operating Activity</t>
  </si>
  <si>
    <t>Adj_Other_OpCF</t>
  </si>
  <si>
    <t>CFO</t>
  </si>
  <si>
    <t>Operating_CF</t>
  </si>
  <si>
    <t>Change in LT Investment</t>
  </si>
  <si>
    <t>Adj_LT_Investment</t>
  </si>
  <si>
    <t>Net cash from Acquire/ Divest</t>
  </si>
  <si>
    <t>Adj_Divestment</t>
  </si>
  <si>
    <t>Other Investment Activity</t>
  </si>
  <si>
    <t>Adj_Other_InCF</t>
  </si>
  <si>
    <t>CFI</t>
  </si>
  <si>
    <t>Inv_CF</t>
  </si>
  <si>
    <t>Dividend paid</t>
  </si>
  <si>
    <t>Dividend</t>
  </si>
  <si>
    <t>Net change in Debt</t>
  </si>
  <si>
    <t>Adj_Total_Debt</t>
  </si>
  <si>
    <t>Net change in Common stock</t>
  </si>
  <si>
    <t>Adj_Common_Stock</t>
  </si>
  <si>
    <t>Other Financing Activity</t>
  </si>
  <si>
    <t>Adj_Other_FiCF</t>
  </si>
  <si>
    <t>CFF</t>
  </si>
  <si>
    <t>Fin_CF</t>
  </si>
  <si>
    <t>Net change in Cash</t>
  </si>
  <si>
    <t>Net_Ch_Cash</t>
  </si>
  <si>
    <t>Supplements</t>
  </si>
  <si>
    <t>Enterprise Value</t>
  </si>
  <si>
    <t>Core EPS</t>
  </si>
  <si>
    <t>Core_EPS</t>
  </si>
  <si>
    <t>OpCF/Share</t>
  </si>
  <si>
    <t>OpCF_Share</t>
  </si>
  <si>
    <t>Market Capitalization</t>
  </si>
  <si>
    <t>MarketCap</t>
  </si>
  <si>
    <t>Total Debt</t>
  </si>
  <si>
    <t>TOTAL_debt</t>
  </si>
  <si>
    <t>Free Cash Flow</t>
  </si>
  <si>
    <t>FCF</t>
  </si>
  <si>
    <t>Invested Capital</t>
  </si>
  <si>
    <t>Invested_Capital</t>
  </si>
  <si>
    <t>Core NPAT</t>
  </si>
  <si>
    <t>Core_NPAT</t>
  </si>
  <si>
    <t>Eff_Tax_Rate</t>
  </si>
  <si>
    <t>Outstanding Share</t>
  </si>
  <si>
    <t>OS</t>
  </si>
  <si>
    <t>Consensus</t>
  </si>
  <si>
    <t>SSI</t>
  </si>
  <si>
    <t>SSI.NPAT</t>
  </si>
  <si>
    <t>SSI.Target_Price</t>
  </si>
  <si>
    <t>HSC.NPAT</t>
  </si>
  <si>
    <t>HSC.Target_Price</t>
  </si>
  <si>
    <t>VCSC.NPAT</t>
  </si>
  <si>
    <t>VCSC.Target_Price</t>
  </si>
  <si>
    <t>BSC</t>
  </si>
  <si>
    <t>BSC.NPAT</t>
  </si>
  <si>
    <t>BSC.Target_Price</t>
  </si>
  <si>
    <t>Financial health</t>
  </si>
  <si>
    <t>12m growth prospect</t>
  </si>
  <si>
    <t>Long-term growth prospect</t>
  </si>
  <si>
    <t>Flow</t>
  </si>
  <si>
    <t>CRITERIA</t>
  </si>
  <si>
    <t xml:space="preserve">MAX </t>
  </si>
  <si>
    <t>SCORE/10</t>
  </si>
  <si>
    <t>FINAL</t>
  </si>
  <si>
    <t>Long term growth prospect</t>
  </si>
  <si>
    <t>Sector Outlook</t>
  </si>
  <si>
    <t>Market Aspect</t>
  </si>
  <si>
    <t>Corporate Governance</t>
  </si>
  <si>
    <t>External risks</t>
  </si>
  <si>
    <t xml:space="preserve">  TOTAL</t>
  </si>
  <si>
    <t>Instruction</t>
  </si>
  <si>
    <t>Distributing score to each of criteria</t>
  </si>
  <si>
    <t>SCORE GUIDANCE</t>
  </si>
  <si>
    <t>ITEMS</t>
  </si>
  <si>
    <t>DETAILS</t>
  </si>
  <si>
    <t>GOOD</t>
  </si>
  <si>
    <t>AVERAGE</t>
  </si>
  <si>
    <t>BAD</t>
  </si>
  <si>
    <t>VERY BAD</t>
  </si>
  <si>
    <t>SCORE</t>
  </si>
  <si>
    <t>Board composition (independent, non-executive)</t>
  </si>
  <si>
    <t>3/5 non executive</t>
  </si>
  <si>
    <t>Good</t>
  </si>
  <si>
    <t>Chairman/ CEO seggregation, independence of BOD</t>
  </si>
  <si>
    <t>Not separated</t>
  </si>
  <si>
    <t>Information disclosure (IR, website, annual report, AGM materials)</t>
  </si>
  <si>
    <t>Bad</t>
  </si>
  <si>
    <t xml:space="preserve">Alignment of interest with management and employees </t>
  </si>
  <si>
    <t>Very bad</t>
  </si>
  <si>
    <t>Ownership of institutional investors</t>
  </si>
  <si>
    <t>Almost full room</t>
  </si>
  <si>
    <t>State Control (SCIC, Petro VN…)</t>
  </si>
  <si>
    <t>Controversial or subjective accounting policies</t>
  </si>
  <si>
    <t>Consistency of business results vs. guidance</t>
  </si>
  <si>
    <t>Always exceed official guidance but bad communication</t>
  </si>
  <si>
    <t>ESOP policy</t>
  </si>
  <si>
    <t>1-2%</t>
  </si>
  <si>
    <t>Short term capital structure: current ratio</t>
  </si>
  <si>
    <t>Current ratio: &gt;2x, very stable</t>
  </si>
  <si>
    <t xml:space="preserve">Inventory/Receivables Turnover </t>
  </si>
  <si>
    <t>Low due to legal</t>
  </si>
  <si>
    <t>Operating cashflows/ net profit after tax</t>
  </si>
  <si>
    <t>Fluctuations of main items (in both BS and P&amp;L)</t>
  </si>
  <si>
    <t>Total %</t>
  </si>
  <si>
    <t xml:space="preserve">Gross Margin </t>
  </si>
  <si>
    <t>Net Margin</t>
  </si>
  <si>
    <t>ROE/ROA</t>
  </si>
  <si>
    <t>Cost management capability</t>
  </si>
  <si>
    <t>Volume growth</t>
  </si>
  <si>
    <t>Selling more units in Q4 2019 and 2020</t>
  </si>
  <si>
    <t>Ability to increase market share</t>
  </si>
  <si>
    <t>Not easy in brokerage but easy in real estate</t>
  </si>
  <si>
    <t>Other catalysts (one-off or financial income)</t>
  </si>
  <si>
    <t>Earnings quality</t>
  </si>
  <si>
    <t>Business life cycle (pioneer, growth, mature, decline)</t>
  </si>
  <si>
    <t>Robust mid-range demand unless big jump in lending rate</t>
  </si>
  <si>
    <t>Dominant market share</t>
  </si>
  <si>
    <t>Largest in brokerage and sizeable in property</t>
  </si>
  <si>
    <t>Management know-how of the business and clear strategy</t>
  </si>
  <si>
    <t>Excellent management</t>
  </si>
  <si>
    <t>\</t>
  </si>
  <si>
    <t>How does the sector rank relative to other sectors?</t>
  </si>
  <si>
    <t>Barriers to entry (capex, steep learning curve)</t>
  </si>
  <si>
    <t>Harder than before but still relatively easy if newcomers have land bank</t>
  </si>
  <si>
    <t>Bargaining power to buyers</t>
  </si>
  <si>
    <t>Bargaining power to suppliers</t>
  </si>
  <si>
    <t>Market competition (monopoly, oligopoly, perfect competition)</t>
  </si>
  <si>
    <t>Much less competitive than high-end</t>
  </si>
  <si>
    <t>Good/ Bad: Sensitivity to commodity prices</t>
  </si>
  <si>
    <t xml:space="preserve">Good / Bad: Sensitivity to regulation changes </t>
  </si>
  <si>
    <t>Tough legal environment</t>
  </si>
  <si>
    <t>Good / Bad: Sensitivity to interest rate policy</t>
  </si>
  <si>
    <t>High but favorable in 2018-2019</t>
  </si>
  <si>
    <t>Good/ Bad: Sensitivity to FX policy</t>
  </si>
  <si>
    <t>No impact</t>
  </si>
  <si>
    <t>Market Aspects</t>
  </si>
  <si>
    <t>% floating share</t>
  </si>
  <si>
    <t>15%-20%</t>
  </si>
  <si>
    <t>Trading value/ day (how divestible is the stock)</t>
  </si>
  <si>
    <t>$1mn/day</t>
  </si>
  <si>
    <t>Stock turnover/ mkt cap</t>
  </si>
  <si>
    <t>1x</t>
  </si>
  <si>
    <t>% to average PB in record (5 yr)</t>
  </si>
  <si>
    <t>Low</t>
  </si>
  <si>
    <t>% to median  PE in record (5 yr)</t>
  </si>
  <si>
    <t>Our forecast vs mkt consensus</t>
  </si>
  <si>
    <t>Above</t>
  </si>
  <si>
    <t xml:space="preserve">Institutional Under/Over Investment </t>
  </si>
  <si>
    <t>Almost full room now but seem few sell</t>
  </si>
  <si>
    <t>Recent transactions of related parties</t>
  </si>
  <si>
    <t>Buy</t>
  </si>
  <si>
    <t>Sector rotation/ investment theme (Sector in Favor?/ or out of favor)</t>
  </si>
  <si>
    <t>Price pressure from divestment of major shareholders</t>
  </si>
  <si>
    <t>Might not be strong at this price</t>
  </si>
  <si>
    <t>VALUATION</t>
  </si>
  <si>
    <t>Trailing P/E</t>
  </si>
  <si>
    <t>Forward P/E</t>
  </si>
  <si>
    <t>P/B relative to ROE</t>
  </si>
  <si>
    <t>PB/ROE = 6x</t>
  </si>
  <si>
    <t>Dividend Yield (12m &amp; forward)</t>
  </si>
  <si>
    <t xml:space="preserve">DCF/NAV </t>
  </si>
  <si>
    <t>50% upside</t>
  </si>
  <si>
    <t xml:space="preserve">EV/EBITDA </t>
  </si>
  <si>
    <t>9.7x but not relevant</t>
  </si>
  <si>
    <t>(Current Asset - current Liability)/Mkt Capitalisation</t>
  </si>
  <si>
    <t>PBT_CF</t>
  </si>
  <si>
    <t>FINANCIAL SUMMARY</t>
  </si>
  <si>
    <t xml:space="preserve">Sales </t>
  </si>
  <si>
    <t>$m</t>
  </si>
  <si>
    <t>Sales Growth</t>
  </si>
  <si>
    <t>NPAT Growth</t>
  </si>
  <si>
    <t xml:space="preserve">EPS </t>
  </si>
  <si>
    <t>EPS Growth</t>
  </si>
  <si>
    <t>PER</t>
  </si>
  <si>
    <t>PBR</t>
  </si>
  <si>
    <t>Yield</t>
  </si>
  <si>
    <t>Discounted</t>
  </si>
  <si>
    <t>Note: FULL COVERAGE, LIGHT COVERAGE, NO COVERAGE</t>
  </si>
  <si>
    <t>FULL COVERAGE</t>
  </si>
  <si>
    <t>0.5x</t>
  </si>
  <si>
    <t>Weak due to legal</t>
  </si>
  <si>
    <t>ROE = 20% but slowing down</t>
  </si>
  <si>
    <t>26% in 2020</t>
  </si>
  <si>
    <t>Big from subs and land plot sales</t>
  </si>
  <si>
    <t>Trailing PE: 5.6x vs mkt 14x</t>
  </si>
  <si>
    <t>4x in 2020</t>
  </si>
  <si>
    <t>Pre-Sales</t>
  </si>
  <si>
    <t>Earnings</t>
  </si>
  <si>
    <t>2022E</t>
  </si>
  <si>
    <t>SCORE/100</t>
  </si>
  <si>
    <t>GOOD or BAD COMPANY?</t>
  </si>
  <si>
    <t>Financials</t>
  </si>
  <si>
    <t>GOOD or BAD FUTURE?</t>
  </si>
  <si>
    <t>1Y growth prospect</t>
  </si>
  <si>
    <t>2-3Y growth prospect</t>
  </si>
  <si>
    <t>Sector Dynamics</t>
  </si>
  <si>
    <t>GOOD or BAD FLOW?</t>
  </si>
  <si>
    <t>RE-SCALED SCORE</t>
  </si>
  <si>
    <t>GUIDANCE</t>
  </si>
  <si>
    <t>VERY GOOD</t>
  </si>
  <si>
    <t xml:space="preserve">Quality of governance </t>
  </si>
  <si>
    <t>- BOD structure, segregation of power, different voices &amp; generations
- Teamwork harmony</t>
  </si>
  <si>
    <t>- No independent members, we haven't met any other BOD members --&gt; this is a closed group of Mr. Thin</t>
  </si>
  <si>
    <t xml:space="preserve">Information disclosure </t>
  </si>
  <si>
    <t>- Information availability (quarterly, monthly) &amp; transparency
- Proactiveness at conferences</t>
  </si>
  <si>
    <t>Not so active but not passive. But heavily discounted when giving wrong info to market by Mr CFO</t>
  </si>
  <si>
    <t>Management ethics</t>
  </si>
  <si>
    <t>- Do we trust management?</t>
  </si>
  <si>
    <t>- Shitty treatment to investors, Rip-off investors in right issues event</t>
  </si>
  <si>
    <t>Interest alignment</t>
  </si>
  <si>
    <t>- Do management buy in suggestions for stock performance/ value unlocking/ support share price</t>
  </si>
  <si>
    <t>Not previously but seems better recently</t>
  </si>
  <si>
    <t>Controversial accounting</t>
  </si>
  <si>
    <t>Tendency to allocate earnings from related parties, policy</t>
  </si>
  <si>
    <t>Sometimes having transactions with related parties</t>
  </si>
  <si>
    <t>Business results vs. guidance</t>
  </si>
  <si>
    <t>- Consistent or not?</t>
  </si>
  <si>
    <t>Very good with offical guidance but sometimes not good with updated guidance by Mr CFO</t>
  </si>
  <si>
    <t>1.5%-2%</t>
  </si>
  <si>
    <t>D/E ratio &amp; Net DER</t>
  </si>
  <si>
    <t>D/E rose to 62% in Q1 2020 - high vs historical to finance Long Thanh project. Likely to decline in H2 when cash comes in but for now not good</t>
  </si>
  <si>
    <t>Liquidity safety</t>
  </si>
  <si>
    <t>Current ratio, Interest coverage ratio, Cash/Payables</t>
  </si>
  <si>
    <t>Tough in Q4 2019 and Q1 2020 but ok now. To improve a lot upon sales of Long Thanh project</t>
  </si>
  <si>
    <t>Trend of Inventory, Receivable, Payable days, compared with industry</t>
  </si>
  <si>
    <t>Very low inventory moving due to legal delay. High receivables for brokerage deposit</t>
  </si>
  <si>
    <t>Positive or not? Compared with net profit and its historical? Is investor concerned about it?</t>
  </si>
  <si>
    <t>Negative in recent quarters due to legal delay. Things to improve in H2 2020</t>
  </si>
  <si>
    <t xml:space="preserve">Gross margin, Net margin </t>
  </si>
  <si>
    <t>High brokerage and development margin. Chairman is detailed in cost saving</t>
  </si>
  <si>
    <t>ROE/ROA/ ROIC</t>
  </si>
  <si>
    <t>17%-20% ROE but trend down from 2018 to 2020</t>
  </si>
  <si>
    <t>1-yr growth prospect</t>
  </si>
  <si>
    <t>Volume Growth/Ability to increase market share</t>
  </si>
  <si>
    <t>- Additional capacity 
- Market share expansion</t>
  </si>
  <si>
    <t>Market share stable in brokerage but development sales to improve in H2 2020 and likely 2021</t>
  </si>
  <si>
    <t>Core revenue</t>
  </si>
  <si>
    <t>- Absolute growth vs. industry/ historical</t>
  </si>
  <si>
    <t>Down 10% in blended revenue but likely more contribution from property - market viewed as core. Higher pre-sales as well</t>
  </si>
  <si>
    <t>Core NPAT growth</t>
  </si>
  <si>
    <t>- Absolute growth vs. Top 60</t>
  </si>
  <si>
    <t>Margin expansion</t>
  </si>
  <si>
    <t>- Gross &amp; SGA margin expansion/ Sustainable or not? Maxed out yet?</t>
  </si>
  <si>
    <t>Yes with more contribution from property which DXG owns 100% vs subs 51%</t>
  </si>
  <si>
    <t>Catalysts trigger</t>
  </si>
  <si>
    <t>- Yes or no, good impact or bad impact
- Ex: divestment, financial income/loss 
- Contribution &gt;5% of absolute NPAT</t>
  </si>
  <si>
    <t>Strong sales of Long Thanh would much improve fundamentals. Market does not factor that in yet</t>
  </si>
  <si>
    <t>Quality of one-off earnings</t>
  </si>
  <si>
    <t>- Is the one-off profit accounting or cash based? Accounting = always BAD
- One-off contribute &gt;70% of net profit GROWTH = Bad, &lt;40% = Good, 40-70% = average</t>
  </si>
  <si>
    <t>2y-3y growth prospect</t>
  </si>
  <si>
    <t>Sector volume growth (core)</t>
  </si>
  <si>
    <t>Improve from low base 2019 and H1 2020</t>
  </si>
  <si>
    <t>Market share prospect</t>
  </si>
  <si>
    <t xml:space="preserve"> Company vs. sector</t>
  </si>
  <si>
    <t>Good sales capability + more products to sell</t>
  </si>
  <si>
    <t>Management execution</t>
  </si>
  <si>
    <t>Expansion/ New business/</t>
  </si>
  <si>
    <t>Prevent bias toward compnies we like/ Does it make sense? Synergy power? Competitive edge</t>
  </si>
  <si>
    <t>Tech in brokerage + secondary brokerage but not clear at present</t>
  </si>
  <si>
    <t>Sustainable earnings growth (overall)</t>
  </si>
  <si>
    <t>CAGR? Compared with itself</t>
  </si>
  <si>
    <t>20%-30%. 2019-2020 as low base + bookings from Opal Boulevard + Long Thanh</t>
  </si>
  <si>
    <t>Risk to earnings forecast</t>
  </si>
  <si>
    <t xml:space="preserve">Margin/ Ramp-up risk/ Timeline uncertainty </t>
  </si>
  <si>
    <t>Opal Boulevard sold out + good construction. Long Thanh cheap land cost so not tough to sell - just how much profit</t>
  </si>
  <si>
    <t>Sector dynamics in 12-18 months</t>
  </si>
  <si>
    <t>Existing &amp; potential competition</t>
  </si>
  <si>
    <t>Capex. bargaining powers,  monopoly power from state monopoly; threats from new competitors (sector-wide increase in capacity, foreign play)</t>
  </si>
  <si>
    <t>Lower due to Covid killing small ones but higher with contracting demand vs preCovid</t>
  </si>
  <si>
    <t>Disruption risk/ Innovation</t>
  </si>
  <si>
    <t>Susbtitute products? New technology</t>
  </si>
  <si>
    <t>Inherent risks of external factors</t>
  </si>
  <si>
    <t>Cyclical, legal, bookings uncertainty</t>
  </si>
  <si>
    <t>Impact from Commodity prices</t>
  </si>
  <si>
    <t>Output price increase vs input price</t>
  </si>
  <si>
    <t>Impact from Regulation changes</t>
  </si>
  <si>
    <t>Tariff/ tax/ State regulations</t>
  </si>
  <si>
    <t>Legal likely to improve after being very tough in 2017-2019, benefit from infra investment theme post Covid</t>
  </si>
  <si>
    <t>Impact from interest rate</t>
  </si>
  <si>
    <t>Yes but likely no major change in rate</t>
  </si>
  <si>
    <t>Impact from FX policy</t>
  </si>
  <si>
    <t>Only slightly but, can pass on to customers, impact via USD loan, but not too significant</t>
  </si>
  <si>
    <t>Sector rotation (FA driven)</t>
  </si>
  <si>
    <t>Earnings outlook/ Valuation of the whole sector</t>
  </si>
  <si>
    <t>Mixed now due to lower demand/weaker consumption. Probably 2021 would be more likely from low base --&gt; watch in 1-2 quarters</t>
  </si>
  <si>
    <t>Market Aspects/ Investability</t>
  </si>
  <si>
    <t>Trading value/ day</t>
  </si>
  <si>
    <t>- Is the liquidity sufficient for buying/selling?
- What is its 10D ADTV, volume? (preferably &gt;$1m/day)
- Stock turnover/ market cap? (&gt;3x or &lt;0.3x is bad, 1-3x is good) 
- Make your call on using total or float adjusted market cap (some banks have billions of OS, in that case need to remove state-shares)
- How is it trending?</t>
  </si>
  <si>
    <t>~$1-3m/day</t>
  </si>
  <si>
    <t>Floating factor</t>
  </si>
  <si>
    <t>- Estimated float of the company? Trend?
- Is the float turning FOR or AGAINST the stock in this period?
- Does this encourage or scare investors away from the stock?</t>
  </si>
  <si>
    <t xml:space="preserve">- Is the company held by a concentrated # of investors?
- Are they looking to buy or sell?
- How has big group/ shareholders changed?
- If everyone already has it, who will buy more? </t>
  </si>
  <si>
    <t>The worst of Foreign selling/ margin call is likely over. Now is the time for turnaround play</t>
  </si>
  <si>
    <t>Additional flow</t>
  </si>
  <si>
    <t>- Does the company have selling pressure from unlocked ESOP or private placement?
- If no impact --&gt; good
- If additional flow is a lot --&gt; bad to very bad
- If there is impact but market can absorb it --&gt; average</t>
  </si>
  <si>
    <t>Rights issue unlock (14% oustanding share) has been creating bigger float - will likely take ~1y to absorb</t>
  </si>
  <si>
    <t>Historical insider buy/sell</t>
  </si>
  <si>
    <t>- Investor’s perception of the company’s insider buy/sell?
- Are they committed to their buy registration?</t>
  </si>
  <si>
    <t>Strong buy in 2020</t>
  </si>
  <si>
    <t>Investment theme (non-financial)</t>
  </si>
  <si>
    <t>Neu dang happen thi la tot/ Is the company well-covered or not?</t>
  </si>
  <si>
    <t>Flow catalysts</t>
  </si>
  <si>
    <t xml:space="preserve">Foreign, retail, ETF flow, new money </t>
  </si>
  <si>
    <t>VN25, Diamond tentative but not big vs liquidity</t>
  </si>
  <si>
    <t>Future Insider buy/sell/ Treasury shares</t>
  </si>
  <si>
    <t>Wanting to buy back to lack money. Likely to buy if Long Thanh sells well and generate cash inflow</t>
  </si>
  <si>
    <t>Actions of major shareholders</t>
  </si>
  <si>
    <t>- Is there potential strategic partners?
- Is the company target for M&amp;A?
- Do the state plan to divest? (usually good)
- Deal with clear visibility --&gt; Very good
- Deal within 1y but unclear timeline &amp; buyers --&gt; Good
- No deal = Average
- Sell = bad/ Massive sell = very bad
- Note: this factor is on FLOW only, not fundamentals</t>
  </si>
  <si>
    <t xml:space="preserve">Foreign consistently out last 6-8 months. Likely not much to come </t>
  </si>
  <si>
    <t>Valuation gap vs market (trailing)</t>
  </si>
  <si>
    <t>Discount/ Premium widened or narrowed? How does valuation change in cycles</t>
  </si>
  <si>
    <t>Stock corrected much deeper vs. market while ROE/ earnings visibility do not change much</t>
  </si>
  <si>
    <t>Compared with industry/ historical</t>
  </si>
  <si>
    <t>Forward P/B</t>
  </si>
  <si>
    <t>ROE &amp; Adjusted ROE</t>
  </si>
  <si>
    <t>Trend</t>
  </si>
  <si>
    <t>Downtrend from 2018 to 2020 but to improve in 2021</t>
  </si>
  <si>
    <t xml:space="preserve">Dividend Yield </t>
  </si>
  <si>
    <t>(12m &amp; forward)</t>
  </si>
  <si>
    <t>No dividend vs. peers (KDH, NLG…)</t>
  </si>
  <si>
    <t>Fair value (DC estimate)</t>
  </si>
  <si>
    <t>depending on analyst call</t>
  </si>
  <si>
    <t>100% upside with turnaround in pre-sales</t>
  </si>
  <si>
    <t>NM</t>
  </si>
  <si>
    <t>- with consideration to FA change/ compare with 1&amp;2 std deviation</t>
  </si>
  <si>
    <t>Flat or down 10% due to Covid. Still worsening vs 2019 not high base</t>
  </si>
  <si>
    <r>
      <t xml:space="preserve">VALUATION @ </t>
    </r>
    <r>
      <rPr>
        <b/>
        <sz val="10"/>
        <color rgb="FFFF0000"/>
        <rFont val="Arial"/>
        <family val="2"/>
      </rPr>
      <t>VND11,500 (06/02/2020)</t>
    </r>
  </si>
  <si>
    <t>5.5x 2020 - very cheap vs peers and historical</t>
  </si>
  <si>
    <t>0.7x - dirt cheap vs land bank + execution and vs peers</t>
  </si>
  <si>
    <t>Low. Can be discounted for uncertainty but should not be that deep discount</t>
  </si>
  <si>
    <t>2016</t>
  </si>
  <si>
    <t>2017</t>
  </si>
  <si>
    <t>2018</t>
  </si>
  <si>
    <t>2019</t>
  </si>
  <si>
    <t>Opal Citiview</t>
  </si>
  <si>
    <t>Q2 2020</t>
  </si>
  <si>
    <t>Q3 2020</t>
  </si>
  <si>
    <t>St Moritz - Opal Skyview</t>
  </si>
  <si>
    <t>St Moritz</t>
  </si>
  <si>
    <t>2023-2025</t>
  </si>
  <si>
    <t>Area - ha</t>
  </si>
  <si>
    <t>% Sold</t>
  </si>
  <si>
    <t>2020</t>
  </si>
  <si>
    <t>Gem Premium</t>
  </si>
  <si>
    <t>NAV/Share</t>
  </si>
  <si>
    <t>LDG and others</t>
  </si>
  <si>
    <t>2023F</t>
  </si>
  <si>
    <t>2019-2023</t>
  </si>
  <si>
    <t>VND bn</t>
  </si>
  <si>
    <t>Market Price</t>
  </si>
  <si>
    <t>Total NAV</t>
  </si>
  <si>
    <t>Low-rise</t>
  </si>
  <si>
    <t>Opal Binh Duong 10ha</t>
  </si>
  <si>
    <t>Opal BD 10ha</t>
  </si>
  <si>
    <t>2021</t>
  </si>
  <si>
    <t>Gem Long Thanh</t>
  </si>
  <si>
    <t>Opal Binh Duong 5ha</t>
  </si>
  <si>
    <t>Opal BD 5ha</t>
  </si>
  <si>
    <t>NPAT 
VND bn</t>
  </si>
  <si>
    <t>Thu Duc + D.7 + Nha Trang</t>
  </si>
  <si>
    <t>2024F</t>
  </si>
  <si>
    <t>minhtrinh@dragoncapital.com</t>
  </si>
  <si>
    <t>Note: OUTPERFORM, MARKET-PERFORM, UNDER-PERFORM, SELL, BUY, WATCH, AVOID, NON-RATED</t>
  </si>
  <si>
    <t>2022</t>
  </si>
  <si>
    <t>Net Revenue</t>
  </si>
  <si>
    <t>NPATMI - after bonus</t>
  </si>
  <si>
    <t>Outstanding Shares</t>
  </si>
  <si>
    <t>Short-term Debt</t>
  </si>
  <si>
    <t>Long-term Debt</t>
  </si>
  <si>
    <t>PBT (CF)</t>
  </si>
  <si>
    <t>Cash at the beginning of period</t>
  </si>
  <si>
    <t>Current_cash</t>
  </si>
  <si>
    <t>Effect of foreign exchange differences</t>
  </si>
  <si>
    <t>FX_Diff</t>
  </si>
  <si>
    <t>Cash at the end of period</t>
  </si>
  <si>
    <t>End_cash</t>
  </si>
  <si>
    <t>Book_value</t>
  </si>
  <si>
    <t>Depreciation &amp; Amortization</t>
  </si>
  <si>
    <t>Opal Luxury 8.6ha Binh Duong</t>
  </si>
  <si>
    <t>Lux Riverview - Lux Star Quận 7</t>
  </si>
  <si>
    <t>Gem Sky World Long Thanh</t>
  </si>
  <si>
    <t>Gem City Q9 (Opal City old)</t>
  </si>
  <si>
    <t>Gem Premium Thu Duc (Opal Premium)</t>
  </si>
  <si>
    <t>Opal Central Park - Thuận An 1.0ha</t>
  </si>
  <si>
    <t>Park City Thuận An 10ha</t>
  </si>
  <si>
    <t>Park View Thuận An 5ha</t>
  </si>
  <si>
    <t>DXS</t>
  </si>
  <si>
    <t>DXS Cash</t>
  </si>
  <si>
    <t>DXS Debt</t>
  </si>
  <si>
    <t>Market Cap</t>
  </si>
  <si>
    <t>Debts</t>
  </si>
  <si>
    <t>Interest expenses</t>
  </si>
  <si>
    <t>2025F</t>
  </si>
  <si>
    <t>2026F</t>
  </si>
  <si>
    <t>Real Estate revenues</t>
  </si>
  <si>
    <t>Brokerage + others</t>
  </si>
  <si>
    <t>2027F</t>
  </si>
  <si>
    <t>2028F</t>
  </si>
  <si>
    <t>2029F</t>
  </si>
  <si>
    <t>Total Revenues</t>
  </si>
  <si>
    <t>DXS Income Statement</t>
  </si>
  <si>
    <t>LIGHT COVERAGE</t>
  </si>
  <si>
    <t>Comment</t>
  </si>
  <si>
    <t>SSI.Target price</t>
  </si>
  <si>
    <t>HSC.Target price</t>
  </si>
  <si>
    <t>VCSC.Target price</t>
  </si>
  <si>
    <t>CS</t>
  </si>
  <si>
    <t>CS.NPAT</t>
  </si>
  <si>
    <t>CS.Target_Price</t>
  </si>
  <si>
    <t>VCBS</t>
  </si>
  <si>
    <t>VCBS.NPAT</t>
  </si>
  <si>
    <t>VCBS.Target_Price</t>
  </si>
  <si>
    <t>VDSC</t>
  </si>
  <si>
    <t>VDSC.NPAT</t>
  </si>
  <si>
    <t>VDSC.Target_Price</t>
  </si>
  <si>
    <t>FPTS</t>
  </si>
  <si>
    <t>FPTS.NPAT</t>
  </si>
  <si>
    <t>FPTS.Target_Price</t>
  </si>
  <si>
    <t>BVS</t>
  </si>
  <si>
    <t>BVS.NPAT</t>
  </si>
  <si>
    <t>BVS.Target_Price</t>
  </si>
  <si>
    <t>SG&amp;A % of sales</t>
  </si>
  <si>
    <t>4th year</t>
  </si>
  <si>
    <t>Investment Properties</t>
  </si>
  <si>
    <t>Short-term Investment</t>
  </si>
  <si>
    <t>YoY</t>
  </si>
  <si>
    <t>H1</t>
  </si>
  <si>
    <t>H1 as % of 2023F</t>
  </si>
  <si>
    <t xml:space="preserve">     Brokerage</t>
  </si>
  <si>
    <t xml:space="preserve">     Development</t>
  </si>
  <si>
    <t xml:space="preserve">     Others</t>
  </si>
  <si>
    <t>Net income from affiliates</t>
  </si>
  <si>
    <t>N.M.</t>
  </si>
  <si>
    <t>Net other income</t>
  </si>
  <si>
    <t>NPAT-MI</t>
  </si>
  <si>
    <t>OPM</t>
  </si>
  <si>
    <t>1Q16</t>
  </si>
  <si>
    <t>2Q16</t>
  </si>
  <si>
    <t>3Q16</t>
  </si>
  <si>
    <t>4Q16</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</si>
  <si>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</si>
  <si>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</si>
  <si>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</si>
  <si>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</si>
  <si>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</si>
  <si>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</si>
  <si>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</si>
  <si>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</si>
  <si>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</si>
  <si>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</si>
  <si>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</si>
  <si>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</si>
  <si>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</si>
  <si>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</si>
  <si>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</si>
  <si>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</si>
  <si>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</si>
  <si>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</si>
  <si>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</si>
  <si>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</si>
  <si>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</si>
  <si>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</si>
  <si>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</si>
  <si>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</si>
  <si>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1Q23</t>
  </si>
  <si>
    <t>2Q23</t>
  </si>
  <si>
    <t>OUTPERFORM</t>
  </si>
  <si>
    <t xml:space="preserve">2024 P/B 1.5x </t>
  </si>
  <si>
    <t xml:space="preserve">2024 P/E 12.0x  </t>
  </si>
  <si>
    <t>Debt Breakdown</t>
  </si>
  <si>
    <t>Loans</t>
  </si>
  <si>
    <t>Bonds</t>
  </si>
  <si>
    <t>Working Cap Debt</t>
  </si>
  <si>
    <t>Total O/S Debts</t>
  </si>
  <si>
    <t>Debt Repayment Profile</t>
  </si>
  <si>
    <t>Paid in Oct23</t>
  </si>
  <si>
    <t>2023</t>
  </si>
  <si>
    <t>3Q23</t>
  </si>
  <si>
    <t>4Q23</t>
  </si>
  <si>
    <t>NON-RATED</t>
  </si>
  <si>
    <t>2025E</t>
  </si>
  <si>
    <t>1Q24</t>
  </si>
  <si>
    <t>Property sales</t>
  </si>
  <si>
    <t>Real estate brokerage</t>
  </si>
  <si>
    <t>Management, leasing and others</t>
  </si>
  <si>
    <t>Returned goods</t>
  </si>
  <si>
    <t>Net revenues</t>
  </si>
  <si>
    <t>Total COGS</t>
  </si>
  <si>
    <t>Project delivery breakdown</t>
  </si>
  <si>
    <t>Opal skyline</t>
  </si>
  <si>
    <t>Financial Income</t>
  </si>
  <si>
    <t>Financial Expenses</t>
  </si>
  <si>
    <t>Other Net Income</t>
  </si>
  <si>
    <t>Profit &amp; loss from associates</t>
  </si>
  <si>
    <t>Minority</t>
  </si>
  <si>
    <t>Gem Skyworld</t>
  </si>
  <si>
    <t>2024 BVPS</t>
  </si>
  <si>
    <t>2024 EPS</t>
  </si>
  <si>
    <t>2024</t>
  </si>
  <si>
    <t>2Q24</t>
  </si>
  <si>
    <t>3Q24</t>
  </si>
  <si>
    <t>4Q24</t>
  </si>
  <si>
    <t>2026E</t>
  </si>
  <si>
    <t>2026</t>
  </si>
  <si>
    <t>Prive</t>
  </si>
  <si>
    <t>% customer take loans</t>
  </si>
  <si>
    <t>% Loan</t>
  </si>
  <si>
    <t>Interest rates</t>
  </si>
  <si>
    <t>Years</t>
  </si>
  <si>
    <t>Interest expense DXG cover</t>
  </si>
  <si>
    <t>Ước Tính chi phí hỗ trợ lãi vay là 2,300 + 2,600bn SGA =&gt; Total 5k tỷ</t>
  </si>
  <si>
    <t>2027E</t>
  </si>
  <si>
    <t>company_ticker</t>
  </si>
  <si>
    <t>company_name</t>
  </si>
  <si>
    <t>project_name</t>
  </si>
  <si>
    <t>total_units</t>
  </si>
  <si>
    <t>average_selling_price</t>
  </si>
  <si>
    <t>net_sellable_area</t>
  </si>
  <si>
    <t>gross_floor_area</t>
  </si>
  <si>
    <t>land_area</t>
  </si>
  <si>
    <t>construction_cost_per_sqm</t>
  </si>
  <si>
    <t>land_cost_per_sqm</t>
  </si>
  <si>
    <t>land_payment_year</t>
  </si>
  <si>
    <t>construction_start_year</t>
  </si>
  <si>
    <t>sale_start_year</t>
  </si>
  <si>
    <t>construction_years</t>
  </si>
  <si>
    <t>project_completion_year</t>
  </si>
  <si>
    <t>sales_years</t>
  </si>
  <si>
    <t>revenue_booking_start_year</t>
  </si>
  <si>
    <t>sga_percentage</t>
  </si>
  <si>
    <t>wacc_rate</t>
  </si>
  <si>
    <t>rnav_value</t>
  </si>
  <si>
    <t>last_updated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</si>
</sst>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1">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 #,##0.00_-;\-* #,##0.00_-;_-* &quot;-&quot;??_-;_-@_-"/>
    <numFmt numFmtId="167" formatCode="###0\ ;[Red]\(###0\);&quot;- &quot;;&quot;- &quot;"/>
    <numFmt numFmtId="168" formatCode="#,##0.0\ ;[Red]\(#,##0.0\);&quot;- &quot;;&quot;- &quot;"/>
    <numFmt numFmtId="169" formatCode="#,##0.0%\ ;[Red]\(#,##0.0%\);&quot;- &quot;;&quot;- &quot;"/>
    <numFmt numFmtId="170" formatCode="#,##0.000\ ;[Red]\(#,##0.000\);&quot;- &quot;;&quot;- &quot;"/>
    <numFmt numFmtId="171" formatCode="_(* #,##0_);_(* \(#,##0\);_(* &quot;-&quot;??_);_(@_)"/>
    <numFmt numFmtId="172" formatCode="0.0%"/>
    <numFmt numFmtId="173" formatCode="0.0"/>
    <numFmt numFmtId="174" formatCode="#,##0\ ;[Red]\(#,##0\);&quot;- &quot;;&quot;- &quot;"/>
    <numFmt numFmtId="175" formatCode="#,##0.0_);[Red]\(#,##0.0\)"/>
    <numFmt numFmtId="176" formatCode="#,##0.00\ ;[Red]\(#,##0.00\);&quot;- &quot;;&quot;- &quot;"/>
    <numFmt numFmtId="177" formatCode="[$-1010000]d/m/yy;@"/>
    <numFmt numFmtId="178" formatCode="_(* #,##0.0_);_(* \(#,##0.0\);_(* &quot;-&quot;??_);_(@_)"/>
    <numFmt numFmtId="179" formatCode="#,##0.0;[Red]\-#,##0.0"/>
    <numFmt numFmtId="180" formatCode="_-* #,##0\ _F_-;\-* #,##0\ _F_-;_-* &quot;-&quot;\ _F_-;_-@_-"/>
    <numFmt numFmtId="181" formatCode="#.##"/>
    <numFmt numFmtId="182" formatCode="_(&quot;$&quot;* #,##0.0000_);_(&quot;$&quot;* \(#,##0.0000\);_(&quot;$&quot;* &quot;-&quot;??_);_(@_)"/>
    <numFmt numFmtId="183" formatCode="_ * #,##0_ ;_ * \-#,##0_ ;_ * &quot;-&quot;_ ;_ @_ "/>
    <numFmt numFmtId="184" formatCode="_-* #,##0.00\ _v_n_d_-;\-* #,##0.00\ _v_n_d_-;_-* &quot;-&quot;??\ _v_n_d_-;_-@_-"/>
    <numFmt numFmtId="185" formatCode="_-* #,##0.00\ _F_-;\-* #,##0.00\ _F_-;_-* &quot;-&quot;??\ _F_-;_-@_-"/>
    <numFmt numFmtId="186" formatCode="_-* #,##0.00\ _V_N_D_-;\-* #,##0.00\ _V_N_D_-;_-* &quot;-&quot;??\ _V_N_D_-;_-@_-"/>
    <numFmt numFmtId="187" formatCode="_ * #,##0.00_)\ _V_N_D_ ;_ * \(#,##0.00\)\ _V_N_D_ ;_ * &quot;-&quot;??_)\ _V_N_D_ ;_ @_ "/>
    <numFmt numFmtId="188" formatCode="_-* #,##0\ &quot;F&quot;_-;\-* #,##0\ &quot;F&quot;_-;_-* &quot;-&quot;\ &quot;F&quot;_-;_-@_-"/>
    <numFmt numFmtId="189" formatCode="_(&quot;$&quot;\ * #,##0_);_(&quot;$&quot;\ * \(#,##0\);_(&quot;$&quot;\ * &quot;-&quot;_);_(@_)"/>
    <numFmt numFmtId="190" formatCode="_-* #,##0\ _v_n_d_-;\-* #,##0\ _v_n_d_-;_-* &quot;-&quot;\ _v_n_d_-;_-@_-"/>
    <numFmt numFmtId="191" formatCode="_-* #,##0\ _V_N_D_-;\-* #,##0\ _V_N_D_-;_-* &quot;-&quot;\ _V_N_D_-;_-@_-"/>
    <numFmt numFmtId="192" formatCode="_ * #,##0_)\ _V_N_D_ ;_ * \(#,##0\)\ _V_N_D_ ;_ * &quot;-&quot;_)\ _V_N_D_ ;_ @_ "/>
    <numFmt numFmtId="193" formatCode="General_)"/>
    <numFmt numFmtId="194" formatCode="_(&quot;£¤&quot;* #,##0_);_(&quot;£¤&quot;* \(#,##0\);_(&quot;£¤&quot;* &quot;-&quot;_);_(@_)"/>
    <numFmt numFmtId="195" formatCode="_(&quot;£¤&quot;* #,##0.00_);_(&quot;£¤&quot;* \(#,##0.00\);_(&quot;£¤&quot;* &quot;-&quot;??_);_(@_)"/>
    <numFmt numFmtId="196" formatCode="_ &quot;\&quot;* #,##0_ ;_ &quot;\&quot;* \-#,##0_ ;_ &quot;\&quot;* &quot;-&quot;_ ;_ @_ "/>
    <numFmt numFmtId="197" formatCode="&quot;SFr.&quot;\ #,##0.00;&quot;SFr.&quot;\ \-#,##0.00"/>
    <numFmt numFmtId="198" formatCode="_ &quot;\&quot;* #,##0.00_ ;_ &quot;\&quot;* \-#,##0.00_ ;_ &quot;\&quot;* &quot;-&quot;??_ ;_ @_ "/>
    <numFmt numFmtId="199" formatCode="_(* #,##0.00000000_);_(* \(#,##0.00000000\);_(* &quot;-&quot;??_);_(@_)"/>
    <numFmt numFmtId="200" formatCode="_ * #,##0.00_ ;_ * \-#,##0.00_ ;_ * &quot;-&quot;??_ ;_ @_ "/>
    <numFmt numFmtId="201" formatCode="0.000"/>
    <numFmt numFmtId="202" formatCode="#,##0.0_);\(#,##0.0\)"/>
    <numFmt numFmtId="203" formatCode="&quot;$&quot;#,##0.00"/>
    <numFmt numFmtId="204" formatCode="_ * #,##0.00_)&quot;£&quot;_ ;_ * \(#,##0.00\)&quot;£&quot;_ ;_ * &quot;-&quot;??_)&quot;£&quot;_ ;_ @_ "/>
    <numFmt numFmtId="205" formatCode="_-&quot;$&quot;* #,##0.00_-;\-&quot;$&quot;* #,##0.00_-;_-&quot;$&quot;* &quot;-&quot;??_-;_-@_-"/>
    <numFmt numFmtId="206" formatCode="0.0%;\(0.0%\)"/>
    <numFmt numFmtId="207" formatCode="_-* #,##0.00\ &quot;F&quot;_-;\-* #,##0.00\ &quot;F&quot;_-;_-* &quot;-&quot;??\ &quot;F&quot;_-;_-@_-"/>
    <numFmt numFmtId="208" formatCode="#,##0;\(#,##0\)"/>
    <numFmt numFmtId="209" formatCode="\$#,##0\ ;\(\$#,##0\)"/>
    <numFmt numFmtId="210" formatCode="\U\S\$#,##0.00;\(\U\S\$#,##0.00\)"/>
    <numFmt numFmtId="211" formatCode="_-* #,##0\ _D_M_-;\-* #,##0\ _D_M_-;_-* &quot;-&quot;\ _D_M_-;_-@_-"/>
    <numFmt numFmtId="212" formatCode="_-* #,##0.00\ _D_M_-;\-* #,##0.00\ _D_M_-;_-* &quot;-&quot;??\ _D_M_-;_-@_-"/>
    <numFmt numFmtId="213" formatCode="\t#\ ??/??"/>
    <numFmt numFmtId="214" formatCode="_-[$€]* #,##0.00_-;\-[$€]* #,##0.00_-;_-[$€]* &quot;-&quot;??_-;_-@_-"/>
    <numFmt numFmtId="215" formatCode="#,##0_);\-#,##0_)"/>
    <numFmt numFmtId="216" formatCode="_(&quot;$&quot;* #,##0.0_);_(&quot;$&quot;* \(#,##0.0\);_(&quot;$&quot;* &quot;-&quot;??_);_(@_)"/>
    <numFmt numFmtId="217" formatCode="#,##0\ &quot;$&quot;_);[Red]\(#,##0\ &quot;$&quot;\)"/>
    <numFmt numFmtId="218" formatCode="&quot;$&quot;###,0&quot;.&quot;00_);[Red]\(&quot;$&quot;###,0&quot;.&quot;00\)"/>
    <numFmt numFmtId="219" formatCode="&quot;$&quot;#,##0;[Red]\-&quot;$&quot;#,##0"/>
    <numFmt numFmtId="220" formatCode="&quot;$&quot;#,##0.00;[Red]\-&quot;$&quot;#,##0.00"/>
    <numFmt numFmtId="221" formatCode="#,##0.00_);\-#,##0.00_)"/>
    <numFmt numFmtId="222" formatCode="#,##0.000_);\(#,##0.000\)"/>
    <numFmt numFmtId="223" formatCode="#,##0.00\ &quot;F&quot;;[Red]\-#,##0.00\ &quot;F&quot;"/>
    <numFmt numFmtId="224" formatCode="#,##0\ &quot;F&quot;;[Red]\-#,##0\ &quot;F&quot;"/>
    <numFmt numFmtId="225" formatCode="0\ \ \ \ "/>
    <numFmt numFmtId="226" formatCode="#,##0.00\ &quot;F&quot;;\-#,##0.00\ &quot;F&quot;"/>
    <numFmt numFmtId="227" formatCode="_-* #,##0\ &quot;DM&quot;_-;\-* #,##0\ &quot;DM&quot;_-;_-* &quot;-&quot;\ &quot;DM&quot;_-;_-@_-"/>
    <numFmt numFmtId="228" formatCode="_-* #,##0.00\ &quot;DM&quot;_-;\-* #,##0.00\ &quot;DM&quot;_-;_-* &quot;-&quot;??\ &quot;DM&quot;_-;_-@_-"/>
    <numFmt numFmtId="229" formatCode="&quot;\&quot;#,##0.00;[Red]&quot;\&quot;\-#,##0.00"/>
    <numFmt numFmtId="230" formatCode="&quot;\&quot;#,##0;[Red]&quot;\&quot;\-#,##0"/>
    <numFmt numFmtId="231" formatCode="0.0%;\(0.0\)%"/>
    <numFmt numFmtId="232" formatCode="0.0\ "/>
    <numFmt numFmtId="233" formatCode="_0.0%;_(0.0\)%"/>
    <numFmt numFmtId="234" formatCode="&quot;$&quot;#,##0.0_);&quot;$&quot;\(#,##0.0\)"/>
    <numFmt numFmtId="235" formatCode="#,##0.0\x\ ;[Red]\(#,##0.0\);&quot;- &quot;;&quot;- &quot;"/>
    <numFmt numFmtId="236" formatCode="#,##0.00\x\ ;[Red]\(#,##0.00\);&quot;- &quot;;&quot;- &quot;"/>
    <numFmt numFmtId="237" formatCode="#,##0.0"/>
    <numFmt numFmtId="238" formatCode="[$-409]d\-mmm\-yy;@"/>
    <numFmt numFmtId="239" formatCode="[$-1010000]d/m/yyyy;@"/>
    <numFmt numFmtId="240" formatCode="0.0000%"/>
    <numFmt numFmtId="241" formatCode="_(* #,##0.000_);_(* \(#,##0.000\);_(* &quot;-&quot;??_);_(@_)"/>
    <numFmt numFmtId="242" formatCode="0.000%"/>
    <numFmt numFmtId="243" formatCode="_-* #,##0\ _₫_-;\-* #,##0\ _₫_-;_-* &quot;-&quot;??\ _₫_-;_-@_-"/>
    <numFmt numFmtId="244" formatCode="0_);\(0\)"/>
    <numFmt numFmtId="245" formatCode="#,##0.0%_);\(#,##0.0%\)"/>
    <numFmt numFmtId="246" formatCode="#,##0%_);\(#,##0%\)"/>
    <numFmt numFmtId="247" formatCode="#,##0.0\x"/>
    <numFmt numFmtId="248" formatCode="&quot;$&quot;#,##0.0_);\(&quot;$&quot;#,##0.0\)"/>
    <numFmt numFmtId="249" formatCode="&quot;$&quot;#,##0.0"/>
    <numFmt numFmtId="250" formatCode="#,##0.0000_);\(#,##0.0000\)"/>
    <numFmt numFmtId="251" formatCode="&quot;$&quot;#,##0.00000_);\(&quot;$&quot;#,##0.00000\)"/>
    <numFmt numFmtId="252" formatCode="0.0%_);\(0.0%\)"/>
    <numFmt numFmtId="253" formatCode="#0.0%_);\(#0.0%\)"/>
    <numFmt numFmtId="254" formatCode="0\)"/>
    <numFmt numFmtId="255" formatCode="_(* #,##0.0_);_(* \(#,##0.0\);_(* &quot;-&quot;?_);_(@_)"/>
    <numFmt numFmtId="256" formatCode="[$-409]mmm\-yy;@"/>
  </numFmts>
  <fonts count="254">
    <font>
      <sz val="9"/>
      <color theme="1"/>
      <name val="Arial"/>
      <family val="2"/>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9"/>
      <color theme="1"/>
      <name val="Arial"/>
      <family val="2"/>
    </font>
    <font>
      <sz val="10"/>
      <name val="Arial"/>
      <family val="2"/>
    </font>
    <font>
      <sz val="9"/>
      <name val="Arial"/>
      <family val="2"/>
    </font>
    <font>
      <u/>
      <sz val="8"/>
      <color theme="10"/>
      <name val="Arial"/>
      <family val="2"/>
    </font>
    <font>
      <sz val="11"/>
      <color theme="1"/>
      <name val="Arial"/>
      <family val="2"/>
      <scheme val="minor"/>
    </font>
    <font>
      <sz val="10"/>
      <name val="Times New Roman"/>
      <family val="1"/>
    </font>
    <font>
      <sz val="12"/>
      <name val="VNI-Times"/>
    </font>
    <font>
      <sz val="12"/>
      <name val="VNtimes new roman"/>
      <family val="2"/>
    </font>
    <font>
      <sz val="11"/>
      <name val="VNtimes new roman"/>
    </font>
    <font>
      <sz val="12"/>
      <name val=".VnTime"/>
      <family val="2"/>
    </font>
    <font>
      <sz val="10"/>
      <name val="VNI-Times"/>
    </font>
    <font>
      <sz val="10"/>
      <name val=".VnArial"/>
      <family val="2"/>
    </font>
    <font>
      <sz val="12"/>
      <name val="????"/>
      <family val="1"/>
      <charset val="136"/>
    </font>
    <font>
      <sz val="12"/>
      <name val="Courier"/>
      <family val="3"/>
    </font>
    <font>
      <sz val="10"/>
      <name val="???"/>
      <family val="3"/>
    </font>
    <font>
      <sz val="12"/>
      <name val="|??¢¥¢¬¨Ï"/>
      <family val="1"/>
      <charset val="129"/>
    </font>
    <font>
      <sz val="10"/>
      <name val=".VnTime"/>
      <family val="2"/>
    </font>
    <font>
      <b/>
      <u/>
      <sz val="14"/>
      <color indexed="8"/>
      <name val=".VnBook-AntiquaH"/>
      <family val="2"/>
    </font>
    <font>
      <sz val="10"/>
      <name val="VnTimes"/>
      <family val="2"/>
    </font>
    <font>
      <sz val="12"/>
      <name val="¹ÙÅÁÃ¼"/>
      <charset val="129"/>
    </font>
    <font>
      <i/>
      <sz val="12"/>
      <color indexed="8"/>
      <name val=".VnBook-AntiquaH"/>
      <family val="2"/>
    </font>
    <font>
      <b/>
      <sz val="12"/>
      <color indexed="8"/>
      <name val=".VnBook-Antiqua"/>
      <family val="2"/>
    </font>
    <font>
      <sz val="12"/>
      <name val="Times New Roman"/>
      <family val="1"/>
    </font>
    <font>
      <i/>
      <sz val="12"/>
      <color indexed="8"/>
      <name val=".VnBook-Antiqua"/>
      <family val="2"/>
    </font>
    <font>
      <sz val="12"/>
      <name val="±¼¸²Ã¼"/>
      <family val="3"/>
      <charset val="129"/>
    </font>
    <font>
      <sz val="12"/>
      <name val="¹UAAA¼"/>
      <family val="3"/>
      <charset val="129"/>
    </font>
    <font>
      <sz val="11"/>
      <name val="µ¸¿ò"/>
      <charset val="129"/>
    </font>
    <font>
      <sz val="10"/>
      <name val="±¼¸²A¼"/>
      <family val="3"/>
      <charset val="129"/>
    </font>
    <font>
      <sz val="10"/>
      <name val="Helv"/>
      <family val="2"/>
    </font>
    <font>
      <b/>
      <sz val="10"/>
      <name val="Helv"/>
    </font>
    <font>
      <sz val="10"/>
      <name val="VNI-Aptima"/>
    </font>
    <font>
      <sz val="10"/>
      <color indexed="8"/>
      <name val="Arial"/>
      <family val="2"/>
    </font>
    <font>
      <sz val="12"/>
      <name val="Arial"/>
      <family val="2"/>
    </font>
    <font>
      <sz val="18"/>
      <color indexed="24"/>
      <name val="Times New Roman"/>
      <family val="1"/>
    </font>
    <font>
      <sz val="8"/>
      <color indexed="24"/>
      <name val="Times New Roman"/>
      <family val="1"/>
    </font>
    <font>
      <i/>
      <sz val="12"/>
      <color indexed="24"/>
      <name val="Times New Roman"/>
      <family val="1"/>
    </font>
    <font>
      <sz val="12"/>
      <color indexed="24"/>
      <name val="Arial"/>
      <family val="2"/>
    </font>
    <font>
      <sz val="12"/>
      <color indexed="24"/>
      <name val="Times New Roman"/>
      <family val="1"/>
    </font>
    <font>
      <sz val="8"/>
      <color indexed="24"/>
      <name val="Arial"/>
      <family val="2"/>
    </font>
    <font>
      <i/>
      <sz val="12"/>
      <color indexed="24"/>
      <name val="Arial"/>
      <family val="2"/>
    </font>
    <font>
      <sz val="8"/>
      <name val="Arial"/>
      <family val="2"/>
    </font>
    <font>
      <b/>
      <sz val="11"/>
      <name val="Times New Roman"/>
      <family val="1"/>
    </font>
    <font>
      <b/>
      <sz val="12"/>
      <name val=".VnBook-AntiquaH"/>
      <family val="2"/>
    </font>
    <font>
      <b/>
      <sz val="11"/>
      <name val="Arial"/>
      <family val="2"/>
    </font>
    <font>
      <b/>
      <sz val="12"/>
      <name val="Arial"/>
      <family val="2"/>
    </font>
    <font>
      <b/>
      <sz val="18"/>
      <name val="Arial"/>
      <family val="2"/>
    </font>
    <font>
      <b/>
      <sz val="10"/>
      <name val=".VnTime"/>
      <family val="2"/>
    </font>
    <font>
      <b/>
      <sz val="14"/>
      <name val=".VnTimeH"/>
      <family val="2"/>
    </font>
    <font>
      <sz val="10"/>
      <name val="MS Sans Serif"/>
      <family val="2"/>
    </font>
    <font>
      <sz val="11"/>
      <name val="VNI-Times"/>
    </font>
    <font>
      <b/>
      <sz val="11"/>
      <name val="Helv"/>
    </font>
    <font>
      <sz val="7"/>
      <name val="Small Fonts"/>
      <family val="2"/>
    </font>
    <font>
      <b/>
      <sz val="12"/>
      <name val="VN-NTime"/>
    </font>
    <font>
      <b/>
      <i/>
      <sz val="16"/>
      <name val="Helv"/>
    </font>
    <font>
      <sz val="12"/>
      <name val="바탕체"/>
      <family val="1"/>
      <charset val="129"/>
    </font>
    <font>
      <sz val="11"/>
      <name val="VNI-Aptima"/>
    </font>
    <font>
      <sz val="12"/>
      <color indexed="8"/>
      <name val="Times New Roman"/>
      <family val="1"/>
    </font>
    <font>
      <sz val="12"/>
      <name val="Helv"/>
      <family val="2"/>
    </font>
    <font>
      <b/>
      <sz val="10"/>
      <name val="MS Sans Serif"/>
      <family val="2"/>
    </font>
    <font>
      <sz val="10"/>
      <name val="VNbook-Antiqua"/>
    </font>
    <font>
      <sz val="13"/>
      <name val=".VnTime"/>
      <family val="2"/>
    </font>
    <font>
      <sz val="12"/>
      <name val="VNTime"/>
      <family val="2"/>
    </font>
    <font>
      <sz val="10"/>
      <name val="VNI-Helve-Condense"/>
    </font>
    <font>
      <sz val="10"/>
      <name val="VNtimes new roman"/>
      <family val="2"/>
    </font>
    <font>
      <b/>
      <sz val="8"/>
      <name val="VN Helvetica"/>
      <family val="2"/>
    </font>
    <font>
      <b/>
      <sz val="12"/>
      <name val=".VnTime"/>
      <family val="2"/>
    </font>
    <font>
      <b/>
      <sz val="10"/>
      <name val="VN AvantGBook"/>
      <family val="2"/>
    </font>
    <font>
      <b/>
      <sz val="16"/>
      <name val=".VnTime"/>
      <family val="2"/>
    </font>
    <font>
      <sz val="9"/>
      <name val=".VnTime"/>
      <family val="2"/>
    </font>
    <font>
      <sz val="11"/>
      <name val="VNI-Helve"/>
    </font>
    <font>
      <sz val="11"/>
      <name val="VNI-Helve"/>
      <family val="2"/>
    </font>
    <font>
      <sz val="14"/>
      <name val=".VnArial"/>
      <family val="2"/>
    </font>
    <font>
      <sz val="16"/>
      <name val="AngsanaUPC"/>
      <family val="3"/>
    </font>
    <font>
      <sz val="14"/>
      <name val="뼻뮝"/>
      <family val="3"/>
      <charset val="129"/>
    </font>
    <font>
      <sz val="12"/>
      <name val="바탕체"/>
      <family val="3"/>
    </font>
    <font>
      <sz val="12"/>
      <name val="뼻뮝"/>
      <family val="1"/>
      <charset val="129"/>
    </font>
    <font>
      <sz val="10"/>
      <name val="명조"/>
      <family val="3"/>
      <charset val="129"/>
    </font>
    <font>
      <sz val="10"/>
      <name val="굴림체"/>
      <family val="3"/>
      <charset val="129"/>
    </font>
    <font>
      <sz val="10"/>
      <name val=".VnArial"/>
      <family val="1"/>
    </font>
    <font>
      <sz val="10"/>
      <name val="System"/>
      <family val="2"/>
    </font>
    <font>
      <sz val="10"/>
      <name val=" "/>
      <family val="1"/>
      <charset val="136"/>
    </font>
    <font>
      <sz val="8"/>
      <color theme="1"/>
      <name val="Arial"/>
      <family val="2"/>
    </font>
    <font>
      <sz val="11"/>
      <color indexed="8"/>
      <name val="Calibri"/>
      <family val="2"/>
    </font>
    <font>
      <u/>
      <sz val="10"/>
      <color indexed="12"/>
      <name val="Arial"/>
      <family val="2"/>
    </font>
    <font>
      <sz val="10"/>
      <color theme="1"/>
      <name val="Arial"/>
      <family val="2"/>
    </font>
    <font>
      <sz val="8"/>
      <color indexed="8"/>
      <name val="Times New Roman"/>
      <family val="1"/>
    </font>
    <font>
      <sz val="8"/>
      <color indexed="12"/>
      <name val="Times New Roman"/>
      <family val="1"/>
    </font>
    <font>
      <b/>
      <sz val="8"/>
      <name val="Book Antiqua"/>
      <family val="1"/>
    </font>
    <font>
      <sz val="11"/>
      <color indexed="12"/>
      <name val="Book Antiqua"/>
      <family val="1"/>
    </font>
    <font>
      <sz val="8"/>
      <color indexed="14"/>
      <name val="Times New Roman"/>
      <family val="1"/>
    </font>
    <font>
      <sz val="7"/>
      <name val="Palatino"/>
      <family val="1"/>
    </font>
    <font>
      <sz val="7"/>
      <color indexed="8"/>
      <name val="Tms Rmn"/>
    </font>
    <font>
      <sz val="10"/>
      <name val="Palatino"/>
      <family val="1"/>
    </font>
    <font>
      <sz val="10"/>
      <color indexed="16"/>
      <name val="Helvetica-Black"/>
    </font>
    <font>
      <b/>
      <sz val="9"/>
      <name val="Palatino"/>
      <family val="1"/>
    </font>
    <font>
      <sz val="9"/>
      <color indexed="21"/>
      <name val="Helvetica-Black"/>
    </font>
    <font>
      <sz val="9"/>
      <name val="Helvetica-Black"/>
    </font>
    <font>
      <b/>
      <sz val="8"/>
      <name val="Arial"/>
      <family val="2"/>
    </font>
    <font>
      <b/>
      <sz val="8"/>
      <color theme="1"/>
      <name val="Arial"/>
      <family val="2"/>
    </font>
    <font>
      <sz val="8"/>
      <color theme="0"/>
      <name val="Arial"/>
      <family val="2"/>
    </font>
    <font>
      <i/>
      <sz val="8"/>
      <color theme="1"/>
      <name val="Arial"/>
      <family val="2"/>
    </font>
    <font>
      <i/>
      <sz val="8"/>
      <name val="Arial"/>
      <family val="2"/>
    </font>
    <font>
      <sz val="8"/>
      <color indexed="12"/>
      <name val="Arial"/>
      <family val="2"/>
    </font>
    <font>
      <b/>
      <sz val="8"/>
      <color indexed="12"/>
      <name val="Arial"/>
      <family val="2"/>
    </font>
    <font>
      <sz val="8"/>
      <color theme="1"/>
      <name val="Arial"/>
      <family val="2"/>
      <scheme val="minor"/>
    </font>
    <font>
      <b/>
      <sz val="8"/>
      <color theme="0"/>
      <name val="Arial"/>
      <family val="2"/>
    </font>
    <font>
      <sz val="8"/>
      <color theme="4"/>
      <name val="Arial"/>
      <family val="2"/>
    </font>
    <font>
      <b/>
      <i/>
      <sz val="8"/>
      <name val="Arial"/>
      <family val="2"/>
    </font>
    <font>
      <b/>
      <i/>
      <sz val="8"/>
      <color theme="1"/>
      <name val="Arial"/>
      <family val="2"/>
    </font>
    <font>
      <sz val="8"/>
      <color rgb="FF000000"/>
      <name val="Arial"/>
      <family val="2"/>
    </font>
    <font>
      <b/>
      <sz val="7"/>
      <color theme="1"/>
      <name val="Arial"/>
      <family val="2"/>
    </font>
    <font>
      <sz val="8"/>
      <color theme="7" tint="0.59999389629810485"/>
      <name val="Arial"/>
      <family val="2"/>
    </font>
    <font>
      <i/>
      <sz val="8"/>
      <color theme="1" tint="0.34998626667073579"/>
      <name val="Arial"/>
      <family val="2"/>
    </font>
    <font>
      <sz val="8"/>
      <color rgb="FFFF0000"/>
      <name val="Arial"/>
      <family val="2"/>
    </font>
    <font>
      <b/>
      <sz val="8"/>
      <color rgb="FFFF0000"/>
      <name val="Arial"/>
      <family val="2"/>
    </font>
    <font>
      <i/>
      <sz val="8"/>
      <color rgb="FFFF0000"/>
      <name val="Arial"/>
      <family val="2"/>
    </font>
    <font>
      <b/>
      <sz val="9"/>
      <color theme="1"/>
      <name val="Arial"/>
      <family val="2"/>
    </font>
    <font>
      <sz val="10"/>
      <color theme="1"/>
      <name val="Arial"/>
      <family val="2"/>
      <scheme val="minor"/>
    </font>
    <font>
      <b/>
      <sz val="10"/>
      <color theme="1"/>
      <name val="Arial"/>
      <family val="2"/>
      <scheme val="minor"/>
    </font>
    <font>
      <b/>
      <sz val="10"/>
      <color rgb="FF000000"/>
      <name val="Arial"/>
      <family val="2"/>
      <scheme val="minor"/>
    </font>
    <font>
      <sz val="10"/>
      <color rgb="FF000000"/>
      <name val="Arial"/>
      <family val="2"/>
      <scheme val="minor"/>
    </font>
    <font>
      <sz val="9.9"/>
      <color rgb="FF323232"/>
      <name val="Times New Roman"/>
      <family val="1"/>
    </font>
    <font>
      <sz val="14"/>
      <name val=".VnTime"/>
      <family val="2"/>
    </font>
    <font>
      <sz val="8"/>
      <name val="Helv"/>
    </font>
    <font>
      <u/>
      <sz val="8"/>
      <color rgb="FFFF0000"/>
      <name val="Arial"/>
      <family val="2"/>
    </font>
    <font>
      <i/>
      <sz val="10"/>
      <color theme="1"/>
      <name val="Arial"/>
      <family val="2"/>
      <scheme val="minor"/>
    </font>
    <font>
      <b/>
      <i/>
      <sz val="10"/>
      <color theme="1"/>
      <name val="Arial"/>
      <family val="2"/>
      <scheme val="minor"/>
    </font>
    <font>
      <b/>
      <sz val="10"/>
      <color rgb="FFFF0000"/>
      <name val="Arial"/>
      <family val="2"/>
      <scheme val="minor"/>
    </font>
    <font>
      <b/>
      <sz val="11"/>
      <color theme="1"/>
      <name val="Arial"/>
      <family val="2"/>
      <scheme val="minor"/>
    </font>
    <font>
      <sz val="9"/>
      <color theme="0"/>
      <name val="Arial"/>
      <family val="2"/>
    </font>
    <font>
      <b/>
      <sz val="9"/>
      <color rgb="FFFF0000"/>
      <name val="Arial"/>
      <family val="2"/>
    </font>
    <font>
      <b/>
      <sz val="10"/>
      <color theme="1"/>
      <name val="Arial"/>
      <family val="2"/>
    </font>
    <font>
      <b/>
      <sz val="9"/>
      <color indexed="81"/>
      <name val="Tahoma"/>
      <family val="2"/>
    </font>
    <font>
      <sz val="9"/>
      <color indexed="81"/>
      <name val="Tahoma"/>
      <family val="2"/>
    </font>
    <font>
      <sz val="8"/>
      <color theme="1" tint="4.9989318521683403E-2"/>
      <name val="Arial"/>
      <family val="2"/>
    </font>
    <font>
      <u/>
      <sz val="11"/>
      <color theme="10"/>
      <name val="Calibri"/>
      <family val="2"/>
    </font>
    <font>
      <b/>
      <u/>
      <sz val="10"/>
      <color rgb="FFFFFFFF"/>
      <name val="Arial"/>
      <family val="2"/>
    </font>
    <font>
      <sz val="9"/>
      <color rgb="FF000000"/>
      <name val="Arial"/>
      <family val="2"/>
    </font>
    <font>
      <sz val="9"/>
      <color theme="1"/>
      <name val="Arial"/>
      <family val="2"/>
      <scheme val="major"/>
    </font>
    <font>
      <sz val="9"/>
      <color theme="0"/>
      <name val="Arial"/>
      <family val="2"/>
      <scheme val="major"/>
    </font>
    <font>
      <b/>
      <sz val="9"/>
      <color theme="1"/>
      <name val="Arial"/>
      <family val="2"/>
      <scheme val="major"/>
    </font>
    <font>
      <b/>
      <sz val="9"/>
      <color rgb="FFFF0000"/>
      <name val="Arial"/>
      <family val="2"/>
      <scheme val="major"/>
    </font>
    <font>
      <sz val="9"/>
      <color theme="1"/>
      <name val="Calibri"/>
      <family val="2"/>
    </font>
    <font>
      <sz val="10"/>
      <name val="Courier 15cpi"/>
    </font>
    <font>
      <u/>
      <sz val="8"/>
      <name val="Courier 17cpi"/>
    </font>
    <font>
      <i/>
      <sz val="8"/>
      <color rgb="FF000000"/>
      <name val="Arial"/>
      <family val="2"/>
    </font>
    <font>
      <sz val="11"/>
      <color rgb="FF000000"/>
      <name val="Calibri"/>
      <family val="2"/>
    </font>
    <font>
      <sz val="10"/>
      <color rgb="FF000000"/>
      <name val="Arial"/>
      <family val="2"/>
    </font>
    <font>
      <sz val="10"/>
      <color rgb="FFFFFFFF"/>
      <name val="Arial"/>
      <family val="2"/>
    </font>
    <font>
      <b/>
      <sz val="10"/>
      <color rgb="FF000000"/>
      <name val="Arial"/>
      <family val="2"/>
    </font>
    <font>
      <b/>
      <sz val="8"/>
      <color rgb="FF1F497D"/>
      <name val="Arial"/>
      <family val="2"/>
      <scheme val="major"/>
    </font>
    <font>
      <sz val="8"/>
      <color theme="1"/>
      <name val="Arial"/>
      <family val="2"/>
      <scheme val="major"/>
    </font>
    <font>
      <sz val="8"/>
      <color rgb="FF000000"/>
      <name val="Arial"/>
      <family val="2"/>
      <scheme val="major"/>
    </font>
    <font>
      <b/>
      <sz val="8"/>
      <color theme="1"/>
      <name val="Arial"/>
      <family val="2"/>
      <scheme val="major"/>
    </font>
    <font>
      <i/>
      <sz val="8"/>
      <color theme="1"/>
      <name val="Arial"/>
      <family val="2"/>
      <scheme val="major"/>
    </font>
    <font>
      <vertAlign val="superscript"/>
      <sz val="8"/>
      <color theme="1"/>
      <name val="Arial"/>
      <family val="2"/>
      <scheme val="major"/>
    </font>
    <font>
      <b/>
      <vertAlign val="subscript"/>
      <sz val="8"/>
      <color theme="1"/>
      <name val="Arial"/>
      <family val="2"/>
      <scheme val="major"/>
    </font>
    <font>
      <b/>
      <sz val="8"/>
      <color rgb="FF000000"/>
      <name val="Arial"/>
      <family val="2"/>
      <scheme val="major"/>
    </font>
    <font>
      <b/>
      <sz val="9"/>
      <color theme="1"/>
      <name val="Arial"/>
      <family val="2"/>
      <scheme val="minor"/>
    </font>
    <font>
      <sz val="9"/>
      <color theme="1"/>
      <name val="Arial"/>
      <family val="2"/>
      <scheme val="minor"/>
    </font>
    <font>
      <b/>
      <sz val="9"/>
      <color rgb="FFFFFFFF"/>
      <name val="Arial"/>
      <family val="2"/>
      <scheme val="major"/>
    </font>
    <font>
      <sz val="8"/>
      <name val="Arial"/>
      <family val="2"/>
      <scheme val="major"/>
    </font>
    <font>
      <b/>
      <sz val="8"/>
      <color rgb="FF4044E8"/>
      <name val="Arial"/>
      <family val="2"/>
      <scheme val="major"/>
    </font>
    <font>
      <b/>
      <i/>
      <sz val="8"/>
      <color rgb="FF4044E8"/>
      <name val="Arial"/>
      <family val="2"/>
      <scheme val="major"/>
    </font>
    <font>
      <b/>
      <sz val="8"/>
      <color rgb="FF4F81BD"/>
      <name val="Arial"/>
      <family val="2"/>
      <scheme val="major"/>
    </font>
    <font>
      <b/>
      <sz val="8"/>
      <name val="Arial"/>
      <family val="2"/>
      <scheme val="major"/>
    </font>
    <font>
      <sz val="8"/>
      <color rgb="FF0070C0"/>
      <name val="Arial"/>
      <family val="2"/>
      <scheme val="major"/>
    </font>
    <font>
      <i/>
      <sz val="8"/>
      <color rgb="FF000000"/>
      <name val="Arial"/>
      <family val="2"/>
      <scheme val="major"/>
    </font>
    <font>
      <u/>
      <sz val="8"/>
      <color rgb="FF000000"/>
      <name val="Arial"/>
      <family val="2"/>
      <scheme val="major"/>
    </font>
    <font>
      <b/>
      <sz val="16"/>
      <color theme="1"/>
      <name val="Calibri"/>
      <family val="2"/>
    </font>
    <font>
      <i/>
      <sz val="9"/>
      <color theme="1"/>
      <name val="Calibri"/>
      <family val="2"/>
    </font>
    <font>
      <b/>
      <sz val="9"/>
      <color theme="1"/>
      <name val="Calibri"/>
      <family val="2"/>
    </font>
    <font>
      <sz val="9"/>
      <name val="Calibri"/>
      <family val="2"/>
    </font>
    <font>
      <sz val="9"/>
      <color rgb="FF0000FF"/>
      <name val="Calibri"/>
      <family val="2"/>
    </font>
    <font>
      <sz val="9"/>
      <color rgb="FFFF0000"/>
      <name val="Calibri"/>
      <family val="2"/>
    </font>
    <font>
      <b/>
      <sz val="9"/>
      <name val="Calibri"/>
      <family val="2"/>
    </font>
    <font>
      <b/>
      <sz val="12"/>
      <color theme="1"/>
      <name val="Calibri"/>
      <family val="2"/>
    </font>
    <font>
      <b/>
      <sz val="9"/>
      <color rgb="FFFF0000"/>
      <name val="Calibri"/>
      <family val="2"/>
    </font>
    <font>
      <i/>
      <sz val="9"/>
      <name val="Calibri"/>
      <family val="2"/>
    </font>
    <font>
      <sz val="9"/>
      <color rgb="FF008000"/>
      <name val="Calibri"/>
      <family val="2"/>
    </font>
    <font>
      <u/>
      <sz val="9"/>
      <name val="Calibri"/>
      <family val="2"/>
    </font>
    <font>
      <u/>
      <sz val="9"/>
      <color indexed="8"/>
      <name val="Calibri"/>
      <family val="2"/>
    </font>
    <font>
      <b/>
      <sz val="9"/>
      <color indexed="10"/>
      <name val="Calibri"/>
      <family val="2"/>
    </font>
    <font>
      <sz val="9"/>
      <color indexed="12"/>
      <name val="Calibri"/>
      <family val="2"/>
    </font>
    <font>
      <sz val="9"/>
      <color indexed="8"/>
      <name val="Calibri"/>
      <family val="2"/>
    </font>
    <font>
      <u/>
      <sz val="9"/>
      <color rgb="FF0000FF"/>
      <name val="Calibri"/>
      <family val="2"/>
    </font>
    <font>
      <u/>
      <sz val="9"/>
      <color indexed="12"/>
      <name val="Calibri"/>
      <family val="2"/>
    </font>
    <font>
      <sz val="9"/>
      <color indexed="10"/>
      <name val="Calibri"/>
      <family val="2"/>
    </font>
    <font>
      <sz val="9"/>
      <color rgb="FF00B050"/>
      <name val="Calibri"/>
      <family val="2"/>
    </font>
    <font>
      <b/>
      <sz val="9"/>
      <color indexed="12"/>
      <name val="Calibri"/>
      <family val="2"/>
    </font>
    <font>
      <sz val="9"/>
      <color indexed="17"/>
      <name val="Calibri"/>
      <family val="2"/>
    </font>
    <font>
      <b/>
      <sz val="9"/>
      <color indexed="8"/>
      <name val="Calibri"/>
      <family val="2"/>
    </font>
    <font>
      <b/>
      <sz val="9"/>
      <color indexed="55"/>
      <name val="Calibri"/>
      <family val="2"/>
    </font>
    <font>
      <sz val="9"/>
      <color indexed="55"/>
      <name val="Calibri"/>
      <family val="2"/>
    </font>
    <font>
      <b/>
      <sz val="14"/>
      <color indexed="8"/>
      <name val="Arial"/>
      <family val="2"/>
    </font>
    <font>
      <b/>
      <sz val="12"/>
      <color indexed="10"/>
      <name val="Arial"/>
      <family val="2"/>
    </font>
    <font>
      <i/>
      <sz val="10"/>
      <name val="Arial"/>
      <family val="2"/>
    </font>
    <font>
      <b/>
      <sz val="14"/>
      <color indexed="8"/>
      <name val="Calibri"/>
      <family val="2"/>
    </font>
    <font>
      <b/>
      <sz val="12"/>
      <color indexed="10"/>
      <name val="Calibri"/>
      <family val="2"/>
    </font>
    <font>
      <i/>
      <sz val="10"/>
      <name val="Calibri"/>
      <family val="2"/>
    </font>
    <font>
      <sz val="8"/>
      <color rgb="FF0000FF"/>
      <name val="Arial"/>
      <family val="2"/>
      <scheme val="major"/>
    </font>
    <font>
      <b/>
      <sz val="8"/>
      <color rgb="FF000000"/>
      <name val="Arial"/>
      <family val="2"/>
    </font>
    <font>
      <b/>
      <sz val="9"/>
      <color rgb="FF008000"/>
      <name val="Calibri"/>
      <family val="2"/>
    </font>
    <font>
      <sz val="12"/>
      <name val="宋体"/>
    </font>
    <font>
      <sz val="10"/>
      <color indexed="16"/>
      <name val="Credit Suisse Type Roman"/>
      <family val="2"/>
    </font>
    <font>
      <sz val="10"/>
      <color indexed="16"/>
      <name val="Credit Suisse Type Roman"/>
    </font>
    <font>
      <i/>
      <sz val="9"/>
      <color rgb="FF0000FF"/>
      <name val="Calibri"/>
      <family val="2"/>
    </font>
    <font>
      <b/>
      <sz val="9"/>
      <color rgb="FF0000FF"/>
      <name val="Calibri"/>
      <family val="2"/>
    </font>
    <font>
      <b/>
      <sz val="10"/>
      <color rgb="FFFFFFFF"/>
      <name val="Arial"/>
      <family val="2"/>
    </font>
    <font>
      <b/>
      <sz val="8"/>
      <color rgb="FFFFFFFF"/>
      <name val="Arial"/>
      <family val="2"/>
    </font>
    <font>
      <sz val="10"/>
      <color rgb="FF008000"/>
      <name val="Arial"/>
      <family val="2"/>
    </font>
    <font>
      <sz val="10"/>
      <color theme="0"/>
      <name val="Arial"/>
      <family val="2"/>
    </font>
    <font>
      <i/>
      <u/>
      <sz val="10"/>
      <name val="Arial"/>
      <family val="2"/>
    </font>
    <font>
      <b/>
      <sz val="10"/>
      <color theme="0"/>
      <name val="Arial"/>
      <family val="2"/>
    </font>
    <font>
      <b/>
      <i/>
      <u/>
      <sz val="10"/>
      <color theme="1" tint="0.14999847407452621"/>
      <name val="Arial"/>
      <family val="2"/>
    </font>
    <font>
      <u/>
      <sz val="9.35"/>
      <color indexed="12"/>
      <name val="Calibri"/>
      <family val="2"/>
    </font>
    <font>
      <sz val="10"/>
      <color theme="1" tint="0.14999847407452621"/>
      <name val="Arial"/>
      <family val="2"/>
    </font>
    <font>
      <sz val="10"/>
      <color rgb="FFFF0000"/>
      <name val="Arial"/>
      <family val="2"/>
    </font>
    <font>
      <b/>
      <sz val="10"/>
      <color theme="1" tint="0.14999847407452621"/>
      <name val="Arial"/>
      <family val="2"/>
    </font>
    <font>
      <b/>
      <sz val="10"/>
      <name val="Arial"/>
      <family val="2"/>
    </font>
    <font>
      <sz val="8"/>
      <color rgb="FF4E4D4A"/>
      <name val="Arial"/>
      <family val="2"/>
    </font>
    <font>
      <sz val="8"/>
      <color rgb="FF595959"/>
      <name val="Arial"/>
      <family val="2"/>
    </font>
    <font>
      <b/>
      <sz val="8"/>
      <color rgb="FF0000FF"/>
      <name val="Arial"/>
      <family val="2"/>
    </font>
    <font>
      <sz val="8"/>
      <color rgb="FF0000FF"/>
      <name val="Arial"/>
      <family val="2"/>
    </font>
    <font>
      <b/>
      <sz val="20"/>
      <name val="Arial"/>
      <family val="2"/>
      <scheme val="minor"/>
    </font>
    <font>
      <sz val="11"/>
      <name val="Arial"/>
      <family val="2"/>
      <scheme val="minor"/>
    </font>
    <font>
      <b/>
      <sz val="11"/>
      <name val="Arial"/>
      <family val="2"/>
      <scheme val="minor"/>
    </font>
    <font>
      <sz val="18"/>
      <name val="Arial"/>
      <family val="2"/>
    </font>
    <font>
      <sz val="10"/>
      <color rgb="FFFFFFFF"/>
      <name val="Arial"/>
      <family val="2"/>
    </font>
    <font>
      <sz val="10"/>
      <color rgb="FF5A5A5A"/>
      <name val="Arial"/>
      <family val="2"/>
    </font>
    <font>
      <sz val="11"/>
      <color theme="0"/>
      <name val="Arial"/>
      <family val="2"/>
      <scheme val="minor"/>
    </font>
    <font>
      <b/>
      <sz val="20"/>
      <name val="Arial"/>
      <family val="2"/>
    </font>
    <font>
      <b/>
      <sz val="10"/>
      <color rgb="FFFF0000"/>
      <name val="Arial"/>
      <family val="2"/>
    </font>
    <font>
      <b/>
      <sz val="9"/>
      <color theme="0"/>
      <name val="Calibri"/>
      <family val="2"/>
    </font>
    <font>
      <sz val="9"/>
      <color rgb="FF3333FF"/>
      <name val="Calibri"/>
      <family val="2"/>
    </font>
    <font>
      <sz val="9"/>
      <color theme="5" tint="0.39997558519241921"/>
      <name val="Calibri"/>
      <family val="2"/>
    </font>
    <font>
      <b/>
      <sz val="9"/>
      <color rgb="FF000000"/>
      <name val="Calibri"/>
      <family val="2"/>
    </font>
    <font>
      <sz val="9"/>
      <color rgb="FF000000"/>
      <name val="Calibri"/>
      <family val="2"/>
    </font>
    <font>
      <i/>
      <sz val="9"/>
      <color theme="5" tint="0.59999389629810485"/>
      <name val="Calibri"/>
      <family val="2"/>
    </font>
    <font>
      <b/>
      <i/>
      <sz val="9"/>
      <color theme="1"/>
      <name val="Calibri"/>
      <family val="2"/>
    </font>
    <font>
      <b/>
      <u/>
      <sz val="9"/>
      <color theme="1"/>
      <name val="Calibri"/>
      <family val="2"/>
    </font>
  </fonts>
  <fills count="5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9"/>
        <bgColor indexed="64"/>
      </patternFill>
    </fill>
    <fill>
      <patternFill patternType="solid">
        <fgColor rgb="FF92D050"/>
        <bgColor indexed="64"/>
      </patternFill>
    </fill>
    <fill>
      <patternFill patternType="solid">
        <fgColor indexed="22"/>
        <bgColor indexed="64"/>
      </patternFill>
    </fill>
    <fill>
      <patternFill patternType="solid">
        <fgColor indexed="40"/>
        <bgColor indexed="64"/>
      </patternFill>
    </fill>
    <fill>
      <patternFill patternType="solid">
        <fgColor indexed="26"/>
        <bgColor indexed="64"/>
      </patternFill>
    </fill>
    <fill>
      <patternFill patternType="mediumGray">
        <fgColor indexed="22"/>
      </patternFill>
    </fill>
    <fill>
      <patternFill patternType="solid">
        <fgColor indexed="58"/>
        <bgColor indexed="64"/>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indexed="16"/>
        <bgColor indexed="64"/>
      </patternFill>
    </fill>
    <fill>
      <patternFill patternType="solid">
        <fgColor indexed="8"/>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F2F2F2"/>
        <bgColor indexed="64"/>
      </patternFill>
    </fill>
    <fill>
      <patternFill patternType="solid">
        <fgColor theme="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9" tint="-9.9978637043366805E-2"/>
        <bgColor indexed="64"/>
      </patternFill>
    </fill>
    <fill>
      <patternFill patternType="solid">
        <fgColor rgb="FF1F497D"/>
        <bgColor indexed="64"/>
      </patternFill>
    </fill>
    <fill>
      <patternFill patternType="solid">
        <fgColor rgb="FFD9D9D9"/>
        <bgColor indexed="64"/>
      </patternFill>
    </fill>
    <fill>
      <patternFill patternType="solid">
        <fgColor rgb="FF285FA4"/>
        <bgColor indexed="64"/>
      </patternFill>
    </fill>
    <fill>
      <patternFill patternType="solid">
        <fgColor rgb="FFFFFFFF"/>
        <bgColor indexed="64"/>
      </patternFill>
    </fill>
    <fill>
      <patternFill patternType="solid">
        <fgColor theme="3"/>
        <bgColor indexed="64"/>
      </patternFill>
    </fill>
    <fill>
      <patternFill patternType="solid">
        <fgColor rgb="FF95B3D7"/>
        <bgColor rgb="FF95B3D7"/>
      </patternFill>
    </fill>
    <fill>
      <patternFill patternType="solid">
        <fgColor rgb="FFD6E3BC"/>
        <bgColor rgb="FFD6E3BC"/>
      </patternFill>
    </fill>
    <fill>
      <patternFill patternType="solid">
        <fgColor rgb="FFFF9900"/>
        <bgColor rgb="FFFF9900"/>
      </patternFill>
    </fill>
    <fill>
      <patternFill patternType="solid">
        <fgColor rgb="FFFFC000"/>
        <bgColor rgb="FFFFC000"/>
      </patternFill>
    </fill>
    <fill>
      <patternFill patternType="solid">
        <fgColor rgb="FF7F7F7F"/>
        <bgColor rgb="FF7F7F7F"/>
      </patternFill>
    </fill>
    <fill>
      <patternFill patternType="solid">
        <fgColor rgb="FFD9EAD3"/>
        <bgColor rgb="FFD9EAD3"/>
      </patternFill>
    </fill>
    <fill>
      <patternFill patternType="solid">
        <fgColor rgb="FFFCE5CD"/>
        <bgColor rgb="FFFCE5CD"/>
      </patternFill>
    </fill>
    <fill>
      <patternFill patternType="solid">
        <fgColor theme="6" tint="0.79998168889431442"/>
        <bgColor indexed="64"/>
      </patternFill>
    </fill>
    <fill>
      <patternFill patternType="solid">
        <fgColor rgb="FFFFFF99"/>
        <bgColor indexed="64"/>
      </patternFill>
    </fill>
    <fill>
      <patternFill patternType="solid">
        <fgColor rgb="FF066B45"/>
        <bgColor indexed="64"/>
      </patternFill>
    </fill>
    <fill>
      <patternFill patternType="solid">
        <fgColor rgb="FFE5F0ED"/>
        <bgColor indexed="64"/>
      </patternFill>
    </fill>
    <fill>
      <patternFill patternType="solid">
        <fgColor rgb="FF006847"/>
        <bgColor indexed="64"/>
      </patternFill>
    </fill>
    <fill>
      <patternFill patternType="solid">
        <fgColor theme="8" tint="0.79998168889431442"/>
        <bgColor indexed="64"/>
      </patternFill>
    </fill>
    <fill>
      <patternFill patternType="solid">
        <fgColor rgb="FF90EE90"/>
        <bgColor indexed="64"/>
      </patternFill>
    </fill>
    <fill>
      <patternFill patternType="solid">
        <fgColor theme="2"/>
        <bgColor indexed="64"/>
      </patternFill>
    </fill>
    <fill>
      <patternFill patternType="solid">
        <fgColor theme="5"/>
        <bgColor indexed="64"/>
      </patternFill>
    </fill>
    <fill>
      <patternFill patternType="solid">
        <fgColor theme="0" tint="-0.14996795556505021"/>
        <bgColor indexed="64"/>
      </patternFill>
    </fill>
    <fill>
      <patternFill patternType="solid">
        <fgColor rgb="FFEEF5F3"/>
        <bgColor indexed="64"/>
      </patternFill>
    </fill>
    <fill>
      <patternFill patternType="solid">
        <fgColor rgb="FFFFCCCC"/>
        <bgColor indexed="64"/>
      </patternFill>
    </fill>
    <fill>
      <patternFill patternType="solid">
        <fgColor theme="2" tint="-0.249977111117893"/>
        <bgColor indexed="64"/>
      </patternFill>
    </fill>
    <fill>
      <patternFill patternType="solid">
        <fgColor rgb="FFE7E6E6"/>
        <bgColor indexed="64"/>
      </patternFill>
    </fill>
  </fills>
  <borders count="155">
    <border>
      <left/>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bottom style="thin">
        <color indexed="64"/>
      </bottom>
      <diagonal/>
    </border>
    <border>
      <left/>
      <right/>
      <top style="double">
        <color indexed="64"/>
      </top>
      <bottom style="double">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style="thin">
        <color indexed="64"/>
      </left>
      <right/>
      <top style="thin">
        <color indexed="64"/>
      </top>
      <bottom style="thin">
        <color indexed="64"/>
      </bottom>
      <diagonal/>
    </border>
    <border>
      <left/>
      <right style="medium">
        <color indexed="0"/>
      </right>
      <top/>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8"/>
      </right>
      <top style="thin">
        <color indexed="8"/>
      </top>
      <bottom/>
      <diagonal/>
    </border>
    <border>
      <left/>
      <right/>
      <top/>
      <bottom style="dotted">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thin">
        <color auto="1"/>
      </left>
      <right style="medium">
        <color indexed="64"/>
      </right>
      <top style="medium">
        <color indexed="64"/>
      </top>
      <bottom style="thin">
        <color auto="1"/>
      </bottom>
      <diagonal/>
    </border>
    <border>
      <left/>
      <right style="medium">
        <color indexed="64"/>
      </right>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medium">
        <color rgb="FF000000"/>
      </bottom>
      <diagonal/>
    </border>
    <border>
      <left style="medium">
        <color rgb="FF285FA4"/>
      </left>
      <right/>
      <top style="medium">
        <color rgb="FF285FA4"/>
      </top>
      <bottom/>
      <diagonal/>
    </border>
    <border>
      <left/>
      <right/>
      <top style="medium">
        <color rgb="FF285FA4"/>
      </top>
      <bottom/>
      <diagonal/>
    </border>
    <border>
      <left/>
      <right style="medium">
        <color rgb="FF285FA4"/>
      </right>
      <top style="medium">
        <color rgb="FF285FA4"/>
      </top>
      <bottom/>
      <diagonal/>
    </border>
    <border>
      <left style="medium">
        <color rgb="FF285FA4"/>
      </left>
      <right/>
      <top style="medium">
        <color rgb="FF285FA4"/>
      </top>
      <bottom style="medium">
        <color rgb="FF285FA4"/>
      </bottom>
      <diagonal/>
    </border>
    <border>
      <left/>
      <right/>
      <top style="medium">
        <color rgb="FF285FA4"/>
      </top>
      <bottom style="medium">
        <color rgb="FF285FA4"/>
      </bottom>
      <diagonal/>
    </border>
    <border>
      <left/>
      <right style="medium">
        <color rgb="FF285FA4"/>
      </right>
      <top style="medium">
        <color rgb="FF285FA4"/>
      </top>
      <bottom style="medium">
        <color rgb="FF285FA4"/>
      </bottom>
      <diagonal/>
    </border>
    <border>
      <left style="medium">
        <color rgb="FF285FA4"/>
      </left>
      <right/>
      <top/>
      <bottom/>
      <diagonal/>
    </border>
    <border>
      <left/>
      <right style="medium">
        <color rgb="FF285FA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bottom style="medium">
        <color indexed="64"/>
      </bottom>
      <diagonal/>
    </border>
    <border>
      <left/>
      <right style="thin">
        <color indexed="64"/>
      </right>
      <top style="thin">
        <color indexed="64"/>
      </top>
      <bottom/>
      <diagonal/>
    </border>
    <border>
      <left/>
      <right/>
      <top style="thin">
        <color rgb="FF595959"/>
      </top>
      <bottom/>
      <diagonal/>
    </border>
    <border>
      <left/>
      <right/>
      <top style="medium">
        <color rgb="FF000000"/>
      </top>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hair">
        <color auto="1"/>
      </left>
      <right style="medium">
        <color auto="1"/>
      </right>
      <top style="hair">
        <color auto="1"/>
      </top>
      <bottom/>
      <diagonal/>
    </border>
    <border>
      <left/>
      <right style="medium">
        <color auto="1"/>
      </right>
      <top/>
      <bottom/>
      <diagonal/>
    </border>
    <border>
      <left style="medium">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medium">
        <color auto="1"/>
      </left>
      <right/>
      <top style="thin">
        <color auto="1"/>
      </top>
      <bottom style="thin">
        <color auto="1"/>
      </bottom>
      <diagonal/>
    </border>
    <border>
      <left style="thin">
        <color auto="1"/>
      </left>
      <right/>
      <top/>
      <bottom style="thin">
        <color auto="1"/>
      </bottom>
      <diagonal/>
    </border>
    <border>
      <left style="medium">
        <color auto="1"/>
      </left>
      <right style="hair">
        <color auto="1"/>
      </right>
      <top/>
      <bottom/>
      <diagonal/>
    </border>
    <border>
      <left style="hair">
        <color auto="1"/>
      </left>
      <right style="hair">
        <color auto="1"/>
      </right>
      <top/>
      <bottom/>
      <diagonal/>
    </border>
    <border>
      <left style="hair">
        <color auto="1"/>
      </left>
      <right/>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medium">
        <color auto="1"/>
      </bottom>
      <diagonal/>
    </border>
    <border>
      <left style="medium">
        <color auto="1"/>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top style="hair">
        <color auto="1"/>
      </top>
      <bottom style="medium">
        <color indexed="64"/>
      </bottom>
      <diagonal/>
    </border>
    <border>
      <left style="hair">
        <color auto="1"/>
      </left>
      <right style="medium">
        <color auto="1"/>
      </right>
      <top style="hair">
        <color auto="1"/>
      </top>
      <bottom style="medium">
        <color indexed="64"/>
      </bottom>
      <diagonal/>
    </border>
    <border>
      <left style="medium">
        <color auto="1"/>
      </left>
      <right style="medium">
        <color indexed="64"/>
      </right>
      <top style="thin">
        <color auto="1"/>
      </top>
      <bottom/>
      <diagonal/>
    </border>
    <border>
      <left style="medium">
        <color indexed="64"/>
      </left>
      <right/>
      <top style="medium">
        <color indexed="64"/>
      </top>
      <bottom style="thin">
        <color theme="0" tint="-0.14999847407452621"/>
      </bottom>
      <diagonal/>
    </border>
    <border>
      <left/>
      <right/>
      <top style="medium">
        <color indexed="64"/>
      </top>
      <bottom style="thin">
        <color theme="0" tint="-0.14999847407452621"/>
      </bottom>
      <diagonal/>
    </border>
    <border>
      <left style="medium">
        <color indexed="64"/>
      </left>
      <right style="hair">
        <color auto="1"/>
      </right>
      <top/>
      <bottom style="thin">
        <color theme="0" tint="-0.14999847407452621"/>
      </bottom>
      <diagonal/>
    </border>
    <border>
      <left style="hair">
        <color auto="1"/>
      </left>
      <right style="hair">
        <color auto="1"/>
      </right>
      <top/>
      <bottom style="thin">
        <color theme="0" tint="-0.14999847407452621"/>
      </bottom>
      <diagonal/>
    </border>
    <border>
      <left style="hair">
        <color auto="1"/>
      </left>
      <right style="medium">
        <color indexed="64"/>
      </right>
      <top/>
      <bottom style="thin">
        <color theme="0" tint="-0.14999847407452621"/>
      </bottom>
      <diagonal/>
    </border>
    <border>
      <left style="medium">
        <color indexed="64"/>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medium">
        <color indexed="64"/>
      </right>
      <top style="thin">
        <color theme="0" tint="-0.14999847407452621"/>
      </top>
      <bottom style="thin">
        <color theme="0" tint="-0.14999847407452621"/>
      </bottom>
      <diagonal/>
    </border>
    <border>
      <left style="medium">
        <color indexed="64"/>
      </left>
      <right style="hair">
        <color auto="1"/>
      </right>
      <top/>
      <bottom style="hair">
        <color auto="1"/>
      </bottom>
      <diagonal/>
    </border>
    <border>
      <left style="hair">
        <color auto="1"/>
      </left>
      <right style="hair">
        <color auto="1"/>
      </right>
      <top/>
      <bottom style="hair">
        <color auto="1"/>
      </bottom>
      <diagonal/>
    </border>
    <border>
      <left style="hair">
        <color auto="1"/>
      </left>
      <right style="medium">
        <color indexed="64"/>
      </right>
      <top/>
      <bottom style="hair">
        <color auto="1"/>
      </bottom>
      <diagonal/>
    </border>
    <border>
      <left style="medium">
        <color indexed="64"/>
      </left>
      <right/>
      <top/>
      <bottom style="thin">
        <color theme="0" tint="-0.14999847407452621"/>
      </bottom>
      <diagonal/>
    </border>
    <border>
      <left/>
      <right/>
      <top/>
      <bottom style="thin">
        <color theme="0" tint="-0.14999847407452621"/>
      </bottom>
      <diagonal/>
    </border>
    <border>
      <left/>
      <right style="medium">
        <color auto="1"/>
      </right>
      <top/>
      <bottom style="thin">
        <color theme="0" tint="-0.14999847407452621"/>
      </bottom>
      <diagonal/>
    </border>
    <border>
      <left style="medium">
        <color auto="1"/>
      </left>
      <right style="thin">
        <color auto="1"/>
      </right>
      <top/>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bottom style="thin">
        <color theme="0" tint="-0.14999847407452621"/>
      </bottom>
      <diagonal/>
    </border>
    <border>
      <left style="thin">
        <color auto="1"/>
      </left>
      <right/>
      <top style="thin">
        <color theme="0" tint="-0.14999847407452621"/>
      </top>
      <bottom style="thin">
        <color theme="0" tint="-0.14999847407452621"/>
      </bottom>
      <diagonal/>
    </border>
    <border>
      <left style="medium">
        <color auto="1"/>
      </left>
      <right style="thin">
        <color auto="1"/>
      </right>
      <top style="thin">
        <color auto="1"/>
      </top>
      <bottom/>
      <diagonal/>
    </border>
    <border>
      <left style="medium">
        <color auto="1"/>
      </left>
      <right style="thin">
        <color auto="1"/>
      </right>
      <top style="medium">
        <color auto="1"/>
      </top>
      <bottom/>
      <diagonal/>
    </border>
    <border>
      <left style="thin">
        <color auto="1"/>
      </left>
      <right/>
      <top style="medium">
        <color indexed="64"/>
      </top>
      <bottom/>
      <diagonal/>
    </border>
    <border>
      <left/>
      <right style="hair">
        <color auto="1"/>
      </right>
      <top style="hair">
        <color auto="1"/>
      </top>
      <bottom style="hair">
        <color auto="1"/>
      </bottom>
      <diagonal/>
    </border>
    <border>
      <left style="thin">
        <color auto="1"/>
      </left>
      <right/>
      <top/>
      <bottom style="medium">
        <color indexed="64"/>
      </bottom>
      <diagonal/>
    </border>
    <border>
      <left/>
      <right style="hair">
        <color auto="1"/>
      </right>
      <top style="hair">
        <color auto="1"/>
      </top>
      <bottom/>
      <diagonal/>
    </border>
    <border>
      <left style="medium">
        <color auto="1"/>
      </left>
      <right style="thin">
        <color auto="1"/>
      </right>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top style="thin">
        <color indexed="64"/>
      </top>
      <bottom/>
      <diagonal/>
    </border>
    <border>
      <left style="thin">
        <color indexed="64"/>
      </left>
      <right style="thin">
        <color indexed="64"/>
      </right>
      <top style="thin">
        <color indexed="64"/>
      </top>
      <bottom/>
      <diagonal/>
    </border>
  </borders>
  <cellStyleXfs count="612">
    <xf numFmtId="0" fontId="0" fillId="0" borderId="0"/>
    <xf numFmtId="0" fontId="14" fillId="0" borderId="0"/>
    <xf numFmtId="0" fontId="16" fillId="0" borderId="0" applyNumberFormat="0" applyFill="0" applyBorder="0" applyAlignment="0" applyProtection="0">
      <alignment vertical="top"/>
      <protection locked="0"/>
    </xf>
    <xf numFmtId="0" fontId="17" fillId="0" borderId="0"/>
    <xf numFmtId="43" fontId="17" fillId="0" borderId="0" applyFont="0" applyFill="0" applyBorder="0" applyAlignment="0" applyProtection="0"/>
    <xf numFmtId="9" fontId="17" fillId="0" borderId="0" applyFont="0" applyFill="0" applyBorder="0" applyAlignment="0" applyProtection="0"/>
    <xf numFmtId="9" fontId="14" fillId="0" borderId="0" applyFont="0" applyFill="0" applyBorder="0" applyAlignment="0" applyProtection="0"/>
    <xf numFmtId="176" fontId="14" fillId="0" borderId="0"/>
    <xf numFmtId="43" fontId="14" fillId="0" borderId="0" applyFont="0" applyFill="0" applyBorder="0" applyAlignment="0" applyProtection="0"/>
    <xf numFmtId="0" fontId="19" fillId="0" borderId="0" applyFont="0" applyFill="0" applyBorder="0" applyAlignment="0" applyProtection="0"/>
    <xf numFmtId="0" fontId="19" fillId="0" borderId="6" applyFont="0" applyBorder="0"/>
    <xf numFmtId="171" fontId="20" fillId="0" borderId="7" applyFont="0" applyBorder="0"/>
    <xf numFmtId="179" fontId="21" fillId="0" borderId="0" applyFont="0" applyFill="0" applyBorder="0" applyAlignment="0" applyProtection="0"/>
    <xf numFmtId="180" fontId="19" fillId="0" borderId="0" applyFont="0" applyFill="0" applyBorder="0" applyAlignment="0" applyProtection="0"/>
    <xf numFmtId="181" fontId="22" fillId="0" borderId="0" applyFont="0" applyFill="0" applyBorder="0" applyAlignment="0" applyProtection="0"/>
    <xf numFmtId="0" fontId="14" fillId="0" borderId="0" applyNumberFormat="0" applyFill="0" applyBorder="0" applyAlignment="0" applyProtection="0"/>
    <xf numFmtId="182" fontId="23" fillId="0" borderId="0" applyFont="0" applyFill="0" applyBorder="0" applyAlignment="0" applyProtection="0"/>
    <xf numFmtId="183" fontId="24" fillId="0" borderId="0" applyFont="0" applyFill="0" applyBorder="0" applyAlignment="0" applyProtection="0"/>
    <xf numFmtId="165" fontId="25" fillId="0" borderId="0" applyFont="0" applyFill="0" applyBorder="0" applyAlignment="0" applyProtection="0"/>
    <xf numFmtId="166" fontId="25" fillId="0" borderId="0" applyFont="0" applyFill="0" applyBorder="0" applyAlignment="0" applyProtection="0"/>
    <xf numFmtId="42" fontId="26" fillId="0" borderId="0" applyFont="0" applyFill="0" applyBorder="0" applyAlignment="0" applyProtection="0"/>
    <xf numFmtId="0" fontId="27" fillId="0" borderId="0"/>
    <xf numFmtId="0" fontId="14" fillId="0" borderId="0" applyFont="0" applyFill="0" applyBorder="0" applyAlignment="0" applyProtection="0"/>
    <xf numFmtId="0" fontId="14" fillId="0" borderId="0" applyFont="0" applyFill="0" applyBorder="0" applyAlignment="0" applyProtection="0"/>
    <xf numFmtId="0" fontId="28" fillId="0" borderId="0"/>
    <xf numFmtId="0" fontId="14" fillId="0" borderId="0" applyNumberFormat="0" applyFill="0" applyBorder="0" applyAlignment="0" applyProtection="0"/>
    <xf numFmtId="177" fontId="14" fillId="0" borderId="0"/>
    <xf numFmtId="0" fontId="23" fillId="0" borderId="0" applyFont="0" applyFill="0" applyBorder="0" applyAlignment="0" applyProtection="0"/>
    <xf numFmtId="0" fontId="23" fillId="0" borderId="0" applyFont="0" applyFill="0" applyBorder="0" applyAlignment="0" applyProtection="0"/>
    <xf numFmtId="0" fontId="29" fillId="0" borderId="0" applyNumberFormat="0" applyFill="0" applyBorder="0" applyAlignment="0" applyProtection="0"/>
    <xf numFmtId="42" fontId="23" fillId="0" borderId="0" applyFont="0" applyFill="0" applyBorder="0" applyAlignment="0" applyProtection="0"/>
    <xf numFmtId="0" fontId="19" fillId="0" borderId="0" applyFont="0" applyFill="0" applyBorder="0" applyAlignment="0" applyProtection="0"/>
    <xf numFmtId="166" fontId="19" fillId="0" borderId="0" applyFont="0" applyFill="0" applyBorder="0" applyAlignment="0" applyProtection="0"/>
    <xf numFmtId="43" fontId="23" fillId="0" borderId="0" applyFont="0" applyFill="0" applyBorder="0" applyAlignment="0" applyProtection="0"/>
    <xf numFmtId="166" fontId="23" fillId="0" borderId="0" applyFont="0" applyFill="0" applyBorder="0" applyAlignment="0" applyProtection="0"/>
    <xf numFmtId="184" fontId="23" fillId="0" borderId="0" applyFont="0" applyFill="0" applyBorder="0" applyAlignment="0" applyProtection="0"/>
    <xf numFmtId="185" fontId="23" fillId="0" borderId="0" applyFont="0" applyFill="0" applyBorder="0" applyAlignment="0" applyProtection="0"/>
    <xf numFmtId="186" fontId="23" fillId="0" borderId="0" applyFont="0" applyFill="0" applyBorder="0" applyAlignment="0" applyProtection="0"/>
    <xf numFmtId="186" fontId="23" fillId="0" borderId="0" applyFont="0" applyFill="0" applyBorder="0" applyAlignment="0" applyProtection="0"/>
    <xf numFmtId="187" fontId="23" fillId="0" borderId="0" applyFont="0" applyFill="0" applyBorder="0" applyAlignment="0" applyProtection="0"/>
    <xf numFmtId="166"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65" fontId="19" fillId="0" borderId="0" applyFont="0" applyFill="0" applyBorder="0" applyAlignment="0" applyProtection="0"/>
    <xf numFmtId="42"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88" fontId="19" fillId="0" borderId="0" applyFont="0" applyFill="0" applyBorder="0" applyAlignment="0" applyProtection="0"/>
    <xf numFmtId="189" fontId="23" fillId="0" borderId="0" applyFont="0" applyFill="0" applyBorder="0" applyAlignment="0" applyProtection="0"/>
    <xf numFmtId="188" fontId="23" fillId="0" borderId="0" applyFont="0" applyFill="0" applyBorder="0" applyAlignment="0" applyProtection="0"/>
    <xf numFmtId="43" fontId="23" fillId="0" borderId="0" applyFont="0" applyFill="0" applyBorder="0" applyAlignment="0" applyProtection="0"/>
    <xf numFmtId="0" fontId="23" fillId="0" borderId="0" applyFont="0" applyFill="0" applyBorder="0" applyAlignment="0" applyProtection="0"/>
    <xf numFmtId="166" fontId="23" fillId="0" borderId="0" applyFont="0" applyFill="0" applyBorder="0" applyAlignment="0" applyProtection="0"/>
    <xf numFmtId="184" fontId="23" fillId="0" borderId="0" applyFont="0" applyFill="0" applyBorder="0" applyAlignment="0" applyProtection="0"/>
    <xf numFmtId="185" fontId="23" fillId="0" borderId="0" applyFont="0" applyFill="0" applyBorder="0" applyAlignment="0" applyProtection="0"/>
    <xf numFmtId="186" fontId="23" fillId="0" borderId="0" applyFont="0" applyFill="0" applyBorder="0" applyAlignment="0" applyProtection="0"/>
    <xf numFmtId="186" fontId="23" fillId="0" borderId="0" applyFont="0" applyFill="0" applyBorder="0" applyAlignment="0" applyProtection="0"/>
    <xf numFmtId="187" fontId="23" fillId="0" borderId="0" applyFont="0" applyFill="0" applyBorder="0" applyAlignment="0" applyProtection="0"/>
    <xf numFmtId="166"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66" fontId="19" fillId="0" borderId="0" applyFont="0" applyFill="0" applyBorder="0" applyAlignment="0" applyProtection="0"/>
    <xf numFmtId="41" fontId="23" fillId="0" borderId="0" applyFont="0" applyFill="0" applyBorder="0" applyAlignment="0" applyProtection="0"/>
    <xf numFmtId="165" fontId="23" fillId="0" borderId="0" applyFont="0" applyFill="0" applyBorder="0" applyAlignment="0" applyProtection="0"/>
    <xf numFmtId="190" fontId="23" fillId="0" borderId="0" applyFont="0" applyFill="0" applyBorder="0" applyAlignment="0" applyProtection="0"/>
    <xf numFmtId="180" fontId="23" fillId="0" borderId="0" applyFont="0" applyFill="0" applyBorder="0" applyAlignment="0" applyProtection="0"/>
    <xf numFmtId="191" fontId="23" fillId="0" borderId="0" applyFont="0" applyFill="0" applyBorder="0" applyAlignment="0" applyProtection="0"/>
    <xf numFmtId="191" fontId="23" fillId="0" borderId="0" applyFont="0" applyFill="0" applyBorder="0" applyAlignment="0" applyProtection="0"/>
    <xf numFmtId="192" fontId="23" fillId="0" borderId="0" applyFont="0" applyFill="0" applyBorder="0" applyAlignment="0" applyProtection="0"/>
    <xf numFmtId="165" fontId="23" fillId="0" borderId="0" applyFont="0" applyFill="0" applyBorder="0" applyAlignment="0" applyProtection="0"/>
    <xf numFmtId="180" fontId="23" fillId="0" borderId="0" applyFont="0" applyFill="0" applyBorder="0" applyAlignment="0" applyProtection="0"/>
    <xf numFmtId="180" fontId="23" fillId="0" borderId="0" applyFont="0" applyFill="0" applyBorder="0" applyAlignment="0" applyProtection="0"/>
    <xf numFmtId="0" fontId="23" fillId="0" borderId="0" applyFont="0" applyFill="0" applyBorder="0" applyAlignment="0" applyProtection="0"/>
    <xf numFmtId="188" fontId="19" fillId="0" borderId="0" applyFont="0" applyFill="0" applyBorder="0" applyAlignment="0" applyProtection="0"/>
    <xf numFmtId="189" fontId="23" fillId="0" borderId="0" applyFont="0" applyFill="0" applyBorder="0" applyAlignment="0" applyProtection="0"/>
    <xf numFmtId="188" fontId="23"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41" fontId="23" fillId="0" borderId="0" applyFont="0" applyFill="0" applyBorder="0" applyAlignment="0" applyProtection="0"/>
    <xf numFmtId="165" fontId="23" fillId="0" borderId="0" applyFont="0" applyFill="0" applyBorder="0" applyAlignment="0" applyProtection="0"/>
    <xf numFmtId="190" fontId="23" fillId="0" borderId="0" applyFont="0" applyFill="0" applyBorder="0" applyAlignment="0" applyProtection="0"/>
    <xf numFmtId="180" fontId="23" fillId="0" borderId="0" applyFont="0" applyFill="0" applyBorder="0" applyAlignment="0" applyProtection="0"/>
    <xf numFmtId="191" fontId="23" fillId="0" borderId="0" applyFont="0" applyFill="0" applyBorder="0" applyAlignment="0" applyProtection="0"/>
    <xf numFmtId="191" fontId="23" fillId="0" borderId="0" applyFont="0" applyFill="0" applyBorder="0" applyAlignment="0" applyProtection="0"/>
    <xf numFmtId="192" fontId="23" fillId="0" borderId="0" applyFont="0" applyFill="0" applyBorder="0" applyAlignment="0" applyProtection="0"/>
    <xf numFmtId="165" fontId="23" fillId="0" borderId="0" applyFont="0" applyFill="0" applyBorder="0" applyAlignment="0" applyProtection="0"/>
    <xf numFmtId="180" fontId="23" fillId="0" borderId="0" applyFont="0" applyFill="0" applyBorder="0" applyAlignment="0" applyProtection="0"/>
    <xf numFmtId="180" fontId="23" fillId="0" borderId="0" applyFont="0" applyFill="0" applyBorder="0" applyAlignment="0" applyProtection="0"/>
    <xf numFmtId="43" fontId="23" fillId="0" borderId="0" applyFont="0" applyFill="0" applyBorder="0" applyAlignment="0" applyProtection="0"/>
    <xf numFmtId="166" fontId="23" fillId="0" borderId="0" applyFont="0" applyFill="0" applyBorder="0" applyAlignment="0" applyProtection="0"/>
    <xf numFmtId="184" fontId="23" fillId="0" borderId="0" applyFont="0" applyFill="0" applyBorder="0" applyAlignment="0" applyProtection="0"/>
    <xf numFmtId="185" fontId="23" fillId="0" borderId="0" applyFont="0" applyFill="0" applyBorder="0" applyAlignment="0" applyProtection="0"/>
    <xf numFmtId="186" fontId="23" fillId="0" borderId="0" applyFont="0" applyFill="0" applyBorder="0" applyAlignment="0" applyProtection="0"/>
    <xf numFmtId="186" fontId="23" fillId="0" borderId="0" applyFont="0" applyFill="0" applyBorder="0" applyAlignment="0" applyProtection="0"/>
    <xf numFmtId="187" fontId="23" fillId="0" borderId="0" applyFont="0" applyFill="0" applyBorder="0" applyAlignment="0" applyProtection="0"/>
    <xf numFmtId="166"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65" fontId="19" fillId="0" borderId="0" applyFont="0" applyFill="0" applyBorder="0" applyAlignment="0" applyProtection="0"/>
    <xf numFmtId="0" fontId="19" fillId="0" borderId="0" applyFont="0" applyFill="0" applyBorder="0" applyAlignment="0" applyProtection="0"/>
    <xf numFmtId="188" fontId="19" fillId="0" borderId="0" applyFont="0" applyFill="0" applyBorder="0" applyAlignment="0" applyProtection="0"/>
    <xf numFmtId="189" fontId="23" fillId="0" borderId="0" applyFont="0" applyFill="0" applyBorder="0" applyAlignment="0" applyProtection="0"/>
    <xf numFmtId="188" fontId="23" fillId="0" borderId="0" applyFont="0" applyFill="0" applyBorder="0" applyAlignment="0" applyProtection="0"/>
    <xf numFmtId="165" fontId="19" fillId="0" borderId="0" applyFont="0" applyFill="0" applyBorder="0" applyAlignment="0" applyProtection="0"/>
    <xf numFmtId="41" fontId="23" fillId="0" borderId="0" applyFont="0" applyFill="0" applyBorder="0" applyAlignment="0" applyProtection="0"/>
    <xf numFmtId="165" fontId="23" fillId="0" borderId="0" applyFont="0" applyFill="0" applyBorder="0" applyAlignment="0" applyProtection="0"/>
    <xf numFmtId="190" fontId="23" fillId="0" borderId="0" applyFont="0" applyFill="0" applyBorder="0" applyAlignment="0" applyProtection="0"/>
    <xf numFmtId="180" fontId="23" fillId="0" borderId="0" applyFont="0" applyFill="0" applyBorder="0" applyAlignment="0" applyProtection="0"/>
    <xf numFmtId="191" fontId="23" fillId="0" borderId="0" applyFont="0" applyFill="0" applyBorder="0" applyAlignment="0" applyProtection="0"/>
    <xf numFmtId="191" fontId="23" fillId="0" borderId="0" applyFont="0" applyFill="0" applyBorder="0" applyAlignment="0" applyProtection="0"/>
    <xf numFmtId="192" fontId="23" fillId="0" borderId="0" applyFont="0" applyFill="0" applyBorder="0" applyAlignment="0" applyProtection="0"/>
    <xf numFmtId="165" fontId="23" fillId="0" borderId="0" applyFont="0" applyFill="0" applyBorder="0" applyAlignment="0" applyProtection="0"/>
    <xf numFmtId="180" fontId="23" fillId="0" borderId="0" applyFont="0" applyFill="0" applyBorder="0" applyAlignment="0" applyProtection="0"/>
    <xf numFmtId="180" fontId="23" fillId="0" borderId="0" applyFont="0" applyFill="0" applyBorder="0" applyAlignment="0" applyProtection="0"/>
    <xf numFmtId="43" fontId="23" fillId="0" borderId="0" applyFont="0" applyFill="0" applyBorder="0" applyAlignment="0" applyProtection="0"/>
    <xf numFmtId="166" fontId="23" fillId="0" borderId="0" applyFont="0" applyFill="0" applyBorder="0" applyAlignment="0" applyProtection="0"/>
    <xf numFmtId="184" fontId="23" fillId="0" borderId="0" applyFont="0" applyFill="0" applyBorder="0" applyAlignment="0" applyProtection="0"/>
    <xf numFmtId="185" fontId="23" fillId="0" borderId="0" applyFont="0" applyFill="0" applyBorder="0" applyAlignment="0" applyProtection="0"/>
    <xf numFmtId="186" fontId="23" fillId="0" borderId="0" applyFont="0" applyFill="0" applyBorder="0" applyAlignment="0" applyProtection="0"/>
    <xf numFmtId="186" fontId="23" fillId="0" borderId="0" applyFont="0" applyFill="0" applyBorder="0" applyAlignment="0" applyProtection="0"/>
    <xf numFmtId="187" fontId="23" fillId="0" borderId="0" applyFont="0" applyFill="0" applyBorder="0" applyAlignment="0" applyProtection="0"/>
    <xf numFmtId="166"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0" fontId="19" fillId="0" borderId="0" applyFont="0" applyFill="0" applyBorder="0" applyAlignment="0" applyProtection="0"/>
    <xf numFmtId="166" fontId="19" fillId="0" borderId="0" applyFon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193" fontId="26" fillId="0" borderId="0"/>
    <xf numFmtId="0" fontId="30" fillId="6" borderId="0"/>
    <xf numFmtId="0" fontId="31" fillId="0" borderId="0"/>
    <xf numFmtId="9" fontId="32" fillId="0" borderId="0" applyFont="0" applyFill="0" applyBorder="0" applyAlignment="0" applyProtection="0"/>
    <xf numFmtId="0" fontId="33" fillId="6" borderId="0"/>
    <xf numFmtId="0" fontId="34" fillId="6" borderId="0"/>
    <xf numFmtId="194" fontId="35" fillId="0" borderId="0" applyFont="0" applyFill="0" applyBorder="0" applyAlignment="0" applyProtection="0"/>
    <xf numFmtId="195" fontId="35" fillId="0" borderId="0" applyFont="0" applyFill="0" applyBorder="0" applyAlignment="0" applyProtection="0"/>
    <xf numFmtId="0" fontId="36" fillId="0" borderId="0">
      <alignment wrapText="1"/>
    </xf>
    <xf numFmtId="196" fontId="37" fillId="0" borderId="0" applyFont="0" applyFill="0" applyBorder="0" applyAlignment="0" applyProtection="0"/>
    <xf numFmtId="0" fontId="38" fillId="0" borderId="0" applyFont="0" applyFill="0" applyBorder="0" applyAlignment="0" applyProtection="0"/>
    <xf numFmtId="197" fontId="19" fillId="0" borderId="0" applyFont="0" applyFill="0" applyBorder="0" applyAlignment="0" applyProtection="0"/>
    <xf numFmtId="198" fontId="37" fillId="0" borderId="0" applyFont="0" applyFill="0" applyBorder="0" applyAlignment="0" applyProtection="0"/>
    <xf numFmtId="0" fontId="38" fillId="0" borderId="0" applyFont="0" applyFill="0" applyBorder="0" applyAlignment="0" applyProtection="0"/>
    <xf numFmtId="199" fontId="19" fillId="0" borderId="0" applyFont="0" applyFill="0" applyBorder="0" applyAlignment="0" applyProtection="0"/>
    <xf numFmtId="183" fontId="37" fillId="0" borderId="0" applyFont="0" applyFill="0" applyBorder="0" applyAlignment="0" applyProtection="0"/>
    <xf numFmtId="0" fontId="38" fillId="0" borderId="0" applyFont="0" applyFill="0" applyBorder="0" applyAlignment="0" applyProtection="0"/>
    <xf numFmtId="183" fontId="32" fillId="0" borderId="0" applyFont="0" applyFill="0" applyBorder="0" applyAlignment="0" applyProtection="0"/>
    <xf numFmtId="200" fontId="37" fillId="0" borderId="0" applyFont="0" applyFill="0" applyBorder="0" applyAlignment="0" applyProtection="0"/>
    <xf numFmtId="0" fontId="38" fillId="0" borderId="0" applyFont="0" applyFill="0" applyBorder="0" applyAlignment="0" applyProtection="0"/>
    <xf numFmtId="200" fontId="32" fillId="0" borderId="0" applyFont="0" applyFill="0" applyBorder="0" applyAlignment="0" applyProtection="0"/>
    <xf numFmtId="0" fontId="19" fillId="0" borderId="0" applyFont="0" applyFill="0" applyBorder="0" applyAlignment="0" applyProtection="0"/>
    <xf numFmtId="0" fontId="14" fillId="0" borderId="0" applyFont="0" applyFill="0" applyBorder="0" applyAlignment="0" applyProtection="0">
      <alignment horizontal="right"/>
    </xf>
    <xf numFmtId="0" fontId="14" fillId="0" borderId="0"/>
    <xf numFmtId="0" fontId="38" fillId="0" borderId="0"/>
    <xf numFmtId="0" fontId="39" fillId="0" borderId="0"/>
    <xf numFmtId="0" fontId="38" fillId="0" borderId="0"/>
    <xf numFmtId="0" fontId="39" fillId="0" borderId="0"/>
    <xf numFmtId="0" fontId="40" fillId="0" borderId="0"/>
    <xf numFmtId="201" fontId="14" fillId="0" borderId="0" applyFill="0" applyBorder="0" applyAlignment="0"/>
    <xf numFmtId="202" fontId="41" fillId="0" borderId="0" applyFill="0" applyBorder="0" applyAlignment="0"/>
    <xf numFmtId="172" fontId="14" fillId="0" borderId="0" applyFill="0" applyBorder="0" applyAlignment="0"/>
    <xf numFmtId="203" fontId="14" fillId="0" borderId="0" applyFill="0" applyBorder="0" applyAlignment="0"/>
    <xf numFmtId="204" fontId="14" fillId="0" borderId="0" applyFill="0" applyBorder="0" applyAlignment="0"/>
    <xf numFmtId="205" fontId="41" fillId="0" borderId="0" applyFill="0" applyBorder="0" applyAlignment="0"/>
    <xf numFmtId="206" fontId="41" fillId="0" borderId="0" applyFill="0" applyBorder="0" applyAlignment="0"/>
    <xf numFmtId="202" fontId="41" fillId="0" borderId="0" applyFill="0" applyBorder="0" applyAlignment="0"/>
    <xf numFmtId="0" fontId="42" fillId="0" borderId="0"/>
    <xf numFmtId="207" fontId="23" fillId="0" borderId="0" applyFont="0" applyFill="0" applyBorder="0" applyAlignment="0" applyProtection="0"/>
    <xf numFmtId="1" fontId="43" fillId="0" borderId="8" applyBorder="0"/>
    <xf numFmtId="205" fontId="41" fillId="0" borderId="0" applyFont="0" applyFill="0" applyBorder="0" applyAlignment="0" applyProtection="0"/>
    <xf numFmtId="43" fontId="17" fillId="0" borderId="0" applyFont="0" applyFill="0" applyBorder="0" applyAlignment="0" applyProtection="0"/>
    <xf numFmtId="208" fontId="18" fillId="0" borderId="0"/>
    <xf numFmtId="3" fontId="14" fillId="0" borderId="0" applyFont="0" applyFill="0" applyBorder="0" applyAlignment="0" applyProtection="0"/>
    <xf numFmtId="202" fontId="41" fillId="0" borderId="0" applyFont="0" applyFill="0" applyBorder="0" applyAlignment="0" applyProtection="0"/>
    <xf numFmtId="209" fontId="14" fillId="0" borderId="0" applyFont="0" applyFill="0" applyBorder="0" applyAlignment="0" applyProtection="0"/>
    <xf numFmtId="0" fontId="14" fillId="0" borderId="0"/>
    <xf numFmtId="0" fontId="14" fillId="0" borderId="0" applyFont="0" applyFill="0" applyBorder="0" applyAlignment="0" applyProtection="0"/>
    <xf numFmtId="14" fontId="44" fillId="0" borderId="0" applyFill="0" applyBorder="0" applyAlignment="0"/>
    <xf numFmtId="0" fontId="45" fillId="0" borderId="0" applyProtection="0"/>
    <xf numFmtId="210" fontId="14" fillId="0" borderId="9">
      <alignment vertical="center"/>
    </xf>
    <xf numFmtId="211" fontId="14" fillId="0" borderId="0" applyFont="0" applyFill="0" applyBorder="0" applyAlignment="0" applyProtection="0"/>
    <xf numFmtId="212" fontId="14" fillId="0" borderId="0" applyFont="0" applyFill="0" applyBorder="0" applyAlignment="0" applyProtection="0"/>
    <xf numFmtId="213" fontId="14" fillId="0" borderId="0"/>
    <xf numFmtId="0" fontId="14" fillId="0" borderId="0" applyFill="0" applyBorder="0" applyAlignment="0"/>
    <xf numFmtId="202" fontId="41" fillId="0" borderId="0" applyFill="0" applyBorder="0" applyAlignment="0"/>
    <xf numFmtId="205" fontId="41" fillId="0" borderId="0" applyFill="0" applyBorder="0" applyAlignment="0"/>
    <xf numFmtId="206" fontId="41" fillId="0" borderId="0" applyFill="0" applyBorder="0" applyAlignment="0"/>
    <xf numFmtId="202" fontId="41" fillId="0" borderId="0" applyFill="0" applyBorder="0" applyAlignment="0"/>
    <xf numFmtId="214" fontId="14" fillId="0" borderId="0" applyFont="0" applyFill="0" applyBorder="0" applyAlignment="0" applyProtection="0"/>
    <xf numFmtId="0" fontId="46" fillId="0" borderId="0" applyProtection="0"/>
    <xf numFmtId="0" fontId="47" fillId="0" borderId="0" applyProtection="0"/>
    <xf numFmtId="0" fontId="48" fillId="0" borderId="0" applyProtection="0"/>
    <xf numFmtId="0" fontId="49" fillId="0" borderId="0" applyProtection="0"/>
    <xf numFmtId="0" fontId="50" fillId="0" borderId="0" applyNumberFormat="0" applyFont="0" applyFill="0" applyBorder="0" applyAlignment="0" applyProtection="0"/>
    <xf numFmtId="0" fontId="51" fillId="0" borderId="0" applyProtection="0"/>
    <xf numFmtId="0" fontId="52" fillId="0" borderId="0" applyProtection="0"/>
    <xf numFmtId="2" fontId="14" fillId="0" borderId="0" applyFont="0" applyFill="0" applyBorder="0" applyAlignment="0" applyProtection="0"/>
    <xf numFmtId="38" fontId="53" fillId="6" borderId="0" applyNumberFormat="0" applyBorder="0" applyAlignment="0" applyProtection="0"/>
    <xf numFmtId="215" fontId="54" fillId="6" borderId="0" applyBorder="0" applyProtection="0"/>
    <xf numFmtId="0" fontId="55" fillId="0" borderId="0" applyNumberFormat="0" applyFont="0" applyBorder="0" applyAlignment="0">
      <alignment horizontal="left" vertical="center"/>
    </xf>
    <xf numFmtId="216" fontId="56" fillId="0" borderId="0" applyNumberFormat="0" applyFill="0" applyBorder="0" applyProtection="0">
      <alignment horizontal="right"/>
    </xf>
    <xf numFmtId="0" fontId="57" fillId="0" borderId="5" applyNumberFormat="0" applyAlignment="0" applyProtection="0">
      <alignment horizontal="left" vertical="center"/>
    </xf>
    <xf numFmtId="0" fontId="57" fillId="0" borderId="10">
      <alignment horizontal="left" vertical="center"/>
    </xf>
    <xf numFmtId="0" fontId="58" fillId="0" borderId="0" applyProtection="0"/>
    <xf numFmtId="0" fontId="57" fillId="0" borderId="0" applyProtection="0"/>
    <xf numFmtId="5" fontId="59" fillId="7" borderId="11" applyNumberFormat="0" applyAlignment="0">
      <alignment horizontal="left" vertical="top"/>
    </xf>
    <xf numFmtId="49" fontId="60" fillId="0" borderId="11">
      <alignment vertical="center"/>
    </xf>
    <xf numFmtId="180" fontId="23" fillId="0" borderId="0" applyFont="0" applyFill="0" applyBorder="0" applyAlignment="0" applyProtection="0"/>
    <xf numFmtId="10" fontId="53" fillId="8" borderId="11" applyNumberFormat="0" applyBorder="0" applyAlignment="0" applyProtection="0"/>
    <xf numFmtId="0" fontId="61" fillId="0" borderId="0"/>
    <xf numFmtId="0" fontId="61" fillId="0" borderId="0"/>
    <xf numFmtId="3" fontId="62" fillId="0" borderId="10">
      <alignment horizontal="centerContinuous"/>
    </xf>
    <xf numFmtId="0" fontId="14" fillId="0" borderId="0" applyFill="0" applyBorder="0" applyAlignment="0"/>
    <xf numFmtId="202" fontId="41" fillId="0" borderId="0" applyFill="0" applyBorder="0" applyAlignment="0"/>
    <xf numFmtId="205" fontId="41" fillId="0" borderId="0" applyFill="0" applyBorder="0" applyAlignment="0"/>
    <xf numFmtId="206" fontId="41" fillId="0" borderId="0" applyFill="0" applyBorder="0" applyAlignment="0"/>
    <xf numFmtId="202" fontId="41" fillId="0" borderId="0" applyFill="0" applyBorder="0" applyAlignment="0"/>
    <xf numFmtId="38" fontId="61" fillId="0" borderId="0" applyFont="0" applyFill="0" applyBorder="0" applyAlignment="0" applyProtection="0"/>
    <xf numFmtId="40" fontId="61" fillId="0" borderId="0" applyFont="0" applyFill="0" applyBorder="0" applyAlignment="0" applyProtection="0"/>
    <xf numFmtId="38" fontId="61" fillId="0" borderId="0" applyFont="0" applyFill="0" applyBorder="0" applyAlignment="0" applyProtection="0"/>
    <xf numFmtId="40" fontId="61" fillId="0" borderId="0" applyFont="0" applyFill="0" applyBorder="0" applyAlignment="0" applyProtection="0"/>
    <xf numFmtId="0" fontId="63" fillId="0" borderId="12"/>
    <xf numFmtId="164" fontId="14" fillId="0" borderId="13"/>
    <xf numFmtId="217" fontId="61" fillId="0" borderId="0" applyFont="0" applyFill="0" applyBorder="0" applyAlignment="0" applyProtection="0"/>
    <xf numFmtId="218" fontId="61" fillId="0" borderId="0" applyFont="0" applyFill="0" applyBorder="0" applyAlignment="0" applyProtection="0"/>
    <xf numFmtId="219" fontId="61" fillId="0" borderId="0" applyFont="0" applyFill="0" applyBorder="0" applyAlignment="0" applyProtection="0"/>
    <xf numFmtId="220" fontId="61" fillId="0" borderId="0" applyFont="0" applyFill="0" applyBorder="0" applyAlignment="0" applyProtection="0"/>
    <xf numFmtId="0" fontId="45" fillId="0" borderId="0" applyNumberFormat="0" applyFont="0" applyFill="0" applyAlignment="0"/>
    <xf numFmtId="0" fontId="18" fillId="0" borderId="0"/>
    <xf numFmtId="37" fontId="64" fillId="0" borderId="0"/>
    <xf numFmtId="0" fontId="65" fillId="0" borderId="11" applyNumberFormat="0" applyFont="0" applyFill="0" applyBorder="0" applyAlignment="0">
      <alignment horizontal="center"/>
    </xf>
    <xf numFmtId="0" fontId="66" fillId="0" borderId="0"/>
    <xf numFmtId="0" fontId="67" fillId="0" borderId="0"/>
    <xf numFmtId="177" fontId="17" fillId="0" borderId="0"/>
    <xf numFmtId="213" fontId="14" fillId="0" borderId="0"/>
    <xf numFmtId="0" fontId="22" fillId="0" borderId="0"/>
    <xf numFmtId="221" fontId="68" fillId="0" borderId="0" applyFont="0" applyFill="0" applyBorder="0" applyProtection="0">
      <alignment vertical="top" wrapText="1"/>
    </xf>
    <xf numFmtId="0" fontId="56" fillId="0" borderId="0" applyNumberFormat="0" applyFill="0" applyBorder="0" applyAlignment="0" applyProtection="0"/>
    <xf numFmtId="0" fontId="14" fillId="0" borderId="0" applyFont="0" applyFill="0" applyBorder="0" applyAlignment="0" applyProtection="0"/>
    <xf numFmtId="0" fontId="18" fillId="0" borderId="0"/>
    <xf numFmtId="0" fontId="69" fillId="4" borderId="0"/>
    <xf numFmtId="0" fontId="62" fillId="0" borderId="0"/>
    <xf numFmtId="172" fontId="14" fillId="0" borderId="0" applyFont="0" applyFill="0" applyBorder="0" applyAlignment="0" applyProtection="0"/>
    <xf numFmtId="204" fontId="14" fillId="0" borderId="0" applyFont="0" applyFill="0" applyBorder="0" applyAlignment="0" applyProtection="0"/>
    <xf numFmtId="222" fontId="14" fillId="0" borderId="0" applyFont="0" applyFill="0" applyBorder="0" applyAlignment="0" applyProtection="0"/>
    <xf numFmtId="10" fontId="14" fillId="0" borderId="0" applyFont="0" applyFill="0" applyBorder="0" applyAlignment="0" applyProtection="0"/>
    <xf numFmtId="9" fontId="61" fillId="0" borderId="6" applyNumberFormat="0" applyBorder="0"/>
    <xf numFmtId="0" fontId="14" fillId="0" borderId="0" applyFill="0" applyBorder="0" applyAlignment="0"/>
    <xf numFmtId="202" fontId="41" fillId="0" borderId="0" applyFill="0" applyBorder="0" applyAlignment="0"/>
    <xf numFmtId="205" fontId="41" fillId="0" borderId="0" applyFill="0" applyBorder="0" applyAlignment="0"/>
    <xf numFmtId="206" fontId="41" fillId="0" borderId="0" applyFill="0" applyBorder="0" applyAlignment="0"/>
    <xf numFmtId="202" fontId="41" fillId="0" borderId="0" applyFill="0" applyBorder="0" applyAlignment="0"/>
    <xf numFmtId="0" fontId="70" fillId="0" borderId="0"/>
    <xf numFmtId="0" fontId="61" fillId="0" borderId="0" applyNumberFormat="0" applyFont="0" applyFill="0" applyBorder="0" applyAlignment="0" applyProtection="0">
      <alignment horizontal="left"/>
    </xf>
    <xf numFmtId="15" fontId="61" fillId="0" borderId="0" applyFont="0" applyFill="0" applyBorder="0" applyAlignment="0" applyProtection="0"/>
    <xf numFmtId="4" fontId="61" fillId="0" borderId="0" applyFont="0" applyFill="0" applyBorder="0" applyAlignment="0" applyProtection="0"/>
    <xf numFmtId="0" fontId="71" fillId="0" borderId="12">
      <alignment horizontal="center"/>
    </xf>
    <xf numFmtId="3" fontId="61" fillId="0" borderId="0" applyFont="0" applyFill="0" applyBorder="0" applyAlignment="0" applyProtection="0"/>
    <xf numFmtId="0" fontId="61" fillId="9" borderId="0" applyNumberFormat="0" applyFont="0" applyBorder="0" applyAlignment="0" applyProtection="0"/>
    <xf numFmtId="180" fontId="23" fillId="0" borderId="0" applyFont="0" applyFill="0" applyBorder="0" applyAlignment="0" applyProtection="0"/>
    <xf numFmtId="3" fontId="23" fillId="0" borderId="14">
      <alignment horizontal="right" wrapText="1"/>
    </xf>
    <xf numFmtId="0" fontId="14" fillId="10" borderId="0"/>
    <xf numFmtId="42" fontId="23" fillId="0" borderId="0" applyFont="0" applyFill="0" applyBorder="0" applyAlignment="0" applyProtection="0"/>
    <xf numFmtId="180" fontId="23" fillId="0" borderId="0" applyFont="0" applyFill="0" applyBorder="0" applyAlignment="0" applyProtection="0"/>
    <xf numFmtId="180" fontId="23" fillId="0" borderId="0" applyFont="0" applyFill="0" applyBorder="0" applyAlignment="0" applyProtection="0"/>
    <xf numFmtId="41" fontId="23" fillId="0" borderId="0" applyFont="0" applyFill="0" applyBorder="0" applyAlignment="0" applyProtection="0"/>
    <xf numFmtId="165" fontId="23" fillId="0" borderId="0" applyFont="0" applyFill="0" applyBorder="0" applyAlignment="0" applyProtection="0"/>
    <xf numFmtId="190" fontId="23" fillId="0" borderId="0" applyFont="0" applyFill="0" applyBorder="0" applyAlignment="0" applyProtection="0"/>
    <xf numFmtId="180" fontId="23" fillId="0" borderId="0" applyFont="0" applyFill="0" applyBorder="0" applyAlignment="0" applyProtection="0"/>
    <xf numFmtId="191" fontId="23" fillId="0" borderId="0" applyFont="0" applyFill="0" applyBorder="0" applyAlignment="0" applyProtection="0"/>
    <xf numFmtId="191" fontId="23" fillId="0" borderId="0" applyFont="0" applyFill="0" applyBorder="0" applyAlignment="0" applyProtection="0"/>
    <xf numFmtId="192" fontId="23" fillId="0" borderId="0" applyFont="0" applyFill="0" applyBorder="0" applyAlignment="0" applyProtection="0"/>
    <xf numFmtId="165" fontId="23" fillId="0" borderId="0" applyFont="0" applyFill="0" applyBorder="0" applyAlignment="0" applyProtection="0"/>
    <xf numFmtId="41" fontId="23" fillId="0" borderId="0" applyFont="0" applyFill="0" applyBorder="0" applyAlignment="0" applyProtection="0"/>
    <xf numFmtId="180" fontId="23" fillId="0" borderId="0" applyFont="0" applyFill="0" applyBorder="0" applyAlignment="0" applyProtection="0"/>
    <xf numFmtId="180" fontId="23" fillId="0" borderId="0" applyFont="0" applyFill="0" applyBorder="0" applyAlignment="0" applyProtection="0"/>
    <xf numFmtId="42"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88" fontId="19" fillId="0" borderId="0" applyFont="0" applyFill="0" applyBorder="0" applyAlignment="0" applyProtection="0"/>
    <xf numFmtId="189" fontId="23" fillId="0" borderId="0" applyFont="0" applyFill="0" applyBorder="0" applyAlignment="0" applyProtection="0"/>
    <xf numFmtId="188" fontId="23" fillId="0" borderId="0" applyFont="0" applyFill="0" applyBorder="0" applyAlignment="0" applyProtection="0"/>
    <xf numFmtId="165" fontId="23" fillId="0" borderId="0" applyFont="0" applyFill="0" applyBorder="0" applyAlignment="0" applyProtection="0"/>
    <xf numFmtId="190" fontId="23" fillId="0" borderId="0" applyFont="0" applyFill="0" applyBorder="0" applyAlignment="0" applyProtection="0"/>
    <xf numFmtId="180" fontId="23" fillId="0" borderId="0" applyFont="0" applyFill="0" applyBorder="0" applyAlignment="0" applyProtection="0"/>
    <xf numFmtId="191" fontId="23" fillId="0" borderId="0" applyFont="0" applyFill="0" applyBorder="0" applyAlignment="0" applyProtection="0"/>
    <xf numFmtId="191" fontId="23" fillId="0" borderId="0" applyFont="0" applyFill="0" applyBorder="0" applyAlignment="0" applyProtection="0"/>
    <xf numFmtId="192" fontId="23" fillId="0" borderId="0" applyFont="0" applyFill="0" applyBorder="0" applyAlignment="0" applyProtection="0"/>
    <xf numFmtId="165" fontId="23" fillId="0" borderId="0" applyFont="0" applyFill="0" applyBorder="0" applyAlignment="0" applyProtection="0"/>
    <xf numFmtId="14" fontId="72" fillId="0" borderId="0"/>
    <xf numFmtId="0" fontId="63" fillId="0" borderId="0"/>
    <xf numFmtId="223" fontId="73" fillId="0" borderId="15">
      <alignment horizontal="right" vertical="center"/>
    </xf>
    <xf numFmtId="0" fontId="22" fillId="0" borderId="15">
      <alignment horizontal="right" vertical="center"/>
    </xf>
    <xf numFmtId="0" fontId="22" fillId="0" borderId="15">
      <alignment horizontal="right" vertical="center"/>
    </xf>
    <xf numFmtId="223" fontId="73" fillId="0" borderId="15">
      <alignment horizontal="right" vertical="center"/>
    </xf>
    <xf numFmtId="223" fontId="73" fillId="0" borderId="15">
      <alignment horizontal="right" vertical="center"/>
    </xf>
    <xf numFmtId="0" fontId="22" fillId="0" borderId="15">
      <alignment horizontal="right" vertical="center"/>
    </xf>
    <xf numFmtId="0" fontId="22" fillId="0" borderId="15">
      <alignment horizontal="right" vertical="center"/>
    </xf>
    <xf numFmtId="223" fontId="73" fillId="0" borderId="15">
      <alignment horizontal="right" vertical="center"/>
    </xf>
    <xf numFmtId="0" fontId="22" fillId="0" borderId="15">
      <alignment horizontal="right" vertical="center"/>
    </xf>
    <xf numFmtId="223" fontId="73" fillId="0" borderId="15">
      <alignment horizontal="right" vertical="center"/>
    </xf>
    <xf numFmtId="223" fontId="73" fillId="0" borderId="15">
      <alignment horizontal="right" vertical="center"/>
    </xf>
    <xf numFmtId="223" fontId="73" fillId="0" borderId="15">
      <alignment horizontal="right" vertical="center"/>
    </xf>
    <xf numFmtId="0" fontId="22" fillId="0" borderId="15">
      <alignment horizontal="right" vertical="center"/>
    </xf>
    <xf numFmtId="223" fontId="73" fillId="0" borderId="15">
      <alignment horizontal="right" vertical="center"/>
    </xf>
    <xf numFmtId="0" fontId="22" fillId="0" borderId="15">
      <alignment horizontal="right" vertical="center"/>
    </xf>
    <xf numFmtId="223" fontId="73" fillId="0" borderId="15">
      <alignment horizontal="right" vertical="center"/>
    </xf>
    <xf numFmtId="0" fontId="22" fillId="0" borderId="15">
      <alignment horizontal="right" vertical="center"/>
    </xf>
    <xf numFmtId="223" fontId="73" fillId="0" borderId="15">
      <alignment horizontal="right" vertical="center"/>
    </xf>
    <xf numFmtId="0" fontId="22" fillId="0" borderId="15">
      <alignment horizontal="right" vertical="center"/>
    </xf>
    <xf numFmtId="0" fontId="22" fillId="0" borderId="15">
      <alignment horizontal="right" vertical="center"/>
    </xf>
    <xf numFmtId="49" fontId="44" fillId="0" borderId="0" applyFill="0" applyBorder="0" applyAlignment="0"/>
    <xf numFmtId="0" fontId="14" fillId="0" borderId="0" applyFill="0" applyBorder="0" applyAlignment="0"/>
    <xf numFmtId="224" fontId="14" fillId="0" borderId="0" applyFill="0" applyBorder="0" applyAlignment="0"/>
    <xf numFmtId="188" fontId="73" fillId="0" borderId="15">
      <alignment horizontal="center"/>
    </xf>
    <xf numFmtId="0" fontId="74" fillId="0" borderId="16"/>
    <xf numFmtId="0" fontId="56" fillId="0" borderId="0" applyNumberFormat="0" applyFill="0" applyBorder="0" applyAlignment="0" applyProtection="0"/>
    <xf numFmtId="225" fontId="75" fillId="0" borderId="0"/>
    <xf numFmtId="226" fontId="73" fillId="0" borderId="11"/>
    <xf numFmtId="0" fontId="76" fillId="0" borderId="0"/>
    <xf numFmtId="0" fontId="76" fillId="0" borderId="0"/>
    <xf numFmtId="5" fontId="77" fillId="11" borderId="3">
      <alignment vertical="top"/>
    </xf>
    <xf numFmtId="0" fontId="78" fillId="12" borderId="11">
      <alignment horizontal="left" vertical="center"/>
    </xf>
    <xf numFmtId="6" fontId="79" fillId="13" borderId="3"/>
    <xf numFmtId="5" fontId="59" fillId="0" borderId="3">
      <alignment horizontal="left" vertical="top"/>
    </xf>
    <xf numFmtId="0" fontId="80" fillId="14" borderId="0">
      <alignment horizontal="left" vertical="center"/>
    </xf>
    <xf numFmtId="5" fontId="29" fillId="0" borderId="4">
      <alignment horizontal="left" vertical="top"/>
    </xf>
    <xf numFmtId="0" fontId="81" fillId="0" borderId="4">
      <alignment horizontal="left" vertical="center"/>
    </xf>
    <xf numFmtId="0" fontId="14" fillId="0" borderId="0"/>
    <xf numFmtId="227" fontId="14" fillId="0" borderId="0" applyFont="0" applyFill="0" applyBorder="0" applyAlignment="0" applyProtection="0"/>
    <xf numFmtId="228" fontId="14" fillId="0" borderId="0" applyFont="0" applyFill="0" applyBorder="0" applyAlignment="0" applyProtection="0"/>
    <xf numFmtId="0" fontId="82" fillId="0" borderId="17"/>
    <xf numFmtId="0" fontId="83" fillId="0" borderId="17"/>
    <xf numFmtId="0" fontId="82" fillId="0" borderId="17"/>
    <xf numFmtId="0" fontId="82" fillId="0" borderId="17"/>
    <xf numFmtId="0" fontId="83" fillId="0" borderId="17"/>
    <xf numFmtId="0" fontId="84" fillId="0" borderId="0" applyNumberFormat="0" applyFill="0" applyBorder="0" applyAlignment="0" applyProtection="0"/>
    <xf numFmtId="42" fontId="85" fillId="0" borderId="0" applyFont="0" applyFill="0" applyBorder="0" applyAlignment="0" applyProtection="0"/>
    <xf numFmtId="44" fontId="85" fillId="0" borderId="0" applyFont="0" applyFill="0" applyBorder="0" applyAlignment="0" applyProtection="0"/>
    <xf numFmtId="0" fontId="85" fillId="0" borderId="0"/>
    <xf numFmtId="40" fontId="86" fillId="0" borderId="0" applyFont="0" applyFill="0" applyBorder="0" applyAlignment="0" applyProtection="0"/>
    <xf numFmtId="38" fontId="86" fillId="0" borderId="0" applyFont="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9" fontId="87" fillId="0" borderId="0" applyFont="0" applyFill="0" applyBorder="0" applyAlignment="0" applyProtection="0"/>
    <xf numFmtId="0" fontId="88" fillId="0" borderId="0"/>
    <xf numFmtId="0" fontId="89" fillId="0" borderId="18"/>
    <xf numFmtId="0" fontId="45" fillId="0" borderId="0"/>
    <xf numFmtId="165" fontId="15" fillId="0" borderId="0" applyFont="0" applyFill="0" applyBorder="0" applyAlignment="0" applyProtection="0"/>
    <xf numFmtId="166" fontId="15"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67" fillId="0" borderId="0" applyFont="0" applyFill="0" applyBorder="0" applyAlignment="0" applyProtection="0"/>
    <xf numFmtId="0" fontId="67" fillId="0" borderId="0" applyFont="0" applyFill="0" applyBorder="0" applyAlignment="0" applyProtection="0"/>
    <xf numFmtId="229" fontId="67" fillId="0" borderId="0" applyFont="0" applyFill="0" applyBorder="0" applyAlignment="0" applyProtection="0"/>
    <xf numFmtId="230" fontId="67" fillId="0" borderId="0" applyFont="0" applyFill="0" applyBorder="0" applyAlignment="0" applyProtection="0"/>
    <xf numFmtId="0" fontId="90" fillId="0" borderId="0"/>
    <xf numFmtId="200" fontId="91" fillId="0" borderId="0" applyFont="0" applyFill="0" applyBorder="0" applyAlignment="0" applyProtection="0"/>
    <xf numFmtId="183" fontId="91" fillId="0" borderId="0" applyFont="0" applyFill="0" applyBorder="0" applyAlignment="0" applyProtection="0"/>
    <xf numFmtId="0" fontId="92" fillId="0" borderId="0"/>
    <xf numFmtId="0" fontId="15" fillId="0" borderId="0" applyFont="0" applyFill="0" applyBorder="0" applyAlignment="0" applyProtection="0"/>
    <xf numFmtId="6" fontId="26" fillId="0" borderId="0" applyFont="0" applyFill="0" applyBorder="0" applyAlignment="0" applyProtection="0"/>
    <xf numFmtId="205" fontId="15" fillId="0" borderId="0" applyFont="0" applyFill="0" applyBorder="0" applyAlignment="0" applyProtection="0"/>
    <xf numFmtId="44" fontId="91" fillId="0" borderId="0" applyFont="0" applyFill="0" applyBorder="0" applyAlignment="0" applyProtection="0"/>
    <xf numFmtId="42" fontId="91"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0" fontId="35" fillId="0" borderId="0">
      <alignment vertical="center"/>
    </xf>
    <xf numFmtId="210" fontId="17" fillId="0" borderId="0"/>
    <xf numFmtId="214" fontId="14" fillId="0" borderId="0"/>
    <xf numFmtId="43" fontId="17" fillId="0" borderId="0" applyFont="0" applyFill="0" applyBorder="0" applyAlignment="0" applyProtection="0"/>
    <xf numFmtId="43" fontId="95" fillId="0" borderId="0" applyFont="0" applyFill="0" applyBorder="0" applyAlignment="0" applyProtection="0"/>
    <xf numFmtId="214" fontId="96" fillId="0" borderId="0" applyNumberFormat="0" applyFill="0" applyBorder="0" applyAlignment="0" applyProtection="0">
      <alignment vertical="top"/>
      <protection locked="0"/>
    </xf>
    <xf numFmtId="214" fontId="94" fillId="0" borderId="0"/>
    <xf numFmtId="214" fontId="17" fillId="0" borderId="0"/>
    <xf numFmtId="214" fontId="14" fillId="0" borderId="0"/>
    <xf numFmtId="214" fontId="17" fillId="0" borderId="0"/>
    <xf numFmtId="214" fontId="14" fillId="0" borderId="0"/>
    <xf numFmtId="214" fontId="97" fillId="0" borderId="0"/>
    <xf numFmtId="214" fontId="14" fillId="0" borderId="0"/>
    <xf numFmtId="214" fontId="14" fillId="0" borderId="0"/>
    <xf numFmtId="214" fontId="14" fillId="0" borderId="0"/>
    <xf numFmtId="9" fontId="17" fillId="0" borderId="0" applyFont="0" applyFill="0" applyBorder="0" applyAlignment="0" applyProtection="0"/>
    <xf numFmtId="9" fontId="97" fillId="0" borderId="0" applyFont="0" applyFill="0" applyBorder="0" applyAlignment="0" applyProtection="0"/>
    <xf numFmtId="9" fontId="97" fillId="0" borderId="0" applyFont="0" applyFill="0" applyBorder="0" applyAlignment="0" applyProtection="0"/>
    <xf numFmtId="9" fontId="1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95" fillId="0" borderId="0" applyFont="0" applyFill="0" applyBorder="0" applyAlignment="0" applyProtection="0"/>
    <xf numFmtId="9" fontId="13" fillId="0" borderId="0" applyFont="0" applyFill="0" applyBorder="0" applyAlignment="0" applyProtection="0"/>
    <xf numFmtId="44" fontId="14" fillId="0" borderId="0" applyFont="0" applyFill="0" applyBorder="0" applyAlignment="0" applyProtection="0"/>
    <xf numFmtId="0" fontId="18" fillId="0" borderId="0" applyFont="0" applyFill="0" applyBorder="0" applyAlignment="0"/>
    <xf numFmtId="202" fontId="98" fillId="0" borderId="0" applyNumberFormat="0" applyFill="0" applyBorder="0" applyAlignment="0" applyProtection="0"/>
    <xf numFmtId="0" fontId="99" fillId="0" borderId="0" applyNumberFormat="0" applyFill="0" applyBorder="0" applyAlignment="0" applyProtection="0"/>
    <xf numFmtId="0" fontId="100" fillId="0" borderId="2" applyNumberFormat="0" applyFill="0" applyBorder="0" applyAlignment="0" applyProtection="0">
      <alignment horizontal="center"/>
    </xf>
    <xf numFmtId="178" fontId="99" fillId="0" borderId="0" applyFont="0" applyFill="0" applyBorder="0" applyAlignment="0" applyProtection="0"/>
    <xf numFmtId="231" fontId="14" fillId="0" borderId="0" applyFont="0" applyFill="0" applyBorder="0" applyAlignment="0" applyProtection="0">
      <alignment horizontal="right"/>
    </xf>
    <xf numFmtId="0" fontId="14" fillId="0" borderId="0" applyFont="0" applyFill="0" applyBorder="0" applyAlignment="0" applyProtection="0"/>
    <xf numFmtId="0" fontId="18" fillId="0" borderId="0" applyFont="0" applyFill="0" applyBorder="0" applyAlignment="0" applyProtection="0"/>
    <xf numFmtId="8" fontId="101" fillId="0" borderId="26">
      <protection locked="0"/>
    </xf>
    <xf numFmtId="0" fontId="14" fillId="0" borderId="0" applyFont="0" applyFill="0" applyBorder="0" applyAlignment="0" applyProtection="0">
      <alignment horizontal="right"/>
    </xf>
    <xf numFmtId="232" fontId="14" fillId="0" borderId="0" applyFont="0" applyFill="0" applyBorder="0" applyAlignment="0" applyProtection="0"/>
    <xf numFmtId="203" fontId="102" fillId="0" borderId="0" applyFont="0" applyFill="0" applyBorder="0" applyAlignment="0" applyProtection="0"/>
    <xf numFmtId="0" fontId="14" fillId="0" borderId="27" applyNumberFormat="0" applyFont="0" applyFill="0" applyAlignment="0" applyProtection="0"/>
    <xf numFmtId="0" fontId="103" fillId="0" borderId="0" applyFill="0" applyBorder="0" applyProtection="0">
      <alignment horizontal="left"/>
    </xf>
    <xf numFmtId="233" fontId="14" fillId="0" borderId="0" applyFont="0" applyFill="0" applyBorder="0" applyAlignment="0" applyProtection="0">
      <alignment horizontal="right"/>
    </xf>
    <xf numFmtId="0" fontId="104" fillId="0" borderId="0" applyNumberFormat="0" applyFill="0" applyBorder="0" applyAlignment="0" applyProtection="0"/>
    <xf numFmtId="0" fontId="18" fillId="0" borderId="2" applyFont="0" applyFill="0" applyBorder="0" applyProtection="0"/>
    <xf numFmtId="234" fontId="18" fillId="0" borderId="2"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234" fontId="18" fillId="0" borderId="0" applyFont="0" applyFill="0" applyBorder="0" applyAlignment="0" applyProtection="0"/>
    <xf numFmtId="0" fontId="105" fillId="0" borderId="0" applyFont="0" applyFill="0" applyBorder="0" applyAlignment="0" applyProtection="0"/>
    <xf numFmtId="0" fontId="14" fillId="0" borderId="0" applyFont="0" applyFill="0" applyBorder="0" applyAlignment="0" applyProtection="0">
      <alignment horizontal="right"/>
    </xf>
    <xf numFmtId="0" fontId="14" fillId="0" borderId="0" applyFont="0" applyFill="0" applyBorder="0" applyAlignment="0" applyProtection="0">
      <alignment horizontal="right"/>
    </xf>
    <xf numFmtId="1" fontId="106" fillId="0" borderId="0" applyProtection="0">
      <alignment horizontal="right" vertical="center"/>
    </xf>
    <xf numFmtId="231" fontId="35" fillId="0" borderId="0" applyFont="0" applyFill="0" applyBorder="0" applyAlignment="0" applyProtection="0"/>
    <xf numFmtId="0" fontId="107" fillId="0" borderId="0" applyBorder="0" applyProtection="0">
      <alignment vertical="center"/>
    </xf>
    <xf numFmtId="0" fontId="14" fillId="0" borderId="2" applyBorder="0" applyProtection="0">
      <alignment horizontal="right" vertical="center"/>
    </xf>
    <xf numFmtId="0" fontId="108" fillId="15" borderId="0" applyBorder="0" applyProtection="0">
      <alignment horizontal="centerContinuous" vertical="center"/>
    </xf>
    <xf numFmtId="0" fontId="108" fillId="16" borderId="2" applyBorder="0" applyProtection="0">
      <alignment horizontal="centerContinuous" vertical="center"/>
    </xf>
    <xf numFmtId="0" fontId="109" fillId="0" borderId="0" applyFill="0" applyBorder="0" applyProtection="0">
      <alignment horizontal="left"/>
    </xf>
    <xf numFmtId="0" fontId="103" fillId="0" borderId="1" applyFill="0" applyBorder="0" applyProtection="0">
      <alignment horizontal="left" vertical="top"/>
    </xf>
    <xf numFmtId="0" fontId="18" fillId="0" borderId="0" applyFont="0" applyFill="0" applyBorder="0" applyAlignment="0" applyProtection="0">
      <alignment horizontal="right"/>
    </xf>
    <xf numFmtId="0" fontId="12" fillId="0" borderId="0"/>
    <xf numFmtId="0" fontId="11" fillId="0" borderId="0"/>
    <xf numFmtId="9" fontId="11" fillId="0" borderId="0" applyFont="0" applyFill="0" applyBorder="0" applyAlignment="0" applyProtection="0"/>
    <xf numFmtId="43" fontId="13" fillId="0" borderId="0" applyFont="0" applyFill="0" applyBorder="0" applyAlignment="0" applyProtection="0"/>
    <xf numFmtId="0" fontId="10" fillId="0" borderId="0"/>
    <xf numFmtId="43" fontId="10" fillId="0" borderId="0" applyFont="0" applyFill="0" applyBorder="0" applyAlignment="0" applyProtection="0"/>
    <xf numFmtId="9" fontId="10" fillId="0" borderId="0" applyFont="0" applyFill="0" applyBorder="0" applyAlignment="0" applyProtection="0"/>
    <xf numFmtId="43" fontId="135" fillId="0" borderId="0" applyFont="0" applyFill="0" applyBorder="0" applyAlignment="0" applyProtection="0"/>
    <xf numFmtId="9" fontId="135" fillId="0" borderId="0" applyFont="0" applyFill="0" applyBorder="0" applyAlignment="0" applyProtection="0"/>
    <xf numFmtId="3" fontId="136" fillId="0" borderId="22" applyNumberFormat="0" applyFont="0" applyBorder="0" applyAlignment="0" applyProtection="0"/>
    <xf numFmtId="0" fontId="9" fillId="0" borderId="0"/>
    <xf numFmtId="43" fontId="9" fillId="0" borderId="0" applyFont="0" applyFill="0" applyBorder="0" applyAlignment="0" applyProtection="0"/>
    <xf numFmtId="9" fontId="9" fillId="0" borderId="0" applyFont="0" applyFill="0" applyBorder="0" applyAlignment="0" applyProtection="0"/>
    <xf numFmtId="0" fontId="148" fillId="0" borderId="0" applyNumberFormat="0" applyFill="0" applyBorder="0" applyAlignment="0" applyProtection="0">
      <alignment vertical="top"/>
      <protection locked="0"/>
    </xf>
    <xf numFmtId="44" fontId="13" fillId="0" borderId="0" applyFont="0" applyFill="0" applyBorder="0" applyAlignment="0" applyProtection="0"/>
    <xf numFmtId="0" fontId="8" fillId="0" borderId="0"/>
    <xf numFmtId="43" fontId="8" fillId="0" borderId="0" applyFont="0" applyFill="0" applyBorder="0" applyAlignment="0" applyProtection="0"/>
    <xf numFmtId="0" fontId="155" fillId="0" borderId="0"/>
    <xf numFmtId="43" fontId="155" fillId="0" borderId="0" applyFont="0" applyFill="0" applyBorder="0" applyAlignment="0" applyProtection="0"/>
    <xf numFmtId="9" fontId="155" fillId="0" borderId="0" applyFont="0" applyFill="0" applyBorder="0" applyAlignment="0" applyProtection="0"/>
    <xf numFmtId="173" fontId="156" fillId="0" borderId="50"/>
    <xf numFmtId="5" fontId="156" fillId="0" borderId="50"/>
    <xf numFmtId="214" fontId="1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8" fontId="101" fillId="0" borderId="26">
      <protection locked="0"/>
    </xf>
    <xf numFmtId="44" fontId="7" fillId="0" borderId="0" applyFont="0" applyFill="0" applyBorder="0" applyAlignment="0" applyProtection="0"/>
    <xf numFmtId="44" fontId="7" fillId="0" borderId="0" applyFont="0" applyFill="0" applyBorder="0" applyAlignment="0" applyProtection="0"/>
    <xf numFmtId="5" fontId="59" fillId="7" borderId="51" applyNumberFormat="0" applyAlignment="0">
      <alignment horizontal="left" vertical="top"/>
    </xf>
    <xf numFmtId="49" fontId="60" fillId="0" borderId="51">
      <alignment vertical="center"/>
    </xf>
    <xf numFmtId="10" fontId="53" fillId="8" borderId="51" applyNumberFormat="0" applyBorder="0" applyAlignment="0" applyProtection="0"/>
    <xf numFmtId="14" fontId="53" fillId="0" borderId="52" applyNumberFormat="0" applyFont="0" applyFill="0" applyBorder="0" applyAlignment="0">
      <alignment horizontal="left"/>
    </xf>
    <xf numFmtId="0" fontId="65" fillId="0" borderId="51" applyNumberFormat="0" applyFont="0" applyFill="0" applyBorder="0" applyAlignment="0">
      <alignment horizontal="center"/>
    </xf>
    <xf numFmtId="214" fontId="7"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214" fontId="7" fillId="0" borderId="0"/>
    <xf numFmtId="0" fontId="7" fillId="0" borderId="0"/>
    <xf numFmtId="0" fontId="7" fillId="0" borderId="0"/>
    <xf numFmtId="0" fontId="7" fillId="0" borderId="0"/>
    <xf numFmtId="0" fontId="7" fillId="0" borderId="0"/>
    <xf numFmtId="21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3"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157" fillId="0" borderId="0">
      <alignment horizontal="center"/>
    </xf>
    <xf numFmtId="223" fontId="73" fillId="0" borderId="53">
      <alignment horizontal="right" vertical="center"/>
    </xf>
    <xf numFmtId="0" fontId="22" fillId="0" borderId="53">
      <alignment horizontal="right" vertical="center"/>
    </xf>
    <xf numFmtId="0" fontId="22" fillId="0" borderId="53">
      <alignment horizontal="right" vertical="center"/>
    </xf>
    <xf numFmtId="223" fontId="73" fillId="0" borderId="53">
      <alignment horizontal="right" vertical="center"/>
    </xf>
    <xf numFmtId="223" fontId="73" fillId="0" borderId="53">
      <alignment horizontal="right" vertical="center"/>
    </xf>
    <xf numFmtId="0" fontId="22" fillId="0" borderId="53">
      <alignment horizontal="right" vertical="center"/>
    </xf>
    <xf numFmtId="0" fontId="22" fillId="0" borderId="53">
      <alignment horizontal="right" vertical="center"/>
    </xf>
    <xf numFmtId="223" fontId="73" fillId="0" borderId="53">
      <alignment horizontal="right" vertical="center"/>
    </xf>
    <xf numFmtId="0" fontId="22" fillId="0" borderId="53">
      <alignment horizontal="right" vertical="center"/>
    </xf>
    <xf numFmtId="223" fontId="73" fillId="0" borderId="53">
      <alignment horizontal="right" vertical="center"/>
    </xf>
    <xf numFmtId="223" fontId="73" fillId="0" borderId="53">
      <alignment horizontal="right" vertical="center"/>
    </xf>
    <xf numFmtId="223" fontId="73" fillId="0" borderId="53">
      <alignment horizontal="right" vertical="center"/>
    </xf>
    <xf numFmtId="0" fontId="22" fillId="0" borderId="53">
      <alignment horizontal="right" vertical="center"/>
    </xf>
    <xf numFmtId="223" fontId="73" fillId="0" borderId="53">
      <alignment horizontal="right" vertical="center"/>
    </xf>
    <xf numFmtId="0" fontId="22" fillId="0" borderId="53">
      <alignment horizontal="right" vertical="center"/>
    </xf>
    <xf numFmtId="223" fontId="73" fillId="0" borderId="53">
      <alignment horizontal="right" vertical="center"/>
    </xf>
    <xf numFmtId="0" fontId="22" fillId="0" borderId="53">
      <alignment horizontal="right" vertical="center"/>
    </xf>
    <xf numFmtId="223" fontId="73" fillId="0" borderId="53">
      <alignment horizontal="right" vertical="center"/>
    </xf>
    <xf numFmtId="0" fontId="22" fillId="0" borderId="53">
      <alignment horizontal="right" vertical="center"/>
    </xf>
    <xf numFmtId="0" fontId="22" fillId="0" borderId="53">
      <alignment horizontal="right" vertical="center"/>
    </xf>
    <xf numFmtId="188" fontId="73" fillId="0" borderId="53">
      <alignment horizontal="center"/>
    </xf>
    <xf numFmtId="226" fontId="73" fillId="0" borderId="51"/>
    <xf numFmtId="0" fontId="78" fillId="12" borderId="51">
      <alignment horizontal="left" vertical="center"/>
    </xf>
    <xf numFmtId="0" fontId="159" fillId="0" borderId="0"/>
    <xf numFmtId="0" fontId="15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14" fillId="0" borderId="0"/>
    <xf numFmtId="255" fontId="14" fillId="0" borderId="93" applyFont="0" applyFill="0" applyBorder="0" applyAlignment="0" applyProtection="0"/>
    <xf numFmtId="255" fontId="14" fillId="0" borderId="93" applyFont="0" applyFill="0" applyBorder="0" applyAlignment="0" applyProtection="0"/>
    <xf numFmtId="255" fontId="14" fillId="0" borderId="93" applyFont="0" applyFill="0" applyBorder="0" applyAlignment="0" applyProtection="0"/>
    <xf numFmtId="255" fontId="14" fillId="0" borderId="93" applyFont="0" applyFill="0" applyBorder="0" applyAlignment="0" applyProtection="0"/>
    <xf numFmtId="255" fontId="14" fillId="0" borderId="93" applyFont="0" applyFill="0" applyBorder="0" applyAlignment="0" applyProtection="0"/>
    <xf numFmtId="255" fontId="14" fillId="0" borderId="93" applyFont="0" applyFill="0" applyBorder="0" applyAlignment="0" applyProtection="0"/>
    <xf numFmtId="255" fontId="14" fillId="0" borderId="93"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255" fontId="14" fillId="0" borderId="93" applyFont="0" applyFill="0" applyBorder="0" applyAlignment="0" applyProtection="0"/>
    <xf numFmtId="255" fontId="14" fillId="0" borderId="93" applyFont="0" applyFill="0" applyBorder="0" applyAlignment="0" applyProtection="0"/>
    <xf numFmtId="43" fontId="14" fillId="0" borderId="0" applyFont="0" applyFill="0" applyBorder="0" applyAlignment="0" applyProtection="0"/>
    <xf numFmtId="255" fontId="14" fillId="0" borderId="93" applyFont="0" applyFill="0" applyBorder="0" applyAlignment="0" applyProtection="0"/>
    <xf numFmtId="255" fontId="14" fillId="0" borderId="93" applyFont="0" applyFill="0" applyBorder="0" applyAlignment="0" applyProtection="0"/>
    <xf numFmtId="0" fontId="14" fillId="0" borderId="0"/>
    <xf numFmtId="202" fontId="14" fillId="0" borderId="0" applyProtection="0">
      <alignment horizontal="right"/>
    </xf>
    <xf numFmtId="0" fontId="216" fillId="0" borderId="0">
      <alignment vertical="center"/>
    </xf>
    <xf numFmtId="0" fontId="5" fillId="0" borderId="0"/>
    <xf numFmtId="0" fontId="5" fillId="0" borderId="0"/>
    <xf numFmtId="0" fontId="5" fillId="0" borderId="0"/>
    <xf numFmtId="202" fontId="14" fillId="0" borderId="0" applyProtection="0">
      <alignment horizontal="right"/>
    </xf>
    <xf numFmtId="0" fontId="5" fillId="0" borderId="0"/>
    <xf numFmtId="0" fontId="5" fillId="0" borderId="0"/>
    <xf numFmtId="202" fontId="14" fillId="0" borderId="0" applyProtection="0">
      <alignment horizontal="right"/>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7" fillId="0" borderId="0"/>
    <xf numFmtId="0" fontId="5" fillId="0" borderId="0"/>
    <xf numFmtId="9" fontId="5" fillId="0" borderId="0" applyFont="0" applyFill="0" applyBorder="0" applyAlignment="0" applyProtection="0"/>
    <xf numFmtId="252" fontId="14" fillId="0" borderId="93" applyFont="0" applyFill="0" applyBorder="0" applyAlignment="0" applyProtection="0"/>
    <xf numFmtId="0" fontId="95" fillId="0" borderId="0">
      <alignment vertical="center"/>
    </xf>
    <xf numFmtId="256" fontId="218" fillId="0" borderId="0">
      <alignment vertical="center"/>
    </xf>
    <xf numFmtId="0" fontId="4" fillId="0" borderId="0"/>
    <xf numFmtId="0" fontId="228" fillId="0" borderId="0" applyNumberFormat="0" applyFill="0" applyBorder="0" applyAlignment="0" applyProtection="0">
      <alignment vertical="top"/>
      <protection locked="0"/>
    </xf>
    <xf numFmtId="43" fontId="95"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135" fillId="0" borderId="0"/>
    <xf numFmtId="43" fontId="14" fillId="0" borderId="0" applyFont="0" applyFill="0" applyBorder="0" applyAlignment="0" applyProtection="0"/>
    <xf numFmtId="9" fontId="135" fillId="0" borderId="0" applyFont="0" applyFill="0" applyBorder="0" applyAlignment="0" applyProtection="0"/>
    <xf numFmtId="43" fontId="135"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9" fontId="135" fillId="0" borderId="0" applyFont="0" applyFill="0" applyBorder="0" applyAlignment="0" applyProtection="0"/>
    <xf numFmtId="0" fontId="1" fillId="0" borderId="0"/>
  </cellStyleXfs>
  <cellXfs count="2297">
    <xf numFmtId="0" fontId="0" fillId="0" borderId="0" xfId="0"/>
    <xf numFmtId="0" fontId="94" fillId="0" borderId="0" xfId="3" applyFont="1" applyAlignment="1">
      <alignment horizontal="right"/>
    </xf>
    <xf numFmtId="0" fontId="53" fillId="0" borderId="0" xfId="1" applyFont="1" applyAlignment="1">
      <alignment horizontal="right"/>
    </xf>
    <xf numFmtId="0" fontId="16" fillId="0" borderId="0" xfId="2" applyFill="1" applyBorder="1" applyAlignment="1" applyProtection="1"/>
    <xf numFmtId="0" fontId="110" fillId="0" borderId="0" xfId="1" applyFont="1"/>
    <xf numFmtId="0" fontId="94" fillId="0" borderId="0" xfId="3" applyFont="1"/>
    <xf numFmtId="0" fontId="111" fillId="0" borderId="0" xfId="3" applyFont="1"/>
    <xf numFmtId="0" fontId="111" fillId="0" borderId="0" xfId="3" applyFont="1" applyAlignment="1">
      <alignment horizontal="right"/>
    </xf>
    <xf numFmtId="0" fontId="53" fillId="0" borderId="0" xfId="1" applyFont="1"/>
    <xf numFmtId="0" fontId="115" fillId="0" borderId="0" xfId="3" applyFont="1" applyProtection="1">
      <protection locked="0"/>
    </xf>
    <xf numFmtId="0" fontId="116" fillId="0" borderId="0" xfId="3" applyFont="1" applyProtection="1">
      <protection locked="0"/>
    </xf>
    <xf numFmtId="0" fontId="117" fillId="0" borderId="0" xfId="3" applyFont="1"/>
    <xf numFmtId="0" fontId="116" fillId="0" borderId="0" xfId="3" applyFont="1"/>
    <xf numFmtId="0" fontId="115" fillId="0" borderId="0" xfId="3" applyFont="1"/>
    <xf numFmtId="0" fontId="111" fillId="0" borderId="0" xfId="0" applyFont="1"/>
    <xf numFmtId="0" fontId="53" fillId="0" borderId="0" xfId="1" applyFont="1" applyAlignment="1">
      <alignment horizontal="left"/>
    </xf>
    <xf numFmtId="0" fontId="16" fillId="0" borderId="0" xfId="2" applyFill="1" applyAlignment="1" applyProtection="1"/>
    <xf numFmtId="169" fontId="94" fillId="0" borderId="0" xfId="3" applyNumberFormat="1" applyFont="1"/>
    <xf numFmtId="0" fontId="53" fillId="4" borderId="0" xfId="1" applyFont="1" applyFill="1"/>
    <xf numFmtId="0" fontId="110" fillId="0" borderId="2" xfId="1" applyFont="1" applyBorder="1"/>
    <xf numFmtId="0" fontId="110" fillId="0" borderId="2" xfId="1" applyFont="1" applyBorder="1" applyAlignment="1">
      <alignment horizontal="right"/>
    </xf>
    <xf numFmtId="168" fontId="53" fillId="0" borderId="0" xfId="1" quotePrefix="1" applyNumberFormat="1" applyFont="1" applyAlignment="1">
      <alignment horizontal="right"/>
    </xf>
    <xf numFmtId="0" fontId="53" fillId="0" borderId="0" xfId="1" applyFont="1" applyAlignment="1">
      <alignment horizontal="left" vertical="top"/>
    </xf>
    <xf numFmtId="0" fontId="94" fillId="0" borderId="2" xfId="3" applyFont="1" applyBorder="1"/>
    <xf numFmtId="0" fontId="110" fillId="0" borderId="15" xfId="1" applyFont="1" applyBorder="1" applyAlignment="1">
      <alignment horizontal="left"/>
    </xf>
    <xf numFmtId="0" fontId="53" fillId="0" borderId="0" xfId="1" applyFont="1" applyAlignment="1" applyProtection="1">
      <alignment horizontal="left" vertical="center"/>
      <protection locked="0"/>
    </xf>
    <xf numFmtId="38" fontId="112" fillId="0" borderId="0" xfId="1" applyNumberFormat="1" applyFont="1" applyAlignment="1">
      <alignment horizontal="right"/>
    </xf>
    <xf numFmtId="0" fontId="110" fillId="0" borderId="0" xfId="1" applyFont="1" applyAlignment="1">
      <alignment horizontal="left" vertical="top"/>
    </xf>
    <xf numFmtId="169" fontId="94" fillId="0" borderId="0" xfId="6" applyNumberFormat="1" applyFont="1" applyFill="1"/>
    <xf numFmtId="174" fontId="53" fillId="0" borderId="0" xfId="1" quotePrefix="1" applyNumberFormat="1" applyFont="1" applyAlignment="1">
      <alignment horizontal="right"/>
    </xf>
    <xf numFmtId="172" fontId="94" fillId="0" borderId="0" xfId="6" applyNumberFormat="1" applyFont="1" applyFill="1" applyAlignment="1">
      <alignment horizontal="right"/>
    </xf>
    <xf numFmtId="1" fontId="53" fillId="0" borderId="2" xfId="1" applyNumberFormat="1" applyFont="1" applyBorder="1" applyAlignment="1">
      <alignment horizontal="right"/>
    </xf>
    <xf numFmtId="0" fontId="53" fillId="0" borderId="2" xfId="1" applyFont="1" applyBorder="1"/>
    <xf numFmtId="0" fontId="111" fillId="0" borderId="10" xfId="3" applyFont="1" applyBorder="1"/>
    <xf numFmtId="0" fontId="94" fillId="0" borderId="0" xfId="430" applyFont="1"/>
    <xf numFmtId="0" fontId="94" fillId="0" borderId="0" xfId="430" applyFont="1" applyAlignment="1">
      <alignment horizontal="right"/>
    </xf>
    <xf numFmtId="2" fontId="94" fillId="0" borderId="0" xfId="430" applyNumberFormat="1" applyFont="1"/>
    <xf numFmtId="14" fontId="94" fillId="0" borderId="0" xfId="430" applyNumberFormat="1" applyFont="1"/>
    <xf numFmtId="0" fontId="110" fillId="0" borderId="0" xfId="1" applyFont="1" applyAlignment="1">
      <alignment horizontal="left"/>
    </xf>
    <xf numFmtId="174" fontId="53" fillId="2" borderId="0" xfId="1" quotePrefix="1" applyNumberFormat="1" applyFont="1" applyFill="1" applyAlignment="1">
      <alignment horizontal="right"/>
    </xf>
    <xf numFmtId="172" fontId="94" fillId="2" borderId="0" xfId="6" applyNumberFormat="1" applyFont="1" applyFill="1" applyAlignment="1">
      <alignment horizontal="right"/>
    </xf>
    <xf numFmtId="1" fontId="53" fillId="2" borderId="2" xfId="1" applyNumberFormat="1" applyFont="1" applyFill="1" applyBorder="1" applyAlignment="1">
      <alignment horizontal="right"/>
    </xf>
    <xf numFmtId="168" fontId="53" fillId="0" borderId="2" xfId="1" quotePrefix="1" applyNumberFormat="1" applyFont="1" applyBorder="1" applyAlignment="1">
      <alignment horizontal="right"/>
    </xf>
    <xf numFmtId="169" fontId="53" fillId="0" borderId="0" xfId="3" applyNumberFormat="1" applyFont="1"/>
    <xf numFmtId="0" fontId="114" fillId="0" borderId="0" xfId="1" applyFont="1"/>
    <xf numFmtId="0" fontId="53" fillId="0" borderId="0" xfId="1" applyFont="1" applyAlignment="1">
      <alignment horizontal="left" indent="1"/>
    </xf>
    <xf numFmtId="170" fontId="53" fillId="0" borderId="0" xfId="1" quotePrefix="1" applyNumberFormat="1" applyFont="1" applyAlignment="1">
      <alignment horizontal="right"/>
    </xf>
    <xf numFmtId="169" fontId="53" fillId="0" borderId="0" xfId="3" applyNumberFormat="1" applyFont="1" applyAlignment="1">
      <alignment horizontal="right"/>
    </xf>
    <xf numFmtId="169" fontId="94" fillId="0" borderId="0" xfId="3" applyNumberFormat="1" applyFont="1" applyAlignment="1">
      <alignment horizontal="right"/>
    </xf>
    <xf numFmtId="169" fontId="111" fillId="0" borderId="0" xfId="3" applyNumberFormat="1" applyFont="1" applyAlignment="1">
      <alignment horizontal="right"/>
    </xf>
    <xf numFmtId="167" fontId="94" fillId="0" borderId="2" xfId="3" applyNumberFormat="1" applyFont="1" applyBorder="1" applyAlignment="1">
      <alignment horizontal="right"/>
    </xf>
    <xf numFmtId="169" fontId="53" fillId="0" borderId="0" xfId="1" applyNumberFormat="1" applyFont="1" applyAlignment="1">
      <alignment horizontal="right"/>
    </xf>
    <xf numFmtId="178" fontId="53" fillId="0" borderId="0" xfId="8" applyNumberFormat="1" applyFont="1" applyFill="1" applyBorder="1" applyAlignment="1">
      <alignment horizontal="right"/>
    </xf>
    <xf numFmtId="9" fontId="110" fillId="0" borderId="0" xfId="1" applyNumberFormat="1" applyFont="1" applyAlignment="1">
      <alignment horizontal="right"/>
    </xf>
    <xf numFmtId="0" fontId="112" fillId="0" borderId="0" xfId="3" applyFont="1"/>
    <xf numFmtId="0" fontId="111" fillId="0" borderId="0" xfId="3" applyFont="1" applyAlignment="1">
      <alignment horizontal="center"/>
    </xf>
    <xf numFmtId="0" fontId="119" fillId="0" borderId="0" xfId="1" applyFont="1"/>
    <xf numFmtId="0" fontId="111" fillId="0" borderId="0" xfId="3" applyFont="1" applyAlignment="1">
      <alignment horizontal="left"/>
    </xf>
    <xf numFmtId="10" fontId="94" fillId="0" borderId="0" xfId="3" applyNumberFormat="1" applyFont="1"/>
    <xf numFmtId="0" fontId="111" fillId="0" borderId="2" xfId="3" applyFont="1" applyBorder="1"/>
    <xf numFmtId="167" fontId="94" fillId="2" borderId="2" xfId="3" applyNumberFormat="1" applyFont="1" applyFill="1" applyBorder="1"/>
    <xf numFmtId="169" fontId="111" fillId="0" borderId="0" xfId="3" applyNumberFormat="1" applyFont="1"/>
    <xf numFmtId="168" fontId="94" fillId="2" borderId="0" xfId="3" applyNumberFormat="1" applyFont="1" applyFill="1"/>
    <xf numFmtId="168" fontId="94" fillId="0" borderId="0" xfId="3" applyNumberFormat="1" applyFont="1"/>
    <xf numFmtId="0" fontId="94" fillId="0" borderId="6" xfId="3" applyFont="1" applyBorder="1" applyAlignment="1">
      <alignment horizontal="right"/>
    </xf>
    <xf numFmtId="0" fontId="94" fillId="0" borderId="12" xfId="3" applyFont="1" applyBorder="1"/>
    <xf numFmtId="0" fontId="16" fillId="0" borderId="0" xfId="2" applyFill="1" applyBorder="1" applyAlignment="1" applyProtection="1">
      <protection locked="0"/>
    </xf>
    <xf numFmtId="169" fontId="94" fillId="5" borderId="0" xfId="3" applyNumberFormat="1" applyFont="1" applyFill="1" applyAlignment="1" applyProtection="1">
      <alignment horizontal="right"/>
      <protection locked="0"/>
    </xf>
    <xf numFmtId="167" fontId="94" fillId="0" borderId="2" xfId="3" applyNumberFormat="1" applyFont="1" applyBorder="1"/>
    <xf numFmtId="168" fontId="94" fillId="0" borderId="0" xfId="3" applyNumberFormat="1" applyFont="1" applyAlignment="1">
      <alignment horizontal="right"/>
    </xf>
    <xf numFmtId="0" fontId="113" fillId="0" borderId="0" xfId="3" applyFont="1"/>
    <xf numFmtId="0" fontId="111" fillId="17" borderId="28" xfId="3" applyFont="1" applyFill="1" applyBorder="1"/>
    <xf numFmtId="0" fontId="111" fillId="2" borderId="0" xfId="3" applyFont="1" applyFill="1"/>
    <xf numFmtId="168" fontId="111" fillId="2" borderId="0" xfId="3" applyNumberFormat="1" applyFont="1" applyFill="1"/>
    <xf numFmtId="0" fontId="53" fillId="17" borderId="35" xfId="1" applyFont="1" applyFill="1" applyBorder="1"/>
    <xf numFmtId="0" fontId="94" fillId="2" borderId="0" xfId="3" applyFont="1" applyFill="1"/>
    <xf numFmtId="0" fontId="53" fillId="5" borderId="35" xfId="1" applyFont="1" applyFill="1" applyBorder="1"/>
    <xf numFmtId="0" fontId="53" fillId="5" borderId="36" xfId="1" applyFont="1" applyFill="1" applyBorder="1"/>
    <xf numFmtId="0" fontId="111" fillId="0" borderId="19" xfId="3" applyFont="1" applyBorder="1"/>
    <xf numFmtId="0" fontId="111" fillId="0" borderId="6" xfId="3" applyFont="1" applyBorder="1" applyAlignment="1">
      <alignment horizontal="right"/>
    </xf>
    <xf numFmtId="0" fontId="111" fillId="0" borderId="20" xfId="3" applyFont="1" applyBorder="1" applyAlignment="1">
      <alignment horizontal="right"/>
    </xf>
    <xf numFmtId="0" fontId="94" fillId="0" borderId="22" xfId="3" applyFont="1" applyBorder="1"/>
    <xf numFmtId="0" fontId="94" fillId="0" borderId="0" xfId="3" applyFont="1" applyAlignment="1">
      <alignment horizontal="left" indent="1"/>
    </xf>
    <xf numFmtId="0" fontId="94" fillId="0" borderId="19" xfId="3" applyFont="1" applyBorder="1"/>
    <xf numFmtId="0" fontId="113" fillId="0" borderId="22" xfId="3" applyFont="1" applyBorder="1" applyAlignment="1">
      <alignment horizontal="left" indent="1"/>
    </xf>
    <xf numFmtId="0" fontId="111" fillId="0" borderId="22" xfId="3" applyFont="1" applyBorder="1"/>
    <xf numFmtId="0" fontId="94" fillId="0" borderId="22" xfId="3" applyFont="1" applyBorder="1" applyAlignment="1">
      <alignment horizontal="left" indent="1"/>
    </xf>
    <xf numFmtId="174" fontId="94" fillId="0" borderId="0" xfId="3" applyNumberFormat="1" applyFont="1" applyAlignment="1">
      <alignment horizontal="right"/>
    </xf>
    <xf numFmtId="0" fontId="111" fillId="0" borderId="22" xfId="3" applyFont="1" applyBorder="1" applyAlignment="1">
      <alignment horizontal="left"/>
    </xf>
    <xf numFmtId="0" fontId="94" fillId="0" borderId="22" xfId="3" applyFont="1" applyBorder="1" applyAlignment="1">
      <alignment horizontal="left"/>
    </xf>
    <xf numFmtId="170" fontId="94" fillId="0" borderId="0" xfId="3" applyNumberFormat="1" applyFont="1" applyAlignment="1">
      <alignment horizontal="right"/>
    </xf>
    <xf numFmtId="0" fontId="94" fillId="0" borderId="24" xfId="3" applyFont="1" applyBorder="1"/>
    <xf numFmtId="0" fontId="94" fillId="0" borderId="12" xfId="3" applyFont="1" applyBorder="1" applyAlignment="1">
      <alignment horizontal="right"/>
    </xf>
    <xf numFmtId="0" fontId="94" fillId="0" borderId="25" xfId="3" applyFont="1" applyBorder="1" applyAlignment="1">
      <alignment horizontal="right"/>
    </xf>
    <xf numFmtId="9" fontId="94" fillId="0" borderId="0" xfId="394" applyFont="1" applyBorder="1" applyProtection="1"/>
    <xf numFmtId="0" fontId="111" fillId="0" borderId="21" xfId="3" applyFont="1" applyBorder="1"/>
    <xf numFmtId="0" fontId="94" fillId="0" borderId="0" xfId="0" applyFont="1"/>
    <xf numFmtId="174" fontId="53" fillId="0" borderId="0" xfId="3" applyNumberFormat="1" applyFont="1" applyAlignment="1">
      <alignment horizontal="right"/>
    </xf>
    <xf numFmtId="174" fontId="110" fillId="0" borderId="0" xfId="3" applyNumberFormat="1" applyFont="1" applyAlignment="1">
      <alignment horizontal="right"/>
    </xf>
    <xf numFmtId="0" fontId="53" fillId="0" borderId="0" xfId="3" applyFont="1" applyAlignment="1">
      <alignment horizontal="right"/>
    </xf>
    <xf numFmtId="0" fontId="110" fillId="0" borderId="0" xfId="1" applyFont="1" applyAlignment="1">
      <alignment horizontal="right"/>
    </xf>
    <xf numFmtId="235" fontId="53" fillId="0" borderId="0" xfId="1" quotePrefix="1" applyNumberFormat="1" applyFont="1" applyAlignment="1">
      <alignment horizontal="right"/>
    </xf>
    <xf numFmtId="0" fontId="53" fillId="0" borderId="22" xfId="1" applyFont="1" applyBorder="1"/>
    <xf numFmtId="168" fontId="53" fillId="0" borderId="23" xfId="1" quotePrefix="1" applyNumberFormat="1" applyFont="1" applyBorder="1" applyAlignment="1">
      <alignment horizontal="right"/>
    </xf>
    <xf numFmtId="0" fontId="94" fillId="0" borderId="6" xfId="0" applyFont="1" applyBorder="1"/>
    <xf numFmtId="0" fontId="94" fillId="0" borderId="0" xfId="0" applyFont="1" applyAlignment="1">
      <alignment horizontal="right"/>
    </xf>
    <xf numFmtId="0" fontId="111" fillId="0" borderId="0" xfId="0" applyFont="1" applyAlignment="1">
      <alignment horizontal="right"/>
    </xf>
    <xf numFmtId="0" fontId="53" fillId="4" borderId="6" xfId="1" applyFont="1" applyFill="1" applyBorder="1"/>
    <xf numFmtId="0" fontId="53" fillId="0" borderId="22" xfId="1" applyFont="1" applyBorder="1" applyAlignment="1">
      <alignment horizontal="left" vertical="center"/>
    </xf>
    <xf numFmtId="167" fontId="94" fillId="2" borderId="2" xfId="3" applyNumberFormat="1" applyFont="1" applyFill="1" applyBorder="1" applyAlignment="1">
      <alignment horizontal="right"/>
    </xf>
    <xf numFmtId="0" fontId="94" fillId="0" borderId="20" xfId="3" applyFont="1" applyBorder="1" applyAlignment="1">
      <alignment horizontal="right"/>
    </xf>
    <xf numFmtId="0" fontId="94" fillId="0" borderId="23" xfId="3" applyFont="1" applyBorder="1" applyAlignment="1">
      <alignment horizontal="right"/>
    </xf>
    <xf numFmtId="0" fontId="112" fillId="0" borderId="0" xfId="3" applyFont="1" applyAlignment="1">
      <alignment horizontal="right"/>
    </xf>
    <xf numFmtId="167" fontId="53" fillId="0" borderId="0" xfId="3" applyNumberFormat="1" applyFont="1" applyAlignment="1">
      <alignment horizontal="right"/>
    </xf>
    <xf numFmtId="169" fontId="53" fillId="3" borderId="0" xfId="3" applyNumberFormat="1" applyFont="1" applyFill="1" applyAlignment="1">
      <alignment horizontal="right"/>
    </xf>
    <xf numFmtId="168" fontId="112" fillId="0" borderId="0" xfId="3" applyNumberFormat="1" applyFont="1" applyAlignment="1">
      <alignment horizontal="right"/>
    </xf>
    <xf numFmtId="169" fontId="94" fillId="3" borderId="0" xfId="3" applyNumberFormat="1" applyFont="1" applyFill="1" applyAlignment="1">
      <alignment horizontal="right"/>
    </xf>
    <xf numFmtId="0" fontId="53" fillId="0" borderId="22" xfId="1" applyFont="1" applyBorder="1" applyAlignment="1">
      <alignment horizontal="left"/>
    </xf>
    <xf numFmtId="0" fontId="53" fillId="0" borderId="23" xfId="1" applyFont="1" applyBorder="1"/>
    <xf numFmtId="0" fontId="53" fillId="0" borderId="24" xfId="1" applyFont="1" applyBorder="1" applyAlignment="1">
      <alignment horizontal="left"/>
    </xf>
    <xf numFmtId="0" fontId="53" fillId="0" borderId="25" xfId="1" applyFont="1" applyBorder="1"/>
    <xf numFmtId="38" fontId="53" fillId="0" borderId="0" xfId="1" applyNumberFormat="1" applyFont="1" applyAlignment="1">
      <alignment horizontal="right"/>
    </xf>
    <xf numFmtId="0" fontId="110" fillId="0" borderId="19" xfId="1" applyFont="1" applyBorder="1"/>
    <xf numFmtId="0" fontId="53" fillId="4" borderId="22" xfId="1" applyFont="1" applyFill="1" applyBorder="1"/>
    <xf numFmtId="9" fontId="53" fillId="0" borderId="0" xfId="394" quotePrefix="1" applyFont="1" applyFill="1" applyBorder="1" applyAlignment="1" applyProtection="1">
      <alignment horizontal="right"/>
    </xf>
    <xf numFmtId="0" fontId="110" fillId="0" borderId="22" xfId="1" applyFont="1" applyBorder="1"/>
    <xf numFmtId="0" fontId="53" fillId="0" borderId="22" xfId="1" applyFont="1" applyBorder="1" applyAlignment="1">
      <alignment horizontal="left" vertical="top"/>
    </xf>
    <xf numFmtId="0" fontId="110" fillId="0" borderId="22" xfId="1" applyFont="1" applyBorder="1" applyAlignment="1">
      <alignment horizontal="left" vertical="top"/>
    </xf>
    <xf numFmtId="0" fontId="110" fillId="0" borderId="24" xfId="1" applyFont="1" applyBorder="1" applyAlignment="1">
      <alignment horizontal="left" vertical="top"/>
    </xf>
    <xf numFmtId="0" fontId="16" fillId="0" borderId="0" xfId="2" applyFill="1" applyAlignment="1" applyProtection="1">
      <alignment horizontal="right"/>
    </xf>
    <xf numFmtId="0" fontId="111" fillId="0" borderId="19" xfId="3" applyFont="1" applyBorder="1" applyAlignment="1">
      <alignment horizontal="right"/>
    </xf>
    <xf numFmtId="174" fontId="94" fillId="0" borderId="22" xfId="3" applyNumberFormat="1" applyFont="1" applyBorder="1" applyAlignment="1">
      <alignment horizontal="right"/>
    </xf>
    <xf numFmtId="174" fontId="94" fillId="0" borderId="24" xfId="3" applyNumberFormat="1" applyFont="1" applyBorder="1" applyAlignment="1">
      <alignment horizontal="right"/>
    </xf>
    <xf numFmtId="172" fontId="94" fillId="0" borderId="0" xfId="394" applyNumberFormat="1" applyFont="1" applyBorder="1" applyAlignment="1" applyProtection="1">
      <alignment horizontal="right"/>
    </xf>
    <xf numFmtId="172" fontId="94" fillId="0" borderId="0" xfId="394" applyNumberFormat="1" applyFont="1" applyAlignment="1" applyProtection="1">
      <alignment horizontal="right"/>
    </xf>
    <xf numFmtId="176" fontId="94" fillId="0" borderId="0" xfId="3" applyNumberFormat="1" applyFont="1" applyAlignment="1">
      <alignment horizontal="right"/>
    </xf>
    <xf numFmtId="0" fontId="115" fillId="0" borderId="0" xfId="3" applyFont="1" applyAlignment="1">
      <alignment horizontal="left"/>
    </xf>
    <xf numFmtId="0" fontId="121" fillId="0" borderId="0" xfId="3" applyFont="1" applyAlignment="1">
      <alignment horizontal="left"/>
    </xf>
    <xf numFmtId="177" fontId="53" fillId="0" borderId="0" xfId="7" applyNumberFormat="1" applyFont="1" applyAlignment="1">
      <alignment shrinkToFit="1"/>
    </xf>
    <xf numFmtId="177" fontId="53" fillId="0" borderId="19" xfId="7" applyNumberFormat="1" applyFont="1" applyBorder="1" applyAlignment="1">
      <alignment shrinkToFit="1"/>
    </xf>
    <xf numFmtId="0" fontId="112" fillId="0" borderId="6" xfId="7" applyNumberFormat="1" applyFont="1" applyBorder="1" applyAlignment="1">
      <alignment shrinkToFit="1"/>
    </xf>
    <xf numFmtId="177" fontId="53" fillId="0" borderId="6" xfId="7" applyNumberFormat="1" applyFont="1" applyBorder="1" applyAlignment="1">
      <alignment shrinkToFit="1"/>
    </xf>
    <xf numFmtId="177" fontId="53" fillId="0" borderId="20" xfId="7" applyNumberFormat="1" applyFont="1" applyBorder="1" applyAlignment="1">
      <alignment shrinkToFit="1"/>
    </xf>
    <xf numFmtId="0" fontId="53" fillId="0" borderId="22" xfId="7" applyNumberFormat="1" applyFont="1" applyBorder="1" applyAlignment="1">
      <alignment shrinkToFit="1"/>
    </xf>
    <xf numFmtId="0" fontId="53" fillId="0" borderId="23" xfId="7" applyNumberFormat="1" applyFont="1" applyBorder="1" applyAlignment="1">
      <alignment shrinkToFit="1"/>
    </xf>
    <xf numFmtId="0" fontId="53" fillId="0" borderId="0" xfId="7" applyNumberFormat="1" applyFont="1" applyAlignment="1">
      <alignment shrinkToFit="1"/>
    </xf>
    <xf numFmtId="0" fontId="110" fillId="0" borderId="0" xfId="7" applyNumberFormat="1" applyFont="1" applyAlignment="1">
      <alignment shrinkToFit="1"/>
    </xf>
    <xf numFmtId="177" fontId="110" fillId="0" borderId="0" xfId="7" applyNumberFormat="1" applyFont="1" applyAlignment="1">
      <alignment shrinkToFit="1"/>
    </xf>
    <xf numFmtId="177" fontId="53" fillId="0" borderId="22" xfId="7" applyNumberFormat="1" applyFont="1" applyBorder="1" applyAlignment="1">
      <alignment shrinkToFit="1"/>
    </xf>
    <xf numFmtId="177" fontId="53" fillId="0" borderId="0" xfId="7" applyNumberFormat="1" applyFont="1" applyAlignment="1">
      <alignment horizontal="left" shrinkToFit="1"/>
    </xf>
    <xf numFmtId="177" fontId="53" fillId="0" borderId="23" xfId="7" applyNumberFormat="1" applyFont="1" applyBorder="1" applyAlignment="1">
      <alignment shrinkToFit="1"/>
    </xf>
    <xf numFmtId="171" fontId="53" fillId="0" borderId="0" xfId="8" applyNumberFormat="1" applyFont="1" applyBorder="1" applyAlignment="1" applyProtection="1">
      <alignment horizontal="right" shrinkToFit="1"/>
    </xf>
    <xf numFmtId="177" fontId="110" fillId="0" borderId="0" xfId="7" applyNumberFormat="1" applyFont="1" applyAlignment="1">
      <alignment horizontal="left" shrinkToFit="1"/>
    </xf>
    <xf numFmtId="0" fontId="53" fillId="0" borderId="0" xfId="7" applyNumberFormat="1" applyFont="1" applyAlignment="1">
      <alignment horizontal="left" shrinkToFit="1"/>
    </xf>
    <xf numFmtId="177" fontId="110" fillId="18" borderId="0" xfId="7" applyNumberFormat="1" applyFont="1" applyFill="1" applyAlignment="1">
      <alignment shrinkToFit="1"/>
    </xf>
    <xf numFmtId="177" fontId="114" fillId="0" borderId="0" xfId="7" applyNumberFormat="1" applyFont="1"/>
    <xf numFmtId="177" fontId="53" fillId="0" borderId="24" xfId="7" applyNumberFormat="1" applyFont="1" applyBorder="1" applyAlignment="1">
      <alignment shrinkToFit="1"/>
    </xf>
    <xf numFmtId="177" fontId="53" fillId="0" borderId="12" xfId="7" applyNumberFormat="1" applyFont="1" applyBorder="1" applyAlignment="1">
      <alignment shrinkToFit="1"/>
    </xf>
    <xf numFmtId="177" fontId="53" fillId="0" borderId="25" xfId="7" applyNumberFormat="1" applyFont="1" applyBorder="1" applyAlignment="1">
      <alignment shrinkToFit="1"/>
    </xf>
    <xf numFmtId="171" fontId="110" fillId="3" borderId="0" xfId="8" applyNumberFormat="1" applyFont="1" applyFill="1" applyBorder="1" applyAlignment="1" applyProtection="1">
      <alignment horizontal="right" shrinkToFit="1"/>
    </xf>
    <xf numFmtId="0" fontId="94" fillId="0" borderId="0" xfId="0" applyFont="1" applyProtection="1">
      <protection locked="0"/>
    </xf>
    <xf numFmtId="0" fontId="122" fillId="0" borderId="0" xfId="0" applyFont="1" applyProtection="1">
      <protection locked="0"/>
    </xf>
    <xf numFmtId="0" fontId="94" fillId="0" borderId="6" xfId="0" applyFont="1" applyBorder="1" applyAlignment="1">
      <alignment horizontal="left"/>
    </xf>
    <xf numFmtId="0" fontId="94" fillId="0" borderId="6" xfId="0" applyFont="1" applyBorder="1" applyAlignment="1">
      <alignment horizontal="right"/>
    </xf>
    <xf numFmtId="0" fontId="53" fillId="4" borderId="19" xfId="1" applyFont="1" applyFill="1" applyBorder="1"/>
    <xf numFmtId="0" fontId="110" fillId="0" borderId="6" xfId="1" applyFont="1" applyBorder="1" applyAlignment="1">
      <alignment horizontal="right"/>
    </xf>
    <xf numFmtId="0" fontId="111" fillId="2" borderId="24" xfId="3" applyFont="1" applyFill="1" applyBorder="1" applyAlignment="1">
      <alignment horizontal="right"/>
    </xf>
    <xf numFmtId="0" fontId="111" fillId="2" borderId="12" xfId="3" applyFont="1" applyFill="1" applyBorder="1" applyAlignment="1">
      <alignment horizontal="right"/>
    </xf>
    <xf numFmtId="0" fontId="111" fillId="0" borderId="12" xfId="3" applyFont="1" applyBorder="1" applyAlignment="1">
      <alignment horizontal="right"/>
    </xf>
    <xf numFmtId="0" fontId="111" fillId="0" borderId="25" xfId="3" applyFont="1" applyBorder="1" applyAlignment="1">
      <alignment horizontal="right"/>
    </xf>
    <xf numFmtId="0" fontId="110" fillId="0" borderId="29" xfId="1" applyFont="1" applyBorder="1" applyAlignment="1">
      <alignment horizontal="left"/>
    </xf>
    <xf numFmtId="0" fontId="53" fillId="0" borderId="5" xfId="1" applyFont="1" applyBorder="1"/>
    <xf numFmtId="0" fontId="111" fillId="0" borderId="24" xfId="3" applyFont="1" applyBorder="1" applyAlignment="1">
      <alignment horizontal="right"/>
    </xf>
    <xf numFmtId="169" fontId="94" fillId="5" borderId="12" xfId="3" applyNumberFormat="1" applyFont="1" applyFill="1" applyBorder="1" applyAlignment="1" applyProtection="1">
      <alignment horizontal="right"/>
      <protection locked="0"/>
    </xf>
    <xf numFmtId="0" fontId="94" fillId="0" borderId="0" xfId="373" applyNumberFormat="1" applyFont="1"/>
    <xf numFmtId="0" fontId="111" fillId="0" borderId="0" xfId="373" applyNumberFormat="1" applyFont="1"/>
    <xf numFmtId="0" fontId="94" fillId="0" borderId="0" xfId="373" applyNumberFormat="1" applyFont="1" applyAlignment="1">
      <alignment horizontal="right"/>
    </xf>
    <xf numFmtId="0" fontId="94" fillId="0" borderId="0" xfId="373" applyNumberFormat="1" applyFont="1" applyAlignment="1">
      <alignment horizontal="left"/>
    </xf>
    <xf numFmtId="0" fontId="94" fillId="0" borderId="0" xfId="373" applyNumberFormat="1" applyFont="1" applyAlignment="1">
      <alignment wrapText="1"/>
    </xf>
    <xf numFmtId="0" fontId="94" fillId="0" borderId="19" xfId="373" applyNumberFormat="1" applyFont="1" applyBorder="1"/>
    <xf numFmtId="0" fontId="94" fillId="0" borderId="6" xfId="373" applyNumberFormat="1" applyFont="1" applyBorder="1" applyAlignment="1">
      <alignment wrapText="1"/>
    </xf>
    <xf numFmtId="176" fontId="53" fillId="0" borderId="20" xfId="1" quotePrefix="1" applyNumberFormat="1" applyFont="1" applyBorder="1" applyAlignment="1">
      <alignment horizontal="right"/>
    </xf>
    <xf numFmtId="0" fontId="94" fillId="0" borderId="22" xfId="373" applyNumberFormat="1" applyFont="1" applyBorder="1"/>
    <xf numFmtId="176" fontId="53" fillId="0" borderId="23" xfId="1" quotePrefix="1" applyNumberFormat="1" applyFont="1" applyBorder="1" applyAlignment="1">
      <alignment horizontal="right"/>
    </xf>
    <xf numFmtId="0" fontId="94" fillId="0" borderId="24" xfId="373" applyNumberFormat="1" applyFont="1" applyBorder="1"/>
    <xf numFmtId="0" fontId="94" fillId="0" borderId="12" xfId="373" applyNumberFormat="1" applyFont="1" applyBorder="1"/>
    <xf numFmtId="0" fontId="94" fillId="0" borderId="12" xfId="373" applyNumberFormat="1" applyFont="1" applyBorder="1" applyAlignment="1">
      <alignment wrapText="1"/>
    </xf>
    <xf numFmtId="168" fontId="94" fillId="0" borderId="25" xfId="373" applyNumberFormat="1" applyFont="1" applyBorder="1" applyAlignment="1">
      <alignment horizontal="right"/>
    </xf>
    <xf numFmtId="0" fontId="94" fillId="0" borderId="24" xfId="3" applyFont="1" applyBorder="1" applyAlignment="1">
      <alignment horizontal="left"/>
    </xf>
    <xf numFmtId="168" fontId="53" fillId="0" borderId="25" xfId="1" quotePrefix="1" applyNumberFormat="1" applyFont="1" applyBorder="1" applyAlignment="1">
      <alignment horizontal="right"/>
    </xf>
    <xf numFmtId="0" fontId="110" fillId="0" borderId="0" xfId="373" applyNumberFormat="1" applyFont="1"/>
    <xf numFmtId="0" fontId="110" fillId="0" borderId="0" xfId="373" applyNumberFormat="1" applyFont="1" applyAlignment="1">
      <alignment horizontal="left"/>
    </xf>
    <xf numFmtId="0" fontId="110" fillId="0" borderId="0" xfId="373" applyNumberFormat="1" applyFont="1" applyAlignment="1">
      <alignment horizontal="right"/>
    </xf>
    <xf numFmtId="0" fontId="110" fillId="0" borderId="0" xfId="373" applyNumberFormat="1" applyFont="1" applyAlignment="1">
      <alignment wrapText="1"/>
    </xf>
    <xf numFmtId="0" fontId="111" fillId="0" borderId="0" xfId="373" applyNumberFormat="1" applyFont="1" applyAlignment="1">
      <alignment horizontal="right"/>
    </xf>
    <xf numFmtId="0" fontId="53" fillId="0" borderId="0" xfId="373" applyNumberFormat="1" applyFont="1" applyAlignment="1">
      <alignment horizontal="left" wrapText="1"/>
    </xf>
    <xf numFmtId="0" fontId="53" fillId="0" borderId="0" xfId="0" applyFont="1"/>
    <xf numFmtId="0" fontId="53" fillId="0" borderId="0" xfId="373" applyNumberFormat="1" applyFont="1"/>
    <xf numFmtId="0" fontId="53" fillId="0" borderId="0" xfId="373" applyNumberFormat="1" applyFont="1" applyAlignment="1">
      <alignment horizontal="left"/>
    </xf>
    <xf numFmtId="173" fontId="53" fillId="0" borderId="0" xfId="373" applyNumberFormat="1" applyFont="1" applyAlignment="1">
      <alignment horizontal="right"/>
    </xf>
    <xf numFmtId="0" fontId="94" fillId="0" borderId="32" xfId="3" applyFont="1" applyBorder="1" applyAlignment="1">
      <alignment horizontal="left" wrapText="1"/>
    </xf>
    <xf numFmtId="0" fontId="94" fillId="0" borderId="37" xfId="3" applyFont="1" applyBorder="1" applyAlignment="1">
      <alignment horizontal="right" wrapText="1"/>
    </xf>
    <xf numFmtId="0" fontId="53" fillId="0" borderId="34" xfId="1" applyFont="1" applyBorder="1" applyAlignment="1">
      <alignment horizontal="right" wrapText="1"/>
    </xf>
    <xf numFmtId="0" fontId="94" fillId="0" borderId="24" xfId="373" applyNumberFormat="1" applyFont="1" applyBorder="1" applyAlignment="1">
      <alignment vertical="center"/>
    </xf>
    <xf numFmtId="0" fontId="94" fillId="0" borderId="12" xfId="373" applyNumberFormat="1" applyFont="1" applyBorder="1" applyAlignment="1">
      <alignment horizontal="left" vertical="center"/>
    </xf>
    <xf numFmtId="0" fontId="94" fillId="0" borderId="12" xfId="373" applyNumberFormat="1" applyFont="1" applyBorder="1" applyAlignment="1">
      <alignment vertical="center" wrapText="1"/>
    </xf>
    <xf numFmtId="174" fontId="53" fillId="0" borderId="12" xfId="1" quotePrefix="1" applyNumberFormat="1" applyFont="1" applyBorder="1" applyAlignment="1">
      <alignment horizontal="right" vertical="center"/>
    </xf>
    <xf numFmtId="168" fontId="53" fillId="0" borderId="12" xfId="1" quotePrefix="1" applyNumberFormat="1" applyFont="1" applyBorder="1" applyAlignment="1">
      <alignment horizontal="right" vertical="center"/>
    </xf>
    <xf numFmtId="0" fontId="94" fillId="0" borderId="25" xfId="373" applyNumberFormat="1" applyFont="1" applyBorder="1" applyAlignment="1">
      <alignment vertical="center"/>
    </xf>
    <xf numFmtId="0" fontId="94" fillId="19" borderId="22" xfId="373" applyNumberFormat="1" applyFont="1" applyFill="1" applyBorder="1" applyAlignment="1">
      <alignment vertical="center"/>
    </xf>
    <xf numFmtId="0" fontId="53" fillId="19" borderId="0" xfId="373" applyNumberFormat="1" applyFont="1" applyFill="1" applyAlignment="1">
      <alignment horizontal="left" vertical="center" wrapText="1"/>
    </xf>
    <xf numFmtId="0" fontId="53" fillId="19" borderId="0" xfId="373" applyNumberFormat="1" applyFont="1" applyFill="1" applyAlignment="1">
      <alignment horizontal="left" vertical="center"/>
    </xf>
    <xf numFmtId="168" fontId="53" fillId="19" borderId="0" xfId="1" quotePrefix="1" applyNumberFormat="1" applyFont="1" applyFill="1" applyAlignment="1">
      <alignment horizontal="right" vertical="center"/>
    </xf>
    <xf numFmtId="0" fontId="53" fillId="19" borderId="23" xfId="373" applyNumberFormat="1" applyFont="1" applyFill="1" applyBorder="1" applyAlignment="1">
      <alignment horizontal="left" vertical="center" wrapText="1"/>
    </xf>
    <xf numFmtId="0" fontId="94" fillId="19" borderId="24" xfId="373" applyNumberFormat="1" applyFont="1" applyFill="1" applyBorder="1" applyAlignment="1">
      <alignment vertical="center"/>
    </xf>
    <xf numFmtId="0" fontId="53" fillId="19" borderId="12" xfId="373" applyNumberFormat="1" applyFont="1" applyFill="1" applyBorder="1" applyAlignment="1">
      <alignment horizontal="left" vertical="center" wrapText="1"/>
    </xf>
    <xf numFmtId="0" fontId="53" fillId="19" borderId="12" xfId="373" applyNumberFormat="1" applyFont="1" applyFill="1" applyBorder="1" applyAlignment="1">
      <alignment horizontal="left" vertical="center"/>
    </xf>
    <xf numFmtId="168" fontId="53" fillId="19" borderId="12" xfId="1" quotePrefix="1" applyNumberFormat="1" applyFont="1" applyFill="1" applyBorder="1" applyAlignment="1">
      <alignment horizontal="right" vertical="center"/>
    </xf>
    <xf numFmtId="0" fontId="53" fillId="19" borderId="25" xfId="373" applyNumberFormat="1" applyFont="1" applyFill="1" applyBorder="1" applyAlignment="1">
      <alignment horizontal="left" vertical="center" wrapText="1"/>
    </xf>
    <xf numFmtId="0" fontId="94" fillId="0" borderId="29" xfId="373" applyNumberFormat="1" applyFont="1" applyBorder="1" applyAlignment="1">
      <alignment vertical="center"/>
    </xf>
    <xf numFmtId="0" fontId="53" fillId="0" borderId="5" xfId="0" applyFont="1" applyBorder="1" applyAlignment="1" applyProtection="1">
      <alignment vertical="center"/>
      <protection locked="0"/>
    </xf>
    <xf numFmtId="0" fontId="53" fillId="0" borderId="5" xfId="373" applyNumberFormat="1" applyFont="1" applyBorder="1" applyAlignment="1">
      <alignment horizontal="left" vertical="center" wrapText="1"/>
    </xf>
    <xf numFmtId="0" fontId="53" fillId="0" borderId="5" xfId="373" applyNumberFormat="1" applyFont="1" applyBorder="1" applyAlignment="1">
      <alignment horizontal="left" vertical="center"/>
    </xf>
    <xf numFmtId="168" fontId="53" fillId="0" borderId="5" xfId="1" quotePrefix="1" applyNumberFormat="1" applyFont="1" applyBorder="1" applyAlignment="1">
      <alignment horizontal="right" vertical="center"/>
    </xf>
    <xf numFmtId="0" fontId="53" fillId="0" borderId="30" xfId="373" applyNumberFormat="1" applyFont="1" applyBorder="1" applyAlignment="1">
      <alignment horizontal="left" vertical="center" wrapText="1"/>
    </xf>
    <xf numFmtId="0" fontId="94" fillId="0" borderId="6" xfId="373" applyNumberFormat="1" applyFont="1" applyBorder="1"/>
    <xf numFmtId="0" fontId="112" fillId="0" borderId="6" xfId="373" applyNumberFormat="1" applyFont="1" applyBorder="1" applyAlignment="1">
      <alignment horizontal="left" wrapText="1"/>
    </xf>
    <xf numFmtId="0" fontId="112" fillId="0" borderId="6" xfId="373" applyNumberFormat="1" applyFont="1" applyBorder="1" applyAlignment="1">
      <alignment horizontal="left"/>
    </xf>
    <xf numFmtId="0" fontId="112" fillId="0" borderId="6" xfId="1" applyFont="1" applyBorder="1" applyAlignment="1">
      <alignment horizontal="right"/>
    </xf>
    <xf numFmtId="0" fontId="112" fillId="0" borderId="6" xfId="373" applyNumberFormat="1" applyFont="1" applyBorder="1" applyAlignment="1">
      <alignment horizontal="right"/>
    </xf>
    <xf numFmtId="0" fontId="112" fillId="0" borderId="20" xfId="373" applyNumberFormat="1" applyFont="1" applyBorder="1" applyAlignment="1">
      <alignment horizontal="left"/>
    </xf>
    <xf numFmtId="0" fontId="110" fillId="0" borderId="23" xfId="373" applyNumberFormat="1" applyFont="1" applyBorder="1" applyAlignment="1">
      <alignment wrapText="1"/>
    </xf>
    <xf numFmtId="0" fontId="53" fillId="5" borderId="0" xfId="0" applyFont="1" applyFill="1" applyAlignment="1" applyProtection="1">
      <alignment vertical="center"/>
      <protection locked="0"/>
    </xf>
    <xf numFmtId="0" fontId="53" fillId="5" borderId="12" xfId="0" applyFont="1" applyFill="1" applyBorder="1" applyAlignment="1" applyProtection="1">
      <alignment vertical="center"/>
      <protection locked="0"/>
    </xf>
    <xf numFmtId="0" fontId="53" fillId="2" borderId="0" xfId="1" applyFont="1" applyFill="1" applyAlignment="1" applyProtection="1">
      <alignment horizontal="right"/>
      <protection locked="0"/>
    </xf>
    <xf numFmtId="0" fontId="53" fillId="0" borderId="0" xfId="1" applyFont="1" applyAlignment="1" applyProtection="1">
      <alignment horizontal="right"/>
      <protection locked="0"/>
    </xf>
    <xf numFmtId="9" fontId="53" fillId="0" borderId="0" xfId="5" applyFont="1" applyBorder="1" applyAlignment="1" applyProtection="1">
      <alignment shrinkToFit="1"/>
    </xf>
    <xf numFmtId="177" fontId="53" fillId="0" borderId="12" xfId="7" applyNumberFormat="1" applyFont="1" applyBorder="1" applyAlignment="1">
      <alignment horizontal="left" shrinkToFit="1"/>
    </xf>
    <xf numFmtId="178" fontId="53" fillId="0" borderId="12" xfId="8" applyNumberFormat="1" applyFont="1" applyBorder="1" applyAlignment="1" applyProtection="1">
      <alignment horizontal="right" shrinkToFit="1"/>
    </xf>
    <xf numFmtId="0" fontId="123" fillId="0" borderId="6" xfId="0" applyFont="1" applyBorder="1" applyAlignment="1">
      <alignment wrapText="1"/>
    </xf>
    <xf numFmtId="177" fontId="114" fillId="0" borderId="12" xfId="7" applyNumberFormat="1" applyFont="1" applyBorder="1" applyAlignment="1">
      <alignment shrinkToFit="1"/>
    </xf>
    <xf numFmtId="177" fontId="53" fillId="0" borderId="2" xfId="7" applyNumberFormat="1" applyFont="1" applyBorder="1" applyAlignment="1">
      <alignment shrinkToFit="1"/>
    </xf>
    <xf numFmtId="172" fontId="94" fillId="2" borderId="0" xfId="394" applyNumberFormat="1" applyFont="1" applyFill="1" applyBorder="1" applyAlignment="1">
      <alignment horizontal="right"/>
    </xf>
    <xf numFmtId="172" fontId="94" fillId="5" borderId="0" xfId="394" applyNumberFormat="1" applyFont="1" applyFill="1" applyBorder="1" applyAlignment="1">
      <alignment horizontal="right"/>
    </xf>
    <xf numFmtId="172" fontId="94" fillId="2" borderId="2" xfId="394" applyNumberFormat="1" applyFont="1" applyFill="1" applyBorder="1" applyAlignment="1">
      <alignment horizontal="right"/>
    </xf>
    <xf numFmtId="237" fontId="53" fillId="2" borderId="0" xfId="1" quotePrefix="1" applyNumberFormat="1" applyFont="1" applyFill="1" applyAlignment="1">
      <alignment horizontal="right"/>
    </xf>
    <xf numFmtId="172" fontId="94" fillId="18" borderId="0" xfId="394" applyNumberFormat="1" applyFont="1" applyFill="1" applyBorder="1" applyAlignment="1">
      <alignment horizontal="right"/>
    </xf>
    <xf numFmtId="172" fontId="94" fillId="18" borderId="6" xfId="394" applyNumberFormat="1" applyFont="1" applyFill="1" applyBorder="1" applyAlignment="1">
      <alignment horizontal="right"/>
    </xf>
    <xf numFmtId="172" fontId="94" fillId="18" borderId="12" xfId="394" applyNumberFormat="1" applyFont="1" applyFill="1" applyBorder="1" applyAlignment="1">
      <alignment horizontal="right"/>
    </xf>
    <xf numFmtId="237" fontId="53" fillId="0" borderId="0" xfId="1" quotePrefix="1" applyNumberFormat="1" applyFont="1" applyAlignment="1">
      <alignment horizontal="right"/>
    </xf>
    <xf numFmtId="172" fontId="94" fillId="0" borderId="6" xfId="394" applyNumberFormat="1" applyFont="1" applyFill="1" applyBorder="1" applyAlignment="1">
      <alignment horizontal="right"/>
    </xf>
    <xf numFmtId="172" fontId="94" fillId="0" borderId="20" xfId="394" applyNumberFormat="1" applyFont="1" applyFill="1" applyBorder="1" applyAlignment="1">
      <alignment horizontal="right"/>
    </xf>
    <xf numFmtId="172" fontId="94" fillId="0" borderId="0" xfId="394" applyNumberFormat="1" applyFont="1" applyFill="1" applyBorder="1" applyAlignment="1">
      <alignment horizontal="right"/>
    </xf>
    <xf numFmtId="172" fontId="94" fillId="0" borderId="23" xfId="394" applyNumberFormat="1" applyFont="1" applyFill="1" applyBorder="1" applyAlignment="1">
      <alignment horizontal="right"/>
    </xf>
    <xf numFmtId="172" fontId="94" fillId="0" borderId="2" xfId="394" applyNumberFormat="1" applyFont="1" applyFill="1" applyBorder="1" applyAlignment="1">
      <alignment horizontal="right"/>
    </xf>
    <xf numFmtId="172" fontId="94" fillId="0" borderId="12" xfId="394" applyNumberFormat="1" applyFont="1" applyFill="1" applyBorder="1" applyAlignment="1">
      <alignment horizontal="right"/>
    </xf>
    <xf numFmtId="172" fontId="94" fillId="0" borderId="25" xfId="394" applyNumberFormat="1" applyFont="1" applyFill="1" applyBorder="1" applyAlignment="1">
      <alignment horizontal="right"/>
    </xf>
    <xf numFmtId="237" fontId="53" fillId="0" borderId="6" xfId="1" quotePrefix="1" applyNumberFormat="1" applyFont="1" applyBorder="1" applyAlignment="1">
      <alignment horizontal="right"/>
    </xf>
    <xf numFmtId="237" fontId="53" fillId="0" borderId="20" xfId="1" quotePrefix="1" applyNumberFormat="1" applyFont="1" applyBorder="1" applyAlignment="1">
      <alignment horizontal="right"/>
    </xf>
    <xf numFmtId="237" fontId="53" fillId="0" borderId="23" xfId="1" quotePrefix="1" applyNumberFormat="1" applyFont="1" applyBorder="1" applyAlignment="1">
      <alignment horizontal="right"/>
    </xf>
    <xf numFmtId="235" fontId="53" fillId="0" borderId="2" xfId="1" quotePrefix="1" applyNumberFormat="1" applyFont="1" applyBorder="1" applyAlignment="1">
      <alignment horizontal="right"/>
    </xf>
    <xf numFmtId="237" fontId="53" fillId="0" borderId="12" xfId="1" quotePrefix="1" applyNumberFormat="1" applyFont="1" applyBorder="1" applyAlignment="1">
      <alignment horizontal="right"/>
    </xf>
    <xf numFmtId="237" fontId="53" fillId="0" borderId="19" xfId="1" quotePrefix="1" applyNumberFormat="1" applyFont="1" applyBorder="1" applyAlignment="1">
      <alignment horizontal="right"/>
    </xf>
    <xf numFmtId="237" fontId="53" fillId="0" borderId="22" xfId="1" quotePrefix="1" applyNumberFormat="1" applyFont="1" applyBorder="1" applyAlignment="1">
      <alignment horizontal="right"/>
    </xf>
    <xf numFmtId="237" fontId="53" fillId="0" borderId="24" xfId="1" quotePrefix="1" applyNumberFormat="1" applyFont="1" applyBorder="1" applyAlignment="1">
      <alignment horizontal="right"/>
    </xf>
    <xf numFmtId="237" fontId="53" fillId="0" borderId="25" xfId="1" quotePrefix="1" applyNumberFormat="1" applyFont="1" applyBorder="1" applyAlignment="1">
      <alignment horizontal="right"/>
    </xf>
    <xf numFmtId="237" fontId="53" fillId="5" borderId="0" xfId="1" quotePrefix="1" applyNumberFormat="1" applyFont="1" applyFill="1" applyAlignment="1">
      <alignment horizontal="right"/>
    </xf>
    <xf numFmtId="3" fontId="53" fillId="0" borderId="0" xfId="1" quotePrefix="1" applyNumberFormat="1" applyFont="1" applyAlignment="1">
      <alignment horizontal="right"/>
    </xf>
    <xf numFmtId="172" fontId="94" fillId="17" borderId="0" xfId="394" applyNumberFormat="1" applyFont="1" applyFill="1" applyBorder="1" applyAlignment="1">
      <alignment horizontal="right"/>
    </xf>
    <xf numFmtId="237" fontId="113" fillId="0" borderId="0" xfId="3" applyNumberFormat="1" applyFont="1" applyAlignment="1">
      <alignment horizontal="right"/>
    </xf>
    <xf numFmtId="3" fontId="110" fillId="17" borderId="0" xfId="1" quotePrefix="1" applyNumberFormat="1" applyFont="1" applyFill="1" applyAlignment="1">
      <alignment horizontal="right"/>
    </xf>
    <xf numFmtId="3" fontId="110" fillId="17" borderId="23" xfId="1" quotePrefix="1" applyNumberFormat="1" applyFont="1" applyFill="1" applyBorder="1" applyAlignment="1">
      <alignment horizontal="right"/>
    </xf>
    <xf numFmtId="0" fontId="112" fillId="0" borderId="0" xfId="1" applyFont="1" applyAlignment="1">
      <alignment horizontal="right"/>
    </xf>
    <xf numFmtId="0" fontId="120" fillId="0" borderId="2" xfId="3" applyFont="1" applyBorder="1"/>
    <xf numFmtId="3" fontId="53" fillId="0" borderId="23" xfId="1" quotePrefix="1" applyNumberFormat="1" applyFont="1" applyBorder="1" applyAlignment="1">
      <alignment horizontal="right"/>
    </xf>
    <xf numFmtId="9" fontId="114" fillId="0" borderId="0" xfId="394" quotePrefix="1" applyFont="1" applyFill="1" applyBorder="1" applyAlignment="1" applyProtection="1">
      <alignment horizontal="right"/>
    </xf>
    <xf numFmtId="9" fontId="114" fillId="0" borderId="23" xfId="394" quotePrefix="1" applyFont="1" applyFill="1" applyBorder="1" applyAlignment="1" applyProtection="1">
      <alignment horizontal="right"/>
    </xf>
    <xf numFmtId="172" fontId="94" fillId="17" borderId="29" xfId="394" applyNumberFormat="1" applyFont="1" applyFill="1" applyBorder="1" applyAlignment="1">
      <alignment horizontal="right"/>
    </xf>
    <xf numFmtId="172" fontId="94" fillId="17" borderId="5" xfId="394" applyNumberFormat="1" applyFont="1" applyFill="1" applyBorder="1" applyAlignment="1">
      <alignment horizontal="right"/>
    </xf>
    <xf numFmtId="172" fontId="94" fillId="17" borderId="30" xfId="394" applyNumberFormat="1" applyFont="1" applyFill="1" applyBorder="1" applyAlignment="1">
      <alignment horizontal="right"/>
    </xf>
    <xf numFmtId="172" fontId="94" fillId="17" borderId="19" xfId="394" applyNumberFormat="1" applyFont="1" applyFill="1" applyBorder="1" applyAlignment="1">
      <alignment horizontal="right"/>
    </xf>
    <xf numFmtId="172" fontId="94" fillId="17" borderId="6" xfId="394" applyNumberFormat="1" applyFont="1" applyFill="1" applyBorder="1" applyAlignment="1">
      <alignment horizontal="right"/>
    </xf>
    <xf numFmtId="172" fontId="94" fillId="17" borderId="20" xfId="394" applyNumberFormat="1" applyFont="1" applyFill="1" applyBorder="1" applyAlignment="1">
      <alignment horizontal="right"/>
    </xf>
    <xf numFmtId="172" fontId="94" fillId="17" borderId="24" xfId="394" applyNumberFormat="1" applyFont="1" applyFill="1" applyBorder="1" applyAlignment="1">
      <alignment horizontal="right"/>
    </xf>
    <xf numFmtId="172" fontId="94" fillId="17" borderId="12" xfId="394" applyNumberFormat="1" applyFont="1" applyFill="1" applyBorder="1" applyAlignment="1">
      <alignment horizontal="right"/>
    </xf>
    <xf numFmtId="172" fontId="94" fillId="17" borderId="25" xfId="394" applyNumberFormat="1" applyFont="1" applyFill="1" applyBorder="1" applyAlignment="1">
      <alignment horizontal="right"/>
    </xf>
    <xf numFmtId="0" fontId="94" fillId="0" borderId="0" xfId="0" applyFont="1" applyAlignment="1" applyProtection="1">
      <alignment horizontal="left"/>
      <protection locked="0"/>
    </xf>
    <xf numFmtId="3" fontId="53" fillId="19" borderId="0" xfId="1" quotePrefix="1" applyNumberFormat="1" applyFont="1" applyFill="1" applyAlignment="1" applyProtection="1">
      <alignment horizontal="right"/>
      <protection locked="0"/>
    </xf>
    <xf numFmtId="3" fontId="53" fillId="19" borderId="0" xfId="1" quotePrefix="1" applyNumberFormat="1" applyFont="1" applyFill="1" applyAlignment="1">
      <alignment horizontal="right"/>
    </xf>
    <xf numFmtId="3" fontId="110" fillId="19" borderId="0" xfId="1" quotePrefix="1" applyNumberFormat="1" applyFont="1" applyFill="1" applyAlignment="1" applyProtection="1">
      <alignment horizontal="right"/>
      <protection locked="0"/>
    </xf>
    <xf numFmtId="175" fontId="53" fillId="0" borderId="0" xfId="3" applyNumberFormat="1" applyFont="1" applyAlignment="1">
      <alignment horizontal="right"/>
    </xf>
    <xf numFmtId="3" fontId="53" fillId="19" borderId="2" xfId="1" quotePrefix="1" applyNumberFormat="1" applyFont="1" applyFill="1" applyBorder="1" applyAlignment="1" applyProtection="1">
      <alignment horizontal="right"/>
      <protection locked="0"/>
    </xf>
    <xf numFmtId="3" fontId="53" fillId="19" borderId="2" xfId="1" quotePrefix="1" applyNumberFormat="1" applyFont="1" applyFill="1" applyBorder="1" applyAlignment="1">
      <alignment horizontal="right"/>
    </xf>
    <xf numFmtId="0" fontId="94" fillId="0" borderId="2" xfId="3" applyFont="1" applyBorder="1" applyAlignment="1">
      <alignment horizontal="right"/>
    </xf>
    <xf numFmtId="174" fontId="53" fillId="0" borderId="0" xfId="1" applyNumberFormat="1" applyFont="1" applyAlignment="1">
      <alignment horizontal="right"/>
    </xf>
    <xf numFmtId="174" fontId="53" fillId="0" borderId="2" xfId="1" applyNumberFormat="1" applyFont="1" applyBorder="1" applyAlignment="1">
      <alignment horizontal="right"/>
    </xf>
    <xf numFmtId="169" fontId="94" fillId="0" borderId="0" xfId="6" applyNumberFormat="1" applyFont="1" applyFill="1" applyAlignment="1">
      <alignment horizontal="right"/>
    </xf>
    <xf numFmtId="236" fontId="94" fillId="0" borderId="0" xfId="6" applyNumberFormat="1" applyFont="1" applyFill="1" applyAlignment="1">
      <alignment horizontal="right"/>
    </xf>
    <xf numFmtId="0" fontId="53" fillId="0" borderId="2" xfId="1" applyFont="1" applyBorder="1" applyAlignment="1">
      <alignment horizontal="right"/>
    </xf>
    <xf numFmtId="0" fontId="111" fillId="0" borderId="6" xfId="3" applyFont="1" applyBorder="1"/>
    <xf numFmtId="0" fontId="111" fillId="0" borderId="20" xfId="3" applyFont="1" applyBorder="1"/>
    <xf numFmtId="1" fontId="110" fillId="0" borderId="19" xfId="1" applyNumberFormat="1" applyFont="1" applyBorder="1"/>
    <xf numFmtId="1" fontId="110" fillId="0" borderId="6" xfId="1" applyNumberFormat="1" applyFont="1" applyBorder="1"/>
    <xf numFmtId="1" fontId="110" fillId="0" borderId="0" xfId="1" applyNumberFormat="1" applyFont="1" applyAlignment="1">
      <alignment horizontal="right"/>
    </xf>
    <xf numFmtId="3" fontId="94" fillId="19" borderId="0" xfId="3" applyNumberFormat="1" applyFont="1" applyFill="1" applyAlignment="1" applyProtection="1">
      <alignment horizontal="right"/>
      <protection locked="0"/>
    </xf>
    <xf numFmtId="3" fontId="53" fillId="19" borderId="0" xfId="1" applyNumberFormat="1" applyFont="1" applyFill="1" applyAlignment="1" applyProtection="1">
      <alignment horizontal="right"/>
      <protection locked="0"/>
    </xf>
    <xf numFmtId="38" fontId="53" fillId="2" borderId="0" xfId="1" applyNumberFormat="1" applyFont="1" applyFill="1" applyAlignment="1">
      <alignment horizontal="right"/>
    </xf>
    <xf numFmtId="169" fontId="94" fillId="2" borderId="0" xfId="6" applyNumberFormat="1" applyFont="1" applyFill="1" applyAlignment="1">
      <alignment horizontal="right"/>
    </xf>
    <xf numFmtId="236" fontId="94" fillId="2" borderId="0" xfId="6" applyNumberFormat="1" applyFont="1" applyFill="1" applyAlignment="1">
      <alignment horizontal="right"/>
    </xf>
    <xf numFmtId="0" fontId="53" fillId="2" borderId="0" xfId="1" applyFont="1" applyFill="1" applyAlignment="1">
      <alignment horizontal="right"/>
    </xf>
    <xf numFmtId="0" fontId="53" fillId="2" borderId="2" xfId="1" applyFont="1" applyFill="1" applyBorder="1" applyAlignment="1">
      <alignment horizontal="right"/>
    </xf>
    <xf numFmtId="169" fontId="94" fillId="2" borderId="0" xfId="3" applyNumberFormat="1" applyFont="1" applyFill="1" applyAlignment="1">
      <alignment horizontal="right"/>
    </xf>
    <xf numFmtId="0" fontId="94" fillId="2" borderId="2" xfId="3" applyFont="1" applyFill="1" applyBorder="1" applyAlignment="1">
      <alignment horizontal="right"/>
    </xf>
    <xf numFmtId="177" fontId="53" fillId="0" borderId="0" xfId="7" applyNumberFormat="1" applyFont="1" applyAlignment="1">
      <alignment horizontal="right" shrinkToFit="1"/>
    </xf>
    <xf numFmtId="3" fontId="53" fillId="0" borderId="0" xfId="7" applyNumberFormat="1" applyFont="1" applyAlignment="1">
      <alignment shrinkToFit="1"/>
    </xf>
    <xf numFmtId="237" fontId="53" fillId="19" borderId="0" xfId="1" quotePrefix="1" applyNumberFormat="1" applyFont="1" applyFill="1" applyAlignment="1" applyProtection="1">
      <alignment horizontal="right"/>
      <protection locked="0"/>
    </xf>
    <xf numFmtId="237" fontId="53" fillId="19" borderId="23" xfId="1" quotePrefix="1" applyNumberFormat="1" applyFont="1" applyFill="1" applyBorder="1" applyAlignment="1" applyProtection="1">
      <alignment horizontal="right"/>
      <protection locked="0"/>
    </xf>
    <xf numFmtId="237" fontId="94" fillId="19" borderId="0" xfId="3" applyNumberFormat="1" applyFont="1" applyFill="1" applyAlignment="1" applyProtection="1">
      <alignment horizontal="right"/>
      <protection locked="0"/>
    </xf>
    <xf numFmtId="237" fontId="94" fillId="19" borderId="23" xfId="3" applyNumberFormat="1" applyFont="1" applyFill="1" applyBorder="1" applyAlignment="1" applyProtection="1">
      <alignment horizontal="right"/>
      <protection locked="0"/>
    </xf>
    <xf numFmtId="237" fontId="110" fillId="19" borderId="0" xfId="1" quotePrefix="1" applyNumberFormat="1" applyFont="1" applyFill="1" applyAlignment="1" applyProtection="1">
      <alignment horizontal="right"/>
      <protection locked="0"/>
    </xf>
    <xf numFmtId="237" fontId="110" fillId="19" borderId="12" xfId="1" quotePrefix="1" applyNumberFormat="1" applyFont="1" applyFill="1" applyBorder="1" applyAlignment="1" applyProtection="1">
      <alignment horizontal="right"/>
      <protection locked="0"/>
    </xf>
    <xf numFmtId="237" fontId="94" fillId="19" borderId="25" xfId="3" applyNumberFormat="1" applyFont="1" applyFill="1" applyBorder="1" applyAlignment="1" applyProtection="1">
      <alignment horizontal="right"/>
      <protection locked="0"/>
    </xf>
    <xf numFmtId="0" fontId="53" fillId="0" borderId="0" xfId="430" applyFont="1"/>
    <xf numFmtId="0" fontId="110" fillId="0" borderId="0" xfId="430" applyFont="1" applyAlignment="1">
      <alignment horizontal="right"/>
    </xf>
    <xf numFmtId="172" fontId="53" fillId="0" borderId="0" xfId="394" applyNumberFormat="1" applyFont="1" applyFill="1" applyBorder="1" applyAlignment="1">
      <alignment horizontal="right"/>
    </xf>
    <xf numFmtId="0" fontId="53" fillId="0" borderId="0" xfId="430" applyFont="1" applyAlignment="1">
      <alignment horizontal="right"/>
    </xf>
    <xf numFmtId="2" fontId="53" fillId="0" borderId="0" xfId="430" applyNumberFormat="1" applyFont="1"/>
    <xf numFmtId="0" fontId="94" fillId="5" borderId="0" xfId="3" applyFont="1" applyFill="1"/>
    <xf numFmtId="0" fontId="53" fillId="5" borderId="0" xfId="1" applyFont="1" applyFill="1" applyAlignment="1">
      <alignment horizontal="left"/>
    </xf>
    <xf numFmtId="3" fontId="53" fillId="0" borderId="12" xfId="1" quotePrefix="1" applyNumberFormat="1" applyFont="1" applyBorder="1" applyAlignment="1">
      <alignment horizontal="right"/>
    </xf>
    <xf numFmtId="177" fontId="112" fillId="0" borderId="0" xfId="7" applyNumberFormat="1" applyFont="1" applyAlignment="1">
      <alignment horizontal="right" shrinkToFit="1"/>
    </xf>
    <xf numFmtId="0" fontId="112" fillId="0" borderId="0" xfId="7" applyNumberFormat="1" applyFont="1" applyAlignment="1">
      <alignment horizontal="right" shrinkToFit="1"/>
    </xf>
    <xf numFmtId="0" fontId="125" fillId="0" borderId="0" xfId="1" applyFont="1" applyAlignment="1">
      <alignment horizontal="left" indent="1"/>
    </xf>
    <xf numFmtId="172" fontId="125" fillId="2" borderId="0" xfId="394" applyNumberFormat="1" applyFont="1" applyFill="1" applyBorder="1" applyAlignment="1">
      <alignment horizontal="right"/>
    </xf>
    <xf numFmtId="172" fontId="125" fillId="5" borderId="0" xfId="394" applyNumberFormat="1" applyFont="1" applyFill="1" applyBorder="1" applyAlignment="1">
      <alignment horizontal="right"/>
    </xf>
    <xf numFmtId="3" fontId="53" fillId="0" borderId="0" xfId="1" quotePrefix="1" applyNumberFormat="1" applyFont="1" applyAlignment="1" applyProtection="1">
      <alignment horizontal="right"/>
      <protection locked="0"/>
    </xf>
    <xf numFmtId="3" fontId="110" fillId="0" borderId="0" xfId="1" quotePrefix="1" applyNumberFormat="1" applyFont="1" applyAlignment="1" applyProtection="1">
      <alignment horizontal="right"/>
      <protection locked="0"/>
    </xf>
    <xf numFmtId="172" fontId="94" fillId="0" borderId="0" xfId="394" applyNumberFormat="1" applyFont="1" applyFill="1" applyAlignment="1">
      <alignment horizontal="right"/>
    </xf>
    <xf numFmtId="38" fontId="53" fillId="2" borderId="0" xfId="1" quotePrefix="1" applyNumberFormat="1" applyFont="1" applyFill="1" applyAlignment="1">
      <alignment horizontal="right"/>
    </xf>
    <xf numFmtId="172" fontId="113" fillId="2" borderId="0" xfId="394" applyNumberFormat="1" applyFont="1" applyFill="1" applyAlignment="1">
      <alignment horizontal="right"/>
    </xf>
    <xf numFmtId="172" fontId="113" fillId="0" borderId="0" xfId="394" applyNumberFormat="1" applyFont="1" applyFill="1" applyAlignment="1">
      <alignment horizontal="right"/>
    </xf>
    <xf numFmtId="172" fontId="111" fillId="2" borderId="0" xfId="394" applyNumberFormat="1" applyFont="1" applyFill="1" applyAlignment="1">
      <alignment horizontal="right"/>
    </xf>
    <xf numFmtId="172" fontId="111" fillId="0" borderId="0" xfId="394" applyNumberFormat="1" applyFont="1" applyFill="1" applyAlignment="1">
      <alignment horizontal="right"/>
    </xf>
    <xf numFmtId="172" fontId="53" fillId="2" borderId="0" xfId="1" applyNumberFormat="1" applyFont="1" applyFill="1" applyAlignment="1">
      <alignment horizontal="right"/>
    </xf>
    <xf numFmtId="172" fontId="53" fillId="0" borderId="0" xfId="1" applyNumberFormat="1" applyFont="1" applyAlignment="1">
      <alignment horizontal="right"/>
    </xf>
    <xf numFmtId="172" fontId="53" fillId="2" borderId="2" xfId="1" applyNumberFormat="1" applyFont="1" applyFill="1" applyBorder="1" applyAlignment="1">
      <alignment horizontal="right"/>
    </xf>
    <xf numFmtId="172" fontId="53" fillId="0" borderId="2" xfId="1" applyNumberFormat="1" applyFont="1" applyBorder="1" applyAlignment="1">
      <alignment horizontal="right"/>
    </xf>
    <xf numFmtId="172" fontId="94" fillId="2" borderId="0" xfId="394" applyNumberFormat="1" applyFont="1" applyFill="1" applyAlignment="1">
      <alignment horizontal="right"/>
    </xf>
    <xf numFmtId="3" fontId="53" fillId="2" borderId="0" xfId="1" quotePrefix="1" applyNumberFormat="1" applyFont="1" applyFill="1" applyAlignment="1">
      <alignment horizontal="right"/>
    </xf>
    <xf numFmtId="1" fontId="111" fillId="0" borderId="2" xfId="3" applyNumberFormat="1" applyFont="1" applyBorder="1" applyAlignment="1">
      <alignment horizontal="right"/>
    </xf>
    <xf numFmtId="0" fontId="126" fillId="0" borderId="0" xfId="1" applyFont="1" applyAlignment="1">
      <alignment horizontal="left" vertical="top"/>
    </xf>
    <xf numFmtId="3" fontId="126" fillId="19" borderId="0" xfId="1" quotePrefix="1" applyNumberFormat="1" applyFont="1" applyFill="1" applyAlignment="1" applyProtection="1">
      <alignment horizontal="right"/>
      <protection locked="0"/>
    </xf>
    <xf numFmtId="0" fontId="110" fillId="4" borderId="0" xfId="1" applyFont="1" applyFill="1"/>
    <xf numFmtId="0" fontId="127" fillId="0" borderId="0" xfId="1" applyFont="1" applyAlignment="1">
      <alignment horizontal="left" vertical="top"/>
    </xf>
    <xf numFmtId="3" fontId="126" fillId="19" borderId="0" xfId="1" quotePrefix="1" applyNumberFormat="1" applyFont="1" applyFill="1" applyAlignment="1">
      <alignment horizontal="right"/>
    </xf>
    <xf numFmtId="3" fontId="126" fillId="0" borderId="0" xfId="1" quotePrefix="1" applyNumberFormat="1" applyFont="1" applyAlignment="1" applyProtection="1">
      <alignment horizontal="right"/>
      <protection locked="0"/>
    </xf>
    <xf numFmtId="0" fontId="126" fillId="0" borderId="0" xfId="1" applyFont="1"/>
    <xf numFmtId="3" fontId="110" fillId="0" borderId="0" xfId="1" quotePrefix="1" applyNumberFormat="1" applyFont="1" applyAlignment="1">
      <alignment horizontal="right"/>
    </xf>
    <xf numFmtId="9" fontId="94" fillId="0" borderId="0" xfId="6" applyFont="1" applyFill="1" applyBorder="1" applyProtection="1"/>
    <xf numFmtId="0" fontId="94" fillId="0" borderId="0" xfId="0" applyFont="1" applyAlignment="1" applyProtection="1">
      <alignment horizontal="center"/>
      <protection locked="0"/>
    </xf>
    <xf numFmtId="177" fontId="110" fillId="0" borderId="0" xfId="7" applyNumberFormat="1" applyFont="1" applyAlignment="1">
      <alignment horizontal="center" shrinkToFit="1"/>
    </xf>
    <xf numFmtId="3" fontId="53" fillId="18" borderId="0" xfId="1" quotePrefix="1" applyNumberFormat="1" applyFont="1" applyFill="1" applyAlignment="1">
      <alignment horizontal="right"/>
    </xf>
    <xf numFmtId="3" fontId="53" fillId="0" borderId="2" xfId="1" quotePrefix="1" applyNumberFormat="1" applyFont="1" applyBorder="1" applyAlignment="1">
      <alignment horizontal="right"/>
    </xf>
    <xf numFmtId="0" fontId="53" fillId="20" borderId="0" xfId="1" applyFont="1" applyFill="1"/>
    <xf numFmtId="3" fontId="114" fillId="0" borderId="0" xfId="1" quotePrefix="1" applyNumberFormat="1" applyFont="1" applyAlignment="1">
      <alignment horizontal="right"/>
    </xf>
    <xf numFmtId="3" fontId="114" fillId="0" borderId="23" xfId="1" quotePrefix="1" applyNumberFormat="1" applyFont="1" applyBorder="1" applyAlignment="1">
      <alignment horizontal="right"/>
    </xf>
    <xf numFmtId="3" fontId="110" fillId="0" borderId="23" xfId="1" quotePrefix="1" applyNumberFormat="1" applyFont="1" applyBorder="1" applyAlignment="1">
      <alignment horizontal="right"/>
    </xf>
    <xf numFmtId="3" fontId="110" fillId="18" borderId="0" xfId="1" quotePrefix="1" applyNumberFormat="1" applyFont="1" applyFill="1" applyAlignment="1">
      <alignment horizontal="right"/>
    </xf>
    <xf numFmtId="3" fontId="114" fillId="18" borderId="2" xfId="1" quotePrefix="1" applyNumberFormat="1" applyFont="1" applyFill="1" applyBorder="1" applyAlignment="1">
      <alignment horizontal="right"/>
    </xf>
    <xf numFmtId="3" fontId="114" fillId="0" borderId="2" xfId="1" quotePrefix="1" applyNumberFormat="1" applyFont="1" applyBorder="1" applyAlignment="1">
      <alignment horizontal="right"/>
    </xf>
    <xf numFmtId="38" fontId="53" fillId="0" borderId="0" xfId="1" quotePrefix="1" applyNumberFormat="1" applyFont="1" applyAlignment="1" applyProtection="1">
      <alignment horizontal="right"/>
      <protection locked="0"/>
    </xf>
    <xf numFmtId="237" fontId="94" fillId="0" borderId="0" xfId="0" applyNumberFormat="1" applyFont="1"/>
    <xf numFmtId="3" fontId="126" fillId="0" borderId="0" xfId="1" quotePrefix="1" applyNumberFormat="1" applyFont="1" applyAlignment="1">
      <alignment horizontal="right"/>
    </xf>
    <xf numFmtId="1" fontId="111" fillId="0" borderId="0" xfId="0" applyNumberFormat="1" applyFont="1"/>
    <xf numFmtId="177" fontId="126" fillId="0" borderId="0" xfId="7" applyNumberFormat="1" applyFont="1" applyAlignment="1">
      <alignment horizontal="right" shrinkToFit="1"/>
    </xf>
    <xf numFmtId="0" fontId="126" fillId="0" borderId="0" xfId="7" applyNumberFormat="1" applyFont="1" applyAlignment="1">
      <alignment horizontal="right" shrinkToFit="1"/>
    </xf>
    <xf numFmtId="177" fontId="126" fillId="0" borderId="0" xfId="7" applyNumberFormat="1" applyFont="1" applyAlignment="1">
      <alignment horizontal="right"/>
    </xf>
    <xf numFmtId="237" fontId="126" fillId="0" borderId="0" xfId="1" quotePrefix="1" applyNumberFormat="1" applyFont="1" applyAlignment="1">
      <alignment horizontal="right"/>
    </xf>
    <xf numFmtId="172" fontId="126" fillId="0" borderId="0" xfId="394" quotePrefix="1" applyNumberFormat="1" applyFont="1" applyFill="1" applyBorder="1" applyAlignment="1" applyProtection="1">
      <alignment horizontal="right"/>
    </xf>
    <xf numFmtId="239" fontId="53" fillId="0" borderId="0" xfId="7" applyNumberFormat="1" applyFont="1" applyAlignment="1">
      <alignment horizontal="left" shrinkToFit="1"/>
    </xf>
    <xf numFmtId="14" fontId="53" fillId="0" borderId="0" xfId="430" applyNumberFormat="1" applyFont="1" applyAlignment="1">
      <alignment horizontal="right"/>
    </xf>
    <xf numFmtId="3" fontId="112" fillId="0" borderId="0" xfId="7" applyNumberFormat="1" applyFont="1" applyAlignment="1">
      <alignment horizontal="center" shrinkToFit="1"/>
    </xf>
    <xf numFmtId="3" fontId="53" fillId="0" borderId="0" xfId="7" applyNumberFormat="1" applyFont="1" applyAlignment="1">
      <alignment horizontal="center" shrinkToFit="1"/>
    </xf>
    <xf numFmtId="0" fontId="94" fillId="0" borderId="0" xfId="430" applyFont="1" applyProtection="1">
      <protection locked="0"/>
    </xf>
    <xf numFmtId="238" fontId="94" fillId="0" borderId="0" xfId="430" applyNumberFormat="1" applyFont="1" applyProtection="1">
      <protection locked="0"/>
    </xf>
    <xf numFmtId="0" fontId="111" fillId="0" borderId="0" xfId="430" applyFont="1" applyAlignment="1" applyProtection="1">
      <alignment horizontal="right"/>
      <protection locked="0"/>
    </xf>
    <xf numFmtId="2" fontId="94" fillId="0" borderId="0" xfId="430" applyNumberFormat="1" applyFont="1" applyProtection="1">
      <protection locked="0"/>
    </xf>
    <xf numFmtId="2" fontId="94" fillId="0" borderId="0" xfId="430" applyNumberFormat="1" applyFont="1" applyAlignment="1" applyProtection="1">
      <alignment horizontal="right"/>
      <protection locked="0"/>
    </xf>
    <xf numFmtId="2" fontId="111" fillId="0" borderId="0" xfId="430" applyNumberFormat="1" applyFont="1" applyAlignment="1" applyProtection="1">
      <alignment horizontal="right"/>
      <protection locked="0"/>
    </xf>
    <xf numFmtId="1" fontId="94" fillId="0" borderId="0" xfId="430" applyNumberFormat="1" applyFont="1" applyProtection="1">
      <protection locked="0"/>
    </xf>
    <xf numFmtId="0" fontId="94" fillId="0" borderId="0" xfId="430" applyFont="1" applyAlignment="1" applyProtection="1">
      <alignment horizontal="right"/>
      <protection locked="0"/>
    </xf>
    <xf numFmtId="0" fontId="94" fillId="0" borderId="0" xfId="430" applyFont="1" applyAlignment="1" applyProtection="1">
      <alignment horizontal="left"/>
      <protection locked="0"/>
    </xf>
    <xf numFmtId="173" fontId="94" fillId="0" borderId="0" xfId="430" applyNumberFormat="1" applyFont="1" applyAlignment="1" applyProtection="1">
      <alignment horizontal="right"/>
      <protection locked="0"/>
    </xf>
    <xf numFmtId="0" fontId="124" fillId="0" borderId="0" xfId="430" applyFont="1" applyAlignment="1" applyProtection="1">
      <alignment horizontal="right"/>
      <protection locked="0"/>
    </xf>
    <xf numFmtId="174" fontId="94" fillId="0" borderId="0" xfId="3" applyNumberFormat="1" applyFont="1" applyAlignment="1" applyProtection="1">
      <alignment horizontal="right"/>
      <protection locked="0"/>
    </xf>
    <xf numFmtId="235" fontId="53" fillId="0" borderId="0" xfId="1" applyNumberFormat="1" applyFont="1" applyAlignment="1" applyProtection="1">
      <alignment horizontal="right"/>
      <protection locked="0"/>
    </xf>
    <xf numFmtId="172" fontId="94" fillId="0" borderId="0" xfId="6" applyNumberFormat="1" applyFont="1" applyFill="1" applyBorder="1" applyAlignment="1" applyProtection="1">
      <alignment horizontal="right"/>
      <protection locked="0"/>
    </xf>
    <xf numFmtId="174" fontId="112" fillId="0" borderId="0" xfId="3" applyNumberFormat="1" applyFont="1" applyAlignment="1" applyProtection="1">
      <alignment horizontal="right"/>
      <protection locked="0"/>
    </xf>
    <xf numFmtId="235" fontId="112" fillId="0" borderId="0" xfId="1" applyNumberFormat="1" applyFont="1" applyAlignment="1" applyProtection="1">
      <alignment horizontal="right"/>
      <protection locked="0"/>
    </xf>
    <xf numFmtId="173" fontId="112" fillId="0" borderId="0" xfId="430" applyNumberFormat="1" applyFont="1" applyAlignment="1" applyProtection="1">
      <alignment horizontal="right"/>
      <protection locked="0"/>
    </xf>
    <xf numFmtId="172" fontId="112" fillId="0" borderId="0" xfId="6" applyNumberFormat="1" applyFont="1" applyFill="1" applyBorder="1" applyAlignment="1" applyProtection="1">
      <alignment horizontal="right"/>
      <protection locked="0"/>
    </xf>
    <xf numFmtId="2" fontId="118" fillId="0" borderId="0" xfId="430" applyNumberFormat="1" applyFont="1" applyAlignment="1" applyProtection="1">
      <alignment horizontal="right"/>
      <protection locked="0"/>
    </xf>
    <xf numFmtId="0" fontId="112" fillId="0" borderId="0" xfId="430" applyFont="1" applyAlignment="1">
      <alignment horizontal="right"/>
    </xf>
    <xf numFmtId="0" fontId="112" fillId="0" borderId="0" xfId="430" applyFont="1"/>
    <xf numFmtId="177" fontId="94" fillId="0" borderId="0" xfId="0" applyNumberFormat="1" applyFont="1"/>
    <xf numFmtId="238" fontId="127" fillId="0" borderId="0" xfId="430" applyNumberFormat="1" applyFont="1" applyProtection="1">
      <protection locked="0"/>
    </xf>
    <xf numFmtId="14" fontId="111" fillId="0" borderId="2" xfId="430" applyNumberFormat="1" applyFont="1" applyBorder="1" applyAlignment="1" applyProtection="1">
      <alignment horizontal="right"/>
      <protection locked="0"/>
    </xf>
    <xf numFmtId="2" fontId="111" fillId="0" borderId="2" xfId="430" applyNumberFormat="1" applyFont="1" applyBorder="1" applyAlignment="1">
      <alignment horizontal="right"/>
    </xf>
    <xf numFmtId="0" fontId="111" fillId="0" borderId="2" xfId="430" applyFont="1" applyBorder="1" applyAlignment="1">
      <alignment horizontal="right"/>
    </xf>
    <xf numFmtId="0" fontId="111" fillId="0" borderId="2" xfId="430" applyFont="1" applyBorder="1" applyAlignment="1" applyProtection="1">
      <alignment horizontal="right"/>
      <protection locked="0"/>
    </xf>
    <xf numFmtId="0" fontId="110" fillId="0" borderId="2" xfId="430" applyFont="1" applyBorder="1"/>
    <xf numFmtId="0" fontId="110" fillId="0" borderId="2" xfId="430" applyFont="1" applyBorder="1" applyAlignment="1">
      <alignment horizontal="right"/>
    </xf>
    <xf numFmtId="237" fontId="94" fillId="2" borderId="0" xfId="6" applyNumberFormat="1" applyFont="1" applyFill="1" applyAlignment="1">
      <alignment horizontal="right"/>
    </xf>
    <xf numFmtId="237" fontId="94" fillId="0" borderId="0" xfId="6" applyNumberFormat="1" applyFont="1" applyFill="1" applyAlignment="1">
      <alignment horizontal="right"/>
    </xf>
    <xf numFmtId="237" fontId="110" fillId="2" borderId="10" xfId="1" quotePrefix="1" applyNumberFormat="1" applyFont="1" applyFill="1" applyBorder="1" applyAlignment="1">
      <alignment horizontal="right"/>
    </xf>
    <xf numFmtId="237" fontId="110" fillId="0" borderId="10" xfId="1" quotePrefix="1" applyNumberFormat="1" applyFont="1" applyBorder="1" applyAlignment="1">
      <alignment horizontal="right"/>
    </xf>
    <xf numFmtId="0" fontId="111" fillId="0" borderId="2" xfId="0" applyFont="1" applyBorder="1"/>
    <xf numFmtId="14" fontId="111" fillId="0" borderId="2" xfId="0" applyNumberFormat="1" applyFont="1" applyBorder="1"/>
    <xf numFmtId="1" fontId="94" fillId="0" borderId="0" xfId="0" applyNumberFormat="1" applyFont="1" applyAlignment="1">
      <alignment horizontal="right"/>
    </xf>
    <xf numFmtId="3" fontId="53" fillId="0" borderId="22" xfId="1" applyNumberFormat="1" applyFont="1" applyBorder="1" applyAlignment="1">
      <alignment horizontal="left" vertical="center"/>
    </xf>
    <xf numFmtId="3" fontId="94" fillId="0" borderId="0" xfId="0" applyNumberFormat="1" applyFont="1"/>
    <xf numFmtId="14" fontId="110" fillId="20" borderId="2" xfId="0" applyNumberFormat="1" applyFont="1" applyFill="1" applyBorder="1" applyAlignment="1">
      <alignment horizontal="right"/>
    </xf>
    <xf numFmtId="14" fontId="111" fillId="20" borderId="2" xfId="0" applyNumberFormat="1" applyFont="1" applyFill="1" applyBorder="1"/>
    <xf numFmtId="14" fontId="127" fillId="0" borderId="0" xfId="430" applyNumberFormat="1" applyFont="1" applyAlignment="1">
      <alignment horizontal="right"/>
    </xf>
    <xf numFmtId="3" fontId="112" fillId="0" borderId="0" xfId="0" applyNumberFormat="1" applyFont="1"/>
    <xf numFmtId="239" fontId="111" fillId="0" borderId="2" xfId="3" applyNumberFormat="1" applyFont="1" applyBorder="1" applyAlignment="1">
      <alignment horizontal="right"/>
    </xf>
    <xf numFmtId="237" fontId="94" fillId="0" borderId="0" xfId="0" applyNumberFormat="1" applyFont="1" applyAlignment="1">
      <alignment horizontal="right"/>
    </xf>
    <xf numFmtId="172" fontId="94" fillId="2" borderId="22" xfId="3" applyNumberFormat="1" applyFont="1" applyFill="1" applyBorder="1" applyAlignment="1">
      <alignment horizontal="right"/>
    </xf>
    <xf numFmtId="172" fontId="94" fillId="2" borderId="0" xfId="3" applyNumberFormat="1" applyFont="1" applyFill="1" applyAlignment="1">
      <alignment horizontal="right"/>
    </xf>
    <xf numFmtId="172" fontId="94" fillId="2" borderId="23" xfId="3" applyNumberFormat="1" applyFont="1" applyFill="1" applyBorder="1" applyAlignment="1">
      <alignment horizontal="right"/>
    </xf>
    <xf numFmtId="172" fontId="94" fillId="2" borderId="24" xfId="3" applyNumberFormat="1" applyFont="1" applyFill="1" applyBorder="1" applyAlignment="1">
      <alignment horizontal="right"/>
    </xf>
    <xf numFmtId="172" fontId="94" fillId="2" borderId="12" xfId="3" applyNumberFormat="1" applyFont="1" applyFill="1" applyBorder="1" applyAlignment="1">
      <alignment horizontal="right"/>
    </xf>
    <xf numFmtId="172" fontId="94" fillId="2" borderId="25" xfId="3" applyNumberFormat="1" applyFont="1" applyFill="1" applyBorder="1" applyAlignment="1">
      <alignment horizontal="right"/>
    </xf>
    <xf numFmtId="3" fontId="53" fillId="19" borderId="22" xfId="1" quotePrefix="1" applyNumberFormat="1" applyFont="1" applyFill="1" applyBorder="1" applyAlignment="1" applyProtection="1">
      <alignment horizontal="right"/>
      <protection locked="0"/>
    </xf>
    <xf numFmtId="3" fontId="94" fillId="19" borderId="22" xfId="3" applyNumberFormat="1" applyFont="1" applyFill="1" applyBorder="1" applyAlignment="1" applyProtection="1">
      <alignment horizontal="right"/>
      <protection locked="0"/>
    </xf>
    <xf numFmtId="3" fontId="110" fillId="19" borderId="22" xfId="1" quotePrefix="1" applyNumberFormat="1" applyFont="1" applyFill="1" applyBorder="1" applyAlignment="1" applyProtection="1">
      <alignment horizontal="right"/>
      <protection locked="0"/>
    </xf>
    <xf numFmtId="1" fontId="111" fillId="0" borderId="12" xfId="3" applyNumberFormat="1" applyFont="1" applyBorder="1" applyAlignment="1">
      <alignment horizontal="right"/>
    </xf>
    <xf numFmtId="172" fontId="94" fillId="0" borderId="0" xfId="394" applyNumberFormat="1" applyFont="1" applyFill="1" applyBorder="1" applyAlignment="1" applyProtection="1">
      <alignment horizontal="right"/>
    </xf>
    <xf numFmtId="172" fontId="94" fillId="0" borderId="12" xfId="394" applyNumberFormat="1" applyFont="1" applyFill="1" applyBorder="1" applyAlignment="1" applyProtection="1">
      <alignment horizontal="right"/>
    </xf>
    <xf numFmtId="172" fontId="94" fillId="0" borderId="22" xfId="3" applyNumberFormat="1" applyFont="1" applyBorder="1"/>
    <xf numFmtId="172" fontId="94" fillId="0" borderId="23" xfId="3" applyNumberFormat="1" applyFont="1" applyBorder="1" applyAlignment="1">
      <alignment horizontal="right"/>
    </xf>
    <xf numFmtId="172" fontId="94" fillId="0" borderId="0" xfId="3" applyNumberFormat="1" applyFont="1" applyAlignment="1">
      <alignment horizontal="right"/>
    </xf>
    <xf numFmtId="172" fontId="94" fillId="0" borderId="24" xfId="3" applyNumberFormat="1" applyFont="1" applyBorder="1"/>
    <xf numFmtId="172" fontId="94" fillId="0" borderId="25" xfId="3" applyNumberFormat="1" applyFont="1" applyBorder="1" applyAlignment="1">
      <alignment horizontal="right"/>
    </xf>
    <xf numFmtId="172" fontId="94" fillId="0" borderId="12" xfId="3" applyNumberFormat="1" applyFont="1" applyBorder="1" applyAlignment="1">
      <alignment horizontal="right"/>
    </xf>
    <xf numFmtId="172" fontId="94" fillId="2" borderId="22" xfId="3" applyNumberFormat="1" applyFont="1" applyFill="1" applyBorder="1"/>
    <xf numFmtId="172" fontId="94" fillId="2" borderId="0" xfId="3" applyNumberFormat="1" applyFont="1" applyFill="1"/>
    <xf numFmtId="172" fontId="94" fillId="0" borderId="19" xfId="3" applyNumberFormat="1" applyFont="1" applyBorder="1"/>
    <xf numFmtId="172" fontId="94" fillId="0" borderId="6" xfId="3" applyNumberFormat="1" applyFont="1" applyBorder="1"/>
    <xf numFmtId="172" fontId="94" fillId="0" borderId="20" xfId="3" applyNumberFormat="1" applyFont="1" applyBorder="1"/>
    <xf numFmtId="172" fontId="94" fillId="0" borderId="0" xfId="3" applyNumberFormat="1" applyFont="1"/>
    <xf numFmtId="172" fontId="94" fillId="0" borderId="23" xfId="3" applyNumberFormat="1" applyFont="1" applyBorder="1"/>
    <xf numFmtId="172" fontId="94" fillId="2" borderId="24" xfId="3" applyNumberFormat="1" applyFont="1" applyFill="1" applyBorder="1"/>
    <xf numFmtId="172" fontId="94" fillId="2" borderId="12" xfId="3" applyNumberFormat="1" applyFont="1" applyFill="1" applyBorder="1"/>
    <xf numFmtId="172" fontId="94" fillId="0" borderId="12" xfId="3" applyNumberFormat="1" applyFont="1" applyBorder="1"/>
    <xf numFmtId="172" fontId="94" fillId="0" borderId="25" xfId="3" applyNumberFormat="1" applyFont="1" applyBorder="1"/>
    <xf numFmtId="172" fontId="53" fillId="0" borderId="0" xfId="394" quotePrefix="1" applyNumberFormat="1" applyFont="1" applyFill="1" applyBorder="1" applyAlignment="1" applyProtection="1">
      <alignment horizontal="right"/>
      <protection locked="0"/>
    </xf>
    <xf numFmtId="1" fontId="110" fillId="0" borderId="20" xfId="1" applyNumberFormat="1" applyFont="1" applyBorder="1"/>
    <xf numFmtId="0" fontId="111" fillId="2" borderId="25" xfId="3" applyFont="1" applyFill="1" applyBorder="1" applyAlignment="1">
      <alignment horizontal="right"/>
    </xf>
    <xf numFmtId="172" fontId="94" fillId="2" borderId="23" xfId="3" applyNumberFormat="1" applyFont="1" applyFill="1" applyBorder="1"/>
    <xf numFmtId="172" fontId="94" fillId="2" borderId="25" xfId="3" applyNumberFormat="1" applyFont="1" applyFill="1" applyBorder="1"/>
    <xf numFmtId="38" fontId="53" fillId="0" borderId="6" xfId="1" applyNumberFormat="1" applyFont="1" applyBorder="1" applyAlignment="1">
      <alignment horizontal="right"/>
    </xf>
    <xf numFmtId="38" fontId="53" fillId="0" borderId="20" xfId="1" applyNumberFormat="1" applyFont="1" applyBorder="1" applyAlignment="1">
      <alignment horizontal="right"/>
    </xf>
    <xf numFmtId="3" fontId="53" fillId="19" borderId="23" xfId="1" quotePrefix="1" applyNumberFormat="1" applyFont="1" applyFill="1" applyBorder="1" applyAlignment="1" applyProtection="1">
      <alignment horizontal="right"/>
      <protection locked="0"/>
    </xf>
    <xf numFmtId="3" fontId="94" fillId="19" borderId="23" xfId="3" applyNumberFormat="1" applyFont="1" applyFill="1" applyBorder="1" applyAlignment="1" applyProtection="1">
      <alignment horizontal="right"/>
      <protection locked="0"/>
    </xf>
    <xf numFmtId="3" fontId="110" fillId="19" borderId="23" xfId="1" quotePrefix="1" applyNumberFormat="1" applyFont="1" applyFill="1" applyBorder="1" applyAlignment="1" applyProtection="1">
      <alignment horizontal="right"/>
      <protection locked="0"/>
    </xf>
    <xf numFmtId="3" fontId="53" fillId="19" borderId="24" xfId="1" quotePrefix="1" applyNumberFormat="1" applyFont="1" applyFill="1" applyBorder="1" applyAlignment="1" applyProtection="1">
      <alignment horizontal="right"/>
      <protection locked="0"/>
    </xf>
    <xf numFmtId="3" fontId="53" fillId="19" borderId="12" xfId="1" quotePrefix="1" applyNumberFormat="1" applyFont="1" applyFill="1" applyBorder="1" applyAlignment="1" applyProtection="1">
      <alignment horizontal="right"/>
      <protection locked="0"/>
    </xf>
    <xf numFmtId="3" fontId="53" fillId="19" borderId="25" xfId="1" quotePrefix="1" applyNumberFormat="1" applyFont="1" applyFill="1" applyBorder="1" applyAlignment="1" applyProtection="1">
      <alignment horizontal="right"/>
      <protection locked="0"/>
    </xf>
    <xf numFmtId="1" fontId="111" fillId="0" borderId="6" xfId="3" applyNumberFormat="1" applyFont="1" applyBorder="1"/>
    <xf numFmtId="1" fontId="111" fillId="0" borderId="19" xfId="3" applyNumberFormat="1" applyFont="1" applyBorder="1"/>
    <xf numFmtId="0" fontId="111" fillId="0" borderId="25" xfId="3" quotePrefix="1" applyFont="1" applyBorder="1" applyAlignment="1">
      <alignment horizontal="right"/>
    </xf>
    <xf numFmtId="0" fontId="118" fillId="0" borderId="0" xfId="1" applyFont="1" applyAlignment="1">
      <alignment horizontal="left"/>
    </xf>
    <xf numFmtId="173" fontId="94" fillId="2" borderId="0" xfId="6" applyNumberFormat="1" applyFont="1" applyFill="1" applyAlignment="1">
      <alignment horizontal="right"/>
    </xf>
    <xf numFmtId="173" fontId="94" fillId="0" borderId="0" xfId="6" applyNumberFormat="1" applyFont="1" applyFill="1" applyAlignment="1">
      <alignment horizontal="right"/>
    </xf>
    <xf numFmtId="4" fontId="53" fillId="0" borderId="0" xfId="1" quotePrefix="1" applyNumberFormat="1" applyFont="1" applyAlignment="1">
      <alignment horizontal="right"/>
    </xf>
    <xf numFmtId="4" fontId="94" fillId="0" borderId="0" xfId="394" applyNumberFormat="1" applyFont="1" applyFill="1" applyBorder="1" applyAlignment="1">
      <alignment horizontal="right"/>
    </xf>
    <xf numFmtId="1" fontId="110" fillId="0" borderId="2" xfId="7" applyNumberFormat="1" applyFont="1" applyBorder="1" applyAlignment="1">
      <alignment horizontal="right" shrinkToFit="1"/>
    </xf>
    <xf numFmtId="177" fontId="110" fillId="0" borderId="2" xfId="7" applyNumberFormat="1" applyFont="1" applyBorder="1" applyAlignment="1">
      <alignment shrinkToFit="1"/>
    </xf>
    <xf numFmtId="0" fontId="110" fillId="0" borderId="2" xfId="7" applyNumberFormat="1" applyFont="1" applyBorder="1" applyAlignment="1">
      <alignment horizontal="left"/>
    </xf>
    <xf numFmtId="177" fontId="53" fillId="0" borderId="0" xfId="7" applyNumberFormat="1" applyFont="1" applyAlignment="1">
      <alignment horizontal="left"/>
    </xf>
    <xf numFmtId="177" fontId="110" fillId="0" borderId="2" xfId="7" applyNumberFormat="1" applyFont="1" applyBorder="1" applyAlignment="1">
      <alignment horizontal="left"/>
    </xf>
    <xf numFmtId="177" fontId="53" fillId="0" borderId="0" xfId="7" applyNumberFormat="1" applyFont="1" applyAlignment="1">
      <alignment horizontal="left" indent="1"/>
    </xf>
    <xf numFmtId="177" fontId="110" fillId="0" borderId="0" xfId="7" applyNumberFormat="1" applyFont="1"/>
    <xf numFmtId="177" fontId="53" fillId="0" borderId="0" xfId="7" applyNumberFormat="1" applyFont="1"/>
    <xf numFmtId="0" fontId="110" fillId="0" borderId="0" xfId="7" applyNumberFormat="1" applyFont="1"/>
    <xf numFmtId="0" fontId="110" fillId="0" borderId="2" xfId="7" applyNumberFormat="1" applyFont="1" applyBorder="1"/>
    <xf numFmtId="0" fontId="53" fillId="0" borderId="0" xfId="7" applyNumberFormat="1" applyFont="1"/>
    <xf numFmtId="0" fontId="111" fillId="0" borderId="0" xfId="0" applyFont="1" applyAlignment="1">
      <alignment wrapText="1"/>
    </xf>
    <xf numFmtId="0" fontId="94" fillId="0" borderId="0" xfId="0" applyFont="1" applyAlignment="1">
      <alignment wrapText="1"/>
    </xf>
    <xf numFmtId="0" fontId="94" fillId="0" borderId="0" xfId="0" applyFont="1" applyAlignment="1">
      <alignment horizontal="left" wrapText="1" indent="1"/>
    </xf>
    <xf numFmtId="177" fontId="110" fillId="21" borderId="0" xfId="7" applyNumberFormat="1" applyFont="1" applyFill="1" applyAlignment="1">
      <alignment shrinkToFit="1"/>
    </xf>
    <xf numFmtId="177" fontId="53" fillId="0" borderId="2" xfId="7" applyNumberFormat="1" applyFont="1" applyBorder="1" applyAlignment="1">
      <alignment horizontal="left"/>
    </xf>
    <xf numFmtId="0" fontId="114" fillId="0" borderId="2" xfId="7" applyNumberFormat="1" applyFont="1" applyBorder="1"/>
    <xf numFmtId="0" fontId="126" fillId="0" borderId="0" xfId="3" applyFont="1"/>
    <xf numFmtId="0" fontId="128" fillId="0" borderId="0" xfId="3" applyFont="1"/>
    <xf numFmtId="172" fontId="128" fillId="0" borderId="0" xfId="3" applyNumberFormat="1" applyFont="1"/>
    <xf numFmtId="171" fontId="94" fillId="18" borderId="0" xfId="3" applyNumberFormat="1" applyFont="1" applyFill="1"/>
    <xf numFmtId="171" fontId="53" fillId="18" borderId="0" xfId="1" quotePrefix="1" applyNumberFormat="1" applyFont="1" applyFill="1" applyAlignment="1">
      <alignment horizontal="right"/>
    </xf>
    <xf numFmtId="171" fontId="94" fillId="0" borderId="0" xfId="3" applyNumberFormat="1" applyFont="1"/>
    <xf numFmtId="171" fontId="53" fillId="0" borderId="0" xfId="1" quotePrefix="1" applyNumberFormat="1" applyFont="1" applyAlignment="1">
      <alignment horizontal="right"/>
    </xf>
    <xf numFmtId="3" fontId="126" fillId="0" borderId="0" xfId="3" applyNumberFormat="1" applyFont="1"/>
    <xf numFmtId="3" fontId="128" fillId="0" borderId="0" xfId="3" applyNumberFormat="1" applyFont="1" applyAlignment="1">
      <alignment horizontal="right"/>
    </xf>
    <xf numFmtId="172" fontId="94" fillId="0" borderId="0" xfId="394" applyNumberFormat="1" applyFont="1" applyFill="1" applyBorder="1" applyProtection="1"/>
    <xf numFmtId="172" fontId="94" fillId="22" borderId="0" xfId="394" applyNumberFormat="1" applyFont="1" applyFill="1" applyBorder="1" applyProtection="1"/>
    <xf numFmtId="172" fontId="94" fillId="21" borderId="0" xfId="394" applyNumberFormat="1" applyFont="1" applyFill="1" applyProtection="1"/>
    <xf numFmtId="3" fontId="53" fillId="0" borderId="0" xfId="432" quotePrefix="1" applyNumberFormat="1" applyFont="1" applyFill="1" applyBorder="1" applyAlignment="1" applyProtection="1">
      <alignment horizontal="right"/>
    </xf>
    <xf numFmtId="0" fontId="126" fillId="0" borderId="0" xfId="3" applyFont="1" applyAlignment="1">
      <alignment horizontal="right"/>
    </xf>
    <xf numFmtId="172" fontId="94" fillId="0" borderId="39" xfId="394" applyNumberFormat="1" applyFont="1" applyFill="1" applyBorder="1" applyAlignment="1">
      <alignment horizontal="right"/>
    </xf>
    <xf numFmtId="1" fontId="111" fillId="0" borderId="2" xfId="3" applyNumberFormat="1" applyFont="1" applyBorder="1"/>
    <xf numFmtId="173" fontId="94" fillId="0" borderId="0" xfId="394" applyNumberFormat="1" applyFont="1" applyFill="1" applyBorder="1" applyAlignment="1">
      <alignment horizontal="right"/>
    </xf>
    <xf numFmtId="1" fontId="111" fillId="0" borderId="0" xfId="0" applyNumberFormat="1" applyFont="1" applyAlignment="1">
      <alignment horizontal="right"/>
    </xf>
    <xf numFmtId="173" fontId="94" fillId="21" borderId="0" xfId="394" applyNumberFormat="1" applyFont="1" applyFill="1" applyBorder="1" applyAlignment="1">
      <alignment horizontal="right"/>
    </xf>
    <xf numFmtId="237" fontId="112" fillId="0" borderId="0" xfId="7" applyNumberFormat="1" applyFont="1" applyAlignment="1">
      <alignment shrinkToFit="1"/>
    </xf>
    <xf numFmtId="237" fontId="112" fillId="0" borderId="0" xfId="0" applyNumberFormat="1" applyFont="1"/>
    <xf numFmtId="173" fontId="53" fillId="0" borderId="0" xfId="394" applyNumberFormat="1" applyFont="1" applyBorder="1" applyAlignment="1" applyProtection="1">
      <alignment shrinkToFit="1"/>
    </xf>
    <xf numFmtId="173" fontId="94" fillId="0" borderId="23" xfId="394" applyNumberFormat="1" applyFont="1" applyFill="1" applyBorder="1" applyAlignment="1">
      <alignment horizontal="right"/>
    </xf>
    <xf numFmtId="177" fontId="94" fillId="0" borderId="0" xfId="0" applyNumberFormat="1" applyFont="1" applyAlignment="1">
      <alignment horizontal="left"/>
    </xf>
    <xf numFmtId="0" fontId="129" fillId="0" borderId="0" xfId="0" applyFont="1"/>
    <xf numFmtId="0" fontId="53" fillId="21" borderId="0" xfId="1" applyFont="1" applyFill="1"/>
    <xf numFmtId="3" fontId="53" fillId="21" borderId="0" xfId="1" quotePrefix="1" applyNumberFormat="1" applyFont="1" applyFill="1" applyAlignment="1" applyProtection="1">
      <alignment horizontal="right"/>
      <protection locked="0"/>
    </xf>
    <xf numFmtId="0" fontId="94" fillId="21" borderId="0" xfId="3" applyFont="1" applyFill="1"/>
    <xf numFmtId="178" fontId="0" fillId="0" borderId="0" xfId="432" applyNumberFormat="1" applyFont="1"/>
    <xf numFmtId="237" fontId="53" fillId="21" borderId="0" xfId="1" quotePrefix="1" applyNumberFormat="1" applyFont="1" applyFill="1" applyAlignment="1" applyProtection="1">
      <alignment horizontal="right"/>
      <protection locked="0"/>
    </xf>
    <xf numFmtId="237" fontId="53" fillId="21" borderId="0" xfId="1" applyNumberFormat="1" applyFont="1" applyFill="1" applyAlignment="1" applyProtection="1">
      <alignment horizontal="right"/>
      <protection locked="0"/>
    </xf>
    <xf numFmtId="0" fontId="127" fillId="21" borderId="2" xfId="1" applyFont="1" applyFill="1" applyBorder="1"/>
    <xf numFmtId="3" fontId="94" fillId="0" borderId="0" xfId="3" applyNumberFormat="1" applyFont="1" applyAlignment="1">
      <alignment horizontal="right"/>
    </xf>
    <xf numFmtId="0" fontId="110" fillId="21" borderId="0" xfId="1" applyFont="1" applyFill="1"/>
    <xf numFmtId="38" fontId="53" fillId="21" borderId="0" xfId="1" applyNumberFormat="1" applyFont="1" applyFill="1" applyAlignment="1">
      <alignment horizontal="right"/>
    </xf>
    <xf numFmtId="38" fontId="53" fillId="21" borderId="0" xfId="1" quotePrefix="1" applyNumberFormat="1" applyFont="1" applyFill="1" applyAlignment="1">
      <alignment horizontal="right"/>
    </xf>
    <xf numFmtId="3" fontId="53" fillId="3" borderId="0" xfId="1" quotePrefix="1" applyNumberFormat="1" applyFont="1" applyFill="1" applyAlignment="1">
      <alignment horizontal="right"/>
    </xf>
    <xf numFmtId="174" fontId="53" fillId="3" borderId="0" xfId="1" quotePrefix="1" applyNumberFormat="1" applyFont="1" applyFill="1" applyAlignment="1">
      <alignment horizontal="right"/>
    </xf>
    <xf numFmtId="3" fontId="53" fillId="21" borderId="0" xfId="1" quotePrefix="1" applyNumberFormat="1" applyFont="1" applyFill="1" applyAlignment="1">
      <alignment horizontal="right"/>
    </xf>
    <xf numFmtId="9" fontId="94" fillId="0" borderId="25" xfId="394" applyFont="1" applyBorder="1" applyAlignment="1">
      <alignment horizontal="right" vertical="top" wrapText="1"/>
    </xf>
    <xf numFmtId="0" fontId="130" fillId="0" borderId="0" xfId="0" applyFont="1"/>
    <xf numFmtId="0" fontId="131" fillId="0" borderId="0" xfId="0" applyFont="1"/>
    <xf numFmtId="0" fontId="131" fillId="0" borderId="0" xfId="0" applyFont="1" applyAlignment="1">
      <alignment horizontal="center"/>
    </xf>
    <xf numFmtId="171" fontId="130" fillId="0" borderId="0" xfId="0" applyNumberFormat="1" applyFont="1"/>
    <xf numFmtId="172" fontId="130" fillId="0" borderId="0" xfId="394" applyNumberFormat="1" applyFont="1"/>
    <xf numFmtId="171" fontId="131" fillId="0" borderId="0" xfId="0" applyNumberFormat="1" applyFont="1"/>
    <xf numFmtId="0" fontId="132" fillId="0" borderId="0" xfId="0" applyFont="1"/>
    <xf numFmtId="0" fontId="133" fillId="0" borderId="0" xfId="0" applyFont="1"/>
    <xf numFmtId="172" fontId="133" fillId="0" borderId="0" xfId="394" applyNumberFormat="1" applyFont="1" applyBorder="1"/>
    <xf numFmtId="0" fontId="130" fillId="0" borderId="0" xfId="0" applyFont="1" applyAlignment="1">
      <alignment horizontal="left"/>
    </xf>
    <xf numFmtId="0" fontId="134" fillId="0" borderId="0" xfId="0" applyFont="1"/>
    <xf numFmtId="0" fontId="127" fillId="0" borderId="0" xfId="1" applyFont="1" applyAlignment="1">
      <alignment horizontal="left"/>
    </xf>
    <xf numFmtId="0" fontId="137" fillId="0" borderId="0" xfId="2" applyFont="1" applyFill="1" applyAlignment="1" applyProtection="1"/>
    <xf numFmtId="0" fontId="130" fillId="0" borderId="0" xfId="433" applyFont="1"/>
    <xf numFmtId="0" fontId="131" fillId="0" borderId="0" xfId="433" applyFont="1"/>
    <xf numFmtId="171" fontId="130" fillId="0" borderId="0" xfId="434" applyNumberFormat="1" applyFont="1"/>
    <xf numFmtId="171" fontId="130" fillId="0" borderId="0" xfId="433" applyNumberFormat="1" applyFont="1"/>
    <xf numFmtId="0" fontId="138" fillId="0" borderId="0" xfId="433" applyFont="1"/>
    <xf numFmtId="0" fontId="139" fillId="0" borderId="0" xfId="433" applyFont="1"/>
    <xf numFmtId="171" fontId="131" fillId="0" borderId="0" xfId="433" applyNumberFormat="1" applyFont="1"/>
    <xf numFmtId="10" fontId="130" fillId="0" borderId="0" xfId="435" applyNumberFormat="1" applyFont="1"/>
    <xf numFmtId="171" fontId="139" fillId="0" borderId="0" xfId="433" applyNumberFormat="1" applyFont="1"/>
    <xf numFmtId="9" fontId="130" fillId="0" borderId="0" xfId="394" applyFont="1"/>
    <xf numFmtId="0" fontId="130" fillId="24" borderId="0" xfId="433" applyFont="1" applyFill="1"/>
    <xf numFmtId="0" fontId="131" fillId="24" borderId="0" xfId="433" applyFont="1" applyFill="1"/>
    <xf numFmtId="0" fontId="139" fillId="24" borderId="0" xfId="433" applyFont="1" applyFill="1"/>
    <xf numFmtId="171" fontId="131" fillId="24" borderId="0" xfId="433" applyNumberFormat="1" applyFont="1" applyFill="1"/>
    <xf numFmtId="0" fontId="138" fillId="24" borderId="0" xfId="433" applyFont="1" applyFill="1"/>
    <xf numFmtId="171" fontId="130" fillId="24" borderId="0" xfId="433" applyNumberFormat="1" applyFont="1" applyFill="1"/>
    <xf numFmtId="0" fontId="140" fillId="0" borderId="0" xfId="433" applyFont="1"/>
    <xf numFmtId="9" fontId="53" fillId="2" borderId="0" xfId="394" quotePrefix="1" applyFont="1" applyFill="1" applyBorder="1" applyAlignment="1" applyProtection="1">
      <alignment horizontal="right"/>
    </xf>
    <xf numFmtId="9" fontId="94" fillId="0" borderId="0" xfId="394" applyFont="1" applyProtection="1"/>
    <xf numFmtId="171" fontId="94" fillId="0" borderId="0" xfId="432" applyNumberFormat="1" applyFont="1" applyProtection="1"/>
    <xf numFmtId="171" fontId="53" fillId="0" borderId="0" xfId="432" quotePrefix="1" applyNumberFormat="1" applyFont="1" applyFill="1" applyBorder="1" applyAlignment="1" applyProtection="1">
      <alignment horizontal="right"/>
    </xf>
    <xf numFmtId="0" fontId="13" fillId="0" borderId="0" xfId="439" applyFont="1"/>
    <xf numFmtId="171" fontId="13" fillId="0" borderId="0" xfId="440" applyNumberFormat="1" applyFont="1"/>
    <xf numFmtId="0" fontId="142" fillId="25" borderId="29" xfId="439" applyFont="1" applyFill="1" applyBorder="1" applyAlignment="1">
      <alignment horizontal="center"/>
    </xf>
    <xf numFmtId="0" fontId="142" fillId="25" borderId="29" xfId="439" applyFont="1" applyFill="1" applyBorder="1" applyAlignment="1">
      <alignment horizontal="left"/>
    </xf>
    <xf numFmtId="171" fontId="142" fillId="25" borderId="29" xfId="440" applyNumberFormat="1" applyFont="1" applyFill="1" applyBorder="1" applyAlignment="1">
      <alignment horizontal="left"/>
    </xf>
    <xf numFmtId="0" fontId="13" fillId="0" borderId="0" xfId="439" applyFont="1" applyAlignment="1">
      <alignment horizontal="center"/>
    </xf>
    <xf numFmtId="0" fontId="13" fillId="0" borderId="22" xfId="439" applyFont="1" applyBorder="1"/>
    <xf numFmtId="0" fontId="13" fillId="0" borderId="0" xfId="439" applyFont="1" applyAlignment="1">
      <alignment wrapText="1"/>
    </xf>
    <xf numFmtId="0" fontId="13" fillId="26" borderId="0" xfId="439" applyFont="1" applyFill="1"/>
    <xf numFmtId="9" fontId="13" fillId="0" borderId="0" xfId="439" applyNumberFormat="1" applyFont="1"/>
    <xf numFmtId="171" fontId="13" fillId="0" borderId="0" xfId="440" applyNumberFormat="1" applyFont="1" applyBorder="1"/>
    <xf numFmtId="10" fontId="13" fillId="0" borderId="0" xfId="441" applyNumberFormat="1" applyFont="1" applyFill="1" applyBorder="1"/>
    <xf numFmtId="171" fontId="13" fillId="0" borderId="0" xfId="440" applyNumberFormat="1" applyFont="1" applyFill="1" applyBorder="1"/>
    <xf numFmtId="171" fontId="13" fillId="0" borderId="40" xfId="440" applyNumberFormat="1" applyFont="1" applyFill="1" applyBorder="1"/>
    <xf numFmtId="0" fontId="13" fillId="0" borderId="23" xfId="439" applyFont="1" applyBorder="1" applyAlignment="1">
      <alignment horizontal="right"/>
    </xf>
    <xf numFmtId="171" fontId="13" fillId="0" borderId="41" xfId="440" applyNumberFormat="1" applyFont="1" applyFill="1" applyBorder="1"/>
    <xf numFmtId="0" fontId="13" fillId="0" borderId="0" xfId="439" applyFont="1" applyAlignment="1">
      <alignment horizontal="left" wrapText="1"/>
    </xf>
    <xf numFmtId="0" fontId="13" fillId="26" borderId="0" xfId="439" applyFont="1" applyFill="1" applyAlignment="1">
      <alignment horizontal="left" wrapText="1"/>
    </xf>
    <xf numFmtId="171" fontId="13" fillId="0" borderId="0" xfId="440" applyNumberFormat="1" applyFont="1" applyBorder="1" applyAlignment="1">
      <alignment horizontal="right"/>
    </xf>
    <xf numFmtId="10" fontId="13" fillId="0" borderId="0" xfId="441" applyNumberFormat="1" applyFont="1" applyFill="1" applyBorder="1" applyAlignment="1">
      <alignment horizontal="right"/>
    </xf>
    <xf numFmtId="171" fontId="13" fillId="0" borderId="0" xfId="440" applyNumberFormat="1" applyFont="1" applyFill="1" applyBorder="1" applyAlignment="1">
      <alignment horizontal="right"/>
    </xf>
    <xf numFmtId="10" fontId="13" fillId="0" borderId="0" xfId="441" applyNumberFormat="1" applyFont="1" applyFill="1" applyBorder="1" applyAlignment="1">
      <alignment horizontal="left"/>
    </xf>
    <xf numFmtId="0" fontId="13" fillId="0" borderId="2" xfId="439" applyFont="1" applyBorder="1"/>
    <xf numFmtId="9" fontId="13" fillId="0" borderId="2" xfId="439" applyNumberFormat="1" applyFont="1" applyBorder="1"/>
    <xf numFmtId="171" fontId="13" fillId="0" borderId="2" xfId="440" applyNumberFormat="1" applyFont="1" applyFill="1" applyBorder="1"/>
    <xf numFmtId="9" fontId="13" fillId="0" borderId="2" xfId="441" applyFont="1" applyFill="1" applyBorder="1"/>
    <xf numFmtId="10" fontId="13" fillId="0" borderId="2" xfId="441" applyNumberFormat="1" applyFont="1" applyFill="1" applyBorder="1" applyAlignment="1">
      <alignment horizontal="left"/>
    </xf>
    <xf numFmtId="171" fontId="13" fillId="0" borderId="42" xfId="440" applyNumberFormat="1" applyFont="1" applyFill="1" applyBorder="1"/>
    <xf numFmtId="0" fontId="13" fillId="0" borderId="39" xfId="439" applyFont="1" applyBorder="1" applyAlignment="1">
      <alignment horizontal="right"/>
    </xf>
    <xf numFmtId="10" fontId="13" fillId="0" borderId="2" xfId="441" applyNumberFormat="1" applyFont="1" applyFill="1" applyBorder="1"/>
    <xf numFmtId="0" fontId="129" fillId="0" borderId="0" xfId="439" applyFont="1"/>
    <xf numFmtId="171" fontId="143" fillId="0" borderId="0" xfId="439" applyNumberFormat="1" applyFont="1"/>
    <xf numFmtId="171" fontId="129" fillId="0" borderId="0" xfId="440" applyNumberFormat="1" applyFont="1"/>
    <xf numFmtId="171" fontId="144" fillId="0" borderId="0" xfId="440" applyNumberFormat="1" applyFont="1"/>
    <xf numFmtId="0" fontId="141" fillId="0" borderId="0" xfId="439" applyFont="1"/>
    <xf numFmtId="9" fontId="141" fillId="0" borderId="0" xfId="439" applyNumberFormat="1" applyFont="1"/>
    <xf numFmtId="0" fontId="9" fillId="0" borderId="0" xfId="439"/>
    <xf numFmtId="9" fontId="9" fillId="0" borderId="0" xfId="439" applyNumberFormat="1"/>
    <xf numFmtId="9" fontId="13" fillId="0" borderId="0" xfId="441" applyFont="1"/>
    <xf numFmtId="240" fontId="13" fillId="0" borderId="0" xfId="439" applyNumberFormat="1" applyFont="1"/>
    <xf numFmtId="172" fontId="13" fillId="0" borderId="0" xfId="439" applyNumberFormat="1" applyFont="1"/>
    <xf numFmtId="43" fontId="13" fillId="0" borderId="0" xfId="440" applyFont="1"/>
    <xf numFmtId="0" fontId="9" fillId="0" borderId="43" xfId="439" applyBorder="1"/>
    <xf numFmtId="0" fontId="141" fillId="0" borderId="33" xfId="439" applyFont="1" applyBorder="1"/>
    <xf numFmtId="0" fontId="141" fillId="0" borderId="38" xfId="439" applyFont="1" applyBorder="1"/>
    <xf numFmtId="0" fontId="141" fillId="0" borderId="44" xfId="439" applyFont="1" applyBorder="1"/>
    <xf numFmtId="171" fontId="9" fillId="0" borderId="11" xfId="440" applyNumberFormat="1" applyFont="1" applyBorder="1"/>
    <xf numFmtId="171" fontId="9" fillId="0" borderId="45" xfId="440" applyNumberFormat="1" applyFont="1" applyBorder="1"/>
    <xf numFmtId="171" fontId="9" fillId="0" borderId="0" xfId="439" applyNumberFormat="1"/>
    <xf numFmtId="0" fontId="141" fillId="0" borderId="46" xfId="439" applyFont="1" applyBorder="1"/>
    <xf numFmtId="172" fontId="9" fillId="0" borderId="47" xfId="441" applyNumberFormat="1" applyFont="1" applyBorder="1"/>
    <xf numFmtId="0" fontId="13" fillId="0" borderId="0" xfId="439" applyFont="1" applyAlignment="1">
      <alignment vertical="top" wrapText="1"/>
    </xf>
    <xf numFmtId="171" fontId="13" fillId="0" borderId="0" xfId="440" applyNumberFormat="1" applyFont="1" applyFill="1" applyBorder="1" applyAlignment="1">
      <alignment horizontal="right" wrapText="1"/>
    </xf>
    <xf numFmtId="171" fontId="13" fillId="0" borderId="0" xfId="439" applyNumberFormat="1" applyFont="1"/>
    <xf numFmtId="9" fontId="9" fillId="0" borderId="0" xfId="441" applyFont="1"/>
    <xf numFmtId="171" fontId="13" fillId="0" borderId="19" xfId="440" applyNumberFormat="1" applyFont="1" applyBorder="1"/>
    <xf numFmtId="0" fontId="13" fillId="0" borderId="6" xfId="439" applyFont="1" applyBorder="1"/>
    <xf numFmtId="171" fontId="13" fillId="0" borderId="6" xfId="440" applyNumberFormat="1" applyFont="1" applyBorder="1"/>
    <xf numFmtId="0" fontId="13" fillId="0" borderId="20" xfId="439" applyFont="1" applyBorder="1"/>
    <xf numFmtId="171" fontId="13" fillId="0" borderId="22" xfId="440" applyNumberFormat="1" applyFont="1" applyBorder="1"/>
    <xf numFmtId="171" fontId="13" fillId="0" borderId="23" xfId="440" applyNumberFormat="1" applyFont="1" applyBorder="1"/>
    <xf numFmtId="171" fontId="13" fillId="0" borderId="24" xfId="440" applyNumberFormat="1" applyFont="1" applyBorder="1"/>
    <xf numFmtId="0" fontId="13" fillId="0" borderId="12" xfId="439" applyFont="1" applyBorder="1"/>
    <xf numFmtId="171" fontId="13" fillId="0" borderId="12" xfId="440" applyNumberFormat="1" applyFont="1" applyBorder="1"/>
    <xf numFmtId="171" fontId="13" fillId="0" borderId="25" xfId="439" applyNumberFormat="1" applyFont="1" applyBorder="1"/>
    <xf numFmtId="0" fontId="111" fillId="0" borderId="0" xfId="439" applyFont="1"/>
    <xf numFmtId="0" fontId="94" fillId="0" borderId="0" xfId="439" applyFont="1"/>
    <xf numFmtId="171" fontId="94" fillId="0" borderId="0" xfId="440" applyNumberFormat="1" applyFont="1" applyBorder="1"/>
    <xf numFmtId="9" fontId="94" fillId="0" borderId="0" xfId="439" applyNumberFormat="1" applyFont="1"/>
    <xf numFmtId="0" fontId="111" fillId="18" borderId="19" xfId="439" applyFont="1" applyFill="1" applyBorder="1"/>
    <xf numFmtId="0" fontId="111" fillId="18" borderId="6" xfId="439" applyFont="1" applyFill="1" applyBorder="1"/>
    <xf numFmtId="3" fontId="94" fillId="27" borderId="28" xfId="439" applyNumberFormat="1" applyFont="1" applyFill="1" applyBorder="1"/>
    <xf numFmtId="9" fontId="94" fillId="0" borderId="0" xfId="441" applyFont="1"/>
    <xf numFmtId="0" fontId="94" fillId="18" borderId="22" xfId="439" applyFont="1" applyFill="1" applyBorder="1"/>
    <xf numFmtId="0" fontId="94" fillId="18" borderId="0" xfId="439" applyFont="1" applyFill="1"/>
    <xf numFmtId="3" fontId="94" fillId="27" borderId="35" xfId="439" applyNumberFormat="1" applyFont="1" applyFill="1" applyBorder="1"/>
    <xf numFmtId="0" fontId="94" fillId="18" borderId="24" xfId="439" applyFont="1" applyFill="1" applyBorder="1"/>
    <xf numFmtId="0" fontId="94" fillId="18" borderId="12" xfId="439" applyFont="1" applyFill="1" applyBorder="1" applyAlignment="1">
      <alignment horizontal="right"/>
    </xf>
    <xf numFmtId="0" fontId="94" fillId="18" borderId="12" xfId="439" applyFont="1" applyFill="1" applyBorder="1"/>
    <xf numFmtId="1" fontId="94" fillId="28" borderId="36" xfId="440" applyNumberFormat="1" applyFont="1" applyFill="1" applyBorder="1"/>
    <xf numFmtId="10" fontId="94" fillId="27" borderId="31" xfId="439" applyNumberFormat="1" applyFont="1" applyFill="1" applyBorder="1"/>
    <xf numFmtId="9" fontId="111" fillId="0" borderId="0" xfId="439" applyNumberFormat="1" applyFont="1"/>
    <xf numFmtId="10" fontId="94" fillId="28" borderId="31" xfId="439" applyNumberFormat="1" applyFont="1" applyFill="1" applyBorder="1"/>
    <xf numFmtId="9" fontId="94" fillId="0" borderId="0" xfId="441" applyFont="1" applyFill="1" applyBorder="1"/>
    <xf numFmtId="10" fontId="111" fillId="0" borderId="0" xfId="439" applyNumberFormat="1" applyFont="1"/>
    <xf numFmtId="1" fontId="94" fillId="28" borderId="31" xfId="440" applyNumberFormat="1" applyFont="1" applyFill="1" applyBorder="1"/>
    <xf numFmtId="0" fontId="94" fillId="0" borderId="0" xfId="439" applyFont="1" applyAlignment="1">
      <alignment horizontal="right"/>
    </xf>
    <xf numFmtId="0" fontId="111" fillId="2" borderId="12" xfId="439" applyFont="1" applyFill="1" applyBorder="1"/>
    <xf numFmtId="0" fontId="94" fillId="18" borderId="19" xfId="439" applyFont="1" applyFill="1" applyBorder="1"/>
    <xf numFmtId="9" fontId="94" fillId="28" borderId="19" xfId="441" applyFont="1" applyFill="1" applyBorder="1"/>
    <xf numFmtId="9" fontId="94" fillId="28" borderId="6" xfId="441" applyFont="1" applyFill="1" applyBorder="1"/>
    <xf numFmtId="2" fontId="94" fillId="28" borderId="22" xfId="439" applyNumberFormat="1" applyFont="1" applyFill="1" applyBorder="1"/>
    <xf numFmtId="9" fontId="94" fillId="28" borderId="22" xfId="439" applyNumberFormat="1" applyFont="1" applyFill="1" applyBorder="1"/>
    <xf numFmtId="9" fontId="94" fillId="28" borderId="22" xfId="441" applyFont="1" applyFill="1" applyBorder="1"/>
    <xf numFmtId="9" fontId="94" fillId="28" borderId="0" xfId="441" applyFont="1" applyFill="1" applyBorder="1"/>
    <xf numFmtId="9" fontId="94" fillId="28" borderId="23" xfId="441" applyFont="1" applyFill="1" applyBorder="1"/>
    <xf numFmtId="172" fontId="94" fillId="27" borderId="24" xfId="439" applyNumberFormat="1" applyFont="1" applyFill="1" applyBorder="1"/>
    <xf numFmtId="171" fontId="111" fillId="0" borderId="0" xfId="440" applyNumberFormat="1" applyFont="1" applyBorder="1"/>
    <xf numFmtId="0" fontId="111" fillId="29" borderId="10" xfId="439" applyFont="1" applyFill="1" applyBorder="1"/>
    <xf numFmtId="171" fontId="111" fillId="29" borderId="10" xfId="439" applyNumberFormat="1" applyFont="1" applyFill="1" applyBorder="1"/>
    <xf numFmtId="0" fontId="111" fillId="0" borderId="0" xfId="439" applyFont="1" applyAlignment="1">
      <alignment horizontal="center"/>
    </xf>
    <xf numFmtId="171" fontId="111" fillId="0" borderId="0" xfId="440" applyNumberFormat="1" applyFont="1" applyBorder="1" applyAlignment="1">
      <alignment horizontal="center"/>
    </xf>
    <xf numFmtId="171" fontId="111" fillId="0" borderId="0" xfId="439" applyNumberFormat="1" applyFont="1"/>
    <xf numFmtId="171" fontId="94" fillId="27" borderId="31" xfId="440" applyNumberFormat="1" applyFont="1" applyFill="1" applyBorder="1"/>
    <xf numFmtId="3" fontId="94" fillId="0" borderId="0" xfId="439" applyNumberFormat="1" applyFont="1"/>
    <xf numFmtId="171" fontId="94" fillId="0" borderId="0" xfId="440" applyNumberFormat="1" applyFont="1" applyFill="1" applyBorder="1"/>
    <xf numFmtId="178" fontId="94" fillId="28" borderId="31" xfId="440" applyNumberFormat="1" applyFont="1" applyFill="1" applyBorder="1"/>
    <xf numFmtId="3" fontId="94" fillId="27" borderId="31" xfId="439" applyNumberFormat="1" applyFont="1" applyFill="1" applyBorder="1"/>
    <xf numFmtId="43" fontId="94" fillId="0" borderId="0" xfId="439" applyNumberFormat="1" applyFont="1"/>
    <xf numFmtId="0" fontId="111" fillId="2" borderId="0" xfId="439" applyFont="1" applyFill="1"/>
    <xf numFmtId="0" fontId="111" fillId="2" borderId="0" xfId="439" applyFont="1" applyFill="1" applyAlignment="1">
      <alignment horizontal="right"/>
    </xf>
    <xf numFmtId="171" fontId="94" fillId="0" borderId="0" xfId="440" applyNumberFormat="1" applyFont="1"/>
    <xf numFmtId="3" fontId="94" fillId="0" borderId="0" xfId="439" applyNumberFormat="1" applyFont="1" applyAlignment="1">
      <alignment horizontal="right"/>
    </xf>
    <xf numFmtId="0" fontId="111" fillId="0" borderId="0" xfId="439" applyFont="1" applyAlignment="1">
      <alignment horizontal="right"/>
    </xf>
    <xf numFmtId="9" fontId="94" fillId="0" borderId="0" xfId="441" applyFont="1" applyBorder="1"/>
    <xf numFmtId="171" fontId="94" fillId="28" borderId="31" xfId="440" applyNumberFormat="1" applyFont="1" applyFill="1" applyBorder="1"/>
    <xf numFmtId="171" fontId="111" fillId="0" borderId="0" xfId="440" applyNumberFormat="1" applyFont="1" applyFill="1"/>
    <xf numFmtId="9" fontId="94" fillId="28" borderId="31" xfId="441" applyFont="1" applyFill="1" applyBorder="1"/>
    <xf numFmtId="9" fontId="94" fillId="0" borderId="0" xfId="441" applyFont="1" applyFill="1"/>
    <xf numFmtId="0" fontId="111" fillId="0" borderId="0" xfId="439" applyFont="1" applyAlignment="1">
      <alignment horizontal="left"/>
    </xf>
    <xf numFmtId="171" fontId="94" fillId="0" borderId="0" xfId="439" applyNumberFormat="1" applyFont="1"/>
    <xf numFmtId="173" fontId="94" fillId="0" borderId="0" xfId="439" applyNumberFormat="1" applyFont="1"/>
    <xf numFmtId="172" fontId="94" fillId="0" borderId="0" xfId="439" applyNumberFormat="1" applyFont="1"/>
    <xf numFmtId="171" fontId="94" fillId="0" borderId="0" xfId="440" applyNumberFormat="1" applyFont="1" applyFill="1"/>
    <xf numFmtId="171" fontId="111" fillId="0" borderId="0" xfId="440" applyNumberFormat="1" applyFont="1"/>
    <xf numFmtId="9" fontId="111" fillId="0" borderId="0" xfId="439" applyNumberFormat="1" applyFont="1" applyAlignment="1">
      <alignment horizontal="right"/>
    </xf>
    <xf numFmtId="172" fontId="94" fillId="0" borderId="0" xfId="441" applyNumberFormat="1" applyFont="1" applyFill="1" applyAlignment="1">
      <alignment horizontal="right"/>
    </xf>
    <xf numFmtId="172" fontId="94" fillId="0" borderId="0" xfId="441" applyNumberFormat="1" applyFont="1"/>
    <xf numFmtId="9" fontId="94" fillId="28" borderId="0" xfId="439" applyNumberFormat="1" applyFont="1" applyFill="1"/>
    <xf numFmtId="9" fontId="94" fillId="0" borderId="0" xfId="439" applyNumberFormat="1" applyFont="1" applyAlignment="1">
      <alignment horizontal="right"/>
    </xf>
    <xf numFmtId="171" fontId="94" fillId="0" borderId="0" xfId="440" applyNumberFormat="1" applyFont="1" applyAlignment="1">
      <alignment horizontal="right"/>
    </xf>
    <xf numFmtId="0" fontId="94" fillId="21" borderId="0" xfId="439" applyFont="1" applyFill="1"/>
    <xf numFmtId="0" fontId="94" fillId="2" borderId="0" xfId="439" applyFont="1" applyFill="1"/>
    <xf numFmtId="178" fontId="94" fillId="0" borderId="0" xfId="439" applyNumberFormat="1" applyFont="1"/>
    <xf numFmtId="171" fontId="94" fillId="21" borderId="31" xfId="440" applyNumberFormat="1" applyFont="1" applyFill="1" applyBorder="1"/>
    <xf numFmtId="2" fontId="94" fillId="28" borderId="31" xfId="441" applyNumberFormat="1" applyFont="1" applyFill="1" applyBorder="1"/>
    <xf numFmtId="0" fontId="111" fillId="21" borderId="10" xfId="439" applyFont="1" applyFill="1" applyBorder="1"/>
    <xf numFmtId="1" fontId="94" fillId="28" borderId="31" xfId="441" applyNumberFormat="1" applyFont="1" applyFill="1" applyBorder="1"/>
    <xf numFmtId="0" fontId="111" fillId="0" borderId="10" xfId="439" applyFont="1" applyBorder="1"/>
    <xf numFmtId="0" fontId="94" fillId="0" borderId="10" xfId="439" applyFont="1" applyBorder="1"/>
    <xf numFmtId="0" fontId="121" fillId="0" borderId="0" xfId="439" applyFont="1"/>
    <xf numFmtId="171" fontId="121" fillId="0" borderId="0" xfId="439" applyNumberFormat="1" applyFont="1"/>
    <xf numFmtId="2" fontId="147" fillId="0" borderId="0" xfId="441" applyNumberFormat="1" applyFont="1"/>
    <xf numFmtId="171" fontId="147" fillId="0" borderId="0" xfId="439" applyNumberFormat="1" applyFont="1"/>
    <xf numFmtId="0" fontId="111" fillId="27" borderId="15" xfId="439" applyFont="1" applyFill="1" applyBorder="1"/>
    <xf numFmtId="6" fontId="111" fillId="27" borderId="48" xfId="439" applyNumberFormat="1" applyFont="1" applyFill="1" applyBorder="1"/>
    <xf numFmtId="171" fontId="112" fillId="0" borderId="0" xfId="439" applyNumberFormat="1" applyFont="1"/>
    <xf numFmtId="9" fontId="94" fillId="28" borderId="29" xfId="439" applyNumberFormat="1" applyFont="1" applyFill="1" applyBorder="1"/>
    <xf numFmtId="9" fontId="94" fillId="28" borderId="5" xfId="439" applyNumberFormat="1" applyFont="1" applyFill="1" applyBorder="1"/>
    <xf numFmtId="9" fontId="94" fillId="28" borderId="30" xfId="439" applyNumberFormat="1" applyFont="1" applyFill="1" applyBorder="1"/>
    <xf numFmtId="0" fontId="94" fillId="28" borderId="31" xfId="439" applyFont="1" applyFill="1" applyBorder="1"/>
    <xf numFmtId="171" fontId="94" fillId="0" borderId="0" xfId="439" applyNumberFormat="1" applyFont="1" applyAlignment="1">
      <alignment horizontal="left" indent="1"/>
    </xf>
    <xf numFmtId="10" fontId="94" fillId="28" borderId="0" xfId="441" applyNumberFormat="1" applyFont="1" applyFill="1"/>
    <xf numFmtId="6" fontId="111" fillId="0" borderId="0" xfId="439" applyNumberFormat="1" applyFont="1"/>
    <xf numFmtId="172" fontId="111" fillId="0" borderId="0" xfId="441" applyNumberFormat="1" applyFont="1"/>
    <xf numFmtId="241" fontId="94" fillId="0" borderId="0" xfId="439" applyNumberFormat="1" applyFont="1"/>
    <xf numFmtId="171" fontId="94" fillId="0" borderId="0" xfId="439" applyNumberFormat="1" applyFont="1" applyAlignment="1">
      <alignment horizontal="right"/>
    </xf>
    <xf numFmtId="171" fontId="111" fillId="0" borderId="0" xfId="440" applyNumberFormat="1" applyFont="1" applyAlignment="1">
      <alignment horizontal="left"/>
    </xf>
    <xf numFmtId="0" fontId="126" fillId="0" borderId="0" xfId="439" applyFont="1"/>
    <xf numFmtId="9" fontId="126" fillId="0" borderId="0" xfId="439" applyNumberFormat="1" applyFont="1"/>
    <xf numFmtId="9" fontId="111" fillId="0" borderId="0" xfId="441" applyFont="1"/>
    <xf numFmtId="242" fontId="94" fillId="0" borderId="0" xfId="441" applyNumberFormat="1" applyFont="1"/>
    <xf numFmtId="43" fontId="94" fillId="28" borderId="31" xfId="440" applyFont="1" applyFill="1" applyBorder="1"/>
    <xf numFmtId="0" fontId="111" fillId="21" borderId="0" xfId="439" applyFont="1" applyFill="1"/>
    <xf numFmtId="6" fontId="9" fillId="0" borderId="0" xfId="439" applyNumberFormat="1"/>
    <xf numFmtId="172" fontId="94" fillId="21" borderId="0" xfId="441" applyNumberFormat="1" applyFont="1" applyFill="1"/>
    <xf numFmtId="0" fontId="97" fillId="0" borderId="0" xfId="439" applyFont="1"/>
    <xf numFmtId="0" fontId="144" fillId="0" borderId="0" xfId="440" applyNumberFormat="1" applyFont="1"/>
    <xf numFmtId="0" fontId="144" fillId="0" borderId="0" xfId="439" applyFont="1"/>
    <xf numFmtId="171" fontId="97" fillId="0" borderId="0" xfId="440" applyNumberFormat="1" applyFont="1"/>
    <xf numFmtId="171" fontId="97" fillId="0" borderId="0" xfId="439" applyNumberFormat="1" applyFont="1"/>
    <xf numFmtId="172" fontId="97" fillId="0" borderId="0" xfId="441" applyNumberFormat="1" applyFont="1"/>
    <xf numFmtId="172" fontId="97" fillId="0" borderId="0" xfId="439" applyNumberFormat="1" applyFont="1"/>
    <xf numFmtId="9" fontId="97" fillId="0" borderId="0" xfId="441" applyFont="1"/>
    <xf numFmtId="43" fontId="97" fillId="0" borderId="0" xfId="439" applyNumberFormat="1" applyFont="1"/>
    <xf numFmtId="171" fontId="144" fillId="21" borderId="0" xfId="440" applyNumberFormat="1" applyFont="1" applyFill="1"/>
    <xf numFmtId="0" fontId="148" fillId="0" borderId="0" xfId="442" applyAlignment="1" applyProtection="1"/>
    <xf numFmtId="1" fontId="97" fillId="0" borderId="0" xfId="439" applyNumberFormat="1" applyFont="1"/>
    <xf numFmtId="9" fontId="144" fillId="0" borderId="0" xfId="441" applyFont="1"/>
    <xf numFmtId="0" fontId="9" fillId="0" borderId="19" xfId="439" applyBorder="1"/>
    <xf numFmtId="0" fontId="9" fillId="0" borderId="6" xfId="439" applyBorder="1"/>
    <xf numFmtId="0" fontId="9" fillId="0" borderId="20" xfId="439" applyBorder="1"/>
    <xf numFmtId="0" fontId="9" fillId="0" borderId="22" xfId="439" applyBorder="1"/>
    <xf numFmtId="0" fontId="9" fillId="0" borderId="23" xfId="439" applyBorder="1"/>
    <xf numFmtId="0" fontId="9" fillId="0" borderId="24" xfId="439" applyBorder="1"/>
    <xf numFmtId="0" fontId="9" fillId="0" borderId="12" xfId="439" applyBorder="1"/>
    <xf numFmtId="0" fontId="9" fillId="0" borderId="25" xfId="439" applyBorder="1"/>
    <xf numFmtId="0" fontId="9" fillId="0" borderId="0" xfId="439" applyAlignment="1">
      <alignment horizontal="left" wrapText="1"/>
    </xf>
    <xf numFmtId="0" fontId="9" fillId="0" borderId="23" xfId="439" applyBorder="1" applyAlignment="1">
      <alignment horizontal="left" wrapText="1"/>
    </xf>
    <xf numFmtId="0" fontId="9" fillId="0" borderId="22" xfId="439" applyBorder="1" applyAlignment="1">
      <alignment horizontal="left" vertical="top" wrapText="1"/>
    </xf>
    <xf numFmtId="0" fontId="9" fillId="0" borderId="0" xfId="439" applyAlignment="1">
      <alignment horizontal="left" vertical="top" wrapText="1"/>
    </xf>
    <xf numFmtId="0" fontId="9" fillId="0" borderId="23" xfId="439" applyBorder="1" applyAlignment="1">
      <alignment horizontal="left" vertical="top" wrapText="1"/>
    </xf>
    <xf numFmtId="0" fontId="9" fillId="0" borderId="29" xfId="439" applyBorder="1"/>
    <xf numFmtId="0" fontId="9" fillId="0" borderId="30" xfId="439" applyBorder="1"/>
    <xf numFmtId="0" fontId="9" fillId="0" borderId="0" xfId="439" applyAlignment="1">
      <alignment wrapText="1"/>
    </xf>
    <xf numFmtId="0" fontId="9" fillId="0" borderId="25" xfId="439" applyBorder="1" applyAlignment="1">
      <alignment vertical="top" wrapText="1"/>
    </xf>
    <xf numFmtId="14" fontId="9" fillId="0" borderId="30" xfId="439" applyNumberFormat="1" applyBorder="1"/>
    <xf numFmtId="0" fontId="130" fillId="0" borderId="0" xfId="439" applyFont="1"/>
    <xf numFmtId="0" fontId="131" fillId="0" borderId="0" xfId="440" applyNumberFormat="1" applyFont="1"/>
    <xf numFmtId="0" fontId="131" fillId="0" borderId="0" xfId="439" applyFont="1"/>
    <xf numFmtId="171" fontId="130" fillId="0" borderId="0" xfId="440" applyNumberFormat="1" applyFont="1"/>
    <xf numFmtId="171" fontId="130" fillId="0" borderId="0" xfId="439" applyNumberFormat="1" applyFont="1"/>
    <xf numFmtId="172" fontId="130" fillId="0" borderId="0" xfId="441" applyNumberFormat="1" applyFont="1"/>
    <xf numFmtId="172" fontId="130" fillId="0" borderId="0" xfId="439" applyNumberFormat="1" applyFont="1"/>
    <xf numFmtId="9" fontId="130" fillId="0" borderId="0" xfId="439" applyNumberFormat="1" applyFont="1"/>
    <xf numFmtId="0" fontId="130" fillId="30" borderId="0" xfId="433" applyFont="1" applyFill="1"/>
    <xf numFmtId="172" fontId="130" fillId="30" borderId="0" xfId="394" applyNumberFormat="1" applyFont="1" applyFill="1"/>
    <xf numFmtId="0" fontId="131" fillId="30" borderId="0" xfId="440" applyNumberFormat="1" applyFont="1" applyFill="1"/>
    <xf numFmtId="171" fontId="130" fillId="30" borderId="0" xfId="440" applyNumberFormat="1" applyFont="1" applyFill="1"/>
    <xf numFmtId="172" fontId="130" fillId="30" borderId="0" xfId="441" applyNumberFormat="1" applyFont="1" applyFill="1"/>
    <xf numFmtId="171" fontId="131" fillId="30" borderId="0" xfId="440" applyNumberFormat="1" applyFont="1" applyFill="1"/>
    <xf numFmtId="171" fontId="130" fillId="30" borderId="0" xfId="434" applyNumberFormat="1" applyFont="1" applyFill="1"/>
    <xf numFmtId="0" fontId="138" fillId="30" borderId="0" xfId="433" applyFont="1" applyFill="1"/>
    <xf numFmtId="0" fontId="139" fillId="30" borderId="0" xfId="433" applyFont="1" applyFill="1"/>
    <xf numFmtId="171" fontId="130" fillId="30" borderId="0" xfId="433" applyNumberFormat="1" applyFont="1" applyFill="1"/>
    <xf numFmtId="171" fontId="139" fillId="30" borderId="0" xfId="433" applyNumberFormat="1" applyFont="1" applyFill="1"/>
    <xf numFmtId="0" fontId="131" fillId="30" borderId="0" xfId="433" applyFont="1" applyFill="1"/>
    <xf numFmtId="171" fontId="131" fillId="30" borderId="0" xfId="432" applyNumberFormat="1" applyFont="1" applyFill="1"/>
    <xf numFmtId="171" fontId="130" fillId="0" borderId="0" xfId="432" applyNumberFormat="1" applyFont="1"/>
    <xf numFmtId="171" fontId="138" fillId="30" borderId="0" xfId="432" applyNumberFormat="1" applyFont="1" applyFill="1"/>
    <xf numFmtId="171" fontId="131" fillId="0" borderId="0" xfId="432" applyNumberFormat="1" applyFont="1"/>
    <xf numFmtId="171" fontId="130" fillId="30" borderId="0" xfId="432" applyNumberFormat="1" applyFont="1" applyFill="1"/>
    <xf numFmtId="171" fontId="131" fillId="0" borderId="0" xfId="394" applyNumberFormat="1" applyFont="1"/>
    <xf numFmtId="172" fontId="94" fillId="3" borderId="0" xfId="394" applyNumberFormat="1" applyFont="1" applyFill="1" applyBorder="1" applyAlignment="1">
      <alignment horizontal="right"/>
    </xf>
    <xf numFmtId="171" fontId="53" fillId="2" borderId="0" xfId="432" quotePrefix="1" applyNumberFormat="1" applyFont="1" applyFill="1" applyBorder="1" applyAlignment="1" applyProtection="1">
      <alignment horizontal="right"/>
    </xf>
    <xf numFmtId="1" fontId="0" fillId="0" borderId="0" xfId="0" applyNumberFormat="1"/>
    <xf numFmtId="1" fontId="129" fillId="0" borderId="0" xfId="0" applyNumberFormat="1" applyFont="1"/>
    <xf numFmtId="172" fontId="9" fillId="0" borderId="49" xfId="441" applyNumberFormat="1" applyFont="1" applyBorder="1"/>
    <xf numFmtId="171" fontId="9" fillId="0" borderId="0" xfId="432" applyNumberFormat="1" applyFont="1"/>
    <xf numFmtId="1" fontId="13" fillId="0" borderId="0" xfId="439" applyNumberFormat="1" applyFont="1"/>
    <xf numFmtId="171" fontId="13" fillId="0" borderId="0" xfId="432" applyNumberFormat="1" applyFont="1"/>
    <xf numFmtId="172" fontId="94" fillId="28" borderId="22" xfId="439" applyNumberFormat="1" applyFont="1" applyFill="1" applyBorder="1"/>
    <xf numFmtId="172" fontId="94" fillId="28" borderId="0" xfId="439" applyNumberFormat="1" applyFont="1" applyFill="1"/>
    <xf numFmtId="172" fontId="94" fillId="28" borderId="0" xfId="441" applyNumberFormat="1" applyFont="1" applyFill="1" applyBorder="1"/>
    <xf numFmtId="43" fontId="94" fillId="28" borderId="22" xfId="432" applyFont="1" applyFill="1" applyBorder="1"/>
    <xf numFmtId="43" fontId="94" fillId="28" borderId="0" xfId="432" applyFont="1" applyFill="1" applyBorder="1"/>
    <xf numFmtId="10" fontId="94" fillId="0" borderId="0" xfId="441" applyNumberFormat="1" applyFont="1" applyFill="1" applyAlignment="1">
      <alignment horizontal="right"/>
    </xf>
    <xf numFmtId="10" fontId="94" fillId="0" borderId="0" xfId="439" applyNumberFormat="1" applyFont="1"/>
    <xf numFmtId="10" fontId="94" fillId="0" borderId="0" xfId="441" applyNumberFormat="1" applyFont="1"/>
    <xf numFmtId="9" fontId="94" fillId="0" borderId="0" xfId="394" applyFont="1" applyFill="1"/>
    <xf numFmtId="1" fontId="111" fillId="0" borderId="0" xfId="439" applyNumberFormat="1" applyFont="1"/>
    <xf numFmtId="171" fontId="94" fillId="0" borderId="0" xfId="432" applyNumberFormat="1" applyFont="1" applyFill="1"/>
    <xf numFmtId="9" fontId="94" fillId="0" borderId="0" xfId="394" applyFont="1"/>
    <xf numFmtId="178" fontId="94" fillId="0" borderId="0" xfId="440" applyNumberFormat="1" applyFont="1"/>
    <xf numFmtId="3" fontId="0" fillId="0" borderId="0" xfId="0" applyNumberFormat="1"/>
    <xf numFmtId="171" fontId="0" fillId="0" borderId="0" xfId="432" applyNumberFormat="1" applyFont="1"/>
    <xf numFmtId="9" fontId="0" fillId="0" borderId="0" xfId="394" applyFont="1"/>
    <xf numFmtId="0" fontId="0" fillId="0" borderId="0" xfId="439" applyFont="1"/>
    <xf numFmtId="171" fontId="111" fillId="0" borderId="0" xfId="432" applyNumberFormat="1" applyFont="1"/>
    <xf numFmtId="171" fontId="94" fillId="0" borderId="0" xfId="432" applyNumberFormat="1" applyFont="1"/>
    <xf numFmtId="0" fontId="142" fillId="25" borderId="29" xfId="439" applyFont="1" applyFill="1" applyBorder="1" applyAlignment="1">
      <alignment horizontal="center" wrapText="1"/>
    </xf>
    <xf numFmtId="0" fontId="142" fillId="25" borderId="29" xfId="439" applyFont="1" applyFill="1" applyBorder="1" applyAlignment="1">
      <alignment horizontal="left" wrapText="1"/>
    </xf>
    <xf numFmtId="171" fontId="142" fillId="25" borderId="29" xfId="440" applyNumberFormat="1" applyFont="1" applyFill="1" applyBorder="1" applyAlignment="1">
      <alignment horizontal="left" wrapText="1"/>
    </xf>
    <xf numFmtId="0" fontId="13" fillId="0" borderId="0" xfId="439" applyFont="1" applyAlignment="1">
      <alignment horizontal="center" wrapText="1"/>
    </xf>
    <xf numFmtId="43" fontId="147" fillId="0" borderId="0" xfId="432" applyFont="1"/>
    <xf numFmtId="10" fontId="111" fillId="0" borderId="0" xfId="439" applyNumberFormat="1" applyFont="1" applyAlignment="1">
      <alignment horizontal="right"/>
    </xf>
    <xf numFmtId="43" fontId="130" fillId="0" borderId="0" xfId="432" applyFont="1"/>
    <xf numFmtId="171" fontId="131" fillId="0" borderId="0" xfId="440" applyNumberFormat="1" applyFont="1" applyFill="1"/>
    <xf numFmtId="172" fontId="53" fillId="0" borderId="0" xfId="394" quotePrefix="1" applyNumberFormat="1" applyFont="1" applyFill="1" applyBorder="1" applyAlignment="1" applyProtection="1">
      <alignment horizontal="right"/>
    </xf>
    <xf numFmtId="2" fontId="94" fillId="2" borderId="0" xfId="6" applyNumberFormat="1" applyFont="1" applyFill="1" applyAlignment="1">
      <alignment horizontal="right"/>
    </xf>
    <xf numFmtId="2" fontId="94" fillId="0" borderId="0" xfId="6" applyNumberFormat="1" applyFont="1" applyFill="1" applyAlignment="1">
      <alignment horizontal="right"/>
    </xf>
    <xf numFmtId="43" fontId="13" fillId="0" borderId="0" xfId="439" applyNumberFormat="1" applyFont="1"/>
    <xf numFmtId="9" fontId="0" fillId="0" borderId="0" xfId="0" applyNumberFormat="1"/>
    <xf numFmtId="43" fontId="130" fillId="0" borderId="0" xfId="433" applyNumberFormat="1" applyFont="1"/>
    <xf numFmtId="171" fontId="94" fillId="0" borderId="0" xfId="432" applyNumberFormat="1" applyFont="1" applyFill="1" applyProtection="1"/>
    <xf numFmtId="0" fontId="53" fillId="0" borderId="31" xfId="1" applyFont="1" applyBorder="1"/>
    <xf numFmtId="3" fontId="53" fillId="0" borderId="29" xfId="1" quotePrefix="1" applyNumberFormat="1" applyFont="1" applyBorder="1" applyAlignment="1">
      <alignment horizontal="right"/>
    </xf>
    <xf numFmtId="171" fontId="0" fillId="0" borderId="0" xfId="0" applyNumberFormat="1"/>
    <xf numFmtId="178" fontId="0" fillId="0" borderId="0" xfId="0" applyNumberFormat="1"/>
    <xf numFmtId="0" fontId="97" fillId="0" borderId="36" xfId="0" applyFont="1" applyBorder="1" applyAlignment="1">
      <alignment horizontal="justify" vertical="top" wrapText="1"/>
    </xf>
    <xf numFmtId="0" fontId="97" fillId="0" borderId="25" xfId="0" applyFont="1" applyBorder="1" applyAlignment="1">
      <alignment horizontal="right" vertical="top" wrapText="1"/>
    </xf>
    <xf numFmtId="0" fontId="97" fillId="0" borderId="36" xfId="0" applyFont="1" applyBorder="1" applyAlignment="1">
      <alignment horizontal="left" vertical="top" wrapText="1"/>
    </xf>
    <xf numFmtId="0" fontId="97" fillId="0" borderId="23" xfId="0" applyFont="1" applyBorder="1" applyAlignment="1">
      <alignment horizontal="justify" vertical="top" wrapText="1"/>
    </xf>
    <xf numFmtId="0" fontId="97" fillId="0" borderId="23" xfId="0" applyFont="1" applyBorder="1" applyAlignment="1">
      <alignment horizontal="left" vertical="top" wrapText="1"/>
    </xf>
    <xf numFmtId="0" fontId="97" fillId="0" borderId="12" xfId="0" applyFont="1" applyBorder="1" applyAlignment="1">
      <alignment horizontal="right" vertical="top" wrapText="1"/>
    </xf>
    <xf numFmtId="0" fontId="149" fillId="31" borderId="0" xfId="0" applyFont="1" applyFill="1" applyAlignment="1">
      <alignment horizontal="center" vertical="top" wrapText="1"/>
    </xf>
    <xf numFmtId="0" fontId="97" fillId="0" borderId="0" xfId="0" applyFont="1" applyAlignment="1">
      <alignment horizontal="right" vertical="top" wrapText="1"/>
    </xf>
    <xf numFmtId="0" fontId="144" fillId="0" borderId="0" xfId="0" applyFont="1" applyAlignment="1">
      <alignment horizontal="right" vertical="top" wrapText="1"/>
    </xf>
    <xf numFmtId="0" fontId="144" fillId="0" borderId="0" xfId="0" applyFont="1" applyAlignment="1">
      <alignment horizontal="center" vertical="top" wrapText="1"/>
    </xf>
    <xf numFmtId="9" fontId="97" fillId="0" borderId="0" xfId="394" applyFont="1" applyBorder="1" applyAlignment="1">
      <alignment horizontal="right" vertical="top" wrapText="1"/>
    </xf>
    <xf numFmtId="1" fontId="97" fillId="0" borderId="0" xfId="0" applyNumberFormat="1" applyFont="1" applyAlignment="1">
      <alignment horizontal="right" vertical="top" wrapText="1"/>
    </xf>
    <xf numFmtId="40" fontId="53" fillId="21" borderId="0" xfId="1" applyNumberFormat="1" applyFont="1" applyFill="1" applyAlignment="1">
      <alignment horizontal="right"/>
    </xf>
    <xf numFmtId="43" fontId="53" fillId="21" borderId="0" xfId="432" applyFont="1" applyFill="1" applyBorder="1" applyAlignment="1">
      <alignment horizontal="right"/>
    </xf>
    <xf numFmtId="171" fontId="94" fillId="0" borderId="0" xfId="432" applyNumberFormat="1" applyFont="1" applyAlignment="1">
      <alignment horizontal="right"/>
    </xf>
    <xf numFmtId="171" fontId="94" fillId="0" borderId="0" xfId="432" applyNumberFormat="1" applyFont="1" applyFill="1" applyAlignment="1">
      <alignment horizontal="right"/>
    </xf>
    <xf numFmtId="171" fontId="94" fillId="0" borderId="0" xfId="3" applyNumberFormat="1" applyFont="1" applyAlignment="1">
      <alignment horizontal="right"/>
    </xf>
    <xf numFmtId="43" fontId="94" fillId="0" borderId="0" xfId="3" applyNumberFormat="1" applyFont="1" applyAlignment="1">
      <alignment horizontal="right"/>
    </xf>
    <xf numFmtId="172" fontId="13" fillId="0" borderId="0" xfId="441" applyNumberFormat="1" applyFont="1"/>
    <xf numFmtId="0" fontId="150" fillId="0" borderId="6" xfId="0" applyFont="1" applyBorder="1" applyAlignment="1">
      <alignment horizontal="right"/>
    </xf>
    <xf numFmtId="0" fontId="150" fillId="0" borderId="0" xfId="0" applyFont="1" applyAlignment="1">
      <alignment horizontal="right"/>
    </xf>
    <xf numFmtId="0" fontId="13" fillId="0" borderId="0" xfId="0" applyFont="1" applyAlignment="1">
      <alignment horizontal="right"/>
    </xf>
    <xf numFmtId="0" fontId="129" fillId="0" borderId="0" xfId="0" applyFont="1" applyAlignment="1">
      <alignment horizontal="right"/>
    </xf>
    <xf numFmtId="172" fontId="0" fillId="0" borderId="0" xfId="394" applyNumberFormat="1" applyFont="1"/>
    <xf numFmtId="0" fontId="144" fillId="0" borderId="0" xfId="0" applyFont="1" applyAlignment="1">
      <alignment horizontal="center" vertical="center" wrapText="1"/>
    </xf>
    <xf numFmtId="0" fontId="144" fillId="0" borderId="0" xfId="0" applyFont="1" applyAlignment="1">
      <alignment horizontal="left" vertical="center"/>
    </xf>
    <xf numFmtId="0" fontId="144" fillId="0" borderId="0" xfId="0" applyFont="1" applyAlignment="1">
      <alignment vertical="center" wrapText="1"/>
    </xf>
    <xf numFmtId="0" fontId="144" fillId="0" borderId="0" xfId="0" applyFont="1" applyAlignment="1">
      <alignment vertical="center"/>
    </xf>
    <xf numFmtId="0" fontId="144" fillId="0" borderId="0" xfId="0" applyFont="1"/>
    <xf numFmtId="0" fontId="144" fillId="0" borderId="0" xfId="0" applyFont="1" applyAlignment="1">
      <alignment horizontal="center" vertical="center"/>
    </xf>
    <xf numFmtId="0" fontId="97" fillId="0" borderId="0" xfId="0" applyFont="1" applyAlignment="1">
      <alignment horizontal="left" vertical="center" indent="3"/>
    </xf>
    <xf numFmtId="0" fontId="97" fillId="0" borderId="0" xfId="0" applyFont="1" applyAlignment="1">
      <alignment vertical="center" wrapText="1"/>
    </xf>
    <xf numFmtId="0" fontId="97" fillId="0" borderId="0" xfId="0" applyFont="1" applyAlignment="1">
      <alignment vertical="center"/>
    </xf>
    <xf numFmtId="0" fontId="97" fillId="0" borderId="0" xfId="0" applyFont="1" applyAlignment="1">
      <alignment horizontal="center" vertical="center"/>
    </xf>
    <xf numFmtId="243" fontId="97" fillId="0" borderId="0" xfId="432" applyNumberFormat="1" applyFont="1" applyAlignment="1">
      <alignment vertical="center"/>
    </xf>
    <xf numFmtId="172" fontId="97" fillId="0" borderId="0" xfId="394" applyNumberFormat="1" applyFont="1" applyAlignment="1">
      <alignment vertical="center"/>
    </xf>
    <xf numFmtId="0" fontId="97" fillId="21" borderId="0" xfId="0" applyFont="1" applyFill="1" applyAlignment="1">
      <alignment horizontal="left" vertical="center" indent="3"/>
    </xf>
    <xf numFmtId="0" fontId="97" fillId="21" borderId="0" xfId="0" applyFont="1" applyFill="1" applyAlignment="1">
      <alignment vertical="center" wrapText="1"/>
    </xf>
    <xf numFmtId="0" fontId="97" fillId="21" borderId="0" xfId="0" applyFont="1" applyFill="1" applyAlignment="1">
      <alignment vertical="center"/>
    </xf>
    <xf numFmtId="0" fontId="97" fillId="21" borderId="0" xfId="0" applyFont="1" applyFill="1" applyAlignment="1">
      <alignment horizontal="center" vertical="center"/>
    </xf>
    <xf numFmtId="243" fontId="97" fillId="21" borderId="0" xfId="432" applyNumberFormat="1" applyFont="1" applyFill="1" applyAlignment="1">
      <alignment vertical="center"/>
    </xf>
    <xf numFmtId="172" fontId="97" fillId="21" borderId="0" xfId="394" applyNumberFormat="1" applyFont="1" applyFill="1" applyAlignment="1">
      <alignment vertical="center"/>
    </xf>
    <xf numFmtId="0" fontId="97" fillId="0" borderId="0" xfId="0" applyFont="1"/>
    <xf numFmtId="0" fontId="97" fillId="0" borderId="0" xfId="0" applyFont="1" applyAlignment="1">
      <alignment horizontal="center" vertical="center" wrapText="1"/>
    </xf>
    <xf numFmtId="0" fontId="97" fillId="21" borderId="0" xfId="0" applyFont="1" applyFill="1" applyAlignment="1">
      <alignment horizontal="center" vertical="center" wrapText="1"/>
    </xf>
    <xf numFmtId="17" fontId="97" fillId="0" borderId="0" xfId="0" applyNumberFormat="1" applyFont="1"/>
    <xf numFmtId="0" fontId="97" fillId="0" borderId="0" xfId="0" applyFont="1" applyAlignment="1">
      <alignment horizontal="left" vertical="center" wrapText="1" indent="3"/>
    </xf>
    <xf numFmtId="0" fontId="94" fillId="0" borderId="0" xfId="0" applyFont="1" applyAlignment="1">
      <alignment horizontal="left" vertical="center" indent="3"/>
    </xf>
    <xf numFmtId="0" fontId="94" fillId="0" borderId="0" xfId="0" applyFont="1" applyAlignment="1">
      <alignment horizontal="left" vertical="center" wrapText="1" indent="3"/>
    </xf>
    <xf numFmtId="0" fontId="94" fillId="21" borderId="0" xfId="0" applyFont="1" applyFill="1" applyAlignment="1">
      <alignment horizontal="left" vertical="center" indent="3"/>
    </xf>
    <xf numFmtId="0" fontId="111" fillId="2" borderId="0" xfId="439" applyFont="1" applyFill="1" applyAlignment="1">
      <alignment horizontal="center" wrapText="1"/>
    </xf>
    <xf numFmtId="0" fontId="111" fillId="2" borderId="0" xfId="439" applyFont="1" applyFill="1" applyAlignment="1">
      <alignment horizontal="center"/>
    </xf>
    <xf numFmtId="172" fontId="94" fillId="0" borderId="0" xfId="394" applyNumberFormat="1" applyFont="1"/>
    <xf numFmtId="171" fontId="111" fillId="0" borderId="0" xfId="0" applyNumberFormat="1" applyFont="1"/>
    <xf numFmtId="43" fontId="94" fillId="0" borderId="0" xfId="432" applyFont="1"/>
    <xf numFmtId="171" fontId="130" fillId="0" borderId="0" xfId="440" applyNumberFormat="1" applyFont="1" applyFill="1"/>
    <xf numFmtId="171" fontId="131" fillId="0" borderId="0" xfId="440" applyNumberFormat="1" applyFont="1"/>
    <xf numFmtId="44" fontId="0" fillId="0" borderId="0" xfId="443" applyFont="1"/>
    <xf numFmtId="171" fontId="97" fillId="0" borderId="0" xfId="432" applyNumberFormat="1" applyFont="1"/>
    <xf numFmtId="9" fontId="131" fillId="0" borderId="0" xfId="394" applyFont="1" applyFill="1"/>
    <xf numFmtId="43" fontId="131" fillId="0" borderId="0" xfId="432" applyFont="1" applyFill="1"/>
    <xf numFmtId="10" fontId="94" fillId="28" borderId="22" xfId="394" applyNumberFormat="1" applyFont="1" applyFill="1" applyBorder="1"/>
    <xf numFmtId="171" fontId="113" fillId="0" borderId="0" xfId="439" applyNumberFormat="1" applyFont="1"/>
    <xf numFmtId="10" fontId="94" fillId="0" borderId="0" xfId="394" applyNumberFormat="1" applyFont="1"/>
    <xf numFmtId="10" fontId="9" fillId="0" borderId="0" xfId="394" applyNumberFormat="1" applyFont="1"/>
    <xf numFmtId="173" fontId="94" fillId="0" borderId="0" xfId="3" applyNumberFormat="1" applyFont="1" applyAlignment="1">
      <alignment horizontal="right"/>
    </xf>
    <xf numFmtId="0" fontId="94" fillId="0" borderId="0" xfId="3" quotePrefix="1" applyFont="1"/>
    <xf numFmtId="178" fontId="94" fillId="0" borderId="0" xfId="432" applyNumberFormat="1" applyFont="1" applyBorder="1" applyAlignment="1">
      <alignment horizontal="right"/>
    </xf>
    <xf numFmtId="43" fontId="0" fillId="0" borderId="0" xfId="432" applyFont="1"/>
    <xf numFmtId="173" fontId="0" fillId="0" borderId="0" xfId="0" applyNumberFormat="1"/>
    <xf numFmtId="171" fontId="129" fillId="0" borderId="0" xfId="432" applyNumberFormat="1" applyFont="1"/>
    <xf numFmtId="0" fontId="129" fillId="0" borderId="0" xfId="0" applyFont="1" applyAlignment="1">
      <alignment horizontal="center"/>
    </xf>
    <xf numFmtId="171" fontId="129" fillId="0" borderId="0" xfId="0" applyNumberFormat="1" applyFont="1"/>
    <xf numFmtId="43" fontId="0" fillId="0" borderId="0" xfId="0" applyNumberFormat="1"/>
    <xf numFmtId="172" fontId="111" fillId="0" borderId="0" xfId="394" applyNumberFormat="1" applyFont="1" applyFill="1"/>
    <xf numFmtId="0" fontId="141" fillId="0" borderId="0" xfId="444" applyFont="1"/>
    <xf numFmtId="0" fontId="141" fillId="0" borderId="0" xfId="444" applyFont="1" applyAlignment="1">
      <alignment wrapText="1"/>
    </xf>
    <xf numFmtId="0" fontId="8" fillId="0" borderId="0" xfId="444"/>
    <xf numFmtId="9" fontId="8" fillId="0" borderId="0" xfId="444" applyNumberFormat="1"/>
    <xf numFmtId="171" fontId="0" fillId="0" borderId="0" xfId="445" applyNumberFormat="1" applyFont="1"/>
    <xf numFmtId="0" fontId="0" fillId="0" borderId="0" xfId="445" applyNumberFormat="1" applyFont="1" applyAlignment="1">
      <alignment horizontal="right"/>
    </xf>
    <xf numFmtId="0" fontId="8" fillId="0" borderId="0" xfId="444" applyAlignment="1">
      <alignment wrapText="1"/>
    </xf>
    <xf numFmtId="20" fontId="8" fillId="0" borderId="0" xfId="444" applyNumberFormat="1"/>
    <xf numFmtId="0" fontId="8" fillId="21" borderId="0" xfId="444" applyFill="1"/>
    <xf numFmtId="9" fontId="8" fillId="21" borderId="0" xfId="444" applyNumberFormat="1" applyFill="1"/>
    <xf numFmtId="171" fontId="0" fillId="21" borderId="0" xfId="445" applyNumberFormat="1" applyFont="1" applyFill="1"/>
    <xf numFmtId="0" fontId="0" fillId="21" borderId="0" xfId="445" applyNumberFormat="1" applyFont="1" applyFill="1" applyAlignment="1">
      <alignment horizontal="right"/>
    </xf>
    <xf numFmtId="172" fontId="53" fillId="2" borderId="0" xfId="394" quotePrefix="1" applyNumberFormat="1" applyFont="1" applyFill="1" applyBorder="1" applyAlignment="1" applyProtection="1">
      <alignment horizontal="right"/>
    </xf>
    <xf numFmtId="172" fontId="53" fillId="3" borderId="0" xfId="394" quotePrefix="1" applyNumberFormat="1" applyFont="1" applyFill="1" applyBorder="1" applyAlignment="1" applyProtection="1">
      <alignment horizontal="right"/>
    </xf>
    <xf numFmtId="10" fontId="94" fillId="0" borderId="0" xfId="394" applyNumberFormat="1" applyFont="1" applyFill="1" applyAlignment="1">
      <alignment horizontal="right"/>
    </xf>
    <xf numFmtId="168" fontId="53" fillId="2" borderId="0" xfId="1" quotePrefix="1" applyNumberFormat="1" applyFont="1" applyFill="1" applyAlignment="1">
      <alignment horizontal="right"/>
    </xf>
    <xf numFmtId="171" fontId="13" fillId="21" borderId="40" xfId="440" applyNumberFormat="1" applyFont="1" applyFill="1" applyBorder="1"/>
    <xf numFmtId="171" fontId="13" fillId="21" borderId="41" xfId="440" applyNumberFormat="1" applyFont="1" applyFill="1" applyBorder="1"/>
    <xf numFmtId="0" fontId="141" fillId="0" borderId="29" xfId="439" applyFont="1" applyBorder="1"/>
    <xf numFmtId="0" fontId="141" fillId="0" borderId="5" xfId="439" applyFont="1" applyBorder="1"/>
    <xf numFmtId="0" fontId="151" fillId="0" borderId="0" xfId="439" applyFont="1"/>
    <xf numFmtId="171" fontId="151" fillId="0" borderId="0" xfId="440" applyNumberFormat="1" applyFont="1"/>
    <xf numFmtId="0" fontId="151" fillId="0" borderId="22" xfId="439" applyFont="1" applyBorder="1"/>
    <xf numFmtId="0" fontId="151" fillId="0" borderId="0" xfId="439" applyFont="1" applyAlignment="1">
      <alignment wrapText="1"/>
    </xf>
    <xf numFmtId="0" fontId="151" fillId="26" borderId="0" xfId="439" applyFont="1" applyFill="1"/>
    <xf numFmtId="9" fontId="151" fillId="0" borderId="0" xfId="439" applyNumberFormat="1" applyFont="1"/>
    <xf numFmtId="171" fontId="151" fillId="0" borderId="0" xfId="440" applyNumberFormat="1" applyFont="1" applyBorder="1"/>
    <xf numFmtId="10" fontId="151" fillId="0" borderId="0" xfId="441" applyNumberFormat="1" applyFont="1" applyFill="1" applyBorder="1"/>
    <xf numFmtId="171" fontId="151" fillId="0" borderId="0" xfId="440" applyNumberFormat="1" applyFont="1" applyFill="1" applyBorder="1"/>
    <xf numFmtId="0" fontId="151" fillId="0" borderId="23" xfId="439" applyFont="1" applyBorder="1" applyAlignment="1">
      <alignment horizontal="right"/>
    </xf>
    <xf numFmtId="10" fontId="151" fillId="0" borderId="0" xfId="441" applyNumberFormat="1" applyFont="1" applyFill="1" applyBorder="1" applyAlignment="1">
      <alignment horizontal="right"/>
    </xf>
    <xf numFmtId="171" fontId="151" fillId="0" borderId="0" xfId="440" applyNumberFormat="1" applyFont="1" applyFill="1" applyBorder="1" applyAlignment="1">
      <alignment horizontal="right"/>
    </xf>
    <xf numFmtId="10" fontId="151" fillId="0" borderId="0" xfId="441" applyNumberFormat="1" applyFont="1" applyFill="1" applyBorder="1" applyAlignment="1">
      <alignment horizontal="left"/>
    </xf>
    <xf numFmtId="0" fontId="151" fillId="0" borderId="0" xfId="439" applyFont="1" applyAlignment="1">
      <alignment horizontal="left" wrapText="1"/>
    </xf>
    <xf numFmtId="0" fontId="151" fillId="0" borderId="0" xfId="439" applyFont="1" applyAlignment="1">
      <alignment vertical="top" wrapText="1"/>
    </xf>
    <xf numFmtId="171" fontId="151" fillId="0" borderId="0" xfId="440" applyNumberFormat="1" applyFont="1" applyFill="1" applyBorder="1" applyAlignment="1">
      <alignment horizontal="right" wrapText="1"/>
    </xf>
    <xf numFmtId="0" fontId="151" fillId="0" borderId="2" xfId="439" applyFont="1" applyBorder="1"/>
    <xf numFmtId="9" fontId="151" fillId="0" borderId="2" xfId="439" applyNumberFormat="1" applyFont="1" applyBorder="1"/>
    <xf numFmtId="171" fontId="151" fillId="0" borderId="2" xfId="440" applyNumberFormat="1" applyFont="1" applyFill="1" applyBorder="1"/>
    <xf numFmtId="9" fontId="151" fillId="0" borderId="2" xfId="441" applyFont="1" applyFill="1" applyBorder="1"/>
    <xf numFmtId="10" fontId="151" fillId="0" borderId="2" xfId="441" applyNumberFormat="1" applyFont="1" applyFill="1" applyBorder="1" applyAlignment="1">
      <alignment horizontal="left"/>
    </xf>
    <xf numFmtId="0" fontId="151" fillId="0" borderId="39" xfId="439" applyFont="1" applyBorder="1" applyAlignment="1">
      <alignment horizontal="right"/>
    </xf>
    <xf numFmtId="10" fontId="151" fillId="0" borderId="2" xfId="441" applyNumberFormat="1" applyFont="1" applyFill="1" applyBorder="1"/>
    <xf numFmtId="0" fontId="153" fillId="0" borderId="0" xfId="439" applyFont="1"/>
    <xf numFmtId="171" fontId="154" fillId="0" borderId="0" xfId="439" applyNumberFormat="1" applyFont="1"/>
    <xf numFmtId="171" fontId="153" fillId="0" borderId="0" xfId="440" applyNumberFormat="1" applyFont="1"/>
    <xf numFmtId="9" fontId="153" fillId="0" borderId="0" xfId="394" applyFont="1"/>
    <xf numFmtId="171" fontId="151" fillId="0" borderId="0" xfId="439" applyNumberFormat="1" applyFont="1"/>
    <xf numFmtId="43" fontId="151" fillId="0" borderId="0" xfId="440" applyFont="1"/>
    <xf numFmtId="9" fontId="151" fillId="0" borderId="0" xfId="441" applyFont="1"/>
    <xf numFmtId="240" fontId="151" fillId="0" borderId="0" xfId="439" applyNumberFormat="1" applyFont="1"/>
    <xf numFmtId="172" fontId="151" fillId="0" borderId="0" xfId="439" applyNumberFormat="1" applyFont="1"/>
    <xf numFmtId="9" fontId="153" fillId="0" borderId="0" xfId="439" applyNumberFormat="1" applyFont="1"/>
    <xf numFmtId="0" fontId="151" fillId="0" borderId="43" xfId="439" applyFont="1" applyBorder="1"/>
    <xf numFmtId="171" fontId="153" fillId="21" borderId="33" xfId="432" applyNumberFormat="1" applyFont="1" applyFill="1" applyBorder="1"/>
    <xf numFmtId="0" fontId="153" fillId="0" borderId="44" xfId="439" applyFont="1" applyBorder="1"/>
    <xf numFmtId="171" fontId="151" fillId="21" borderId="11" xfId="440" applyNumberFormat="1" applyFont="1" applyFill="1" applyBorder="1"/>
    <xf numFmtId="0" fontId="153" fillId="0" borderId="46" xfId="439" applyFont="1" applyBorder="1"/>
    <xf numFmtId="172" fontId="151" fillId="21" borderId="47" xfId="441" applyNumberFormat="1" applyFont="1" applyFill="1" applyBorder="1"/>
    <xf numFmtId="172" fontId="151" fillId="0" borderId="0" xfId="394" applyNumberFormat="1" applyFont="1"/>
    <xf numFmtId="171" fontId="151" fillId="0" borderId="0" xfId="432" applyNumberFormat="1" applyFont="1"/>
    <xf numFmtId="0" fontId="152" fillId="25" borderId="29" xfId="439" applyFont="1" applyFill="1" applyBorder="1" applyAlignment="1">
      <alignment horizontal="center" wrapText="1"/>
    </xf>
    <xf numFmtId="0" fontId="152" fillId="25" borderId="29" xfId="439" applyFont="1" applyFill="1" applyBorder="1" applyAlignment="1">
      <alignment horizontal="left" wrapText="1"/>
    </xf>
    <xf numFmtId="171" fontId="152" fillId="25" borderId="29" xfId="440" applyNumberFormat="1" applyFont="1" applyFill="1" applyBorder="1" applyAlignment="1">
      <alignment horizontal="left" wrapText="1"/>
    </xf>
    <xf numFmtId="0" fontId="151" fillId="0" borderId="0" xfId="439" applyFont="1" applyAlignment="1">
      <alignment horizontal="center" wrapText="1"/>
    </xf>
    <xf numFmtId="1" fontId="110" fillId="0" borderId="0" xfId="1" applyNumberFormat="1" applyFont="1" applyAlignment="1">
      <alignment horizontal="center"/>
    </xf>
    <xf numFmtId="10" fontId="130" fillId="30" borderId="0" xfId="394" applyNumberFormat="1" applyFont="1" applyFill="1"/>
    <xf numFmtId="0" fontId="111" fillId="0" borderId="31" xfId="0" applyFont="1" applyBorder="1" applyAlignment="1">
      <alignment horizontal="left"/>
    </xf>
    <xf numFmtId="0" fontId="111" fillId="0" borderId="30" xfId="0" applyFont="1" applyBorder="1" applyAlignment="1">
      <alignment horizontal="right"/>
    </xf>
    <xf numFmtId="0" fontId="111" fillId="0" borderId="30" xfId="0" applyFont="1" applyBorder="1" applyAlignment="1">
      <alignment horizontal="right" wrapText="1"/>
    </xf>
    <xf numFmtId="0" fontId="111" fillId="23" borderId="30" xfId="0" applyFont="1" applyFill="1" applyBorder="1" applyAlignment="1">
      <alignment horizontal="right" wrapText="1"/>
    </xf>
    <xf numFmtId="0" fontId="111" fillId="23" borderId="30" xfId="0" applyFont="1" applyFill="1" applyBorder="1" applyAlignment="1">
      <alignment horizontal="right"/>
    </xf>
    <xf numFmtId="0" fontId="94" fillId="0" borderId="36" xfId="0" applyFont="1" applyBorder="1" applyAlignment="1">
      <alignment horizontal="left"/>
    </xf>
    <xf numFmtId="171" fontId="122" fillId="0" borderId="25" xfId="0" applyNumberFormat="1" applyFont="1" applyBorder="1" applyAlignment="1">
      <alignment horizontal="right"/>
    </xf>
    <xf numFmtId="0" fontId="122" fillId="0" borderId="25" xfId="0" applyFont="1" applyBorder="1" applyAlignment="1">
      <alignment horizontal="right" wrapText="1"/>
    </xf>
    <xf numFmtId="3" fontId="122" fillId="23" borderId="25" xfId="0" applyNumberFormat="1" applyFont="1" applyFill="1" applyBorder="1" applyAlignment="1">
      <alignment horizontal="right"/>
    </xf>
    <xf numFmtId="0" fontId="158" fillId="0" borderId="36" xfId="0" applyFont="1" applyBorder="1" applyAlignment="1">
      <alignment horizontal="left"/>
    </xf>
    <xf numFmtId="0" fontId="158" fillId="0" borderId="25" xfId="0" applyFont="1" applyBorder="1" applyAlignment="1">
      <alignment horizontal="right" wrapText="1"/>
    </xf>
    <xf numFmtId="9" fontId="122" fillId="0" borderId="25" xfId="0" applyNumberFormat="1" applyFont="1" applyBorder="1" applyAlignment="1">
      <alignment horizontal="right"/>
    </xf>
    <xf numFmtId="9" fontId="122" fillId="23" borderId="25" xfId="0" applyNumberFormat="1" applyFont="1" applyFill="1" applyBorder="1" applyAlignment="1">
      <alignment horizontal="right"/>
    </xf>
    <xf numFmtId="0" fontId="122" fillId="0" borderId="25" xfId="0" applyFont="1" applyBorder="1" applyAlignment="1">
      <alignment horizontal="right"/>
    </xf>
    <xf numFmtId="0" fontId="122" fillId="23" borderId="25" xfId="0" applyFont="1" applyFill="1" applyBorder="1" applyAlignment="1">
      <alignment horizontal="right" wrapText="1"/>
    </xf>
    <xf numFmtId="0" fontId="122" fillId="23" borderId="25" xfId="0" applyFont="1" applyFill="1" applyBorder="1" applyAlignment="1">
      <alignment horizontal="right"/>
    </xf>
    <xf numFmtId="0" fontId="111" fillId="0" borderId="36" xfId="0" applyFont="1" applyBorder="1" applyAlignment="1">
      <alignment horizontal="left"/>
    </xf>
    <xf numFmtId="0" fontId="111" fillId="0" borderId="25" xfId="0" applyFont="1" applyBorder="1" applyAlignment="1">
      <alignment horizontal="right"/>
    </xf>
    <xf numFmtId="0" fontId="111" fillId="0" borderId="25" xfId="0" applyFont="1" applyBorder="1" applyAlignment="1">
      <alignment horizontal="right" wrapText="1"/>
    </xf>
    <xf numFmtId="0" fontId="111" fillId="23" borderId="25" xfId="0" applyFont="1" applyFill="1" applyBorder="1" applyAlignment="1">
      <alignment horizontal="right"/>
    </xf>
    <xf numFmtId="3" fontId="122" fillId="23" borderId="25" xfId="0" applyNumberFormat="1" applyFont="1" applyFill="1" applyBorder="1" applyAlignment="1">
      <alignment horizontal="right" wrapText="1"/>
    </xf>
    <xf numFmtId="9" fontId="94" fillId="0" borderId="25" xfId="0" applyNumberFormat="1" applyFont="1" applyBorder="1" applyAlignment="1">
      <alignment horizontal="right" vertical="top"/>
    </xf>
    <xf numFmtId="9" fontId="122" fillId="23" borderId="25" xfId="0" applyNumberFormat="1" applyFont="1" applyFill="1" applyBorder="1" applyAlignment="1">
      <alignment horizontal="right" wrapText="1"/>
    </xf>
    <xf numFmtId="171" fontId="122" fillId="23" borderId="25" xfId="447" applyNumberFormat="1" applyFont="1" applyFill="1" applyBorder="1" applyAlignment="1">
      <alignment horizontal="right"/>
    </xf>
    <xf numFmtId="9" fontId="130" fillId="0" borderId="0" xfId="448" applyFont="1" applyBorder="1"/>
    <xf numFmtId="9" fontId="130" fillId="30" borderId="0" xfId="394" applyFont="1" applyFill="1"/>
    <xf numFmtId="178" fontId="130" fillId="30" borderId="0" xfId="432" applyNumberFormat="1" applyFont="1" applyFill="1"/>
    <xf numFmtId="3" fontId="130" fillId="30" borderId="0" xfId="433" applyNumberFormat="1" applyFont="1" applyFill="1"/>
    <xf numFmtId="9" fontId="122" fillId="23" borderId="25" xfId="394" applyFont="1" applyFill="1" applyBorder="1" applyAlignment="1">
      <alignment horizontal="right"/>
    </xf>
    <xf numFmtId="171" fontId="94" fillId="0" borderId="25" xfId="432" applyNumberFormat="1" applyFont="1" applyBorder="1" applyAlignment="1">
      <alignment horizontal="right" vertical="top"/>
    </xf>
    <xf numFmtId="171" fontId="122" fillId="0" borderId="25" xfId="432" applyNumberFormat="1" applyFont="1" applyBorder="1" applyAlignment="1">
      <alignment horizontal="right"/>
    </xf>
    <xf numFmtId="171" fontId="122" fillId="0" borderId="25" xfId="432" applyNumberFormat="1" applyFont="1" applyBorder="1" applyAlignment="1">
      <alignment horizontal="right" wrapText="1"/>
    </xf>
    <xf numFmtId="171" fontId="122" fillId="0" borderId="25" xfId="432" applyNumberFormat="1" applyFont="1" applyFill="1" applyBorder="1" applyAlignment="1">
      <alignment horizontal="right" wrapText="1"/>
    </xf>
    <xf numFmtId="9" fontId="122" fillId="0" borderId="25" xfId="394" applyFont="1" applyBorder="1" applyAlignment="1">
      <alignment horizontal="right"/>
    </xf>
    <xf numFmtId="9" fontId="122" fillId="0" borderId="25" xfId="394" applyFont="1" applyBorder="1" applyAlignment="1">
      <alignment horizontal="right" wrapText="1"/>
    </xf>
    <xf numFmtId="9" fontId="94" fillId="0" borderId="25" xfId="394" applyFont="1" applyBorder="1" applyAlignment="1">
      <alignment horizontal="right" vertical="top"/>
    </xf>
    <xf numFmtId="178" fontId="151" fillId="0" borderId="0" xfId="440" applyNumberFormat="1" applyFont="1"/>
    <xf numFmtId="1" fontId="153" fillId="0" borderId="0" xfId="440" applyNumberFormat="1" applyFont="1"/>
    <xf numFmtId="43" fontId="130" fillId="30" borderId="0" xfId="433" applyNumberFormat="1" applyFont="1" applyFill="1"/>
    <xf numFmtId="0" fontId="161" fillId="33" borderId="55" xfId="0" applyFont="1" applyFill="1" applyBorder="1" applyAlignment="1">
      <alignment horizontal="left" vertical="top" wrapText="1"/>
    </xf>
    <xf numFmtId="0" fontId="161" fillId="33" borderId="56" xfId="0" applyFont="1" applyFill="1" applyBorder="1" applyAlignment="1">
      <alignment horizontal="left" vertical="top" wrapText="1"/>
    </xf>
    <xf numFmtId="0" fontId="161" fillId="33" borderId="57" xfId="0" applyFont="1" applyFill="1" applyBorder="1" applyAlignment="1">
      <alignment horizontal="left" vertical="top" wrapText="1"/>
    </xf>
    <xf numFmtId="0" fontId="160" fillId="0" borderId="58" xfId="0" applyFont="1" applyBorder="1" applyAlignment="1">
      <alignment horizontal="justify" vertical="top" wrapText="1"/>
    </xf>
    <xf numFmtId="0" fontId="162" fillId="0" borderId="59" xfId="0" applyFont="1" applyBorder="1" applyAlignment="1">
      <alignment horizontal="justify" vertical="top" wrapText="1"/>
    </xf>
    <xf numFmtId="0" fontId="160" fillId="0" borderId="59" xfId="0" applyFont="1" applyBorder="1" applyAlignment="1">
      <alignment horizontal="justify" vertical="top" wrapText="1"/>
    </xf>
    <xf numFmtId="3" fontId="162" fillId="0" borderId="59" xfId="0" applyNumberFormat="1" applyFont="1" applyBorder="1" applyAlignment="1">
      <alignment horizontal="right" vertical="top" wrapText="1"/>
    </xf>
    <xf numFmtId="0" fontId="160" fillId="0" borderId="59" xfId="0" applyFont="1" applyBorder="1" applyAlignment="1">
      <alignment horizontal="right" vertical="top" wrapText="1"/>
    </xf>
    <xf numFmtId="0" fontId="162" fillId="0" borderId="59" xfId="0" applyFont="1" applyBorder="1" applyAlignment="1">
      <alignment horizontal="right" vertical="top" wrapText="1"/>
    </xf>
    <xf numFmtId="0" fontId="162" fillId="0" borderId="60" xfId="0" applyFont="1" applyBorder="1" applyAlignment="1">
      <alignment horizontal="right" vertical="top" wrapText="1"/>
    </xf>
    <xf numFmtId="0" fontId="162" fillId="0" borderId="61" xfId="0" applyFont="1" applyBorder="1" applyAlignment="1">
      <alignment horizontal="right" vertical="top" wrapText="1"/>
    </xf>
    <xf numFmtId="0" fontId="160" fillId="0" borderId="0" xfId="0" applyFont="1" applyAlignment="1">
      <alignment horizontal="left" vertical="top" wrapText="1"/>
    </xf>
    <xf numFmtId="9" fontId="160" fillId="0" borderId="0" xfId="0" applyNumberFormat="1" applyFont="1" applyAlignment="1">
      <alignment horizontal="right" vertical="top" wrapText="1"/>
    </xf>
    <xf numFmtId="0" fontId="160" fillId="0" borderId="0" xfId="0" applyFont="1" applyAlignment="1">
      <alignment horizontal="right" vertical="top" wrapText="1"/>
    </xf>
    <xf numFmtId="0" fontId="160" fillId="0" borderId="62" xfId="0" applyFont="1" applyBorder="1" applyAlignment="1">
      <alignment horizontal="right" vertical="top" wrapText="1"/>
    </xf>
    <xf numFmtId="0" fontId="162" fillId="0" borderId="58" xfId="0" applyFont="1" applyBorder="1" applyAlignment="1">
      <alignment horizontal="right" vertical="top" wrapText="1"/>
    </xf>
    <xf numFmtId="0" fontId="160" fillId="0" borderId="59" xfId="0" applyFont="1" applyBorder="1" applyAlignment="1">
      <alignment horizontal="left" vertical="top" wrapText="1"/>
    </xf>
    <xf numFmtId="9" fontId="160" fillId="0" borderId="59" xfId="0" applyNumberFormat="1" applyFont="1" applyBorder="1" applyAlignment="1">
      <alignment horizontal="right" vertical="top" wrapText="1"/>
    </xf>
    <xf numFmtId="0" fontId="160" fillId="0" borderId="60" xfId="0" applyFont="1" applyBorder="1" applyAlignment="1">
      <alignment horizontal="right" vertical="top" wrapText="1"/>
    </xf>
    <xf numFmtId="0" fontId="160" fillId="0" borderId="61" xfId="0" applyFont="1" applyBorder="1" applyAlignment="1">
      <alignment horizontal="justify" vertical="top" wrapText="1"/>
    </xf>
    <xf numFmtId="0" fontId="162" fillId="0" borderId="0" xfId="0" applyFont="1" applyAlignment="1">
      <alignment horizontal="justify" vertical="top" wrapText="1"/>
    </xf>
    <xf numFmtId="0" fontId="160" fillId="0" borderId="0" xfId="0" applyFont="1" applyAlignment="1">
      <alignment horizontal="justify" vertical="top" wrapText="1"/>
    </xf>
    <xf numFmtId="0" fontId="162" fillId="0" borderId="0" xfId="0" applyFont="1" applyAlignment="1">
      <alignment horizontal="right" vertical="top" wrapText="1"/>
    </xf>
    <xf numFmtId="0" fontId="162" fillId="0" borderId="62" xfId="0" applyFont="1" applyBorder="1" applyAlignment="1">
      <alignment horizontal="right" vertical="top" wrapText="1"/>
    </xf>
    <xf numFmtId="0" fontId="97" fillId="0" borderId="0" xfId="0" applyFont="1" applyAlignment="1">
      <alignment horizontal="left" vertical="top" wrapText="1"/>
    </xf>
    <xf numFmtId="0" fontId="97" fillId="0" borderId="59" xfId="0" applyFont="1" applyBorder="1" applyAlignment="1">
      <alignment horizontal="left" vertical="top" wrapText="1"/>
    </xf>
    <xf numFmtId="3" fontId="160" fillId="0" borderId="0" xfId="0" applyNumberFormat="1" applyFont="1" applyAlignment="1">
      <alignment horizontal="right" vertical="top" wrapText="1"/>
    </xf>
    <xf numFmtId="0" fontId="144" fillId="0" borderId="59" xfId="0" applyFont="1" applyBorder="1" applyAlignment="1">
      <alignment horizontal="left" vertical="top" wrapText="1"/>
    </xf>
    <xf numFmtId="178" fontId="97" fillId="0" borderId="0" xfId="432" applyNumberFormat="1" applyFont="1"/>
    <xf numFmtId="178" fontId="144" fillId="0" borderId="0" xfId="0" applyNumberFormat="1" applyFont="1"/>
    <xf numFmtId="178" fontId="144" fillId="0" borderId="0" xfId="432" applyNumberFormat="1" applyFont="1"/>
    <xf numFmtId="9" fontId="97" fillId="0" borderId="0" xfId="394" applyFont="1"/>
    <xf numFmtId="9" fontId="130" fillId="0" borderId="0" xfId="433" applyNumberFormat="1" applyFont="1"/>
    <xf numFmtId="43" fontId="97" fillId="0" borderId="0" xfId="0" applyNumberFormat="1" applyFont="1"/>
    <xf numFmtId="3" fontId="97" fillId="0" borderId="0" xfId="0" applyNumberFormat="1" applyFont="1"/>
    <xf numFmtId="3" fontId="94" fillId="0" borderId="0" xfId="3" applyNumberFormat="1" applyFont="1"/>
    <xf numFmtId="172" fontId="94" fillId="0" borderId="0" xfId="394" applyNumberFormat="1" applyFont="1" applyProtection="1"/>
    <xf numFmtId="172" fontId="130" fillId="0" borderId="0" xfId="448" applyNumberFormat="1" applyFont="1" applyBorder="1"/>
    <xf numFmtId="172" fontId="139" fillId="30" borderId="0" xfId="394" applyNumberFormat="1" applyFont="1" applyFill="1"/>
    <xf numFmtId="171" fontId="13" fillId="0" borderId="0" xfId="447" applyNumberFormat="1" applyFont="1"/>
    <xf numFmtId="178" fontId="13" fillId="0" borderId="0" xfId="447" applyNumberFormat="1" applyFont="1"/>
    <xf numFmtId="0" fontId="129" fillId="0" borderId="0" xfId="446" applyFont="1"/>
    <xf numFmtId="0" fontId="13" fillId="0" borderId="0" xfId="446" applyFont="1"/>
    <xf numFmtId="3" fontId="13" fillId="0" borderId="0" xfId="446" applyNumberFormat="1" applyFont="1"/>
    <xf numFmtId="173" fontId="13" fillId="0" borderId="0" xfId="446" applyNumberFormat="1" applyFont="1"/>
    <xf numFmtId="0" fontId="13" fillId="0" borderId="0" xfId="446" applyFont="1" applyAlignment="1">
      <alignment horizontal="right"/>
    </xf>
    <xf numFmtId="0" fontId="129" fillId="0" borderId="0" xfId="446" applyFont="1" applyAlignment="1">
      <alignment horizontal="left"/>
    </xf>
    <xf numFmtId="0" fontId="0" fillId="0" borderId="0" xfId="446" applyFont="1" applyAlignment="1">
      <alignment horizontal="right"/>
    </xf>
    <xf numFmtId="171" fontId="13" fillId="0" borderId="0" xfId="447" applyNumberFormat="1" applyFont="1" applyBorder="1"/>
    <xf numFmtId="178" fontId="13" fillId="0" borderId="0" xfId="447" applyNumberFormat="1" applyFont="1" applyBorder="1"/>
    <xf numFmtId="178" fontId="13" fillId="0" borderId="0" xfId="432" applyNumberFormat="1" applyFont="1" applyBorder="1"/>
    <xf numFmtId="171" fontId="13" fillId="0" borderId="0" xfId="432" applyNumberFormat="1" applyFont="1" applyBorder="1"/>
    <xf numFmtId="171" fontId="53" fillId="3" borderId="0" xfId="432" quotePrefix="1" applyNumberFormat="1" applyFont="1" applyFill="1" applyBorder="1" applyAlignment="1" applyProtection="1">
      <alignment horizontal="right"/>
    </xf>
    <xf numFmtId="172" fontId="53" fillId="0" borderId="2" xfId="394" quotePrefix="1" applyNumberFormat="1" applyFont="1" applyFill="1" applyBorder="1" applyAlignment="1" applyProtection="1">
      <alignment horizontal="right"/>
    </xf>
    <xf numFmtId="0" fontId="6" fillId="0" borderId="0" xfId="444" applyFont="1"/>
    <xf numFmtId="171" fontId="8" fillId="0" borderId="0" xfId="432" applyNumberFormat="1" applyFont="1"/>
    <xf numFmtId="178" fontId="130" fillId="0" borderId="0" xfId="433" applyNumberFormat="1" applyFont="1"/>
    <xf numFmtId="178" fontId="131" fillId="0" borderId="0" xfId="440" applyNumberFormat="1" applyFont="1" applyFill="1"/>
    <xf numFmtId="9" fontId="94" fillId="28" borderId="76" xfId="441" applyFont="1" applyFill="1" applyBorder="1"/>
    <xf numFmtId="9" fontId="94" fillId="28" borderId="77" xfId="441" applyFont="1" applyFill="1" applyBorder="1"/>
    <xf numFmtId="2" fontId="94" fillId="28" borderId="17" xfId="439" applyNumberFormat="1" applyFont="1" applyFill="1" applyBorder="1"/>
    <xf numFmtId="2" fontId="94" fillId="28" borderId="78" xfId="439" applyNumberFormat="1" applyFont="1" applyFill="1" applyBorder="1"/>
    <xf numFmtId="172" fontId="94" fillId="28" borderId="17" xfId="439" applyNumberFormat="1" applyFont="1" applyFill="1" applyBorder="1"/>
    <xf numFmtId="172" fontId="94" fillId="28" borderId="78" xfId="439" applyNumberFormat="1" applyFont="1" applyFill="1" applyBorder="1"/>
    <xf numFmtId="172" fontId="94" fillId="28" borderId="17" xfId="441" applyNumberFormat="1" applyFont="1" applyFill="1" applyBorder="1"/>
    <xf numFmtId="9" fontId="94" fillId="28" borderId="17" xfId="441" applyFont="1" applyFill="1" applyBorder="1"/>
    <xf numFmtId="9" fontId="94" fillId="28" borderId="78" xfId="441" applyFont="1" applyFill="1" applyBorder="1"/>
    <xf numFmtId="0" fontId="94" fillId="18" borderId="82" xfId="439" applyFont="1" applyFill="1" applyBorder="1"/>
    <xf numFmtId="0" fontId="94" fillId="18" borderId="83" xfId="439" applyFont="1" applyFill="1" applyBorder="1"/>
    <xf numFmtId="0" fontId="94" fillId="18" borderId="84" xfId="439" applyFont="1" applyFill="1" applyBorder="1"/>
    <xf numFmtId="0" fontId="94" fillId="18" borderId="85" xfId="439" applyFont="1" applyFill="1" applyBorder="1"/>
    <xf numFmtId="9" fontId="94" fillId="28" borderId="86" xfId="441" applyFont="1" applyFill="1" applyBorder="1"/>
    <xf numFmtId="9" fontId="94" fillId="28" borderId="87" xfId="441" applyFont="1" applyFill="1" applyBorder="1"/>
    <xf numFmtId="0" fontId="111" fillId="18" borderId="29" xfId="439" applyFont="1" applyFill="1" applyBorder="1"/>
    <xf numFmtId="0" fontId="111" fillId="18" borderId="5" xfId="439" applyFont="1" applyFill="1" applyBorder="1"/>
    <xf numFmtId="3" fontId="111" fillId="27" borderId="31" xfId="439" applyNumberFormat="1" applyFont="1" applyFill="1" applyBorder="1"/>
    <xf numFmtId="0" fontId="94" fillId="0" borderId="0" xfId="439" applyFont="1" applyAlignment="1">
      <alignment wrapText="1"/>
    </xf>
    <xf numFmtId="9" fontId="94" fillId="28" borderId="79" xfId="441" applyFont="1" applyFill="1" applyBorder="1"/>
    <xf numFmtId="9" fontId="94" fillId="28" borderId="80" xfId="441" applyFont="1" applyFill="1" applyBorder="1"/>
    <xf numFmtId="0" fontId="94" fillId="18" borderId="89" xfId="439" applyFont="1" applyFill="1" applyBorder="1"/>
    <xf numFmtId="9" fontId="94" fillId="28" borderId="90" xfId="441" applyFont="1" applyFill="1" applyBorder="1"/>
    <xf numFmtId="9" fontId="94" fillId="28" borderId="91" xfId="441" applyFont="1" applyFill="1" applyBorder="1"/>
    <xf numFmtId="9" fontId="94" fillId="28" borderId="79" xfId="439" applyNumberFormat="1" applyFont="1" applyFill="1" applyBorder="1"/>
    <xf numFmtId="9" fontId="94" fillId="28" borderId="80" xfId="439" applyNumberFormat="1" applyFont="1" applyFill="1" applyBorder="1"/>
    <xf numFmtId="0" fontId="111" fillId="18" borderId="81" xfId="439" applyFont="1" applyFill="1" applyBorder="1"/>
    <xf numFmtId="172" fontId="111" fillId="27" borderId="88" xfId="439" applyNumberFormat="1" applyFont="1" applyFill="1" applyBorder="1"/>
    <xf numFmtId="172" fontId="111" fillId="27" borderId="75" xfId="439" applyNumberFormat="1" applyFont="1" applyFill="1" applyBorder="1"/>
    <xf numFmtId="178" fontId="94" fillId="28" borderId="51" xfId="440" applyNumberFormat="1" applyFont="1" applyFill="1" applyBorder="1"/>
    <xf numFmtId="3" fontId="111" fillId="0" borderId="0" xfId="439" applyNumberFormat="1" applyFont="1"/>
    <xf numFmtId="0" fontId="94" fillId="0" borderId="12" xfId="439" applyFont="1" applyBorder="1" applyAlignment="1">
      <alignment horizontal="right"/>
    </xf>
    <xf numFmtId="0" fontId="94" fillId="0" borderId="12" xfId="439" applyFont="1" applyBorder="1"/>
    <xf numFmtId="9" fontId="94" fillId="0" borderId="12" xfId="441" applyFont="1" applyBorder="1"/>
    <xf numFmtId="178" fontId="94" fillId="28" borderId="92" xfId="440" applyNumberFormat="1" applyFont="1" applyFill="1" applyBorder="1"/>
    <xf numFmtId="171" fontId="94" fillId="28" borderId="93" xfId="440" applyNumberFormat="1" applyFont="1" applyFill="1" applyBorder="1"/>
    <xf numFmtId="9" fontId="94" fillId="28" borderId="93" xfId="441" applyFont="1" applyFill="1" applyBorder="1"/>
    <xf numFmtId="171" fontId="94" fillId="27" borderId="93" xfId="440" applyNumberFormat="1" applyFont="1" applyFill="1" applyBorder="1"/>
    <xf numFmtId="178" fontId="94" fillId="28" borderId="93" xfId="440" applyNumberFormat="1" applyFont="1" applyFill="1" applyBorder="1"/>
    <xf numFmtId="0" fontId="94" fillId="0" borderId="24" xfId="439" applyFont="1" applyBorder="1"/>
    <xf numFmtId="3" fontId="94" fillId="27" borderId="36" xfId="439" applyNumberFormat="1" applyFont="1" applyFill="1" applyBorder="1"/>
    <xf numFmtId="1" fontId="94" fillId="43" borderId="36" xfId="440" applyNumberFormat="1" applyFont="1" applyFill="1" applyBorder="1"/>
    <xf numFmtId="0" fontId="94" fillId="0" borderId="0" xfId="439" quotePrefix="1" applyFont="1"/>
    <xf numFmtId="0" fontId="111" fillId="0" borderId="12" xfId="439" applyFont="1" applyBorder="1"/>
    <xf numFmtId="9" fontId="94" fillId="0" borderId="12" xfId="439" applyNumberFormat="1" applyFont="1" applyBorder="1"/>
    <xf numFmtId="0" fontId="111" fillId="0" borderId="12" xfId="439" applyFont="1" applyBorder="1" applyAlignment="1">
      <alignment horizontal="left"/>
    </xf>
    <xf numFmtId="10" fontId="111" fillId="0" borderId="12" xfId="439" applyNumberFormat="1" applyFont="1" applyBorder="1" applyAlignment="1">
      <alignment horizontal="right"/>
    </xf>
    <xf numFmtId="171" fontId="94" fillId="0" borderId="12" xfId="440" applyNumberFormat="1" applyFont="1" applyBorder="1"/>
    <xf numFmtId="9" fontId="94" fillId="0" borderId="12" xfId="441" applyFont="1" applyFill="1" applyBorder="1"/>
    <xf numFmtId="3" fontId="94" fillId="0" borderId="12" xfId="439" applyNumberFormat="1" applyFont="1" applyBorder="1"/>
    <xf numFmtId="178" fontId="94" fillId="28" borderId="8" xfId="440" applyNumberFormat="1" applyFont="1" applyFill="1" applyBorder="1"/>
    <xf numFmtId="3" fontId="94" fillId="27" borderId="8" xfId="439" applyNumberFormat="1" applyFont="1" applyFill="1" applyBorder="1"/>
    <xf numFmtId="171" fontId="94" fillId="27" borderId="92" xfId="440" applyNumberFormat="1" applyFont="1" applyFill="1" applyBorder="1"/>
    <xf numFmtId="0" fontId="94" fillId="0" borderId="92" xfId="439" applyFont="1" applyBorder="1"/>
    <xf numFmtId="0" fontId="94" fillId="0" borderId="0" xfId="439" applyFont="1" applyAlignment="1">
      <alignment horizontal="left"/>
    </xf>
    <xf numFmtId="10" fontId="94" fillId="0" borderId="12" xfId="441" applyNumberFormat="1" applyFont="1" applyBorder="1"/>
    <xf numFmtId="171" fontId="111" fillId="0" borderId="0" xfId="432" applyNumberFormat="1" applyFont="1" applyAlignment="1">
      <alignment horizontal="right"/>
    </xf>
    <xf numFmtId="10" fontId="94" fillId="0" borderId="0" xfId="441" applyNumberFormat="1" applyFont="1" applyBorder="1"/>
    <xf numFmtId="9" fontId="94" fillId="28" borderId="17" xfId="439" applyNumberFormat="1" applyFont="1" applyFill="1" applyBorder="1"/>
    <xf numFmtId="9" fontId="94" fillId="28" borderId="78" xfId="439" applyNumberFormat="1" applyFont="1" applyFill="1" applyBorder="1"/>
    <xf numFmtId="172" fontId="94" fillId="27" borderId="79" xfId="439" applyNumberFormat="1" applyFont="1" applyFill="1" applyBorder="1"/>
    <xf numFmtId="172" fontId="94" fillId="27" borderId="80" xfId="439" applyNumberFormat="1" applyFont="1" applyFill="1" applyBorder="1"/>
    <xf numFmtId="0" fontId="94" fillId="0" borderId="93" xfId="439" applyFont="1" applyBorder="1"/>
    <xf numFmtId="3" fontId="94" fillId="27" borderId="93" xfId="439" applyNumberFormat="1" applyFont="1" applyFill="1" applyBorder="1"/>
    <xf numFmtId="173" fontId="94" fillId="28" borderId="93" xfId="441" applyNumberFormat="1" applyFont="1" applyFill="1" applyBorder="1"/>
    <xf numFmtId="0" fontId="166" fillId="0" borderId="93" xfId="0" applyFont="1" applyBorder="1" applyAlignment="1">
      <alignment horizontal="left" wrapText="1"/>
    </xf>
    <xf numFmtId="0" fontId="166" fillId="0" borderId="93" xfId="0" applyFont="1" applyBorder="1" applyAlignment="1">
      <alignment horizontal="right" wrapText="1"/>
    </xf>
    <xf numFmtId="0" fontId="166" fillId="32" borderId="93" xfId="0" applyFont="1" applyFill="1" applyBorder="1" applyAlignment="1">
      <alignment horizontal="right" wrapText="1"/>
    </xf>
    <xf numFmtId="0" fontId="164" fillId="0" borderId="93" xfId="0" applyFont="1" applyBorder="1" applyAlignment="1">
      <alignment horizontal="left" wrapText="1"/>
    </xf>
    <xf numFmtId="171" fontId="165" fillId="0" borderId="93" xfId="432" applyNumberFormat="1" applyFont="1" applyBorder="1" applyAlignment="1">
      <alignment horizontal="right" wrapText="1"/>
    </xf>
    <xf numFmtId="172" fontId="165" fillId="0" borderId="93" xfId="0" applyNumberFormat="1" applyFont="1" applyBorder="1" applyAlignment="1">
      <alignment horizontal="right" wrapText="1"/>
    </xf>
    <xf numFmtId="173" fontId="165" fillId="0" borderId="93" xfId="0" applyNumberFormat="1" applyFont="1" applyBorder="1" applyAlignment="1">
      <alignment horizontal="right" vertical="top" wrapText="1"/>
    </xf>
    <xf numFmtId="178" fontId="165" fillId="0" borderId="93" xfId="432" applyNumberFormat="1" applyFont="1" applyBorder="1" applyAlignment="1">
      <alignment horizontal="right" vertical="top" wrapText="1"/>
    </xf>
    <xf numFmtId="172" fontId="164" fillId="0" borderId="93" xfId="0" applyNumberFormat="1" applyFont="1" applyBorder="1" applyAlignment="1">
      <alignment horizontal="right" wrapText="1"/>
    </xf>
    <xf numFmtId="0" fontId="166" fillId="0" borderId="19" xfId="0" applyFont="1" applyBorder="1" applyAlignment="1">
      <alignment horizontal="left"/>
    </xf>
    <xf numFmtId="0" fontId="166" fillId="0" borderId="6" xfId="0" applyFont="1" applyBorder="1" applyAlignment="1">
      <alignment horizontal="right"/>
    </xf>
    <xf numFmtId="0" fontId="166" fillId="23" borderId="6" xfId="0" applyFont="1" applyFill="1" applyBorder="1" applyAlignment="1">
      <alignment horizontal="right"/>
    </xf>
    <xf numFmtId="0" fontId="166" fillId="23" borderId="20" xfId="0" applyFont="1" applyFill="1" applyBorder="1" applyAlignment="1">
      <alignment horizontal="right"/>
    </xf>
    <xf numFmtId="0" fontId="166" fillId="0" borderId="23" xfId="0" applyFont="1" applyBorder="1" applyAlignment="1">
      <alignment horizontal="left" vertical="top" wrapText="1"/>
    </xf>
    <xf numFmtId="0" fontId="164" fillId="0" borderId="22" xfId="0" applyFont="1" applyBorder="1" applyAlignment="1">
      <alignment horizontal="left"/>
    </xf>
    <xf numFmtId="0" fontId="167" fillId="0" borderId="23" xfId="0" applyFont="1" applyBorder="1" applyAlignment="1">
      <alignment horizontal="left" vertical="top" wrapText="1"/>
    </xf>
    <xf numFmtId="3" fontId="165" fillId="34" borderId="0" xfId="0" applyNumberFormat="1" applyFont="1" applyFill="1" applyAlignment="1">
      <alignment horizontal="right"/>
    </xf>
    <xf numFmtId="3" fontId="165" fillId="23" borderId="0" xfId="0" applyNumberFormat="1" applyFont="1" applyFill="1" applyAlignment="1">
      <alignment horizontal="right"/>
    </xf>
    <xf numFmtId="3" fontId="165" fillId="23" borderId="23" xfId="0" applyNumberFormat="1" applyFont="1" applyFill="1" applyBorder="1" applyAlignment="1">
      <alignment horizontal="right"/>
    </xf>
    <xf numFmtId="0" fontId="164" fillId="0" borderId="23" xfId="0" applyFont="1" applyBorder="1" applyAlignment="1">
      <alignment horizontal="left" vertical="top" wrapText="1"/>
    </xf>
    <xf numFmtId="3" fontId="164" fillId="0" borderId="0" xfId="0" applyNumberFormat="1" applyFont="1" applyAlignment="1">
      <alignment horizontal="right"/>
    </xf>
    <xf numFmtId="0" fontId="166" fillId="0" borderId="22" xfId="0" applyFont="1" applyBorder="1" applyAlignment="1">
      <alignment horizontal="left"/>
    </xf>
    <xf numFmtId="3" fontId="166" fillId="0" borderId="0" xfId="0" applyNumberFormat="1" applyFont="1" applyAlignment="1">
      <alignment horizontal="right"/>
    </xf>
    <xf numFmtId="3" fontId="170" fillId="34" borderId="0" xfId="0" applyNumberFormat="1" applyFont="1" applyFill="1" applyAlignment="1">
      <alignment horizontal="right"/>
    </xf>
    <xf numFmtId="3" fontId="170" fillId="23" borderId="0" xfId="0" applyNumberFormat="1" applyFont="1" applyFill="1" applyAlignment="1">
      <alignment horizontal="right"/>
    </xf>
    <xf numFmtId="3" fontId="170" fillId="23" borderId="23" xfId="0" applyNumberFormat="1" applyFont="1" applyFill="1" applyBorder="1" applyAlignment="1">
      <alignment horizontal="right"/>
    </xf>
    <xf numFmtId="0" fontId="164" fillId="0" borderId="0" xfId="0" applyFont="1" applyAlignment="1">
      <alignment horizontal="right"/>
    </xf>
    <xf numFmtId="0" fontId="164" fillId="23" borderId="0" xfId="0" applyFont="1" applyFill="1" applyAlignment="1">
      <alignment horizontal="right"/>
    </xf>
    <xf numFmtId="0" fontId="164" fillId="23" borderId="23" xfId="0" applyFont="1" applyFill="1" applyBorder="1" applyAlignment="1">
      <alignment horizontal="right"/>
    </xf>
    <xf numFmtId="3" fontId="164" fillId="23" borderId="0" xfId="0" applyNumberFormat="1" applyFont="1" applyFill="1" applyAlignment="1">
      <alignment horizontal="right"/>
    </xf>
    <xf numFmtId="3" fontId="164" fillId="23" borderId="23" xfId="0" applyNumberFormat="1" applyFont="1" applyFill="1" applyBorder="1" applyAlignment="1">
      <alignment horizontal="right"/>
    </xf>
    <xf numFmtId="3" fontId="166" fillId="23" borderId="0" xfId="0" applyNumberFormat="1" applyFont="1" applyFill="1" applyAlignment="1">
      <alignment horizontal="right"/>
    </xf>
    <xf numFmtId="3" fontId="166" fillId="23" borderId="23" xfId="0" applyNumberFormat="1" applyFont="1" applyFill="1" applyBorder="1" applyAlignment="1">
      <alignment horizontal="right"/>
    </xf>
    <xf numFmtId="0" fontId="164" fillId="0" borderId="24" xfId="0" applyFont="1" applyBorder="1" applyAlignment="1">
      <alignment horizontal="left"/>
    </xf>
    <xf numFmtId="172" fontId="165" fillId="0" borderId="0" xfId="0" applyNumberFormat="1" applyFont="1" applyAlignment="1">
      <alignment horizontal="right"/>
    </xf>
    <xf numFmtId="0" fontId="166" fillId="0" borderId="0" xfId="0" applyFont="1" applyAlignment="1">
      <alignment horizontal="left" vertical="top" wrapText="1"/>
    </xf>
    <xf numFmtId="0" fontId="166" fillId="0" borderId="24" xfId="0" applyFont="1" applyBorder="1" applyAlignment="1">
      <alignment horizontal="left"/>
    </xf>
    <xf numFmtId="3" fontId="166" fillId="0" borderId="12" xfId="0" applyNumberFormat="1" applyFont="1" applyBorder="1" applyAlignment="1">
      <alignment horizontal="right"/>
    </xf>
    <xf numFmtId="0" fontId="164" fillId="0" borderId="12" xfId="0" applyFont="1" applyBorder="1" applyAlignment="1">
      <alignment horizontal="right"/>
    </xf>
    <xf numFmtId="0" fontId="165" fillId="0" borderId="22" xfId="0" applyFont="1" applyBorder="1" applyAlignment="1">
      <alignment horizontal="left"/>
    </xf>
    <xf numFmtId="0" fontId="164" fillId="0" borderId="0" xfId="0" applyFont="1" applyAlignment="1">
      <alignment horizontal="center"/>
    </xf>
    <xf numFmtId="0" fontId="164" fillId="0" borderId="0" xfId="0" applyFont="1" applyAlignment="1">
      <alignment horizontal="left"/>
    </xf>
    <xf numFmtId="0" fontId="164" fillId="0" borderId="36" xfId="0" applyFont="1" applyBorder="1" applyAlignment="1">
      <alignment horizontal="left"/>
    </xf>
    <xf numFmtId="0" fontId="165" fillId="0" borderId="25" xfId="0" applyFont="1" applyBorder="1" applyAlignment="1">
      <alignment horizontal="right"/>
    </xf>
    <xf numFmtId="0" fontId="165" fillId="0" borderId="25" xfId="0" applyFont="1" applyBorder="1" applyAlignment="1">
      <alignment horizontal="right" wrapText="1"/>
    </xf>
    <xf numFmtId="0" fontId="165" fillId="23" borderId="25" xfId="0" applyFont="1" applyFill="1" applyBorder="1" applyAlignment="1">
      <alignment horizontal="right" wrapText="1"/>
    </xf>
    <xf numFmtId="0" fontId="165" fillId="23" borderId="25" xfId="0" applyFont="1" applyFill="1" applyBorder="1" applyAlignment="1">
      <alignment horizontal="right"/>
    </xf>
    <xf numFmtId="10" fontId="165" fillId="0" borderId="25" xfId="0" applyNumberFormat="1" applyFont="1" applyBorder="1" applyAlignment="1">
      <alignment horizontal="right"/>
    </xf>
    <xf numFmtId="0" fontId="166" fillId="0" borderId="36" xfId="0" applyFont="1" applyBorder="1" applyAlignment="1">
      <alignment horizontal="left"/>
    </xf>
    <xf numFmtId="3" fontId="165" fillId="0" borderId="25" xfId="0" applyNumberFormat="1" applyFont="1" applyBorder="1" applyAlignment="1">
      <alignment horizontal="right"/>
    </xf>
    <xf numFmtId="0" fontId="170" fillId="0" borderId="25" xfId="0" applyFont="1" applyBorder="1" applyAlignment="1">
      <alignment horizontal="right"/>
    </xf>
    <xf numFmtId="0" fontId="170" fillId="0" borderId="25" xfId="0" applyFont="1" applyBorder="1" applyAlignment="1">
      <alignment horizontal="right" wrapText="1"/>
    </xf>
    <xf numFmtId="0" fontId="170" fillId="23" borderId="25" xfId="0" applyFont="1" applyFill="1" applyBorder="1" applyAlignment="1">
      <alignment horizontal="right" wrapText="1"/>
    </xf>
    <xf numFmtId="0" fontId="170" fillId="23" borderId="25" xfId="0" applyFont="1" applyFill="1" applyBorder="1" applyAlignment="1">
      <alignment horizontal="right"/>
    </xf>
    <xf numFmtId="0" fontId="164" fillId="0" borderId="0" xfId="446" applyFont="1"/>
    <xf numFmtId="3" fontId="164" fillId="0" borderId="0" xfId="446" applyNumberFormat="1" applyFont="1"/>
    <xf numFmtId="0" fontId="163" fillId="0" borderId="0" xfId="0" applyFont="1" applyAlignment="1">
      <alignment horizontal="left"/>
    </xf>
    <xf numFmtId="0" fontId="164" fillId="0" borderId="0" xfId="0" applyFont="1"/>
    <xf numFmtId="0" fontId="164" fillId="34" borderId="0" xfId="0" applyFont="1" applyFill="1"/>
    <xf numFmtId="0" fontId="164" fillId="23" borderId="0" xfId="0" applyFont="1" applyFill="1"/>
    <xf numFmtId="0" fontId="164" fillId="23" borderId="23" xfId="0" applyFont="1" applyFill="1" applyBorder="1"/>
    <xf numFmtId="0" fontId="164" fillId="0" borderId="22" xfId="0" applyFont="1" applyBorder="1"/>
    <xf numFmtId="0" fontId="164" fillId="0" borderId="12" xfId="0" applyFont="1" applyBorder="1"/>
    <xf numFmtId="172" fontId="164" fillId="0" borderId="0" xfId="0" applyNumberFormat="1" applyFont="1"/>
    <xf numFmtId="0" fontId="164" fillId="0" borderId="24" xfId="0" applyFont="1" applyBorder="1"/>
    <xf numFmtId="0" fontId="164" fillId="23" borderId="12" xfId="0" applyFont="1" applyFill="1" applyBorder="1"/>
    <xf numFmtId="0" fontId="164" fillId="23" borderId="25" xfId="0" applyFont="1" applyFill="1" applyBorder="1"/>
    <xf numFmtId="1" fontId="164" fillId="0" borderId="0" xfId="0" applyNumberFormat="1" applyFont="1"/>
    <xf numFmtId="0" fontId="163" fillId="0" borderId="93" xfId="446" applyFont="1" applyBorder="1" applyAlignment="1">
      <alignment horizontal="left"/>
    </xf>
    <xf numFmtId="0" fontId="166" fillId="0" borderId="93" xfId="0" applyFont="1" applyBorder="1" applyAlignment="1">
      <alignment horizontal="left"/>
    </xf>
    <xf numFmtId="0" fontId="166" fillId="0" borderId="93" xfId="0" applyFont="1" applyBorder="1" applyAlignment="1">
      <alignment horizontal="right"/>
    </xf>
    <xf numFmtId="0" fontId="166" fillId="23" borderId="93" xfId="0" applyFont="1" applyFill="1" applyBorder="1" applyAlignment="1">
      <alignment horizontal="right" wrapText="1"/>
    </xf>
    <xf numFmtId="0" fontId="166" fillId="23" borderId="93" xfId="0" applyFont="1" applyFill="1" applyBorder="1" applyAlignment="1">
      <alignment horizontal="right"/>
    </xf>
    <xf numFmtId="0" fontId="165" fillId="0" borderId="93" xfId="0" applyFont="1" applyBorder="1" applyAlignment="1">
      <alignment horizontal="right"/>
    </xf>
    <xf numFmtId="0" fontId="165" fillId="0" borderId="93" xfId="0" applyFont="1" applyBorder="1" applyAlignment="1">
      <alignment horizontal="right" wrapText="1"/>
    </xf>
    <xf numFmtId="0" fontId="165" fillId="23" borderId="93" xfId="0" applyFont="1" applyFill="1" applyBorder="1" applyAlignment="1">
      <alignment horizontal="right" wrapText="1"/>
    </xf>
    <xf numFmtId="0" fontId="165" fillId="23" borderId="93" xfId="0" applyFont="1" applyFill="1" applyBorder="1" applyAlignment="1">
      <alignment horizontal="right"/>
    </xf>
    <xf numFmtId="9" fontId="165" fillId="0" borderId="93" xfId="0" applyNumberFormat="1" applyFont="1" applyBorder="1" applyAlignment="1">
      <alignment horizontal="right" wrapText="1"/>
    </xf>
    <xf numFmtId="10" fontId="165" fillId="23" borderId="93" xfId="0" applyNumberFormat="1" applyFont="1" applyFill="1" applyBorder="1" applyAlignment="1">
      <alignment horizontal="right" wrapText="1"/>
    </xf>
    <xf numFmtId="0" fontId="167" fillId="0" borderId="93" xfId="0" applyFont="1" applyBorder="1" applyAlignment="1">
      <alignment horizontal="left"/>
    </xf>
    <xf numFmtId="9" fontId="165" fillId="0" borderId="93" xfId="0" applyNumberFormat="1" applyFont="1" applyBorder="1" applyAlignment="1">
      <alignment horizontal="right"/>
    </xf>
    <xf numFmtId="9" fontId="165" fillId="23" borderId="93" xfId="0" applyNumberFormat="1" applyFont="1" applyFill="1" applyBorder="1" applyAlignment="1">
      <alignment horizontal="right"/>
    </xf>
    <xf numFmtId="3" fontId="165" fillId="0" borderId="93" xfId="0" applyNumberFormat="1" applyFont="1" applyBorder="1" applyAlignment="1">
      <alignment horizontal="right" wrapText="1"/>
    </xf>
    <xf numFmtId="172" fontId="165" fillId="0" borderId="93" xfId="0" applyNumberFormat="1" applyFont="1" applyBorder="1" applyAlignment="1">
      <alignment horizontal="right"/>
    </xf>
    <xf numFmtId="14" fontId="171" fillId="0" borderId="2" xfId="474" applyNumberFormat="1" applyFont="1" applyBorder="1"/>
    <xf numFmtId="3" fontId="172" fillId="0" borderId="0" xfId="474" applyNumberFormat="1" applyFont="1"/>
    <xf numFmtId="237" fontId="172" fillId="0" borderId="0" xfId="474" applyNumberFormat="1" applyFont="1"/>
    <xf numFmtId="0" fontId="166" fillId="0" borderId="48" xfId="0" applyFont="1" applyBorder="1" applyAlignment="1">
      <alignment horizontal="right"/>
    </xf>
    <xf numFmtId="0" fontId="165" fillId="0" borderId="48" xfId="0" applyFont="1" applyBorder="1" applyAlignment="1">
      <alignment horizontal="right"/>
    </xf>
    <xf numFmtId="172" fontId="165" fillId="0" borderId="48" xfId="0" applyNumberFormat="1" applyFont="1" applyBorder="1" applyAlignment="1">
      <alignment horizontal="right"/>
    </xf>
    <xf numFmtId="3" fontId="165" fillId="0" borderId="48" xfId="0" applyNumberFormat="1" applyFont="1" applyBorder="1" applyAlignment="1">
      <alignment horizontal="right"/>
    </xf>
    <xf numFmtId="172" fontId="164" fillId="0" borderId="93" xfId="0" applyNumberFormat="1" applyFont="1" applyBorder="1" applyAlignment="1">
      <alignment horizontal="right"/>
    </xf>
    <xf numFmtId="172" fontId="165" fillId="23" borderId="93" xfId="0" applyNumberFormat="1" applyFont="1" applyFill="1" applyBorder="1" applyAlignment="1">
      <alignment horizontal="right" wrapText="1"/>
    </xf>
    <xf numFmtId="172" fontId="165" fillId="23" borderId="93" xfId="0" applyNumberFormat="1" applyFont="1" applyFill="1" applyBorder="1" applyAlignment="1">
      <alignment horizontal="right"/>
    </xf>
    <xf numFmtId="3" fontId="165" fillId="23" borderId="93" xfId="0" applyNumberFormat="1" applyFont="1" applyFill="1" applyBorder="1" applyAlignment="1">
      <alignment horizontal="right"/>
    </xf>
    <xf numFmtId="0" fontId="164" fillId="0" borderId="93" xfId="446" applyFont="1" applyBorder="1"/>
    <xf numFmtId="0" fontId="166" fillId="23" borderId="93" xfId="0" applyFont="1" applyFill="1" applyBorder="1" applyAlignment="1">
      <alignment horizontal="right" vertical="top" wrapText="1"/>
    </xf>
    <xf numFmtId="0" fontId="164" fillId="0" borderId="93" xfId="0" applyFont="1" applyBorder="1" applyAlignment="1">
      <alignment horizontal="left" vertical="top"/>
    </xf>
    <xf numFmtId="171" fontId="164" fillId="0" borderId="0" xfId="446" applyNumberFormat="1" applyFont="1"/>
    <xf numFmtId="0" fontId="166" fillId="0" borderId="0" xfId="0" applyFont="1"/>
    <xf numFmtId="171" fontId="164" fillId="0" borderId="0" xfId="432" applyNumberFormat="1" applyFont="1"/>
    <xf numFmtId="171" fontId="166" fillId="0" borderId="0" xfId="432" applyNumberFormat="1" applyFont="1"/>
    <xf numFmtId="0" fontId="0" fillId="0" borderId="0" xfId="0" applyAlignment="1">
      <alignment wrapText="1"/>
    </xf>
    <xf numFmtId="9" fontId="164" fillId="0" borderId="0" xfId="0" applyNumberFormat="1" applyFont="1"/>
    <xf numFmtId="171" fontId="166" fillId="0" borderId="0" xfId="0" applyNumberFormat="1" applyFont="1"/>
    <xf numFmtId="3" fontId="53" fillId="0" borderId="0" xfId="1" applyNumberFormat="1" applyFont="1" applyAlignment="1" applyProtection="1">
      <alignment horizontal="right"/>
      <protection locked="0"/>
    </xf>
    <xf numFmtId="171" fontId="165" fillId="23" borderId="93" xfId="432" applyNumberFormat="1" applyFont="1" applyFill="1" applyBorder="1" applyAlignment="1">
      <alignment horizontal="right" wrapText="1"/>
    </xf>
    <xf numFmtId="171" fontId="130" fillId="0" borderId="0" xfId="432" applyNumberFormat="1" applyFont="1" applyFill="1"/>
    <xf numFmtId="0" fontId="173" fillId="31" borderId="93" xfId="0" applyFont="1" applyFill="1" applyBorder="1" applyAlignment="1">
      <alignment horizontal="justify" vertical="top"/>
    </xf>
    <xf numFmtId="0" fontId="173" fillId="31" borderId="93" xfId="0" applyFont="1" applyFill="1" applyBorder="1" applyAlignment="1">
      <alignment horizontal="center" vertical="top"/>
    </xf>
    <xf numFmtId="0" fontId="153" fillId="0" borderId="93" xfId="0" applyFont="1" applyBorder="1" applyAlignment="1">
      <alignment horizontal="justify" vertical="top"/>
    </xf>
    <xf numFmtId="0" fontId="151" fillId="0" borderId="93" xfId="0" applyFont="1" applyBorder="1" applyAlignment="1">
      <alignment horizontal="justify" vertical="top"/>
    </xf>
    <xf numFmtId="0" fontId="151" fillId="0" borderId="93" xfId="0" applyFont="1" applyBorder="1" applyAlignment="1">
      <alignment horizontal="left" vertical="top"/>
    </xf>
    <xf numFmtId="9" fontId="151" fillId="0" borderId="93" xfId="0" applyNumberFormat="1" applyFont="1" applyBorder="1" applyAlignment="1">
      <alignment horizontal="justify" vertical="top"/>
    </xf>
    <xf numFmtId="0" fontId="153" fillId="0" borderId="93" xfId="0" applyFont="1" applyBorder="1" applyAlignment="1">
      <alignment horizontal="left" vertical="top"/>
    </xf>
    <xf numFmtId="171" fontId="151" fillId="0" borderId="93" xfId="432" applyNumberFormat="1" applyFont="1" applyBorder="1" applyAlignment="1">
      <alignment horizontal="right" vertical="top"/>
    </xf>
    <xf numFmtId="171" fontId="153" fillId="0" borderId="93" xfId="432" applyNumberFormat="1" applyFont="1" applyBorder="1" applyAlignment="1">
      <alignment horizontal="right" vertical="top"/>
    </xf>
    <xf numFmtId="0" fontId="173" fillId="31" borderId="53" xfId="0" applyFont="1" applyFill="1" applyBorder="1" applyAlignment="1">
      <alignment horizontal="center" vertical="top"/>
    </xf>
    <xf numFmtId="171" fontId="151" fillId="0" borderId="53" xfId="432" applyNumberFormat="1" applyFont="1" applyBorder="1" applyAlignment="1">
      <alignment horizontal="right" vertical="top"/>
    </xf>
    <xf numFmtId="171" fontId="153" fillId="0" borderId="53" xfId="432" applyNumberFormat="1" applyFont="1" applyBorder="1" applyAlignment="1">
      <alignment horizontal="right" vertical="top"/>
    </xf>
    <xf numFmtId="0" fontId="144" fillId="0" borderId="93" xfId="0" applyFont="1" applyBorder="1"/>
    <xf numFmtId="171" fontId="97" fillId="0" borderId="93" xfId="432" applyNumberFormat="1" applyFont="1" applyBorder="1"/>
    <xf numFmtId="171" fontId="144" fillId="0" borderId="93" xfId="432" applyNumberFormat="1" applyFont="1" applyBorder="1"/>
    <xf numFmtId="0" fontId="129" fillId="0" borderId="94" xfId="0" applyFont="1" applyBorder="1"/>
    <xf numFmtId="171" fontId="129" fillId="0" borderId="94" xfId="432" applyNumberFormat="1" applyFont="1" applyBorder="1"/>
    <xf numFmtId="0" fontId="0" fillId="0" borderId="0" xfId="0" applyAlignment="1">
      <alignment horizontal="left" indent="1"/>
    </xf>
    <xf numFmtId="0" fontId="0" fillId="0" borderId="0" xfId="0" applyAlignment="1">
      <alignment horizontal="left"/>
    </xf>
    <xf numFmtId="9" fontId="94" fillId="0" borderId="0" xfId="432" applyNumberFormat="1" applyFont="1"/>
    <xf numFmtId="0" fontId="174" fillId="0" borderId="0" xfId="524" applyFont="1"/>
    <xf numFmtId="0" fontId="170" fillId="0" borderId="54" xfId="524" applyFont="1" applyBorder="1"/>
    <xf numFmtId="0" fontId="165" fillId="0" borderId="54" xfId="524" applyFont="1" applyBorder="1"/>
    <xf numFmtId="0" fontId="170" fillId="0" borderId="63" xfId="524" applyFont="1" applyBorder="1" applyAlignment="1">
      <alignment wrapText="1"/>
    </xf>
    <xf numFmtId="0" fontId="165" fillId="0" borderId="0" xfId="524" applyFont="1"/>
    <xf numFmtId="0" fontId="174" fillId="0" borderId="0" xfId="524" applyFont="1" applyAlignment="1">
      <alignment wrapText="1"/>
    </xf>
    <xf numFmtId="0" fontId="175" fillId="0" borderId="0" xfId="524" applyFont="1"/>
    <xf numFmtId="0" fontId="176" fillId="0" borderId="0" xfId="524" applyFont="1"/>
    <xf numFmtId="0" fontId="165" fillId="0" borderId="64" xfId="524" applyFont="1" applyBorder="1" applyAlignment="1">
      <alignment wrapText="1"/>
    </xf>
    <xf numFmtId="0" fontId="170" fillId="0" borderId="0" xfId="524" applyFont="1"/>
    <xf numFmtId="0" fontId="177" fillId="0" borderId="65" xfId="524" applyFont="1" applyBorder="1" applyAlignment="1">
      <alignment horizontal="center"/>
    </xf>
    <xf numFmtId="0" fontId="170" fillId="0" borderId="66" xfId="524" applyFont="1" applyBorder="1"/>
    <xf numFmtId="0" fontId="165" fillId="0" borderId="67" xfId="524" applyFont="1" applyBorder="1"/>
    <xf numFmtId="0" fontId="165" fillId="0" borderId="68" xfId="524" applyFont="1" applyBorder="1"/>
    <xf numFmtId="0" fontId="174" fillId="0" borderId="64" xfId="524" applyFont="1" applyBorder="1" applyAlignment="1">
      <alignment wrapText="1"/>
    </xf>
    <xf numFmtId="3" fontId="178" fillId="0" borderId="0" xfId="524" applyNumberFormat="1" applyFont="1"/>
    <xf numFmtId="3" fontId="178" fillId="0" borderId="69" xfId="524" applyNumberFormat="1" applyFont="1" applyBorder="1"/>
    <xf numFmtId="237" fontId="174" fillId="0" borderId="70" xfId="524" applyNumberFormat="1" applyFont="1" applyBorder="1"/>
    <xf numFmtId="3" fontId="174" fillId="0" borderId="0" xfId="524" applyNumberFormat="1" applyFont="1"/>
    <xf numFmtId="3" fontId="174" fillId="0" borderId="69" xfId="524" applyNumberFormat="1" applyFont="1" applyBorder="1"/>
    <xf numFmtId="3" fontId="174" fillId="0" borderId="70" xfId="524" applyNumberFormat="1" applyFont="1" applyBorder="1"/>
    <xf numFmtId="3" fontId="178" fillId="0" borderId="0" xfId="524" applyNumberFormat="1" applyFont="1" applyAlignment="1">
      <alignment horizontal="right"/>
    </xf>
    <xf numFmtId="0" fontId="178" fillId="0" borderId="0" xfId="524" applyFont="1" applyAlignment="1">
      <alignment horizontal="right"/>
    </xf>
    <xf numFmtId="3" fontId="174" fillId="0" borderId="71" xfId="524" applyNumberFormat="1" applyFont="1" applyBorder="1"/>
    <xf numFmtId="3" fontId="174" fillId="0" borderId="72" xfId="524" applyNumberFormat="1" applyFont="1" applyBorder="1"/>
    <xf numFmtId="237" fontId="174" fillId="0" borderId="73" xfId="524" applyNumberFormat="1" applyFont="1" applyBorder="1"/>
    <xf numFmtId="0" fontId="174" fillId="0" borderId="64" xfId="524" applyFont="1" applyBorder="1"/>
    <xf numFmtId="171" fontId="179" fillId="0" borderId="0" xfId="524" applyNumberFormat="1" applyFont="1"/>
    <xf numFmtId="171" fontId="165" fillId="0" borderId="0" xfId="524" applyNumberFormat="1" applyFont="1"/>
    <xf numFmtId="0" fontId="165" fillId="35" borderId="64" xfId="524" applyFont="1" applyFill="1" applyBorder="1" applyAlignment="1">
      <alignment wrapText="1"/>
    </xf>
    <xf numFmtId="0" fontId="170" fillId="36" borderId="0" xfId="524" applyFont="1" applyFill="1" applyAlignment="1">
      <alignment horizontal="left"/>
    </xf>
    <xf numFmtId="0" fontId="165" fillId="36" borderId="0" xfId="524" applyFont="1" applyFill="1" applyAlignment="1">
      <alignment horizontal="center"/>
    </xf>
    <xf numFmtId="0" fontId="170" fillId="36" borderId="0" xfId="524" applyFont="1" applyFill="1" applyAlignment="1">
      <alignment horizontal="center"/>
    </xf>
    <xf numFmtId="0" fontId="170" fillId="37" borderId="0" xfId="524" applyFont="1" applyFill="1" applyAlignment="1">
      <alignment horizontal="center"/>
    </xf>
    <xf numFmtId="0" fontId="165" fillId="37" borderId="0" xfId="524" applyFont="1" applyFill="1" applyAlignment="1">
      <alignment horizontal="center"/>
    </xf>
    <xf numFmtId="244" fontId="170" fillId="0" borderId="0" xfId="524" applyNumberFormat="1" applyFont="1"/>
    <xf numFmtId="0" fontId="170" fillId="38" borderId="0" xfId="524" applyFont="1" applyFill="1" applyAlignment="1">
      <alignment horizontal="right"/>
    </xf>
    <xf numFmtId="9" fontId="179" fillId="38" borderId="0" xfId="524" applyNumberFormat="1" applyFont="1" applyFill="1"/>
    <xf numFmtId="3" fontId="165" fillId="0" borderId="0" xfId="524" applyNumberFormat="1" applyFont="1"/>
    <xf numFmtId="0" fontId="170" fillId="0" borderId="0" xfId="524" quotePrefix="1" applyFont="1"/>
    <xf numFmtId="237" fontId="165" fillId="0" borderId="0" xfId="524" applyNumberFormat="1" applyFont="1"/>
    <xf numFmtId="0" fontId="180" fillId="0" borderId="0" xfId="524" applyFont="1"/>
    <xf numFmtId="172" fontId="165" fillId="0" borderId="0" xfId="524" applyNumberFormat="1" applyFont="1"/>
    <xf numFmtId="173" fontId="165" fillId="0" borderId="0" xfId="524" applyNumberFormat="1" applyFont="1"/>
    <xf numFmtId="0" fontId="178" fillId="0" borderId="0" xfId="524" applyFont="1" applyAlignment="1">
      <alignment wrapText="1"/>
    </xf>
    <xf numFmtId="0" fontId="165" fillId="38" borderId="0" xfId="524" applyFont="1" applyFill="1" applyAlignment="1">
      <alignment horizontal="right"/>
    </xf>
    <xf numFmtId="173" fontId="165" fillId="38" borderId="0" xfId="524" applyNumberFormat="1" applyFont="1" applyFill="1"/>
    <xf numFmtId="173" fontId="165" fillId="40" borderId="0" xfId="524" applyNumberFormat="1" applyFont="1" applyFill="1"/>
    <xf numFmtId="0" fontId="165" fillId="38" borderId="0" xfId="524" applyFont="1" applyFill="1"/>
    <xf numFmtId="0" fontId="165" fillId="41" borderId="0" xfId="524" applyFont="1" applyFill="1" applyAlignment="1">
      <alignment horizontal="right" wrapText="1"/>
    </xf>
    <xf numFmtId="173" fontId="165" fillId="41" borderId="0" xfId="524" applyNumberFormat="1" applyFont="1" applyFill="1"/>
    <xf numFmtId="0" fontId="165" fillId="41" borderId="0" xfId="524" applyFont="1" applyFill="1"/>
    <xf numFmtId="0" fontId="165" fillId="41" borderId="0" xfId="524" applyFont="1" applyFill="1" applyAlignment="1">
      <alignment horizontal="right"/>
    </xf>
    <xf numFmtId="0" fontId="165" fillId="40" borderId="0" xfId="524" applyFont="1" applyFill="1"/>
    <xf numFmtId="0" fontId="181" fillId="0" borderId="64" xfId="524" applyFont="1" applyBorder="1" applyAlignment="1">
      <alignment wrapText="1"/>
    </xf>
    <xf numFmtId="0" fontId="165" fillId="0" borderId="0" xfId="524" applyFont="1" applyAlignment="1">
      <alignment wrapText="1"/>
    </xf>
    <xf numFmtId="0" fontId="165" fillId="0" borderId="0" xfId="524" applyFont="1" applyAlignment="1">
      <alignment horizontal="right"/>
    </xf>
    <xf numFmtId="173" fontId="179" fillId="0" borderId="0" xfId="524" applyNumberFormat="1" applyFont="1"/>
    <xf numFmtId="172" fontId="179" fillId="0" borderId="0" xfId="524" applyNumberFormat="1" applyFont="1"/>
    <xf numFmtId="9" fontId="179" fillId="0" borderId="0" xfId="524" applyNumberFormat="1" applyFont="1"/>
    <xf numFmtId="0" fontId="179" fillId="0" borderId="0" xfId="524" applyFont="1"/>
    <xf numFmtId="0" fontId="170" fillId="0" borderId="0" xfId="524" applyFont="1" applyAlignment="1">
      <alignment horizontal="left"/>
    </xf>
    <xf numFmtId="173" fontId="165" fillId="0" borderId="0" xfId="524" applyNumberFormat="1" applyFont="1" applyAlignment="1">
      <alignment horizontal="right"/>
    </xf>
    <xf numFmtId="3" fontId="165" fillId="0" borderId="0" xfId="524" applyNumberFormat="1" applyFont="1" applyAlignment="1">
      <alignment horizontal="right"/>
    </xf>
    <xf numFmtId="0" fontId="170" fillId="42" borderId="0" xfId="524" applyFont="1" applyFill="1" applyAlignment="1">
      <alignment horizontal="left"/>
    </xf>
    <xf numFmtId="172" fontId="165" fillId="42" borderId="0" xfId="524" applyNumberFormat="1" applyFont="1" applyFill="1" applyAlignment="1">
      <alignment horizontal="right"/>
    </xf>
    <xf numFmtId="9" fontId="165" fillId="42" borderId="0" xfId="524" applyNumberFormat="1" applyFont="1" applyFill="1" applyAlignment="1">
      <alignment horizontal="right"/>
    </xf>
    <xf numFmtId="178" fontId="165" fillId="42" borderId="0" xfId="524" applyNumberFormat="1" applyFont="1" applyFill="1" applyAlignment="1">
      <alignment horizontal="right"/>
    </xf>
    <xf numFmtId="178" fontId="165" fillId="0" borderId="0" xfId="524" applyNumberFormat="1" applyFont="1" applyAlignment="1">
      <alignment horizontal="right"/>
    </xf>
    <xf numFmtId="9" fontId="165" fillId="0" borderId="0" xfId="524" applyNumberFormat="1" applyFont="1" applyAlignment="1">
      <alignment horizontal="right"/>
    </xf>
    <xf numFmtId="3" fontId="179" fillId="0" borderId="0" xfId="524" applyNumberFormat="1" applyFont="1" applyAlignment="1">
      <alignment horizontal="right"/>
    </xf>
    <xf numFmtId="173" fontId="165" fillId="0" borderId="64" xfId="524" applyNumberFormat="1" applyFont="1" applyBorder="1" applyAlignment="1">
      <alignment wrapText="1"/>
    </xf>
    <xf numFmtId="171" fontId="165" fillId="0" borderId="0" xfId="524" applyNumberFormat="1" applyFont="1" applyAlignment="1">
      <alignment horizontal="right"/>
    </xf>
    <xf numFmtId="43" fontId="165" fillId="0" borderId="64" xfId="524" applyNumberFormat="1" applyFont="1" applyBorder="1" applyAlignment="1">
      <alignment wrapText="1"/>
    </xf>
    <xf numFmtId="0" fontId="165" fillId="0" borderId="74" xfId="524" applyFont="1" applyBorder="1" applyAlignment="1">
      <alignment wrapText="1"/>
    </xf>
    <xf numFmtId="171" fontId="165" fillId="0" borderId="0" xfId="432" applyNumberFormat="1" applyFont="1" applyAlignment="1"/>
    <xf numFmtId="171" fontId="174" fillId="0" borderId="0" xfId="432" applyNumberFormat="1" applyFont="1"/>
    <xf numFmtId="0" fontId="178" fillId="0" borderId="0" xfId="524" applyFont="1"/>
    <xf numFmtId="171" fontId="165" fillId="0" borderId="0" xfId="432" applyNumberFormat="1" applyFont="1"/>
    <xf numFmtId="43" fontId="165" fillId="0" borderId="0" xfId="524" applyNumberFormat="1" applyFont="1"/>
    <xf numFmtId="10" fontId="174" fillId="0" borderId="0" xfId="524" applyNumberFormat="1" applyFont="1"/>
    <xf numFmtId="0" fontId="164" fillId="0" borderId="53" xfId="0" applyFont="1" applyBorder="1" applyAlignment="1">
      <alignment horizontal="right" vertical="top"/>
    </xf>
    <xf numFmtId="172" fontId="164" fillId="0" borderId="53" xfId="0" applyNumberFormat="1" applyFont="1" applyBorder="1" applyAlignment="1">
      <alignment horizontal="right" vertical="top"/>
    </xf>
    <xf numFmtId="0" fontId="166" fillId="23" borderId="52" xfId="0" applyFont="1" applyFill="1" applyBorder="1" applyAlignment="1">
      <alignment horizontal="right" vertical="top" wrapText="1"/>
    </xf>
    <xf numFmtId="172" fontId="164" fillId="0" borderId="0" xfId="446" applyNumberFormat="1" applyFont="1"/>
    <xf numFmtId="10" fontId="131" fillId="0" borderId="0" xfId="440" applyNumberFormat="1" applyFont="1" applyFill="1"/>
    <xf numFmtId="0" fontId="53" fillId="0" borderId="0" xfId="1" quotePrefix="1" applyFont="1" applyAlignment="1" applyProtection="1">
      <alignment horizontal="right"/>
      <protection locked="0"/>
    </xf>
    <xf numFmtId="9" fontId="53" fillId="0" borderId="0" xfId="1" quotePrefix="1" applyNumberFormat="1" applyFont="1" applyAlignment="1" applyProtection="1">
      <alignment horizontal="right"/>
      <protection locked="0"/>
    </xf>
    <xf numFmtId="0" fontId="164" fillId="0" borderId="0" xfId="446" quotePrefix="1" applyFont="1"/>
    <xf numFmtId="3" fontId="164" fillId="0" borderId="0" xfId="432" applyNumberFormat="1" applyFont="1" applyBorder="1" applyAlignment="1">
      <alignment horizontal="right"/>
    </xf>
    <xf numFmtId="3" fontId="164" fillId="23" borderId="0" xfId="432" applyNumberFormat="1" applyFont="1" applyFill="1" applyBorder="1" applyAlignment="1">
      <alignment horizontal="right"/>
    </xf>
    <xf numFmtId="3" fontId="164" fillId="23" borderId="23" xfId="432" applyNumberFormat="1" applyFont="1" applyFill="1" applyBorder="1" applyAlignment="1">
      <alignment horizontal="right"/>
    </xf>
    <xf numFmtId="3" fontId="166" fillId="0" borderId="0" xfId="432" applyNumberFormat="1" applyFont="1" applyBorder="1" applyAlignment="1">
      <alignment horizontal="right"/>
    </xf>
    <xf numFmtId="3" fontId="166" fillId="23" borderId="0" xfId="432" applyNumberFormat="1" applyFont="1" applyFill="1" applyBorder="1" applyAlignment="1">
      <alignment horizontal="right"/>
    </xf>
    <xf numFmtId="3" fontId="166" fillId="23" borderId="23" xfId="432" applyNumberFormat="1" applyFont="1" applyFill="1" applyBorder="1" applyAlignment="1">
      <alignment horizontal="right"/>
    </xf>
    <xf numFmtId="3" fontId="166" fillId="23" borderId="12" xfId="432" applyNumberFormat="1" applyFont="1" applyFill="1" applyBorder="1" applyAlignment="1">
      <alignment horizontal="right"/>
    </xf>
    <xf numFmtId="3" fontId="166" fillId="23" borderId="25" xfId="432" applyNumberFormat="1" applyFont="1" applyFill="1" applyBorder="1" applyAlignment="1">
      <alignment horizontal="right"/>
    </xf>
    <xf numFmtId="237" fontId="174" fillId="0" borderId="0" xfId="524" applyNumberFormat="1" applyFont="1"/>
    <xf numFmtId="178" fontId="164" fillId="0" borderId="0" xfId="432" applyNumberFormat="1" applyFont="1"/>
    <xf numFmtId="0" fontId="151" fillId="0" borderId="24" xfId="439" applyFont="1" applyBorder="1"/>
    <xf numFmtId="0" fontId="151" fillId="0" borderId="12" xfId="439" applyFont="1" applyBorder="1"/>
    <xf numFmtId="0" fontId="151" fillId="0" borderId="12" xfId="439" applyFont="1" applyBorder="1" applyAlignment="1">
      <alignment horizontal="left"/>
    </xf>
    <xf numFmtId="0" fontId="151" fillId="0" borderId="12" xfId="439" applyFont="1" applyBorder="1" applyAlignment="1">
      <alignment horizontal="left" wrapText="1"/>
    </xf>
    <xf numFmtId="0" fontId="151" fillId="26" borderId="12" xfId="439" applyFont="1" applyFill="1" applyBorder="1" applyAlignment="1">
      <alignment horizontal="left" wrapText="1"/>
    </xf>
    <xf numFmtId="9" fontId="151" fillId="0" borderId="12" xfId="439" applyNumberFormat="1" applyFont="1" applyBorder="1"/>
    <xf numFmtId="171" fontId="151" fillId="0" borderId="12" xfId="440" applyNumberFormat="1" applyFont="1" applyBorder="1"/>
    <xf numFmtId="171" fontId="151" fillId="0" borderId="12" xfId="440" applyNumberFormat="1" applyFont="1" applyBorder="1" applyAlignment="1">
      <alignment horizontal="right"/>
    </xf>
    <xf numFmtId="10" fontId="151" fillId="0" borderId="12" xfId="441" applyNumberFormat="1" applyFont="1" applyFill="1" applyBorder="1" applyAlignment="1">
      <alignment horizontal="right"/>
    </xf>
    <xf numFmtId="171" fontId="151" fillId="0" borderId="12" xfId="440" applyNumberFormat="1" applyFont="1" applyFill="1" applyBorder="1" applyAlignment="1">
      <alignment horizontal="right"/>
    </xf>
    <xf numFmtId="10" fontId="151" fillId="0" borderId="12" xfId="441" applyNumberFormat="1" applyFont="1" applyFill="1" applyBorder="1" applyAlignment="1">
      <alignment horizontal="left"/>
    </xf>
    <xf numFmtId="0" fontId="151" fillId="0" borderId="25" xfId="439" applyFont="1" applyBorder="1" applyAlignment="1">
      <alignment horizontal="right"/>
    </xf>
    <xf numFmtId="178" fontId="151" fillId="0" borderId="0" xfId="439" applyNumberFormat="1" applyFont="1"/>
    <xf numFmtId="178" fontId="151" fillId="0" borderId="41" xfId="440" applyNumberFormat="1" applyFont="1" applyFill="1" applyBorder="1"/>
    <xf numFmtId="178" fontId="151" fillId="0" borderId="40" xfId="440" applyNumberFormat="1" applyFont="1" applyFill="1" applyBorder="1"/>
    <xf numFmtId="178" fontId="151" fillId="0" borderId="95" xfId="440" applyNumberFormat="1" applyFont="1" applyFill="1" applyBorder="1"/>
    <xf numFmtId="178" fontId="151" fillId="0" borderId="42" xfId="440" applyNumberFormat="1" applyFont="1" applyFill="1" applyBorder="1"/>
    <xf numFmtId="178" fontId="153" fillId="0" borderId="0" xfId="440" applyNumberFormat="1" applyFont="1"/>
    <xf numFmtId="178" fontId="153" fillId="0" borderId="0" xfId="432" applyNumberFormat="1" applyFont="1"/>
    <xf numFmtId="0" fontId="164" fillId="0" borderId="93" xfId="0" applyFont="1" applyBorder="1" applyAlignment="1">
      <alignment horizontal="left"/>
    </xf>
    <xf numFmtId="0" fontId="164" fillId="0" borderId="93" xfId="0" applyFont="1" applyBorder="1" applyAlignment="1">
      <alignment horizontal="right" vertical="top"/>
    </xf>
    <xf numFmtId="3" fontId="165" fillId="34" borderId="0" xfId="432" applyNumberFormat="1" applyFont="1" applyFill="1" applyBorder="1" applyAlignment="1">
      <alignment horizontal="right"/>
    </xf>
    <xf numFmtId="3" fontId="164" fillId="34" borderId="0" xfId="0" applyNumberFormat="1" applyFont="1" applyFill="1"/>
    <xf numFmtId="3" fontId="164" fillId="23" borderId="23" xfId="0" applyNumberFormat="1" applyFont="1" applyFill="1" applyBorder="1"/>
    <xf numFmtId="3" fontId="165" fillId="34" borderId="12" xfId="432" applyNumberFormat="1" applyFont="1" applyFill="1" applyBorder="1" applyAlignment="1">
      <alignment horizontal="right"/>
    </xf>
    <xf numFmtId="3" fontId="165" fillId="23" borderId="12" xfId="432" applyNumberFormat="1" applyFont="1" applyFill="1" applyBorder="1" applyAlignment="1">
      <alignment horizontal="right"/>
    </xf>
    <xf numFmtId="3" fontId="165" fillId="23" borderId="25" xfId="432" applyNumberFormat="1" applyFont="1" applyFill="1" applyBorder="1" applyAlignment="1">
      <alignment horizontal="right"/>
    </xf>
    <xf numFmtId="3" fontId="165" fillId="0" borderId="0" xfId="432" applyNumberFormat="1" applyFont="1" applyBorder="1" applyAlignment="1">
      <alignment horizontal="right"/>
    </xf>
    <xf numFmtId="3" fontId="165" fillId="0" borderId="0" xfId="0" applyNumberFormat="1" applyFont="1" applyAlignment="1">
      <alignment horizontal="right"/>
    </xf>
    <xf numFmtId="237" fontId="165" fillId="0" borderId="0" xfId="432" applyNumberFormat="1" applyFont="1" applyBorder="1" applyAlignment="1">
      <alignment horizontal="right"/>
    </xf>
    <xf numFmtId="237" fontId="165" fillId="0" borderId="0" xfId="0" applyNumberFormat="1" applyFont="1" applyAlignment="1">
      <alignment horizontal="right"/>
    </xf>
    <xf numFmtId="3" fontId="165" fillId="0" borderId="12" xfId="432" applyNumberFormat="1" applyFont="1" applyBorder="1" applyAlignment="1">
      <alignment horizontal="right"/>
    </xf>
    <xf numFmtId="172" fontId="165" fillId="0" borderId="93" xfId="0" applyNumberFormat="1" applyFont="1" applyBorder="1" applyAlignment="1">
      <alignment horizontal="right" vertical="top"/>
    </xf>
    <xf numFmtId="14" fontId="0" fillId="0" borderId="0" xfId="0" applyNumberFormat="1"/>
    <xf numFmtId="171" fontId="174" fillId="0" borderId="0" xfId="524" applyNumberFormat="1" applyFont="1"/>
    <xf numFmtId="172" fontId="164" fillId="0" borderId="12" xfId="0" applyNumberFormat="1" applyFont="1" applyBorder="1"/>
    <xf numFmtId="0" fontId="182" fillId="3" borderId="0" xfId="0" applyFont="1" applyFill="1" applyAlignment="1">
      <alignment horizontal="left"/>
    </xf>
    <xf numFmtId="0" fontId="183" fillId="3" borderId="0" xfId="0" applyFont="1" applyFill="1" applyAlignment="1">
      <alignment horizontal="left"/>
    </xf>
    <xf numFmtId="0" fontId="184" fillId="3" borderId="0" xfId="0" applyFont="1" applyFill="1" applyAlignment="1">
      <alignment horizontal="left"/>
    </xf>
    <xf numFmtId="0" fontId="184" fillId="3" borderId="0" xfId="0" applyFont="1" applyFill="1"/>
    <xf numFmtId="37" fontId="185" fillId="3" borderId="50" xfId="0" applyNumberFormat="1" applyFont="1" applyFill="1" applyBorder="1"/>
    <xf numFmtId="9" fontId="186" fillId="3" borderId="50" xfId="0" applyNumberFormat="1" applyFont="1" applyFill="1" applyBorder="1"/>
    <xf numFmtId="37" fontId="185" fillId="3" borderId="0" xfId="0" applyNumberFormat="1" applyFont="1" applyFill="1"/>
    <xf numFmtId="9" fontId="186" fillId="3" borderId="0" xfId="0" applyNumberFormat="1" applyFont="1" applyFill="1"/>
    <xf numFmtId="0" fontId="186" fillId="3" borderId="0" xfId="0" applyFont="1" applyFill="1"/>
    <xf numFmtId="0" fontId="187" fillId="3" borderId="0" xfId="0" applyFont="1" applyFill="1"/>
    <xf numFmtId="0" fontId="188" fillId="3" borderId="0" xfId="0" applyFont="1" applyFill="1"/>
    <xf numFmtId="172" fontId="186" fillId="3" borderId="0" xfId="0" applyNumberFormat="1" applyFont="1" applyFill="1"/>
    <xf numFmtId="246" fontId="186" fillId="3" borderId="0" xfId="0" applyNumberFormat="1" applyFont="1" applyFill="1"/>
    <xf numFmtId="246" fontId="185" fillId="3" borderId="0" xfId="0" applyNumberFormat="1" applyFont="1" applyFill="1"/>
    <xf numFmtId="246" fontId="185" fillId="3" borderId="0" xfId="0" quotePrefix="1" applyNumberFormat="1" applyFont="1" applyFill="1"/>
    <xf numFmtId="0" fontId="184" fillId="3" borderId="50" xfId="0" applyFont="1" applyFill="1" applyBorder="1"/>
    <xf numFmtId="0" fontId="189" fillId="44" borderId="0" xfId="0" applyFont="1" applyFill="1"/>
    <xf numFmtId="0" fontId="184" fillId="3" borderId="50" xfId="0" applyFont="1" applyFill="1" applyBorder="1" applyAlignment="1">
      <alignment horizontal="left"/>
    </xf>
    <xf numFmtId="37" fontId="186" fillId="3" borderId="50" xfId="0" applyNumberFormat="1" applyFont="1" applyFill="1" applyBorder="1"/>
    <xf numFmtId="37" fontId="186" fillId="3" borderId="0" xfId="0" applyNumberFormat="1" applyFont="1" applyFill="1"/>
    <xf numFmtId="245" fontId="186" fillId="3" borderId="0" xfId="0" applyNumberFormat="1" applyFont="1" applyFill="1"/>
    <xf numFmtId="245" fontId="185" fillId="3" borderId="0" xfId="0" applyNumberFormat="1" applyFont="1" applyFill="1"/>
    <xf numFmtId="37" fontId="185" fillId="0" borderId="50" xfId="0" applyNumberFormat="1" applyFont="1" applyBorder="1"/>
    <xf numFmtId="37" fontId="184" fillId="3" borderId="0" xfId="0" applyNumberFormat="1" applyFont="1" applyFill="1"/>
    <xf numFmtId="0" fontId="183" fillId="3" borderId="0" xfId="0" applyFont="1" applyFill="1"/>
    <xf numFmtId="245" fontId="183" fillId="3" borderId="0" xfId="0" applyNumberFormat="1" applyFont="1" applyFill="1"/>
    <xf numFmtId="0" fontId="186" fillId="3" borderId="50" xfId="0" applyFont="1" applyFill="1" applyBorder="1" applyAlignment="1">
      <alignment horizontal="left"/>
    </xf>
    <xf numFmtId="0" fontId="155" fillId="3" borderId="0" xfId="0" applyFont="1" applyFill="1"/>
    <xf numFmtId="0" fontId="155" fillId="3" borderId="50" xfId="0" applyFont="1" applyFill="1" applyBorder="1"/>
    <xf numFmtId="245" fontId="155" fillId="3" borderId="0" xfId="0" applyNumberFormat="1" applyFont="1" applyFill="1"/>
    <xf numFmtId="246" fontId="155" fillId="3" borderId="50" xfId="0" applyNumberFormat="1" applyFont="1" applyFill="1" applyBorder="1"/>
    <xf numFmtId="172" fontId="155" fillId="3" borderId="0" xfId="0" applyNumberFormat="1" applyFont="1" applyFill="1"/>
    <xf numFmtId="246" fontId="155" fillId="3" borderId="0" xfId="0" applyNumberFormat="1" applyFont="1" applyFill="1"/>
    <xf numFmtId="245" fontId="155" fillId="3" borderId="50" xfId="0" applyNumberFormat="1" applyFont="1" applyFill="1" applyBorder="1"/>
    <xf numFmtId="0" fontId="155" fillId="44" borderId="0" xfId="0" applyFont="1" applyFill="1"/>
    <xf numFmtId="173" fontId="155" fillId="3" borderId="0" xfId="0" applyNumberFormat="1" applyFont="1" applyFill="1"/>
    <xf numFmtId="37" fontId="155" fillId="3" borderId="0" xfId="0" applyNumberFormat="1" applyFont="1" applyFill="1"/>
    <xf numFmtId="37" fontId="155" fillId="3" borderId="50" xfId="0" applyNumberFormat="1" applyFont="1" applyFill="1" applyBorder="1"/>
    <xf numFmtId="0" fontId="155" fillId="3" borderId="0" xfId="0" applyFont="1" applyFill="1" applyAlignment="1">
      <alignment horizontal="right"/>
    </xf>
    <xf numFmtId="9" fontId="155" fillId="3" borderId="0" xfId="0" applyNumberFormat="1" applyFont="1" applyFill="1"/>
    <xf numFmtId="0" fontId="155" fillId="3" borderId="0" xfId="0" applyFont="1" applyFill="1" applyAlignment="1">
      <alignment horizontal="left"/>
    </xf>
    <xf numFmtId="246" fontId="186" fillId="3" borderId="0" xfId="0" quotePrefix="1" applyNumberFormat="1" applyFont="1" applyFill="1"/>
    <xf numFmtId="173" fontId="186" fillId="3" borderId="0" xfId="0" applyNumberFormat="1" applyFont="1" applyFill="1"/>
    <xf numFmtId="0" fontId="185" fillId="3" borderId="0" xfId="0" applyFont="1" applyFill="1"/>
    <xf numFmtId="9" fontId="185" fillId="3" borderId="0" xfId="0" applyNumberFormat="1" applyFont="1" applyFill="1"/>
    <xf numFmtId="37" fontId="186" fillId="0" borderId="50" xfId="0" applyNumberFormat="1" applyFont="1" applyBorder="1"/>
    <xf numFmtId="37" fontId="185" fillId="3" borderId="0" xfId="0" quotePrefix="1" applyNumberFormat="1" applyFont="1" applyFill="1"/>
    <xf numFmtId="37" fontId="188" fillId="3" borderId="0" xfId="0" applyNumberFormat="1" applyFont="1" applyFill="1"/>
    <xf numFmtId="202" fontId="155" fillId="3" borderId="0" xfId="0" applyNumberFormat="1" applyFont="1" applyFill="1"/>
    <xf numFmtId="37" fontId="184" fillId="3" borderId="50" xfId="0" applyNumberFormat="1" applyFont="1" applyFill="1" applyBorder="1"/>
    <xf numFmtId="37" fontId="184" fillId="3" borderId="0" xfId="0" quotePrefix="1" applyNumberFormat="1" applyFont="1" applyFill="1"/>
    <xf numFmtId="0" fontId="184" fillId="3" borderId="0" xfId="0" applyFont="1" applyFill="1" applyAlignment="1">
      <alignment horizontal="right"/>
    </xf>
    <xf numFmtId="0" fontId="186" fillId="3" borderId="50" xfId="0" applyFont="1" applyFill="1" applyBorder="1"/>
    <xf numFmtId="0" fontId="185" fillId="3" borderId="50" xfId="0" applyFont="1" applyFill="1" applyBorder="1"/>
    <xf numFmtId="37" fontId="185" fillId="0" borderId="0" xfId="0" applyNumberFormat="1" applyFont="1"/>
    <xf numFmtId="0" fontId="188" fillId="3" borderId="0" xfId="0" applyFont="1" applyFill="1" applyAlignment="1">
      <alignment horizontal="left"/>
    </xf>
    <xf numFmtId="172" fontId="188" fillId="3" borderId="50" xfId="0" applyNumberFormat="1" applyFont="1" applyFill="1" applyBorder="1"/>
    <xf numFmtId="9" fontId="185" fillId="0" borderId="0" xfId="0" applyNumberFormat="1" applyFont="1"/>
    <xf numFmtId="173" fontId="186" fillId="0" borderId="0" xfId="0" applyNumberFormat="1" applyFont="1"/>
    <xf numFmtId="37" fontId="192" fillId="3" borderId="0" xfId="0" applyNumberFormat="1" applyFont="1" applyFill="1"/>
    <xf numFmtId="248" fontId="185" fillId="3" borderId="0" xfId="0" applyNumberFormat="1" applyFont="1" applyFill="1"/>
    <xf numFmtId="0" fontId="0" fillId="3" borderId="0" xfId="0" applyFill="1"/>
    <xf numFmtId="0" fontId="155" fillId="3" borderId="41" xfId="0" applyFont="1" applyFill="1" applyBorder="1"/>
    <xf numFmtId="0" fontId="155" fillId="3" borderId="52" xfId="0" applyFont="1" applyFill="1" applyBorder="1" applyAlignment="1">
      <alignment horizontal="centerContinuous"/>
    </xf>
    <xf numFmtId="0" fontId="155" fillId="3" borderId="53" xfId="0" applyFont="1" applyFill="1" applyBorder="1" applyAlignment="1">
      <alignment horizontal="centerContinuous"/>
    </xf>
    <xf numFmtId="0" fontId="155" fillId="3" borderId="48" xfId="0" applyFont="1" applyFill="1" applyBorder="1" applyAlignment="1">
      <alignment horizontal="centerContinuous"/>
    </xf>
    <xf numFmtId="7" fontId="155" fillId="3" borderId="0" xfId="0" applyNumberFormat="1" applyFont="1" applyFill="1"/>
    <xf numFmtId="237" fontId="155" fillId="3" borderId="0" xfId="0" applyNumberFormat="1" applyFont="1" applyFill="1"/>
    <xf numFmtId="248" fontId="155" fillId="3" borderId="0" xfId="0" applyNumberFormat="1" applyFont="1" applyFill="1"/>
    <xf numFmtId="253" fontId="155" fillId="3" borderId="0" xfId="0" applyNumberFormat="1" applyFont="1" applyFill="1"/>
    <xf numFmtId="245" fontId="155" fillId="3" borderId="0" xfId="0" applyNumberFormat="1" applyFont="1" applyFill="1" applyAlignment="1">
      <alignment horizontal="right"/>
    </xf>
    <xf numFmtId="0" fontId="155" fillId="3" borderId="2" xfId="0" applyFont="1" applyFill="1" applyBorder="1"/>
    <xf numFmtId="37" fontId="192" fillId="3" borderId="50" xfId="0" applyNumberFormat="1" applyFont="1" applyFill="1" applyBorder="1"/>
    <xf numFmtId="3" fontId="155" fillId="3" borderId="50" xfId="0" applyNumberFormat="1" applyFont="1" applyFill="1" applyBorder="1"/>
    <xf numFmtId="0" fontId="193" fillId="3" borderId="0" xfId="0" applyFont="1" applyFill="1" applyAlignment="1">
      <alignment horizontal="center"/>
    </xf>
    <xf numFmtId="0" fontId="193" fillId="3" borderId="0" xfId="0" applyFont="1" applyFill="1"/>
    <xf numFmtId="244" fontId="193" fillId="3" borderId="0" xfId="0" applyNumberFormat="1" applyFont="1" applyFill="1"/>
    <xf numFmtId="0" fontId="195" fillId="3" borderId="0" xfId="0" applyFont="1" applyFill="1"/>
    <xf numFmtId="248" fontId="196" fillId="3" borderId="0" xfId="0" applyNumberFormat="1" applyFont="1" applyFill="1"/>
    <xf numFmtId="0" fontId="185" fillId="3" borderId="41" xfId="0" applyFont="1" applyFill="1" applyBorder="1"/>
    <xf numFmtId="0" fontId="197" fillId="3" borderId="0" xfId="0" applyFont="1" applyFill="1"/>
    <xf numFmtId="202" fontId="196" fillId="3" borderId="0" xfId="0" applyNumberFormat="1" applyFont="1" applyFill="1"/>
    <xf numFmtId="202" fontId="199" fillId="3" borderId="0" xfId="0" applyNumberFormat="1" applyFont="1" applyFill="1"/>
    <xf numFmtId="202" fontId="193" fillId="3" borderId="0" xfId="0" applyNumberFormat="1" applyFont="1" applyFill="1"/>
    <xf numFmtId="0" fontId="200" fillId="3" borderId="0" xfId="0" applyFont="1" applyFill="1"/>
    <xf numFmtId="245" fontId="185" fillId="3" borderId="0" xfId="0" applyNumberFormat="1" applyFont="1" applyFill="1" applyAlignment="1">
      <alignment horizontal="centerContinuous"/>
    </xf>
    <xf numFmtId="245" fontId="195" fillId="3" borderId="0" xfId="0" applyNumberFormat="1" applyFont="1" applyFill="1"/>
    <xf numFmtId="248" fontId="197" fillId="3" borderId="0" xfId="0" applyNumberFormat="1" applyFont="1" applyFill="1"/>
    <xf numFmtId="250" fontId="195" fillId="3" borderId="0" xfId="0" applyNumberFormat="1" applyFont="1" applyFill="1"/>
    <xf numFmtId="0" fontId="201" fillId="3" borderId="0" xfId="0" applyFont="1" applyFill="1"/>
    <xf numFmtId="0" fontId="195" fillId="3" borderId="0" xfId="0" applyFont="1" applyFill="1" applyAlignment="1">
      <alignment horizontal="right"/>
    </xf>
    <xf numFmtId="202" fontId="185" fillId="3" borderId="0" xfId="0" applyNumberFormat="1" applyFont="1" applyFill="1"/>
    <xf numFmtId="237" fontId="185" fillId="3" borderId="0" xfId="0" applyNumberFormat="1" applyFont="1" applyFill="1"/>
    <xf numFmtId="0" fontId="188" fillId="3" borderId="0" xfId="0" applyFont="1" applyFill="1" applyAlignment="1">
      <alignment horizontal="centerContinuous"/>
    </xf>
    <xf numFmtId="237" fontId="201" fillId="3" borderId="0" xfId="0" applyNumberFormat="1" applyFont="1" applyFill="1"/>
    <xf numFmtId="245" fontId="200" fillId="3" borderId="0" xfId="0" applyNumberFormat="1" applyFont="1" applyFill="1"/>
    <xf numFmtId="237" fontId="203" fillId="3" borderId="0" xfId="0" applyNumberFormat="1" applyFont="1" applyFill="1"/>
    <xf numFmtId="202" fontId="203" fillId="3" borderId="0" xfId="0" applyNumberFormat="1" applyFont="1" applyFill="1"/>
    <xf numFmtId="245" fontId="202" fillId="3" borderId="0" xfId="0" applyNumberFormat="1" applyFont="1" applyFill="1"/>
    <xf numFmtId="251" fontId="197" fillId="3" borderId="0" xfId="0" applyNumberFormat="1" applyFont="1" applyFill="1"/>
    <xf numFmtId="252" fontId="195" fillId="3" borderId="0" xfId="0" applyNumberFormat="1" applyFont="1" applyFill="1"/>
    <xf numFmtId="0" fontId="204" fillId="3" borderId="0" xfId="0" applyFont="1" applyFill="1"/>
    <xf numFmtId="7" fontId="188" fillId="3" borderId="0" xfId="0" applyNumberFormat="1" applyFont="1" applyFill="1"/>
    <xf numFmtId="245" fontId="190" fillId="3" borderId="0" xfId="0" applyNumberFormat="1" applyFont="1" applyFill="1" applyAlignment="1">
      <alignment horizontal="right"/>
    </xf>
    <xf numFmtId="245" fontId="188" fillId="3" borderId="0" xfId="0" applyNumberFormat="1" applyFont="1" applyFill="1"/>
    <xf numFmtId="7" fontId="205" fillId="3" borderId="0" xfId="0" applyNumberFormat="1" applyFont="1" applyFill="1"/>
    <xf numFmtId="252" fontId="193" fillId="3" borderId="0" xfId="0" applyNumberFormat="1" applyFont="1" applyFill="1"/>
    <xf numFmtId="249" fontId="185" fillId="3" borderId="0" xfId="0" applyNumberFormat="1" applyFont="1" applyFill="1"/>
    <xf numFmtId="172" fontId="185" fillId="3" borderId="0" xfId="0" applyNumberFormat="1" applyFont="1" applyFill="1"/>
    <xf numFmtId="252" fontId="196" fillId="3" borderId="0" xfId="0" applyNumberFormat="1" applyFont="1" applyFill="1"/>
    <xf numFmtId="0" fontId="206" fillId="3" borderId="0" xfId="0" applyFont="1" applyFill="1"/>
    <xf numFmtId="245" fontId="185" fillId="3" borderId="0" xfId="0" applyNumberFormat="1" applyFont="1" applyFill="1" applyAlignment="1">
      <alignment horizontal="right"/>
    </xf>
    <xf numFmtId="245" fontId="196" fillId="3" borderId="0" xfId="0" applyNumberFormat="1" applyFont="1" applyFill="1"/>
    <xf numFmtId="252" fontId="197" fillId="3" borderId="0" xfId="0" applyNumberFormat="1" applyFont="1" applyFill="1"/>
    <xf numFmtId="3" fontId="186" fillId="3" borderId="0" xfId="0" applyNumberFormat="1" applyFont="1" applyFill="1"/>
    <xf numFmtId="3" fontId="192" fillId="3" borderId="0" xfId="0" applyNumberFormat="1" applyFont="1" applyFill="1"/>
    <xf numFmtId="3" fontId="197" fillId="3" borderId="50" xfId="0" applyNumberFormat="1" applyFont="1" applyFill="1" applyBorder="1"/>
    <xf numFmtId="244" fontId="194" fillId="3" borderId="50" xfId="0" applyNumberFormat="1" applyFont="1" applyFill="1" applyBorder="1"/>
    <xf numFmtId="244" fontId="194" fillId="3" borderId="0" xfId="0" applyNumberFormat="1" applyFont="1" applyFill="1"/>
    <xf numFmtId="0" fontId="155" fillId="3" borderId="93" xfId="0" applyFont="1" applyFill="1" applyBorder="1" applyAlignment="1">
      <alignment horizontal="centerContinuous"/>
    </xf>
    <xf numFmtId="37" fontId="204" fillId="3" borderId="0" xfId="0" applyNumberFormat="1" applyFont="1" applyFill="1"/>
    <xf numFmtId="37" fontId="197" fillId="3" borderId="50" xfId="0" applyNumberFormat="1" applyFont="1" applyFill="1" applyBorder="1"/>
    <xf numFmtId="0" fontId="202" fillId="3" borderId="0" xfId="0" applyFont="1" applyFill="1" applyAlignment="1">
      <alignment horizontal="centerContinuous"/>
    </xf>
    <xf numFmtId="0" fontId="207" fillId="3" borderId="0" xfId="0" applyFont="1" applyFill="1"/>
    <xf numFmtId="0" fontId="208" fillId="3" borderId="0" xfId="0" applyFont="1" applyFill="1" applyAlignment="1">
      <alignment horizontal="right"/>
    </xf>
    <xf numFmtId="0" fontId="209" fillId="3" borderId="0" xfId="0" applyFont="1" applyFill="1"/>
    <xf numFmtId="202" fontId="197" fillId="3" borderId="0" xfId="0" applyNumberFormat="1" applyFont="1" applyFill="1"/>
    <xf numFmtId="202" fontId="186" fillId="3" borderId="0" xfId="0" applyNumberFormat="1" applyFont="1" applyFill="1"/>
    <xf numFmtId="0" fontId="210" fillId="3" borderId="0" xfId="0" applyFont="1" applyFill="1"/>
    <xf numFmtId="0" fontId="211" fillId="3" borderId="0" xfId="0" applyFont="1" applyFill="1" applyAlignment="1">
      <alignment horizontal="right"/>
    </xf>
    <xf numFmtId="0" fontId="155" fillId="0" borderId="48" xfId="0" applyFont="1" applyBorder="1" applyAlignment="1">
      <alignment horizontal="centerContinuous"/>
    </xf>
    <xf numFmtId="0" fontId="155" fillId="3" borderId="0" xfId="0" applyFont="1" applyFill="1" applyAlignment="1">
      <alignment horizontal="centerContinuous"/>
    </xf>
    <xf numFmtId="173" fontId="155" fillId="3" borderId="50" xfId="0" applyNumberFormat="1" applyFont="1" applyFill="1" applyBorder="1"/>
    <xf numFmtId="202" fontId="155" fillId="3" borderId="50" xfId="0" applyNumberFormat="1" applyFont="1" applyFill="1" applyBorder="1"/>
    <xf numFmtId="247" fontId="155" fillId="3" borderId="0" xfId="0" applyNumberFormat="1" applyFont="1" applyFill="1"/>
    <xf numFmtId="0" fontId="155" fillId="3" borderId="0" xfId="0" applyFont="1" applyFill="1" applyProtection="1">
      <protection locked="0"/>
    </xf>
    <xf numFmtId="18" fontId="185" fillId="3" borderId="0" xfId="0" applyNumberFormat="1" applyFont="1" applyFill="1"/>
    <xf numFmtId="248" fontId="188" fillId="3" borderId="0" xfId="0" applyNumberFormat="1" applyFont="1" applyFill="1"/>
    <xf numFmtId="248" fontId="188" fillId="3" borderId="50" xfId="0" applyNumberFormat="1" applyFont="1" applyFill="1" applyBorder="1"/>
    <xf numFmtId="202" fontId="188" fillId="3" borderId="0" xfId="0" applyNumberFormat="1" applyFont="1" applyFill="1"/>
    <xf numFmtId="0" fontId="191" fillId="3" borderId="0" xfId="0" applyFont="1" applyFill="1"/>
    <xf numFmtId="254" fontId="197" fillId="3" borderId="50" xfId="0" quotePrefix="1" applyNumberFormat="1" applyFont="1" applyFill="1" applyBorder="1"/>
    <xf numFmtId="0" fontId="197" fillId="3" borderId="50" xfId="0" applyFont="1" applyFill="1" applyBorder="1"/>
    <xf numFmtId="172" fontId="197" fillId="3" borderId="50" xfId="0" applyNumberFormat="1" applyFont="1" applyFill="1" applyBorder="1"/>
    <xf numFmtId="37" fontId="196" fillId="3" borderId="0" xfId="0" applyNumberFormat="1" applyFont="1" applyFill="1"/>
    <xf numFmtId="0" fontId="212" fillId="3" borderId="0" xfId="0" applyFont="1" applyFill="1"/>
    <xf numFmtId="202" fontId="204" fillId="3" borderId="0" xfId="0" applyNumberFormat="1" applyFont="1" applyFill="1"/>
    <xf numFmtId="202" fontId="186" fillId="3" borderId="50" xfId="0" applyNumberFormat="1" applyFont="1" applyFill="1" applyBorder="1"/>
    <xf numFmtId="244" fontId="155" fillId="3" borderId="0" xfId="0" applyNumberFormat="1" applyFont="1" applyFill="1"/>
    <xf numFmtId="202" fontId="192" fillId="3" borderId="0" xfId="0" applyNumberFormat="1" applyFont="1" applyFill="1"/>
    <xf numFmtId="37" fontId="191" fillId="3" borderId="0" xfId="0" applyNumberFormat="1" applyFont="1" applyFill="1" applyAlignment="1">
      <alignment horizontal="right"/>
    </xf>
    <xf numFmtId="37" fontId="155" fillId="3" borderId="96" xfId="0" applyNumberFormat="1" applyFont="1" applyFill="1" applyBorder="1"/>
    <xf numFmtId="37" fontId="155" fillId="3" borderId="41" xfId="0" applyNumberFormat="1" applyFont="1" applyFill="1" applyBorder="1"/>
    <xf numFmtId="3" fontId="155" fillId="3" borderId="0" xfId="0" applyNumberFormat="1" applyFont="1" applyFill="1"/>
    <xf numFmtId="37" fontId="155" fillId="3" borderId="0" xfId="0" applyNumberFormat="1" applyFont="1" applyFill="1" applyAlignment="1">
      <alignment horizontal="right"/>
    </xf>
    <xf numFmtId="244" fontId="193" fillId="3" borderId="96" xfId="0" applyNumberFormat="1" applyFont="1" applyFill="1" applyBorder="1"/>
    <xf numFmtId="37" fontId="196" fillId="3" borderId="41" xfId="0" applyNumberFormat="1" applyFont="1" applyFill="1" applyBorder="1"/>
    <xf numFmtId="202" fontId="196" fillId="3" borderId="41" xfId="0" applyNumberFormat="1" applyFont="1" applyFill="1" applyBorder="1"/>
    <xf numFmtId="202" fontId="192" fillId="3" borderId="41" xfId="0" applyNumberFormat="1" applyFont="1" applyFill="1" applyBorder="1"/>
    <xf numFmtId="37" fontId="186" fillId="3" borderId="41" xfId="0" applyNumberFormat="1" applyFont="1" applyFill="1" applyBorder="1"/>
    <xf numFmtId="248" fontId="155" fillId="3" borderId="41" xfId="0" applyNumberFormat="1" applyFont="1" applyFill="1" applyBorder="1"/>
    <xf numFmtId="37" fontId="191" fillId="3" borderId="41" xfId="0" applyNumberFormat="1" applyFont="1" applyFill="1" applyBorder="1" applyAlignment="1">
      <alignment horizontal="right"/>
    </xf>
    <xf numFmtId="172" fontId="155" fillId="3" borderId="41" xfId="0" applyNumberFormat="1" applyFont="1" applyFill="1" applyBorder="1"/>
    <xf numFmtId="3" fontId="155" fillId="3" borderId="41" xfId="0" applyNumberFormat="1" applyFont="1" applyFill="1" applyBorder="1"/>
    <xf numFmtId="247" fontId="155" fillId="3" borderId="41" xfId="0" applyNumberFormat="1" applyFont="1" applyFill="1" applyBorder="1"/>
    <xf numFmtId="37" fontId="155" fillId="3" borderId="42" xfId="0" applyNumberFormat="1" applyFont="1" applyFill="1" applyBorder="1" applyAlignment="1">
      <alignment horizontal="right"/>
    </xf>
    <xf numFmtId="244" fontId="194" fillId="3" borderId="96" xfId="0" applyNumberFormat="1" applyFont="1" applyFill="1" applyBorder="1"/>
    <xf numFmtId="3" fontId="186" fillId="3" borderId="41" xfId="0" applyNumberFormat="1" applyFont="1" applyFill="1" applyBorder="1"/>
    <xf numFmtId="3" fontId="155" fillId="3" borderId="96" xfId="0" applyNumberFormat="1" applyFont="1" applyFill="1" applyBorder="1"/>
    <xf numFmtId="237" fontId="186" fillId="3" borderId="41" xfId="0" applyNumberFormat="1" applyFont="1" applyFill="1" applyBorder="1"/>
    <xf numFmtId="3" fontId="197" fillId="3" borderId="96" xfId="0" applyNumberFormat="1" applyFont="1" applyFill="1" applyBorder="1"/>
    <xf numFmtId="37" fontId="197" fillId="3" borderId="96" xfId="0" applyNumberFormat="1" applyFont="1" applyFill="1" applyBorder="1"/>
    <xf numFmtId="37" fontId="204" fillId="3" borderId="41" xfId="0" applyNumberFormat="1" applyFont="1" applyFill="1" applyBorder="1"/>
    <xf numFmtId="252" fontId="155" fillId="3" borderId="41" xfId="0" applyNumberFormat="1" applyFont="1" applyFill="1" applyBorder="1"/>
    <xf numFmtId="245" fontId="185" fillId="3" borderId="41" xfId="0" applyNumberFormat="1" applyFont="1" applyFill="1" applyBorder="1" applyAlignment="1">
      <alignment horizontal="right"/>
    </xf>
    <xf numFmtId="37" fontId="155" fillId="3" borderId="2" xfId="0" applyNumberFormat="1" applyFont="1" applyFill="1" applyBorder="1"/>
    <xf numFmtId="0" fontId="188" fillId="3" borderId="50" xfId="0" applyFont="1" applyFill="1" applyBorder="1"/>
    <xf numFmtId="245" fontId="192" fillId="3" borderId="0" xfId="0" applyNumberFormat="1" applyFont="1" applyFill="1"/>
    <xf numFmtId="10" fontId="186" fillId="3" borderId="0" xfId="0" applyNumberFormat="1" applyFont="1" applyFill="1"/>
    <xf numFmtId="3" fontId="185" fillId="3" borderId="0" xfId="0" applyNumberFormat="1" applyFont="1" applyFill="1"/>
    <xf numFmtId="248" fontId="186" fillId="3" borderId="0" xfId="0" applyNumberFormat="1" applyFont="1" applyFill="1"/>
    <xf numFmtId="202" fontId="198" fillId="3" borderId="0" xfId="0" applyNumberFormat="1" applyFont="1" applyFill="1"/>
    <xf numFmtId="9" fontId="192" fillId="3" borderId="0" xfId="0" applyNumberFormat="1" applyFont="1" applyFill="1"/>
    <xf numFmtId="173" fontId="186" fillId="3" borderId="50" xfId="0" applyNumberFormat="1" applyFont="1" applyFill="1" applyBorder="1"/>
    <xf numFmtId="172" fontId="192" fillId="3" borderId="2" xfId="0" applyNumberFormat="1" applyFont="1" applyFill="1" applyBorder="1"/>
    <xf numFmtId="245" fontId="184" fillId="3" borderId="0" xfId="0" applyNumberFormat="1" applyFont="1" applyFill="1"/>
    <xf numFmtId="245" fontId="190" fillId="3" borderId="0" xfId="0" applyNumberFormat="1" applyFont="1" applyFill="1"/>
    <xf numFmtId="201" fontId="155" fillId="3" borderId="0" xfId="0" applyNumberFormat="1" applyFont="1" applyFill="1"/>
    <xf numFmtId="1" fontId="192" fillId="3" borderId="0" xfId="0" applyNumberFormat="1" applyFont="1" applyFill="1"/>
    <xf numFmtId="245" fontId="184" fillId="3" borderId="50" xfId="0" applyNumberFormat="1" applyFont="1" applyFill="1" applyBorder="1"/>
    <xf numFmtId="0" fontId="192" fillId="3" borderId="0" xfId="0" applyFont="1" applyFill="1"/>
    <xf numFmtId="172" fontId="192" fillId="3" borderId="0" xfId="0" applyNumberFormat="1" applyFont="1" applyFill="1"/>
    <xf numFmtId="246" fontId="192" fillId="3" borderId="0" xfId="0" applyNumberFormat="1" applyFont="1" applyFill="1"/>
    <xf numFmtId="37" fontId="203" fillId="3" borderId="0" xfId="0" applyNumberFormat="1" applyFont="1" applyFill="1"/>
    <xf numFmtId="2" fontId="155" fillId="3" borderId="0" xfId="0" applyNumberFormat="1" applyFont="1" applyFill="1"/>
    <xf numFmtId="37" fontId="186" fillId="3" borderId="0" xfId="0" applyNumberFormat="1" applyFont="1" applyFill="1" applyAlignment="1">
      <alignment horizontal="right"/>
    </xf>
    <xf numFmtId="37" fontId="187" fillId="3" borderId="50" xfId="0" applyNumberFormat="1" applyFont="1" applyFill="1" applyBorder="1"/>
    <xf numFmtId="37" fontId="164" fillId="0" borderId="0" xfId="446" applyNumberFormat="1" applyFont="1"/>
    <xf numFmtId="37" fontId="164" fillId="0" borderId="93" xfId="0" applyNumberFormat="1" applyFont="1" applyBorder="1" applyAlignment="1">
      <alignment horizontal="right" vertical="top"/>
    </xf>
    <xf numFmtId="10" fontId="165" fillId="0" borderId="93" xfId="0" applyNumberFormat="1" applyFont="1" applyBorder="1" applyAlignment="1">
      <alignment horizontal="right"/>
    </xf>
    <xf numFmtId="1" fontId="186" fillId="3" borderId="0" xfId="0" applyNumberFormat="1" applyFont="1" applyFill="1"/>
    <xf numFmtId="0" fontId="155" fillId="3" borderId="96" xfId="0" applyFont="1" applyFill="1" applyBorder="1"/>
    <xf numFmtId="37" fontId="185" fillId="3" borderId="96" xfId="0" applyNumberFormat="1" applyFont="1" applyFill="1" applyBorder="1"/>
    <xf numFmtId="37" fontId="185" fillId="3" borderId="41" xfId="0" applyNumberFormat="1" applyFont="1" applyFill="1" applyBorder="1"/>
    <xf numFmtId="1" fontId="155" fillId="3" borderId="0" xfId="0" applyNumberFormat="1" applyFont="1" applyFill="1"/>
    <xf numFmtId="3" fontId="213" fillId="23" borderId="0" xfId="0" applyNumberFormat="1" applyFont="1" applyFill="1"/>
    <xf numFmtId="0" fontId="166" fillId="0" borderId="0" xfId="0" applyFont="1" applyAlignment="1">
      <alignment horizontal="right"/>
    </xf>
    <xf numFmtId="0" fontId="166" fillId="23" borderId="0" xfId="0" applyFont="1" applyFill="1" applyAlignment="1">
      <alignment horizontal="right"/>
    </xf>
    <xf numFmtId="0" fontId="166" fillId="23" borderId="23" xfId="0" applyFont="1" applyFill="1" applyBorder="1" applyAlignment="1">
      <alignment horizontal="right"/>
    </xf>
    <xf numFmtId="173" fontId="165" fillId="0" borderId="93" xfId="432" applyNumberFormat="1" applyFont="1" applyBorder="1" applyAlignment="1">
      <alignment horizontal="right" wrapText="1"/>
    </xf>
    <xf numFmtId="171" fontId="174" fillId="32" borderId="93" xfId="432" applyNumberFormat="1" applyFont="1" applyFill="1" applyBorder="1" applyAlignment="1">
      <alignment horizontal="right" vertical="top" wrapText="1"/>
    </xf>
    <xf numFmtId="178" fontId="174" fillId="32" borderId="93" xfId="432" applyNumberFormat="1" applyFont="1" applyFill="1" applyBorder="1" applyAlignment="1">
      <alignment horizontal="right" vertical="top" wrapText="1"/>
    </xf>
    <xf numFmtId="37" fontId="165" fillId="0" borderId="93" xfId="0" applyNumberFormat="1" applyFont="1" applyBorder="1" applyAlignment="1">
      <alignment horizontal="right" wrapText="1"/>
    </xf>
    <xf numFmtId="202" fontId="165" fillId="0" borderId="93" xfId="0" applyNumberFormat="1" applyFont="1" applyBorder="1" applyAlignment="1">
      <alignment horizontal="right" wrapText="1"/>
    </xf>
    <xf numFmtId="202" fontId="165" fillId="0" borderId="93" xfId="394" applyNumberFormat="1" applyFont="1" applyBorder="1" applyAlignment="1">
      <alignment horizontal="right" vertical="top" wrapText="1"/>
    </xf>
    <xf numFmtId="202" fontId="164" fillId="0" borderId="93" xfId="0" applyNumberFormat="1" applyFont="1" applyBorder="1" applyAlignment="1">
      <alignment horizontal="right" wrapText="1"/>
    </xf>
    <xf numFmtId="37" fontId="164" fillId="0" borderId="93" xfId="446" applyNumberFormat="1" applyFont="1" applyBorder="1" applyAlignment="1">
      <alignment horizontal="right"/>
    </xf>
    <xf numFmtId="37" fontId="174" fillId="32" borderId="93" xfId="432" applyNumberFormat="1" applyFont="1" applyFill="1" applyBorder="1" applyAlignment="1">
      <alignment horizontal="right" vertical="top" wrapText="1"/>
    </xf>
    <xf numFmtId="173" fontId="165" fillId="2" borderId="93" xfId="432" applyNumberFormat="1" applyFont="1" applyFill="1" applyBorder="1" applyAlignment="1">
      <alignment horizontal="right" wrapText="1"/>
    </xf>
    <xf numFmtId="172" fontId="165" fillId="18" borderId="0" xfId="0" applyNumberFormat="1" applyFont="1" applyFill="1" applyAlignment="1">
      <alignment horizontal="right"/>
    </xf>
    <xf numFmtId="172" fontId="165" fillId="18" borderId="23" xfId="0" applyNumberFormat="1" applyFont="1" applyFill="1" applyBorder="1" applyAlignment="1">
      <alignment horizontal="right"/>
    </xf>
    <xf numFmtId="172" fontId="164" fillId="18" borderId="0" xfId="0" applyNumberFormat="1" applyFont="1" applyFill="1"/>
    <xf numFmtId="172" fontId="164" fillId="18" borderId="23" xfId="0" applyNumberFormat="1" applyFont="1" applyFill="1" applyBorder="1"/>
    <xf numFmtId="0" fontId="164" fillId="18" borderId="0" xfId="0" applyFont="1" applyFill="1"/>
    <xf numFmtId="0" fontId="164" fillId="18" borderId="23" xfId="0" applyFont="1" applyFill="1" applyBorder="1"/>
    <xf numFmtId="3" fontId="165" fillId="18" borderId="0" xfId="0" applyNumberFormat="1" applyFont="1" applyFill="1" applyAlignment="1">
      <alignment horizontal="right"/>
    </xf>
    <xf numFmtId="3" fontId="165" fillId="18" borderId="23" xfId="0" applyNumberFormat="1" applyFont="1" applyFill="1" applyBorder="1" applyAlignment="1">
      <alignment horizontal="right"/>
    </xf>
    <xf numFmtId="237" fontId="165" fillId="18" borderId="0" xfId="0" applyNumberFormat="1" applyFont="1" applyFill="1" applyAlignment="1">
      <alignment horizontal="right"/>
    </xf>
    <xf numFmtId="237" fontId="165" fillId="18" borderId="23" xfId="0" applyNumberFormat="1" applyFont="1" applyFill="1" applyBorder="1" applyAlignment="1">
      <alignment horizontal="right"/>
    </xf>
    <xf numFmtId="237" fontId="165" fillId="18" borderId="0" xfId="432" applyNumberFormat="1" applyFont="1" applyFill="1" applyBorder="1" applyAlignment="1">
      <alignment horizontal="right"/>
    </xf>
    <xf numFmtId="237" fontId="165" fillId="18" borderId="23" xfId="432" applyNumberFormat="1" applyFont="1" applyFill="1" applyBorder="1" applyAlignment="1">
      <alignment horizontal="right"/>
    </xf>
    <xf numFmtId="3" fontId="165" fillId="18" borderId="12" xfId="0" applyNumberFormat="1" applyFont="1" applyFill="1" applyBorder="1" applyAlignment="1">
      <alignment horizontal="right"/>
    </xf>
    <xf numFmtId="3" fontId="165" fillId="18" borderId="25" xfId="0" applyNumberFormat="1" applyFont="1" applyFill="1" applyBorder="1" applyAlignment="1">
      <alignment horizontal="right"/>
    </xf>
    <xf numFmtId="37" fontId="164" fillId="0" borderId="0" xfId="0" applyNumberFormat="1" applyFont="1"/>
    <xf numFmtId="0" fontId="214" fillId="0" borderId="93" xfId="0" applyFont="1" applyBorder="1" applyAlignment="1">
      <alignment wrapText="1"/>
    </xf>
    <xf numFmtId="3" fontId="164" fillId="0" borderId="93" xfId="0" applyNumberFormat="1" applyFont="1" applyBorder="1" applyAlignment="1">
      <alignment horizontal="right" vertical="top"/>
    </xf>
    <xf numFmtId="172" fontId="164" fillId="0" borderId="93" xfId="394" applyNumberFormat="1" applyFont="1" applyBorder="1"/>
    <xf numFmtId="3" fontId="164" fillId="0" borderId="93" xfId="432" applyNumberFormat="1" applyFont="1" applyBorder="1" applyAlignment="1">
      <alignment horizontal="right" vertical="top"/>
    </xf>
    <xf numFmtId="172" fontId="164" fillId="0" borderId="93" xfId="0" applyNumberFormat="1" applyFont="1" applyBorder="1" applyAlignment="1">
      <alignment horizontal="right" vertical="top"/>
    </xf>
    <xf numFmtId="37" fontId="186" fillId="0" borderId="0" xfId="0" applyNumberFormat="1" applyFont="1"/>
    <xf numFmtId="0" fontId="182" fillId="3" borderId="50" xfId="0" applyFont="1" applyFill="1" applyBorder="1" applyAlignment="1">
      <alignment horizontal="left"/>
    </xf>
    <xf numFmtId="0" fontId="204" fillId="3" borderId="50" xfId="0" applyFont="1" applyFill="1" applyBorder="1"/>
    <xf numFmtId="0" fontId="195" fillId="3" borderId="50" xfId="0" applyFont="1" applyFill="1" applyBorder="1" applyAlignment="1">
      <alignment horizontal="right"/>
    </xf>
    <xf numFmtId="0" fontId="185" fillId="3" borderId="0" xfId="0" applyFont="1" applyFill="1" applyAlignment="1">
      <alignment horizontal="centerContinuous"/>
    </xf>
    <xf numFmtId="172" fontId="185" fillId="3" borderId="2" xfId="0" applyNumberFormat="1" applyFont="1" applyFill="1" applyBorder="1"/>
    <xf numFmtId="222" fontId="155" fillId="3" borderId="0" xfId="0" applyNumberFormat="1" applyFont="1" applyFill="1"/>
    <xf numFmtId="37" fontId="204" fillId="3" borderId="50" xfId="0" applyNumberFormat="1" applyFont="1" applyFill="1" applyBorder="1"/>
    <xf numFmtId="37" fontId="204" fillId="3" borderId="96" xfId="0" applyNumberFormat="1" applyFont="1" applyFill="1" applyBorder="1"/>
    <xf numFmtId="245" fontId="188" fillId="3" borderId="0" xfId="0" applyNumberFormat="1" applyFont="1" applyFill="1" applyAlignment="1">
      <alignment horizontal="centerContinuous"/>
    </xf>
    <xf numFmtId="245" fontId="204" fillId="3" borderId="0" xfId="0" applyNumberFormat="1" applyFont="1" applyFill="1"/>
    <xf numFmtId="1" fontId="185" fillId="3" borderId="0" xfId="0" applyNumberFormat="1" applyFont="1" applyFill="1"/>
    <xf numFmtId="1" fontId="185" fillId="0" borderId="0" xfId="0" applyNumberFormat="1" applyFont="1"/>
    <xf numFmtId="37" fontId="155" fillId="3" borderId="0" xfId="0" quotePrefix="1" applyNumberFormat="1" applyFont="1" applyFill="1"/>
    <xf numFmtId="246" fontId="192" fillId="0" borderId="0" xfId="0" applyNumberFormat="1" applyFont="1"/>
    <xf numFmtId="246" fontId="185" fillId="3" borderId="50" xfId="0" applyNumberFormat="1" applyFont="1" applyFill="1" applyBorder="1"/>
    <xf numFmtId="3" fontId="185" fillId="3" borderId="41" xfId="0" applyNumberFormat="1" applyFont="1" applyFill="1" applyBorder="1"/>
    <xf numFmtId="0" fontId="201" fillId="3" borderId="41" xfId="0" applyFont="1" applyFill="1" applyBorder="1"/>
    <xf numFmtId="202" fontId="186" fillId="3" borderId="41" xfId="0" applyNumberFormat="1" applyFont="1" applyFill="1" applyBorder="1"/>
    <xf numFmtId="0" fontId="155" fillId="3" borderId="10" xfId="0" applyFont="1" applyFill="1" applyBorder="1" applyAlignment="1">
      <alignment horizontal="centerContinuous"/>
    </xf>
    <xf numFmtId="37" fontId="192" fillId="3" borderId="41" xfId="0" applyNumberFormat="1" applyFont="1" applyFill="1" applyBorder="1"/>
    <xf numFmtId="1" fontId="192" fillId="3" borderId="41" xfId="0" applyNumberFormat="1" applyFont="1" applyFill="1" applyBorder="1"/>
    <xf numFmtId="245" fontId="186" fillId="0" borderId="0" xfId="0" applyNumberFormat="1" applyFont="1" applyAlignment="1">
      <alignment horizontal="center"/>
    </xf>
    <xf numFmtId="9" fontId="186" fillId="3" borderId="0" xfId="0" applyNumberFormat="1" applyFont="1" applyFill="1" applyAlignment="1">
      <alignment horizontal="right"/>
    </xf>
    <xf numFmtId="245" fontId="185" fillId="3" borderId="50" xfId="0" applyNumberFormat="1" applyFont="1" applyFill="1" applyBorder="1"/>
    <xf numFmtId="37" fontId="215" fillId="3" borderId="50" xfId="0" applyNumberFormat="1" applyFont="1" applyFill="1" applyBorder="1"/>
    <xf numFmtId="38" fontId="186" fillId="3" borderId="41" xfId="0" applyNumberFormat="1" applyFont="1" applyFill="1" applyBorder="1"/>
    <xf numFmtId="246" fontId="184" fillId="3" borderId="50" xfId="0" applyNumberFormat="1" applyFont="1" applyFill="1" applyBorder="1"/>
    <xf numFmtId="246" fontId="215" fillId="3" borderId="50" xfId="0" applyNumberFormat="1" applyFont="1" applyFill="1" applyBorder="1"/>
    <xf numFmtId="0" fontId="184" fillId="44" borderId="0" xfId="0" applyFont="1" applyFill="1"/>
    <xf numFmtId="245" fontId="155" fillId="44" borderId="0" xfId="0" applyNumberFormat="1" applyFont="1" applyFill="1"/>
    <xf numFmtId="37" fontId="191" fillId="3" borderId="0" xfId="0" applyNumberFormat="1" applyFont="1" applyFill="1"/>
    <xf numFmtId="37" fontId="219" fillId="3" borderId="0" xfId="0" applyNumberFormat="1" applyFont="1" applyFill="1"/>
    <xf numFmtId="246" fontId="219" fillId="3" borderId="0" xfId="0" applyNumberFormat="1" applyFont="1" applyFill="1"/>
    <xf numFmtId="9" fontId="219" fillId="3" borderId="0" xfId="0" applyNumberFormat="1" applyFont="1" applyFill="1"/>
    <xf numFmtId="37" fontId="183" fillId="3" borderId="0" xfId="0" applyNumberFormat="1" applyFont="1" applyFill="1"/>
    <xf numFmtId="0" fontId="219" fillId="3" borderId="0" xfId="0" applyFont="1" applyFill="1"/>
    <xf numFmtId="245" fontId="219" fillId="3" borderId="0" xfId="0" applyNumberFormat="1" applyFont="1" applyFill="1"/>
    <xf numFmtId="245" fontId="191" fillId="3" borderId="0" xfId="0" applyNumberFormat="1" applyFont="1" applyFill="1"/>
    <xf numFmtId="0" fontId="189" fillId="3" borderId="0" xfId="0" applyFont="1" applyFill="1"/>
    <xf numFmtId="246" fontId="184" fillId="3" borderId="0" xfId="0" applyNumberFormat="1" applyFont="1" applyFill="1"/>
    <xf numFmtId="37" fontId="215" fillId="3" borderId="0" xfId="0" applyNumberFormat="1" applyFont="1" applyFill="1"/>
    <xf numFmtId="246" fontId="215" fillId="3" borderId="0" xfId="0" applyNumberFormat="1" applyFont="1" applyFill="1"/>
    <xf numFmtId="9" fontId="215" fillId="3" borderId="0" xfId="0" applyNumberFormat="1" applyFont="1" applyFill="1"/>
    <xf numFmtId="245" fontId="185" fillId="3" borderId="0" xfId="0" applyNumberFormat="1" applyFont="1" applyFill="1" applyAlignment="1">
      <alignment horizontal="left"/>
    </xf>
    <xf numFmtId="37" fontId="186" fillId="0" borderId="41" xfId="0" applyNumberFormat="1" applyFont="1" applyBorder="1"/>
    <xf numFmtId="246" fontId="185" fillId="3" borderId="0" xfId="0" applyNumberFormat="1" applyFont="1" applyFill="1" applyAlignment="1">
      <alignment horizontal="centerContinuous"/>
    </xf>
    <xf numFmtId="246" fontId="185" fillId="3" borderId="0" xfId="0" applyNumberFormat="1" applyFont="1" applyFill="1" applyAlignment="1">
      <alignment horizontal="right"/>
    </xf>
    <xf numFmtId="246" fontId="192" fillId="3" borderId="50" xfId="0" applyNumberFormat="1" applyFont="1" applyFill="1" applyBorder="1"/>
    <xf numFmtId="172" fontId="185" fillId="3" borderId="42" xfId="0" applyNumberFormat="1" applyFont="1" applyFill="1" applyBorder="1"/>
    <xf numFmtId="0" fontId="191" fillId="3" borderId="0" xfId="0" applyFont="1" applyFill="1" applyAlignment="1">
      <alignment horizontal="right"/>
    </xf>
    <xf numFmtId="245" fontId="155" fillId="3" borderId="41" xfId="0" applyNumberFormat="1" applyFont="1" applyFill="1" applyBorder="1"/>
    <xf numFmtId="39" fontId="185" fillId="3" borderId="0" xfId="0" applyNumberFormat="1" applyFont="1" applyFill="1"/>
    <xf numFmtId="9" fontId="188" fillId="3" borderId="0" xfId="0" applyNumberFormat="1" applyFont="1" applyFill="1"/>
    <xf numFmtId="0" fontId="155" fillId="3" borderId="50" xfId="0" applyFont="1" applyFill="1" applyBorder="1" applyAlignment="1">
      <alignment horizontal="left"/>
    </xf>
    <xf numFmtId="9" fontId="184" fillId="3" borderId="0" xfId="0" applyNumberFormat="1" applyFont="1" applyFill="1"/>
    <xf numFmtId="37" fontId="192" fillId="3" borderId="0" xfId="0" applyNumberFormat="1" applyFont="1" applyFill="1" applyAlignment="1">
      <alignment horizontal="right"/>
    </xf>
    <xf numFmtId="247" fontId="220" fillId="3" borderId="0" xfId="0" applyNumberFormat="1" applyFont="1" applyFill="1"/>
    <xf numFmtId="247" fontId="186" fillId="3" borderId="0" xfId="0" applyNumberFormat="1" applyFont="1" applyFill="1" applyAlignment="1">
      <alignment horizontal="right"/>
    </xf>
    <xf numFmtId="37" fontId="192" fillId="3" borderId="41" xfId="0" applyNumberFormat="1" applyFont="1" applyFill="1" applyBorder="1" applyAlignment="1">
      <alignment horizontal="right"/>
    </xf>
    <xf numFmtId="247" fontId="184" fillId="3" borderId="0" xfId="0" applyNumberFormat="1" applyFont="1" applyFill="1" applyAlignment="1">
      <alignment horizontal="left"/>
    </xf>
    <xf numFmtId="37" fontId="184" fillId="3" borderId="0" xfId="0" applyNumberFormat="1" applyFont="1" applyFill="1" applyAlignment="1">
      <alignment horizontal="right"/>
    </xf>
    <xf numFmtId="0" fontId="222" fillId="45" borderId="0" xfId="0" applyFont="1" applyFill="1" applyAlignment="1">
      <alignment horizontal="left" vertical="center" wrapText="1" readingOrder="1"/>
    </xf>
    <xf numFmtId="0" fontId="222" fillId="45" borderId="0" xfId="0" applyFont="1" applyFill="1" applyAlignment="1">
      <alignment horizontal="right" vertical="center" wrapText="1" indent="1" readingOrder="1"/>
    </xf>
    <xf numFmtId="0" fontId="122" fillId="0" borderId="0" xfId="0" applyFont="1" applyAlignment="1">
      <alignment horizontal="left" vertical="center" wrapText="1" readingOrder="1"/>
    </xf>
    <xf numFmtId="3" fontId="122" fillId="0" borderId="0" xfId="0" applyNumberFormat="1" applyFont="1" applyAlignment="1">
      <alignment horizontal="right" vertical="center" wrapText="1" indent="1" readingOrder="1"/>
    </xf>
    <xf numFmtId="9" fontId="122" fillId="0" borderId="0" xfId="0" applyNumberFormat="1" applyFont="1" applyAlignment="1">
      <alignment horizontal="right" vertical="center" wrapText="1" indent="1" readingOrder="1"/>
    </xf>
    <xf numFmtId="0" fontId="122" fillId="46" borderId="0" xfId="0" applyFont="1" applyFill="1" applyAlignment="1">
      <alignment horizontal="left" vertical="center" wrapText="1" readingOrder="1"/>
    </xf>
    <xf numFmtId="3" fontId="122" fillId="46" borderId="0" xfId="0" applyNumberFormat="1" applyFont="1" applyFill="1" applyAlignment="1">
      <alignment horizontal="right" vertical="center" wrapText="1" indent="1" readingOrder="1"/>
    </xf>
    <xf numFmtId="9" fontId="122" fillId="46" borderId="0" xfId="0" applyNumberFormat="1" applyFont="1" applyFill="1" applyAlignment="1">
      <alignment horizontal="right" vertical="center" wrapText="1" indent="1" readingOrder="1"/>
    </xf>
    <xf numFmtId="0" fontId="122" fillId="0" borderId="0" xfId="0" applyFont="1" applyAlignment="1">
      <alignment horizontal="right" vertical="center" wrapText="1" indent="1" readingOrder="1"/>
    </xf>
    <xf numFmtId="0" fontId="122" fillId="0" borderId="0" xfId="0" applyFont="1" applyAlignment="1">
      <alignment horizontal="right" vertical="center" wrapText="1" indent="1"/>
    </xf>
    <xf numFmtId="37" fontId="122" fillId="0" borderId="0" xfId="0" applyNumberFormat="1" applyFont="1" applyAlignment="1">
      <alignment horizontal="right" vertical="center" wrapText="1" indent="1" readingOrder="1"/>
    </xf>
    <xf numFmtId="0" fontId="221" fillId="47" borderId="0" xfId="0" applyFont="1" applyFill="1" applyAlignment="1">
      <alignment horizontal="left" wrapText="1" readingOrder="1"/>
    </xf>
    <xf numFmtId="0" fontId="221" fillId="47" borderId="0" xfId="0" applyFont="1" applyFill="1" applyAlignment="1">
      <alignment horizontal="right" wrapText="1" readingOrder="1"/>
    </xf>
    <xf numFmtId="0" fontId="160" fillId="0" borderId="0" xfId="0" applyFont="1" applyAlignment="1">
      <alignment horizontal="left" wrapText="1" readingOrder="1"/>
    </xf>
    <xf numFmtId="9" fontId="160" fillId="0" borderId="0" xfId="0" applyNumberFormat="1" applyFont="1" applyAlignment="1">
      <alignment horizontal="right" wrapText="1" readingOrder="1"/>
    </xf>
    <xf numFmtId="0" fontId="223" fillId="0" borderId="0" xfId="0" applyFont="1" applyAlignment="1">
      <alignment horizontal="right" wrapText="1"/>
    </xf>
    <xf numFmtId="0" fontId="160" fillId="46" borderId="0" xfId="0" applyFont="1" applyFill="1" applyAlignment="1">
      <alignment horizontal="left" wrapText="1" readingOrder="1"/>
    </xf>
    <xf numFmtId="9" fontId="160" fillId="46" borderId="0" xfId="0" applyNumberFormat="1" applyFont="1" applyFill="1" applyAlignment="1">
      <alignment horizontal="right" wrapText="1" readingOrder="1"/>
    </xf>
    <xf numFmtId="0" fontId="223" fillId="46" borderId="0" xfId="0" applyFont="1" applyFill="1" applyAlignment="1">
      <alignment horizontal="right" wrapText="1"/>
    </xf>
    <xf numFmtId="0" fontId="160" fillId="46" borderId="72" xfId="0" applyFont="1" applyFill="1" applyBorder="1" applyAlignment="1">
      <alignment horizontal="left" wrapText="1" readingOrder="1"/>
    </xf>
    <xf numFmtId="9" fontId="160" fillId="46" borderId="72" xfId="0" applyNumberFormat="1" applyFont="1" applyFill="1" applyBorder="1" applyAlignment="1">
      <alignment horizontal="right" wrapText="1" readingOrder="1"/>
    </xf>
    <xf numFmtId="0" fontId="160" fillId="46" borderId="72" xfId="0" applyFont="1" applyFill="1" applyBorder="1" applyAlignment="1">
      <alignment wrapText="1"/>
    </xf>
    <xf numFmtId="0" fontId="160" fillId="0" borderId="67" xfId="0" applyFont="1" applyBorder="1" applyAlignment="1">
      <alignment horizontal="left" wrapText="1" readingOrder="1"/>
    </xf>
    <xf numFmtId="3" fontId="160" fillId="0" borderId="67" xfId="0" applyNumberFormat="1" applyFont="1" applyBorder="1" applyAlignment="1">
      <alignment horizontal="right" wrapText="1" readingOrder="1"/>
    </xf>
    <xf numFmtId="0" fontId="160" fillId="0" borderId="67" xfId="0" applyFont="1" applyBorder="1" applyAlignment="1">
      <alignment horizontal="right" wrapText="1"/>
    </xf>
    <xf numFmtId="3" fontId="160" fillId="46" borderId="0" xfId="0" applyNumberFormat="1" applyFont="1" applyFill="1" applyAlignment="1">
      <alignment horizontal="right" wrapText="1" readingOrder="1"/>
    </xf>
    <xf numFmtId="0" fontId="160" fillId="46" borderId="67" xfId="0" applyFont="1" applyFill="1" applyBorder="1" applyAlignment="1">
      <alignment horizontal="left" wrapText="1" readingOrder="1"/>
    </xf>
    <xf numFmtId="3" fontId="160" fillId="46" borderId="67" xfId="0" applyNumberFormat="1" applyFont="1" applyFill="1" applyBorder="1" applyAlignment="1">
      <alignment horizontal="right" wrapText="1" readingOrder="1"/>
    </xf>
    <xf numFmtId="3" fontId="160" fillId="0" borderId="0" xfId="0" applyNumberFormat="1" applyFont="1" applyAlignment="1">
      <alignment horizontal="right" wrapText="1" readingOrder="1"/>
    </xf>
    <xf numFmtId="0" fontId="162" fillId="46" borderId="0" xfId="0" applyFont="1" applyFill="1" applyAlignment="1">
      <alignment horizontal="left" wrapText="1" readingOrder="1"/>
    </xf>
    <xf numFmtId="37" fontId="160" fillId="0" borderId="0" xfId="0" applyNumberFormat="1" applyFont="1" applyAlignment="1">
      <alignment horizontal="right" wrapText="1" readingOrder="1"/>
    </xf>
    <xf numFmtId="37" fontId="160" fillId="46" borderId="0" xfId="0" applyNumberFormat="1" applyFont="1" applyFill="1" applyAlignment="1">
      <alignment horizontal="right" wrapText="1" readingOrder="1"/>
    </xf>
    <xf numFmtId="37" fontId="160" fillId="46" borderId="72" xfId="0" applyNumberFormat="1" applyFont="1" applyFill="1" applyBorder="1" applyAlignment="1">
      <alignment horizontal="right" wrapText="1" readingOrder="1"/>
    </xf>
    <xf numFmtId="9" fontId="186" fillId="0" borderId="50" xfId="0" applyNumberFormat="1" applyFont="1" applyBorder="1"/>
    <xf numFmtId="246" fontId="188" fillId="3" borderId="0" xfId="0" applyNumberFormat="1" applyFont="1" applyFill="1"/>
    <xf numFmtId="202" fontId="122" fillId="46" borderId="0" xfId="0" applyNumberFormat="1" applyFont="1" applyFill="1" applyAlignment="1">
      <alignment horizontal="right" vertical="center" wrapText="1" indent="1" readingOrder="1"/>
    </xf>
    <xf numFmtId="202" fontId="122" fillId="0" borderId="0" xfId="0" applyNumberFormat="1" applyFont="1" applyAlignment="1">
      <alignment horizontal="right" vertical="center" wrapText="1" indent="1" readingOrder="1"/>
    </xf>
    <xf numFmtId="246" fontId="122" fillId="0" borderId="0" xfId="0" applyNumberFormat="1" applyFont="1" applyAlignment="1">
      <alignment horizontal="right" vertical="center" wrapText="1" indent="1" readingOrder="1"/>
    </xf>
    <xf numFmtId="0" fontId="160" fillId="3" borderId="0" xfId="0" applyFont="1" applyFill="1" applyAlignment="1">
      <alignment horizontal="left" wrapText="1" readingOrder="1"/>
    </xf>
    <xf numFmtId="0" fontId="160" fillId="0" borderId="72" xfId="0" applyFont="1" applyBorder="1" applyAlignment="1">
      <alignment horizontal="left" wrapText="1" readingOrder="1"/>
    </xf>
    <xf numFmtId="3" fontId="160" fillId="0" borderId="72" xfId="0" applyNumberFormat="1" applyFont="1" applyBorder="1" applyAlignment="1">
      <alignment horizontal="right" wrapText="1" readingOrder="1"/>
    </xf>
    <xf numFmtId="246" fontId="160" fillId="0" borderId="0" xfId="0" applyNumberFormat="1" applyFont="1" applyAlignment="1">
      <alignment horizontal="right" wrapText="1" readingOrder="1"/>
    </xf>
    <xf numFmtId="0" fontId="162" fillId="3" borderId="0" xfId="0" applyFont="1" applyFill="1" applyAlignment="1">
      <alignment horizontal="left" wrapText="1" readingOrder="1"/>
    </xf>
    <xf numFmtId="9" fontId="162" fillId="3" borderId="0" xfId="0" applyNumberFormat="1" applyFont="1" applyFill="1" applyAlignment="1">
      <alignment horizontal="right" wrapText="1" readingOrder="1"/>
    </xf>
    <xf numFmtId="0" fontId="224" fillId="3" borderId="0" xfId="593" applyFont="1" applyFill="1"/>
    <xf numFmtId="0" fontId="14" fillId="3" borderId="0" xfId="593" applyFont="1" applyFill="1"/>
    <xf numFmtId="0" fontId="14" fillId="3" borderId="0" xfId="593" applyFont="1" applyFill="1" applyAlignment="1">
      <alignment horizontal="center"/>
    </xf>
    <xf numFmtId="0" fontId="225" fillId="3" borderId="0" xfId="593" applyFont="1" applyFill="1"/>
    <xf numFmtId="171" fontId="14" fillId="3" borderId="0" xfId="593" applyNumberFormat="1" applyFont="1" applyFill="1"/>
    <xf numFmtId="0" fontId="226" fillId="47" borderId="93" xfId="593" applyFont="1" applyFill="1" applyBorder="1" applyAlignment="1">
      <alignment horizontal="center" vertical="center" wrapText="1"/>
    </xf>
    <xf numFmtId="0" fontId="226" fillId="47" borderId="0" xfId="593" applyFont="1" applyFill="1"/>
    <xf numFmtId="0" fontId="14" fillId="3" borderId="0" xfId="593" applyFont="1" applyFill="1" applyAlignment="1">
      <alignment horizontal="center" vertical="center" wrapText="1"/>
    </xf>
    <xf numFmtId="0" fontId="227" fillId="3" borderId="93" xfId="593" applyFont="1" applyFill="1" applyBorder="1" applyAlignment="1">
      <alignment vertical="center"/>
    </xf>
    <xf numFmtId="0" fontId="229" fillId="3" borderId="93" xfId="594" applyFont="1" applyFill="1" applyBorder="1" applyAlignment="1" applyProtection="1"/>
    <xf numFmtId="0" fontId="229" fillId="3" borderId="93" xfId="594" applyFont="1" applyFill="1" applyBorder="1" applyAlignment="1" applyProtection="1">
      <alignment horizontal="center"/>
    </xf>
    <xf numFmtId="0" fontId="229" fillId="3" borderId="0" xfId="593" applyFont="1" applyFill="1"/>
    <xf numFmtId="171" fontId="229" fillId="3" borderId="93" xfId="595" applyNumberFormat="1" applyFont="1" applyFill="1" applyBorder="1" applyAlignment="1">
      <alignment vertical="center" wrapText="1"/>
    </xf>
    <xf numFmtId="0" fontId="14" fillId="3" borderId="0" xfId="593" applyFont="1" applyFill="1" applyAlignment="1">
      <alignment vertical="center" wrapText="1"/>
    </xf>
    <xf numFmtId="0" fontId="229" fillId="48" borderId="0" xfId="593" applyFont="1" applyFill="1"/>
    <xf numFmtId="171" fontId="14" fillId="3" borderId="0" xfId="596" applyNumberFormat="1" applyFont="1" applyFill="1"/>
    <xf numFmtId="9" fontId="14" fillId="3" borderId="0" xfId="597" applyFont="1" applyFill="1"/>
    <xf numFmtId="0" fontId="233" fillId="0" borderId="97" xfId="0" applyFont="1" applyBorder="1" applyAlignment="1">
      <alignment horizontal="left" wrapText="1" readingOrder="1"/>
    </xf>
    <xf numFmtId="3" fontId="234" fillId="0" borderId="97" xfId="0" applyNumberFormat="1" applyFont="1" applyBorder="1" applyAlignment="1">
      <alignment horizontal="right" wrapText="1" readingOrder="1"/>
    </xf>
    <xf numFmtId="0" fontId="233" fillId="0" borderId="0" xfId="0" applyFont="1" applyAlignment="1">
      <alignment horizontal="left" wrapText="1" readingOrder="1"/>
    </xf>
    <xf numFmtId="3" fontId="233" fillId="0" borderId="0" xfId="0" applyNumberFormat="1" applyFont="1" applyAlignment="1">
      <alignment horizontal="right" wrapText="1" readingOrder="1"/>
    </xf>
    <xf numFmtId="3" fontId="234" fillId="0" borderId="0" xfId="0" applyNumberFormat="1" applyFont="1" applyAlignment="1">
      <alignment horizontal="right" wrapText="1" readingOrder="1"/>
    </xf>
    <xf numFmtId="9" fontId="234" fillId="0" borderId="0" xfId="0" applyNumberFormat="1" applyFont="1" applyAlignment="1">
      <alignment horizontal="right" wrapText="1" readingOrder="1"/>
    </xf>
    <xf numFmtId="0" fontId="234" fillId="0" borderId="0" xfId="0" applyFont="1" applyAlignment="1">
      <alignment horizontal="right" wrapText="1" readingOrder="1"/>
    </xf>
    <xf numFmtId="37" fontId="233" fillId="0" borderId="0" xfId="0" applyNumberFormat="1" applyFont="1" applyAlignment="1">
      <alignment horizontal="right" wrapText="1" readingOrder="1"/>
    </xf>
    <xf numFmtId="37" fontId="234" fillId="0" borderId="0" xfId="0" applyNumberFormat="1" applyFont="1" applyAlignment="1">
      <alignment horizontal="right" wrapText="1" readingOrder="1"/>
    </xf>
    <xf numFmtId="3" fontId="111" fillId="0" borderId="0" xfId="0" applyNumberFormat="1" applyFont="1"/>
    <xf numFmtId="3" fontId="235" fillId="0" borderId="0" xfId="0" applyNumberFormat="1" applyFont="1"/>
    <xf numFmtId="3" fontId="236" fillId="0" borderId="0" xfId="0" applyNumberFormat="1" applyFont="1"/>
    <xf numFmtId="49" fontId="214" fillId="49" borderId="0" xfId="0" applyNumberFormat="1" applyFont="1" applyFill="1"/>
    <xf numFmtId="172" fontId="94" fillId="0" borderId="0" xfId="0" applyNumberFormat="1" applyFont="1"/>
    <xf numFmtId="3" fontId="214" fillId="0" borderId="0" xfId="0" applyNumberFormat="1" applyFont="1"/>
    <xf numFmtId="3" fontId="122" fillId="0" borderId="0" xfId="0" applyNumberFormat="1" applyFont="1"/>
    <xf numFmtId="0" fontId="237" fillId="0" borderId="0" xfId="598" applyFont="1" applyAlignment="1">
      <alignment horizontal="left" vertical="center"/>
    </xf>
    <xf numFmtId="0" fontId="238" fillId="0" borderId="0" xfId="598" applyFont="1" applyAlignment="1">
      <alignment vertical="center"/>
    </xf>
    <xf numFmtId="0" fontId="238" fillId="0" borderId="0" xfId="598" applyFont="1"/>
    <xf numFmtId="0" fontId="14" fillId="0" borderId="0" xfId="598" applyFont="1"/>
    <xf numFmtId="3" fontId="239" fillId="0" borderId="0" xfId="598" applyNumberFormat="1" applyFont="1" applyAlignment="1">
      <alignment horizontal="center" vertical="center"/>
    </xf>
    <xf numFmtId="0" fontId="239" fillId="0" borderId="0" xfId="598" applyFont="1" applyAlignment="1">
      <alignment horizontal="center" vertical="center"/>
    </xf>
    <xf numFmtId="0" fontId="238" fillId="0" borderId="98" xfId="598" applyFont="1" applyBorder="1" applyAlignment="1">
      <alignment horizontal="left" vertical="center" wrapText="1"/>
    </xf>
    <xf numFmtId="0" fontId="238" fillId="0" borderId="98" xfId="598" applyFont="1" applyBorder="1" applyAlignment="1">
      <alignment horizontal="center" vertical="center" wrapText="1"/>
    </xf>
    <xf numFmtId="173" fontId="238" fillId="0" borderId="98" xfId="598" applyNumberFormat="1" applyFont="1" applyBorder="1" applyAlignment="1">
      <alignment horizontal="center" vertical="center" wrapText="1"/>
    </xf>
    <xf numFmtId="0" fontId="230" fillId="0" borderId="0" xfId="598" applyFont="1" applyAlignment="1">
      <alignment horizontal="left" vertical="center" wrapText="1"/>
    </xf>
    <xf numFmtId="0" fontId="230" fillId="0" borderId="0" xfId="598" applyFont="1" applyAlignment="1">
      <alignment horizontal="center"/>
    </xf>
    <xf numFmtId="173" fontId="230" fillId="0" borderId="0" xfId="598" applyNumberFormat="1" applyFont="1" applyAlignment="1">
      <alignment horizontal="center"/>
    </xf>
    <xf numFmtId="237" fontId="230" fillId="0" borderId="0" xfId="599" applyNumberFormat="1" applyFont="1" applyAlignment="1">
      <alignment horizontal="center"/>
    </xf>
    <xf numFmtId="171" fontId="238" fillId="0" borderId="0" xfId="599" applyNumberFormat="1" applyFont="1" applyAlignment="1">
      <alignment vertical="center"/>
    </xf>
    <xf numFmtId="171" fontId="238" fillId="0" borderId="0" xfId="598" applyNumberFormat="1" applyFont="1" applyAlignment="1">
      <alignment vertical="center"/>
    </xf>
    <xf numFmtId="242" fontId="238" fillId="0" borderId="0" xfId="600" applyNumberFormat="1" applyFont="1" applyAlignment="1">
      <alignment vertical="center"/>
    </xf>
    <xf numFmtId="0" fontId="238" fillId="0" borderId="0" xfId="598" applyFont="1" applyAlignment="1">
      <alignment horizontal="left" vertical="center" wrapText="1"/>
    </xf>
    <xf numFmtId="0" fontId="238" fillId="0" borderId="0" xfId="598" applyFont="1" applyAlignment="1">
      <alignment horizontal="center" vertical="center"/>
    </xf>
    <xf numFmtId="173" fontId="238" fillId="0" borderId="0" xfId="598" applyNumberFormat="1" applyFont="1" applyAlignment="1">
      <alignment horizontal="center" vertical="center"/>
    </xf>
    <xf numFmtId="10" fontId="238" fillId="0" borderId="0" xfId="600" applyNumberFormat="1" applyFont="1" applyAlignment="1">
      <alignment vertical="center"/>
    </xf>
    <xf numFmtId="43" fontId="238" fillId="0" borderId="0" xfId="598" applyNumberFormat="1" applyFont="1" applyAlignment="1">
      <alignment vertical="center"/>
    </xf>
    <xf numFmtId="172" fontId="238" fillId="0" borderId="0" xfId="600" applyNumberFormat="1" applyFont="1" applyAlignment="1">
      <alignment vertical="center"/>
    </xf>
    <xf numFmtId="9" fontId="238" fillId="0" borderId="0" xfId="600" applyFont="1" applyAlignment="1">
      <alignment vertical="center"/>
    </xf>
    <xf numFmtId="0" fontId="239" fillId="0" borderId="54" xfId="598" applyFont="1" applyBorder="1" applyAlignment="1">
      <alignment horizontal="left" vertical="center" wrapText="1"/>
    </xf>
    <xf numFmtId="0" fontId="239" fillId="0" borderId="54" xfId="598" applyFont="1" applyBorder="1" applyAlignment="1">
      <alignment horizontal="center" vertical="center" wrapText="1"/>
    </xf>
    <xf numFmtId="173" fontId="239" fillId="0" borderId="54" xfId="598" applyNumberFormat="1" applyFont="1" applyBorder="1" applyAlignment="1">
      <alignment horizontal="center" vertical="center" wrapText="1"/>
    </xf>
    <xf numFmtId="0" fontId="239" fillId="0" borderId="0" xfId="598" applyFont="1"/>
    <xf numFmtId="0" fontId="238" fillId="3" borderId="0" xfId="598" applyFont="1" applyFill="1" applyAlignment="1">
      <alignment vertical="center"/>
    </xf>
    <xf numFmtId="0" fontId="226" fillId="47" borderId="32" xfId="601" applyFont="1" applyFill="1" applyBorder="1" applyAlignment="1">
      <alignment horizontal="center" vertical="center"/>
    </xf>
    <xf numFmtId="0" fontId="226" fillId="47" borderId="37" xfId="601" applyFont="1" applyFill="1" applyBorder="1" applyAlignment="1">
      <alignment horizontal="center" vertical="center"/>
    </xf>
    <xf numFmtId="39" fontId="226" fillId="47" borderId="34" xfId="602" applyNumberFormat="1" applyFont="1" applyFill="1" applyBorder="1" applyAlignment="1">
      <alignment horizontal="center" vertical="center"/>
    </xf>
    <xf numFmtId="39" fontId="232" fillId="0" borderId="0" xfId="602" applyNumberFormat="1" applyFont="1" applyAlignment="1">
      <alignment horizontal="center" vertical="center"/>
    </xf>
    <xf numFmtId="0" fontId="232" fillId="47" borderId="0" xfId="601" applyFont="1" applyFill="1" applyAlignment="1">
      <alignment horizontal="center" vertical="center"/>
    </xf>
    <xf numFmtId="0" fontId="144" fillId="50" borderId="22" xfId="598" applyFont="1" applyFill="1" applyBorder="1" applyAlignment="1">
      <alignment vertical="center"/>
    </xf>
    <xf numFmtId="0" fontId="14" fillId="3" borderId="0" xfId="601" applyFont="1" applyFill="1" applyAlignment="1">
      <alignment horizontal="center" vertical="center"/>
    </xf>
    <xf numFmtId="0" fontId="14" fillId="3" borderId="1" xfId="601" applyFont="1" applyFill="1" applyBorder="1" applyAlignment="1">
      <alignment vertical="center" wrapText="1"/>
    </xf>
    <xf numFmtId="10" fontId="14" fillId="3" borderId="0" xfId="601" applyNumberFormat="1" applyFont="1" applyFill="1" applyAlignment="1">
      <alignment vertical="center" wrapText="1"/>
    </xf>
    <xf numFmtId="0" fontId="14" fillId="3" borderId="99" xfId="601" applyFont="1" applyFill="1" applyBorder="1" applyAlignment="1">
      <alignment vertical="center"/>
    </xf>
    <xf numFmtId="0" fontId="14" fillId="3" borderId="100" xfId="601" applyFont="1" applyFill="1" applyBorder="1" applyAlignment="1">
      <alignment vertical="center"/>
    </xf>
    <xf numFmtId="0" fontId="14" fillId="3" borderId="101" xfId="601" applyFont="1" applyFill="1" applyBorder="1" applyAlignment="1">
      <alignment vertical="center"/>
    </xf>
    <xf numFmtId="4" fontId="14" fillId="3" borderId="102" xfId="602" applyNumberFormat="1" applyFill="1" applyBorder="1" applyAlignment="1">
      <alignment vertical="center"/>
    </xf>
    <xf numFmtId="4" fontId="232" fillId="0" borderId="0" xfId="601" applyNumberFormat="1" applyFont="1" applyAlignment="1">
      <alignment wrapText="1"/>
    </xf>
    <xf numFmtId="173" fontId="14" fillId="0" borderId="0" xfId="598" applyNumberFormat="1" applyFont="1"/>
    <xf numFmtId="0" fontId="14" fillId="3" borderId="22" xfId="601" applyFont="1" applyFill="1" applyBorder="1" applyAlignment="1">
      <alignment vertical="center"/>
    </xf>
    <xf numFmtId="4" fontId="14" fillId="0" borderId="0" xfId="602" applyNumberFormat="1"/>
    <xf numFmtId="0" fontId="14" fillId="3" borderId="0" xfId="601" applyFont="1" applyFill="1" applyAlignment="1">
      <alignment vertical="center" wrapText="1"/>
    </xf>
    <xf numFmtId="0" fontId="238" fillId="3" borderId="22" xfId="598" applyFont="1" applyFill="1" applyBorder="1" applyAlignment="1">
      <alignment vertical="center"/>
    </xf>
    <xf numFmtId="173" fontId="14" fillId="3" borderId="0" xfId="602" applyNumberFormat="1" applyFill="1" applyAlignment="1">
      <alignment horizontal="center" vertical="center"/>
    </xf>
    <xf numFmtId="9" fontId="14" fillId="3" borderId="0" xfId="601" applyNumberFormat="1" applyFont="1" applyFill="1" applyAlignment="1">
      <alignment vertical="center" wrapText="1"/>
    </xf>
    <xf numFmtId="0" fontId="238" fillId="3" borderId="100" xfId="598" applyFont="1" applyFill="1" applyBorder="1" applyAlignment="1">
      <alignment vertical="center"/>
    </xf>
    <xf numFmtId="0" fontId="238" fillId="3" borderId="101" xfId="598" applyFont="1" applyFill="1" applyBorder="1" applyAlignment="1">
      <alignment vertical="center"/>
    </xf>
    <xf numFmtId="0" fontId="232" fillId="3" borderId="22" xfId="601" applyFont="1" applyFill="1" applyBorder="1" applyAlignment="1">
      <alignment vertical="center"/>
    </xf>
    <xf numFmtId="0" fontId="14" fillId="0" borderId="0" xfId="601" applyFont="1"/>
    <xf numFmtId="202" fontId="14" fillId="3" borderId="0" xfId="601" applyNumberFormat="1" applyFont="1" applyFill="1" applyAlignment="1">
      <alignment horizontal="center" vertical="center"/>
    </xf>
    <xf numFmtId="0" fontId="14" fillId="3" borderId="1" xfId="601" applyFont="1" applyFill="1" applyBorder="1" applyAlignment="1">
      <alignment vertical="center"/>
    </xf>
    <xf numFmtId="0" fontId="14" fillId="51" borderId="103" xfId="601" applyFont="1" applyFill="1" applyBorder="1" applyAlignment="1">
      <alignment vertical="center"/>
    </xf>
    <xf numFmtId="0" fontId="14" fillId="51" borderId="104" xfId="601" applyFont="1" applyFill="1" applyBorder="1" applyAlignment="1">
      <alignment vertical="center"/>
    </xf>
    <xf numFmtId="0" fontId="14" fillId="51" borderId="105" xfId="601" applyFont="1" applyFill="1" applyBorder="1" applyAlignment="1">
      <alignment vertical="center"/>
    </xf>
    <xf numFmtId="202" fontId="232" fillId="51" borderId="106" xfId="602" applyNumberFormat="1" applyFont="1" applyFill="1" applyBorder="1" applyAlignment="1">
      <alignment vertical="center"/>
    </xf>
    <xf numFmtId="202" fontId="232" fillId="0" borderId="0" xfId="602" applyNumberFormat="1" applyFont="1"/>
    <xf numFmtId="0" fontId="232" fillId="24" borderId="22" xfId="601" applyFont="1" applyFill="1" applyBorder="1" applyAlignment="1">
      <alignment vertical="center"/>
    </xf>
    <xf numFmtId="0" fontId="14" fillId="24" borderId="0" xfId="601" applyFont="1" applyFill="1" applyAlignment="1">
      <alignment horizontal="center" vertical="center"/>
    </xf>
    <xf numFmtId="0" fontId="14" fillId="24" borderId="0" xfId="601" applyFont="1" applyFill="1" applyAlignment="1">
      <alignment vertical="center"/>
    </xf>
    <xf numFmtId="0" fontId="14" fillId="24" borderId="22" xfId="601" applyFont="1" applyFill="1" applyBorder="1" applyAlignment="1">
      <alignment vertical="center"/>
    </xf>
    <xf numFmtId="39" fontId="14" fillId="24" borderId="107" xfId="602" applyNumberFormat="1" applyFill="1" applyBorder="1" applyAlignment="1">
      <alignment vertical="center"/>
    </xf>
    <xf numFmtId="39" fontId="14" fillId="0" borderId="0" xfId="602" applyNumberFormat="1"/>
    <xf numFmtId="2" fontId="14" fillId="3" borderId="0" xfId="601" applyNumberFormat="1" applyFont="1" applyFill="1" applyAlignment="1">
      <alignment vertical="center" wrapText="1"/>
    </xf>
    <xf numFmtId="0" fontId="14" fillId="3" borderId="108" xfId="601" applyFont="1" applyFill="1" applyBorder="1" applyAlignment="1">
      <alignment vertical="center" wrapText="1"/>
    </xf>
    <xf numFmtId="0" fontId="14" fillId="3" borderId="109" xfId="601" applyFont="1" applyFill="1" applyBorder="1" applyAlignment="1">
      <alignment vertical="center" wrapText="1"/>
    </xf>
    <xf numFmtId="0" fontId="14" fillId="3" borderId="110" xfId="601" applyFont="1" applyFill="1" applyBorder="1" applyAlignment="1">
      <alignment vertical="center" wrapText="1"/>
    </xf>
    <xf numFmtId="4" fontId="14" fillId="0" borderId="0" xfId="601" applyNumberFormat="1" applyFont="1" applyAlignment="1">
      <alignment wrapText="1"/>
    </xf>
    <xf numFmtId="0" fontId="14" fillId="3" borderId="0" xfId="602" applyNumberFormat="1" applyFill="1" applyAlignment="1">
      <alignment horizontal="center" vertical="center"/>
    </xf>
    <xf numFmtId="0" fontId="14" fillId="3" borderId="99" xfId="601" applyFont="1" applyFill="1" applyBorder="1" applyAlignment="1">
      <alignment vertical="center" wrapText="1"/>
    </xf>
    <xf numFmtId="0" fontId="14" fillId="3" borderId="100" xfId="601" applyFont="1" applyFill="1" applyBorder="1" applyAlignment="1">
      <alignment vertical="center" wrapText="1"/>
    </xf>
    <xf numFmtId="0" fontId="14" fillId="3" borderId="101" xfId="601" applyFont="1" applyFill="1" applyBorder="1" applyAlignment="1">
      <alignment vertical="center" wrapText="1"/>
    </xf>
    <xf numFmtId="4" fontId="14" fillId="3" borderId="102" xfId="601" applyNumberFormat="1" applyFont="1" applyFill="1" applyBorder="1" applyAlignment="1">
      <alignment vertical="center" wrapText="1"/>
    </xf>
    <xf numFmtId="0" fontId="232" fillId="3" borderId="21" xfId="601" applyFont="1" applyFill="1" applyBorder="1" applyAlignment="1">
      <alignment vertical="center"/>
    </xf>
    <xf numFmtId="202" fontId="14" fillId="3" borderId="2" xfId="601" applyNumberFormat="1" applyFont="1" applyFill="1" applyBorder="1" applyAlignment="1">
      <alignment horizontal="center" vertical="center"/>
    </xf>
    <xf numFmtId="0" fontId="238" fillId="3" borderId="1" xfId="598" applyFont="1" applyFill="1" applyBorder="1" applyAlignment="1">
      <alignment vertical="center"/>
    </xf>
    <xf numFmtId="0" fontId="14" fillId="3" borderId="2" xfId="601" applyFont="1" applyFill="1" applyBorder="1" applyAlignment="1">
      <alignment vertical="center"/>
    </xf>
    <xf numFmtId="0" fontId="14" fillId="24" borderId="111" xfId="601" applyFont="1" applyFill="1" applyBorder="1" applyAlignment="1">
      <alignment vertical="center"/>
    </xf>
    <xf numFmtId="0" fontId="14" fillId="24" borderId="10" xfId="601" applyFont="1" applyFill="1" applyBorder="1" applyAlignment="1">
      <alignment horizontal="center" vertical="center"/>
    </xf>
    <xf numFmtId="0" fontId="14" fillId="24" borderId="2" xfId="601" applyFont="1" applyFill="1" applyBorder="1" applyAlignment="1">
      <alignment vertical="center"/>
    </xf>
    <xf numFmtId="0" fontId="14" fillId="24" borderId="10" xfId="601" applyFont="1" applyFill="1" applyBorder="1" applyAlignment="1">
      <alignment vertical="center"/>
    </xf>
    <xf numFmtId="0" fontId="14" fillId="24" borderId="21" xfId="601" applyFont="1" applyFill="1" applyBorder="1" applyAlignment="1">
      <alignment vertical="center"/>
    </xf>
    <xf numFmtId="39" fontId="14" fillId="24" borderId="39" xfId="602" applyNumberFormat="1" applyFill="1" applyBorder="1" applyAlignment="1">
      <alignment vertical="center"/>
    </xf>
    <xf numFmtId="9" fontId="14" fillId="3" borderId="0" xfId="603" applyFont="1" applyFill="1" applyAlignment="1">
      <alignment horizontal="left" vertical="center" wrapText="1"/>
    </xf>
    <xf numFmtId="0" fontId="14" fillId="0" borderId="0" xfId="601" applyFont="1" applyAlignment="1">
      <alignment wrapText="1"/>
    </xf>
    <xf numFmtId="172" fontId="14" fillId="3" borderId="0" xfId="600" applyNumberFormat="1" applyFont="1" applyFill="1" applyAlignment="1">
      <alignment horizontal="left" vertical="center" wrapText="1"/>
    </xf>
    <xf numFmtId="0" fontId="14" fillId="3" borderId="0" xfId="601" applyFont="1" applyFill="1" applyAlignment="1">
      <alignment horizontal="left" vertical="center" wrapText="1"/>
    </xf>
    <xf numFmtId="0" fontId="14" fillId="3" borderId="0" xfId="601" applyFont="1" applyFill="1" applyAlignment="1">
      <alignment vertical="center"/>
    </xf>
    <xf numFmtId="0" fontId="14" fillId="24" borderId="1" xfId="601" applyFont="1" applyFill="1" applyBorder="1" applyAlignment="1">
      <alignment vertical="center"/>
    </xf>
    <xf numFmtId="0" fontId="232" fillId="3" borderId="1" xfId="601" applyFont="1" applyFill="1" applyBorder="1" applyAlignment="1">
      <alignment vertical="center" wrapText="1"/>
    </xf>
    <xf numFmtId="178" fontId="14" fillId="3" borderId="99" xfId="601" applyNumberFormat="1" applyFont="1" applyFill="1" applyBorder="1" applyAlignment="1">
      <alignment vertical="center"/>
    </xf>
    <xf numFmtId="178" fontId="14" fillId="3" borderId="100" xfId="601" applyNumberFormat="1" applyFont="1" applyFill="1" applyBorder="1" applyAlignment="1">
      <alignment vertical="center"/>
    </xf>
    <xf numFmtId="178" fontId="14" fillId="3" borderId="101" xfId="601" applyNumberFormat="1" applyFont="1" applyFill="1" applyBorder="1" applyAlignment="1">
      <alignment vertical="center"/>
    </xf>
    <xf numFmtId="39" fontId="232" fillId="0" borderId="0" xfId="601" applyNumberFormat="1" applyFont="1" applyAlignment="1">
      <alignment wrapText="1"/>
    </xf>
    <xf numFmtId="0" fontId="14" fillId="3" borderId="22" xfId="601" applyFont="1" applyFill="1" applyBorder="1"/>
    <xf numFmtId="202" fontId="14" fillId="3" borderId="0" xfId="601" applyNumberFormat="1" applyFont="1" applyFill="1" applyAlignment="1">
      <alignment horizontal="center"/>
    </xf>
    <xf numFmtId="178" fontId="14" fillId="3" borderId="99" xfId="601" applyNumberFormat="1" applyFont="1" applyFill="1" applyBorder="1"/>
    <xf numFmtId="178" fontId="14" fillId="3" borderId="100" xfId="601" applyNumberFormat="1" applyFont="1" applyFill="1" applyBorder="1"/>
    <xf numFmtId="178" fontId="14" fillId="3" borderId="101" xfId="601" applyNumberFormat="1" applyFont="1" applyFill="1" applyBorder="1"/>
    <xf numFmtId="202" fontId="232" fillId="3" borderId="106" xfId="602" applyNumberFormat="1" applyFont="1" applyFill="1" applyBorder="1"/>
    <xf numFmtId="0" fontId="14" fillId="24" borderId="111" xfId="601" applyFont="1" applyFill="1" applyBorder="1"/>
    <xf numFmtId="0" fontId="14" fillId="24" borderId="10" xfId="601" applyFont="1" applyFill="1" applyBorder="1" applyAlignment="1">
      <alignment horizontal="center"/>
    </xf>
    <xf numFmtId="0" fontId="14" fillId="24" borderId="2" xfId="601" applyFont="1" applyFill="1" applyBorder="1"/>
    <xf numFmtId="0" fontId="14" fillId="24" borderId="10" xfId="601" applyFont="1" applyFill="1" applyBorder="1"/>
    <xf numFmtId="0" fontId="14" fillId="24" borderId="21" xfId="601" applyFont="1" applyFill="1" applyBorder="1"/>
    <xf numFmtId="39" fontId="14" fillId="24" borderId="39" xfId="602" applyNumberFormat="1" applyFill="1" applyBorder="1"/>
    <xf numFmtId="39" fontId="14" fillId="3" borderId="102" xfId="602" applyNumberFormat="1" applyFill="1" applyBorder="1" applyAlignment="1">
      <alignment vertical="center"/>
    </xf>
    <xf numFmtId="0" fontId="14" fillId="3" borderId="21" xfId="601" applyFont="1" applyFill="1" applyBorder="1"/>
    <xf numFmtId="202" fontId="14" fillId="3" borderId="2" xfId="601" applyNumberFormat="1" applyFont="1" applyFill="1" applyBorder="1" applyAlignment="1">
      <alignment horizontal="center"/>
    </xf>
    <xf numFmtId="0" fontId="14" fillId="3" borderId="112" xfId="601" applyFont="1" applyFill="1" applyBorder="1"/>
    <xf numFmtId="0" fontId="14" fillId="3" borderId="2" xfId="601" applyFont="1" applyFill="1" applyBorder="1"/>
    <xf numFmtId="0" fontId="14" fillId="3" borderId="103" xfId="601" applyFont="1" applyFill="1" applyBorder="1"/>
    <xf numFmtId="0" fontId="14" fillId="3" borderId="104" xfId="601" applyFont="1" applyFill="1" applyBorder="1"/>
    <xf numFmtId="0" fontId="14" fillId="3" borderId="105" xfId="601" applyFont="1" applyFill="1" applyBorder="1"/>
    <xf numFmtId="0" fontId="14" fillId="3" borderId="21" xfId="601" applyFont="1" applyFill="1" applyBorder="1" applyAlignment="1">
      <alignment vertical="center"/>
    </xf>
    <xf numFmtId="0" fontId="14" fillId="3" borderId="112" xfId="601" applyFont="1" applyFill="1" applyBorder="1" applyAlignment="1">
      <alignment vertical="center"/>
    </xf>
    <xf numFmtId="237" fontId="14" fillId="0" borderId="0" xfId="601" applyNumberFormat="1" applyFont="1" applyAlignment="1">
      <alignment wrapText="1"/>
    </xf>
    <xf numFmtId="0" fontId="14" fillId="3" borderId="102" xfId="601" applyFont="1" applyFill="1" applyBorder="1" applyAlignment="1">
      <alignment vertical="center" wrapText="1"/>
    </xf>
    <xf numFmtId="39" fontId="232" fillId="0" borderId="0" xfId="602" applyNumberFormat="1" applyFont="1"/>
    <xf numFmtId="0" fontId="14" fillId="24" borderId="99" xfId="601" applyFont="1" applyFill="1" applyBorder="1" applyAlignment="1">
      <alignment vertical="center"/>
    </xf>
    <xf numFmtId="0" fontId="14" fillId="24" borderId="100" xfId="601" applyFont="1" applyFill="1" applyBorder="1" applyAlignment="1">
      <alignment vertical="center"/>
    </xf>
    <xf numFmtId="0" fontId="14" fillId="24" borderId="101" xfId="601" applyFont="1" applyFill="1" applyBorder="1" applyAlignment="1">
      <alignment vertical="center"/>
    </xf>
    <xf numFmtId="39" fontId="14" fillId="24" borderId="102" xfId="602" applyNumberFormat="1" applyFill="1" applyBorder="1" applyAlignment="1">
      <alignment vertical="center"/>
    </xf>
    <xf numFmtId="0" fontId="232" fillId="3" borderId="0" xfId="601" applyFont="1" applyFill="1" applyAlignment="1">
      <alignment horizontal="center" vertical="center"/>
    </xf>
    <xf numFmtId="0" fontId="14" fillId="3" borderId="1" xfId="598" applyFont="1" applyFill="1" applyBorder="1"/>
    <xf numFmtId="43" fontId="14" fillId="3" borderId="107" xfId="601" applyNumberFormat="1" applyFont="1" applyFill="1" applyBorder="1" applyAlignment="1">
      <alignment vertical="center" wrapText="1"/>
    </xf>
    <xf numFmtId="9" fontId="14" fillId="3" borderId="0" xfId="603" applyFont="1" applyFill="1" applyAlignment="1">
      <alignment vertical="center" wrapText="1"/>
    </xf>
    <xf numFmtId="202" fontId="232" fillId="3" borderId="102" xfId="602" applyNumberFormat="1" applyFont="1" applyFill="1" applyBorder="1"/>
    <xf numFmtId="0" fontId="14" fillId="24" borderId="107" xfId="601" applyFont="1" applyFill="1" applyBorder="1" applyAlignment="1">
      <alignment vertical="center"/>
    </xf>
    <xf numFmtId="0" fontId="238" fillId="0" borderId="1" xfId="598" applyFont="1" applyBorder="1"/>
    <xf numFmtId="171" fontId="14" fillId="0" borderId="0" xfId="604" applyNumberFormat="1" applyFont="1" applyAlignment="1">
      <alignment wrapText="1"/>
    </xf>
    <xf numFmtId="0" fontId="14" fillId="0" borderId="0" xfId="601" applyFont="1" applyAlignment="1">
      <alignment vertical="center" wrapText="1"/>
    </xf>
    <xf numFmtId="9" fontId="14" fillId="3" borderId="0" xfId="601" applyNumberFormat="1" applyFont="1" applyFill="1" applyAlignment="1">
      <alignment horizontal="left" vertical="center" wrapText="1"/>
    </xf>
    <xf numFmtId="0" fontId="14" fillId="3" borderId="113" xfId="601" applyFont="1" applyFill="1" applyBorder="1" applyAlignment="1">
      <alignment vertical="center" wrapText="1"/>
    </xf>
    <xf numFmtId="0" fontId="14" fillId="3" borderId="114" xfId="601" applyFont="1" applyFill="1" applyBorder="1" applyAlignment="1">
      <alignment vertical="center" wrapText="1"/>
    </xf>
    <xf numFmtId="0" fontId="14" fillId="3" borderId="115" xfId="601" applyFont="1" applyFill="1" applyBorder="1" applyAlignment="1">
      <alignment vertical="center" wrapText="1"/>
    </xf>
    <xf numFmtId="0" fontId="232" fillId="52" borderId="116" xfId="601" applyFont="1" applyFill="1" applyBorder="1" applyAlignment="1">
      <alignment vertical="center"/>
    </xf>
    <xf numFmtId="0" fontId="232" fillId="52" borderId="117" xfId="601" applyFont="1" applyFill="1" applyBorder="1" applyAlignment="1">
      <alignment horizontal="center" vertical="center"/>
    </xf>
    <xf numFmtId="0" fontId="232" fillId="52" borderId="118" xfId="601" applyFont="1" applyFill="1" applyBorder="1" applyAlignment="1">
      <alignment vertical="center"/>
    </xf>
    <xf numFmtId="0" fontId="232" fillId="52" borderId="117" xfId="601" applyFont="1" applyFill="1" applyBorder="1" applyAlignment="1">
      <alignment vertical="center"/>
    </xf>
    <xf numFmtId="0" fontId="14" fillId="51" borderId="119" xfId="601" applyFont="1" applyFill="1" applyBorder="1" applyAlignment="1">
      <alignment vertical="center"/>
    </xf>
    <xf numFmtId="0" fontId="14" fillId="51" borderId="120" xfId="601" applyFont="1" applyFill="1" applyBorder="1" applyAlignment="1">
      <alignment vertical="center"/>
    </xf>
    <xf numFmtId="0" fontId="14" fillId="51" borderId="121" xfId="601" applyFont="1" applyFill="1" applyBorder="1" applyAlignment="1">
      <alignment vertical="center"/>
    </xf>
    <xf numFmtId="202" fontId="232" fillId="51" borderId="122" xfId="602" applyNumberFormat="1" applyFont="1" applyFill="1" applyBorder="1" applyAlignment="1">
      <alignment vertical="center"/>
    </xf>
    <xf numFmtId="43" fontId="14" fillId="0" borderId="0" xfId="599" applyFont="1"/>
    <xf numFmtId="43" fontId="14" fillId="3" borderId="0" xfId="601" applyNumberFormat="1" applyFont="1" applyFill="1" applyAlignment="1">
      <alignment vertical="center" wrapText="1"/>
    </xf>
    <xf numFmtId="0" fontId="14" fillId="21" borderId="1" xfId="601" applyFont="1" applyFill="1" applyBorder="1" applyAlignment="1">
      <alignment vertical="center"/>
    </xf>
    <xf numFmtId="2" fontId="14" fillId="21" borderId="0" xfId="601" applyNumberFormat="1" applyFont="1" applyFill="1" applyAlignment="1">
      <alignment vertical="center" wrapText="1"/>
    </xf>
    <xf numFmtId="0" fontId="14" fillId="0" borderId="1" xfId="601" applyFont="1" applyBorder="1" applyAlignment="1">
      <alignment vertical="center"/>
    </xf>
    <xf numFmtId="9" fontId="14" fillId="21" borderId="0" xfId="601" applyNumberFormat="1" applyFont="1" applyFill="1" applyAlignment="1">
      <alignment horizontal="left" vertical="center" wrapText="1"/>
    </xf>
    <xf numFmtId="0" fontId="240" fillId="47" borderId="0" xfId="0" applyFont="1" applyFill="1" applyAlignment="1">
      <alignment vertical="center" wrapText="1"/>
    </xf>
    <xf numFmtId="0" fontId="241" fillId="47" borderId="0" xfId="0" applyFont="1" applyFill="1" applyAlignment="1">
      <alignment horizontal="center" vertical="center" wrapText="1" readingOrder="1"/>
    </xf>
    <xf numFmtId="0" fontId="241" fillId="47" borderId="0" xfId="0" applyFont="1" applyFill="1" applyAlignment="1">
      <alignment horizontal="right" vertical="center" wrapText="1" readingOrder="1"/>
    </xf>
    <xf numFmtId="0" fontId="242" fillId="0" borderId="0" xfId="0" applyFont="1" applyAlignment="1">
      <alignment horizontal="left" wrapText="1" readingOrder="1"/>
    </xf>
    <xf numFmtId="0" fontId="242" fillId="0" borderId="0" xfId="0" applyFont="1" applyAlignment="1">
      <alignment horizontal="center" vertical="center" wrapText="1" readingOrder="1"/>
    </xf>
    <xf numFmtId="3" fontId="242" fillId="0" borderId="0" xfId="0" applyNumberFormat="1" applyFont="1" applyAlignment="1">
      <alignment horizontal="right" wrapText="1" readingOrder="1"/>
    </xf>
    <xf numFmtId="0" fontId="242" fillId="53" borderId="0" xfId="0" applyFont="1" applyFill="1" applyAlignment="1">
      <alignment horizontal="left" wrapText="1" readingOrder="1"/>
    </xf>
    <xf numFmtId="0" fontId="242" fillId="53" borderId="0" xfId="0" applyFont="1" applyFill="1" applyAlignment="1">
      <alignment horizontal="center" vertical="center" wrapText="1" readingOrder="1"/>
    </xf>
    <xf numFmtId="0" fontId="242" fillId="53" borderId="0" xfId="0" applyFont="1" applyFill="1" applyAlignment="1">
      <alignment horizontal="right" wrapText="1" readingOrder="1"/>
    </xf>
    <xf numFmtId="0" fontId="242" fillId="0" borderId="0" xfId="0" applyFont="1" applyAlignment="1">
      <alignment horizontal="left" vertical="center" wrapText="1" readingOrder="1"/>
    </xf>
    <xf numFmtId="0" fontId="242" fillId="53" borderId="0" xfId="0" applyFont="1" applyFill="1" applyAlignment="1">
      <alignment horizontal="left" vertical="center" wrapText="1" readingOrder="1"/>
    </xf>
    <xf numFmtId="202" fontId="242" fillId="53" borderId="0" xfId="0" applyNumberFormat="1" applyFont="1" applyFill="1" applyAlignment="1">
      <alignment horizontal="right" wrapText="1" readingOrder="1"/>
    </xf>
    <xf numFmtId="173" fontId="242" fillId="0" borderId="0" xfId="0" applyNumberFormat="1" applyFont="1" applyAlignment="1">
      <alignment horizontal="right" wrapText="1" readingOrder="1"/>
    </xf>
    <xf numFmtId="202" fontId="242" fillId="0" borderId="0" xfId="0" applyNumberFormat="1" applyFont="1" applyAlignment="1">
      <alignment horizontal="right" wrapText="1" readingOrder="1"/>
    </xf>
    <xf numFmtId="0" fontId="232" fillId="0" borderId="0" xfId="598" applyFont="1" applyAlignment="1">
      <alignment horizontal="center"/>
    </xf>
    <xf numFmtId="0" fontId="14" fillId="0" borderId="0" xfId="601" applyFont="1" applyAlignment="1">
      <alignment horizontal="left"/>
    </xf>
    <xf numFmtId="0" fontId="14" fillId="0" borderId="0" xfId="601" applyFont="1" applyAlignment="1">
      <alignment horizontal="center"/>
    </xf>
    <xf numFmtId="0" fontId="244" fillId="0" borderId="0" xfId="605" applyFont="1" applyAlignment="1">
      <alignment horizontal="left" vertical="center"/>
    </xf>
    <xf numFmtId="0" fontId="238" fillId="0" borderId="0" xfId="605" applyFont="1" applyAlignment="1">
      <alignment vertical="center"/>
    </xf>
    <xf numFmtId="237" fontId="238" fillId="0" borderId="0" xfId="605" applyNumberFormat="1" applyFont="1" applyAlignment="1">
      <alignment vertical="center"/>
    </xf>
    <xf numFmtId="0" fontId="238" fillId="0" borderId="0" xfId="605" applyFont="1"/>
    <xf numFmtId="0" fontId="14" fillId="0" borderId="0" xfId="605" applyFont="1"/>
    <xf numFmtId="0" fontId="14" fillId="0" borderId="0" xfId="605" applyFont="1" applyAlignment="1">
      <alignment vertical="center"/>
    </xf>
    <xf numFmtId="3" fontId="239" fillId="0" borderId="0" xfId="605" applyNumberFormat="1" applyFont="1" applyAlignment="1">
      <alignment horizontal="center" vertical="center"/>
    </xf>
    <xf numFmtId="3" fontId="232" fillId="0" borderId="12" xfId="605" applyNumberFormat="1" applyFont="1" applyBorder="1" applyAlignment="1">
      <alignment horizontal="center" vertical="center"/>
    </xf>
    <xf numFmtId="0" fontId="232" fillId="0" borderId="12" xfId="605" applyFont="1" applyBorder="1" applyAlignment="1">
      <alignment horizontal="center" vertical="center"/>
    </xf>
    <xf numFmtId="0" fontId="239" fillId="0" borderId="0" xfId="605" applyFont="1" applyAlignment="1">
      <alignment horizontal="center" vertical="center"/>
    </xf>
    <xf numFmtId="0" fontId="232" fillId="0" borderId="0" xfId="605" applyFont="1"/>
    <xf numFmtId="0" fontId="238" fillId="0" borderId="0" xfId="605" applyFont="1" applyAlignment="1">
      <alignment horizontal="left" vertical="center" wrapText="1"/>
    </xf>
    <xf numFmtId="173" fontId="238" fillId="0" borderId="0" xfId="605" applyNumberFormat="1" applyFont="1" applyAlignment="1">
      <alignment horizontal="center" vertical="center" wrapText="1"/>
    </xf>
    <xf numFmtId="9" fontId="238" fillId="0" borderId="0" xfId="606" applyFont="1" applyFill="1" applyBorder="1" applyAlignment="1">
      <alignment horizontal="center" vertical="center" wrapText="1"/>
    </xf>
    <xf numFmtId="171" fontId="14" fillId="0" borderId="0" xfId="607" applyNumberFormat="1" applyFont="1" applyFill="1" applyAlignment="1">
      <alignment vertical="center"/>
    </xf>
    <xf numFmtId="0" fontId="14" fillId="0" borderId="0" xfId="605" applyFont="1" applyAlignment="1">
      <alignment horizontal="left" vertical="center" wrapText="1"/>
    </xf>
    <xf numFmtId="173" fontId="14" fillId="0" borderId="0" xfId="605" applyNumberFormat="1" applyFont="1" applyAlignment="1">
      <alignment horizontal="center" vertical="center"/>
    </xf>
    <xf numFmtId="173" fontId="14" fillId="0" borderId="0" xfId="605" applyNumberFormat="1" applyFont="1" applyAlignment="1">
      <alignment horizontal="center"/>
    </xf>
    <xf numFmtId="237" fontId="230" fillId="0" borderId="0" xfId="608" applyNumberFormat="1" applyFont="1" applyFill="1" applyBorder="1" applyAlignment="1">
      <alignment horizontal="center"/>
    </xf>
    <xf numFmtId="237" fontId="230" fillId="0" borderId="0" xfId="607" applyNumberFormat="1" applyFont="1" applyFill="1" applyBorder="1" applyAlignment="1">
      <alignment horizontal="center"/>
    </xf>
    <xf numFmtId="173" fontId="238" fillId="0" borderId="0" xfId="605" applyNumberFormat="1" applyFont="1" applyAlignment="1">
      <alignment horizontal="center" vertical="center"/>
    </xf>
    <xf numFmtId="173" fontId="238" fillId="0" borderId="0" xfId="609" applyNumberFormat="1" applyFont="1" applyAlignment="1">
      <alignment horizontal="center" vertical="center"/>
    </xf>
    <xf numFmtId="10" fontId="14" fillId="0" borderId="0" xfId="606" applyNumberFormat="1" applyFont="1" applyFill="1" applyAlignment="1">
      <alignment vertical="center"/>
    </xf>
    <xf numFmtId="0" fontId="239" fillId="0" borderId="0" xfId="605" applyFont="1" applyAlignment="1">
      <alignment horizontal="left" vertical="center" wrapText="1"/>
    </xf>
    <xf numFmtId="173" fontId="239" fillId="0" borderId="0" xfId="605" applyNumberFormat="1" applyFont="1" applyAlignment="1">
      <alignment horizontal="center" vertical="center" wrapText="1"/>
    </xf>
    <xf numFmtId="173" fontId="239" fillId="0" borderId="0" xfId="609" applyNumberFormat="1" applyFont="1" applyAlignment="1">
      <alignment horizontal="center" vertical="center" wrapText="1"/>
    </xf>
    <xf numFmtId="0" fontId="239" fillId="0" borderId="0" xfId="605" applyFont="1"/>
    <xf numFmtId="173" fontId="14" fillId="0" borderId="0" xfId="605" applyNumberFormat="1" applyFont="1" applyAlignment="1">
      <alignment horizontal="center" vertical="center" wrapText="1"/>
    </xf>
    <xf numFmtId="172" fontId="14" fillId="0" borderId="0" xfId="606" applyNumberFormat="1" applyFont="1" applyFill="1" applyAlignment="1">
      <alignment vertical="center"/>
    </xf>
    <xf numFmtId="2" fontId="239" fillId="0" borderId="0" xfId="609" applyNumberFormat="1" applyFont="1" applyAlignment="1">
      <alignment horizontal="center" vertical="center" wrapText="1"/>
    </xf>
    <xf numFmtId="9" fontId="14" fillId="0" borderId="0" xfId="606" applyFont="1" applyFill="1" applyBorder="1" applyAlignment="1">
      <alignment vertical="center"/>
    </xf>
    <xf numFmtId="2" fontId="238" fillId="0" borderId="0" xfId="605" applyNumberFormat="1" applyFont="1" applyAlignment="1">
      <alignment vertical="center"/>
    </xf>
    <xf numFmtId="0" fontId="232" fillId="0" borderId="0" xfId="605" applyFont="1" applyAlignment="1">
      <alignment horizontal="center"/>
    </xf>
    <xf numFmtId="0" fontId="226" fillId="47" borderId="6" xfId="601" applyFont="1" applyFill="1" applyBorder="1" applyAlignment="1">
      <alignment horizontal="center" vertical="center"/>
    </xf>
    <xf numFmtId="0" fontId="226" fillId="47" borderId="29" xfId="601" applyFont="1" applyFill="1" applyBorder="1" applyAlignment="1">
      <alignment horizontal="center" vertical="center"/>
    </xf>
    <xf numFmtId="0" fontId="226" fillId="47" borderId="5" xfId="601" applyFont="1" applyFill="1" applyBorder="1" applyAlignment="1">
      <alignment horizontal="center" vertical="center"/>
    </xf>
    <xf numFmtId="237" fontId="226" fillId="47" borderId="30" xfId="601" applyNumberFormat="1" applyFont="1" applyFill="1" applyBorder="1" applyAlignment="1">
      <alignment horizontal="center" vertical="center"/>
    </xf>
    <xf numFmtId="39" fontId="232" fillId="0" borderId="0" xfId="602" applyNumberFormat="1" applyFont="1" applyFill="1" applyBorder="1" applyAlignment="1">
      <alignment horizontal="center" vertical="center"/>
    </xf>
    <xf numFmtId="0" fontId="232" fillId="0" borderId="0" xfId="601" applyFont="1" applyAlignment="1">
      <alignment horizontal="center" vertical="center"/>
    </xf>
    <xf numFmtId="0" fontId="226" fillId="0" borderId="0" xfId="601" applyFont="1" applyAlignment="1">
      <alignment horizontal="center" vertical="center"/>
    </xf>
    <xf numFmtId="0" fontId="14" fillId="3" borderId="124" xfId="601" applyFont="1" applyFill="1" applyBorder="1" applyAlignment="1">
      <alignment horizontal="left" vertical="center" wrapText="1"/>
    </xf>
    <xf numFmtId="0" fontId="14" fillId="3" borderId="125" xfId="601" quotePrefix="1" applyFont="1" applyFill="1" applyBorder="1" applyAlignment="1">
      <alignment horizontal="left" vertical="center" wrapText="1"/>
    </xf>
    <xf numFmtId="0" fontId="14" fillId="0" borderId="0" xfId="605" quotePrefix="1" applyFont="1" applyAlignment="1">
      <alignment vertical="top" wrapText="1"/>
    </xf>
    <xf numFmtId="0" fontId="14" fillId="3" borderId="126" xfId="601" applyFont="1" applyFill="1" applyBorder="1" applyAlignment="1">
      <alignment vertical="center"/>
    </xf>
    <xf numFmtId="0" fontId="14" fillId="3" borderId="127" xfId="601" applyFont="1" applyFill="1" applyBorder="1" applyAlignment="1">
      <alignment vertical="center"/>
    </xf>
    <xf numFmtId="0" fontId="14" fillId="0" borderId="127" xfId="601" applyFont="1" applyBorder="1" applyAlignment="1">
      <alignment vertical="center"/>
    </xf>
    <xf numFmtId="237" fontId="14" fillId="3" borderId="128" xfId="601" applyNumberFormat="1" applyFont="1" applyFill="1" applyBorder="1" applyAlignment="1">
      <alignment vertical="center"/>
    </xf>
    <xf numFmtId="0" fontId="238" fillId="0" borderId="0" xfId="605" quotePrefix="1" applyFont="1"/>
    <xf numFmtId="173" fontId="14" fillId="0" borderId="0" xfId="605" applyNumberFormat="1" applyFont="1"/>
    <xf numFmtId="0" fontId="14" fillId="3" borderId="129" xfId="601" applyFont="1" applyFill="1" applyBorder="1" applyAlignment="1">
      <alignment horizontal="left" vertical="center" wrapText="1"/>
    </xf>
    <xf numFmtId="0" fontId="14" fillId="3" borderId="130" xfId="601" quotePrefix="1" applyFont="1" applyFill="1" applyBorder="1" applyAlignment="1">
      <alignment horizontal="left" vertical="center" wrapText="1"/>
    </xf>
    <xf numFmtId="0" fontId="14" fillId="3" borderId="131" xfId="601" applyFont="1" applyFill="1" applyBorder="1" applyAlignment="1">
      <alignment horizontal="left" vertical="center" wrapText="1"/>
    </xf>
    <xf numFmtId="0" fontId="14" fillId="3" borderId="132" xfId="601" applyFont="1" applyFill="1" applyBorder="1" applyAlignment="1">
      <alignment vertical="center"/>
    </xf>
    <xf numFmtId="0" fontId="14" fillId="3" borderId="133" xfId="601" applyFont="1" applyFill="1" applyBorder="1" applyAlignment="1">
      <alignment vertical="center"/>
    </xf>
    <xf numFmtId="0" fontId="14" fillId="0" borderId="133" xfId="601" applyFont="1" applyBorder="1" applyAlignment="1">
      <alignment vertical="center"/>
    </xf>
    <xf numFmtId="237" fontId="14" fillId="3" borderId="134" xfId="601" applyNumberFormat="1" applyFont="1" applyFill="1" applyBorder="1" applyAlignment="1">
      <alignment vertical="center"/>
    </xf>
    <xf numFmtId="4" fontId="14" fillId="0" borderId="0" xfId="602" applyNumberFormat="1" applyFont="1" applyFill="1" applyBorder="1"/>
    <xf numFmtId="173" fontId="238" fillId="0" borderId="0" xfId="605" applyNumberFormat="1" applyFont="1" applyAlignment="1">
      <alignment vertical="center"/>
    </xf>
    <xf numFmtId="173" fontId="14" fillId="0" borderId="0" xfId="605" quotePrefix="1" applyNumberFormat="1" applyFont="1" applyAlignment="1">
      <alignment vertical="center" wrapText="1"/>
    </xf>
    <xf numFmtId="0" fontId="14" fillId="0" borderId="100" xfId="601" applyFont="1" applyBorder="1" applyAlignment="1">
      <alignment vertical="center"/>
    </xf>
    <xf numFmtId="237" fontId="14" fillId="3" borderId="102" xfId="601" applyNumberFormat="1" applyFont="1" applyFill="1" applyBorder="1" applyAlignment="1">
      <alignment vertical="center"/>
    </xf>
    <xf numFmtId="173" fontId="238" fillId="0" borderId="0" xfId="605" quotePrefix="1" applyNumberFormat="1" applyFont="1" applyAlignment="1">
      <alignment vertical="center"/>
    </xf>
    <xf numFmtId="0" fontId="14" fillId="3" borderId="135" xfId="601" applyFont="1" applyFill="1" applyBorder="1" applyAlignment="1">
      <alignment horizontal="left" vertical="center" wrapText="1"/>
    </xf>
    <xf numFmtId="0" fontId="14" fillId="3" borderId="136" xfId="601" applyFont="1" applyFill="1" applyBorder="1" applyAlignment="1">
      <alignment horizontal="left" vertical="center" wrapText="1"/>
    </xf>
    <xf numFmtId="10" fontId="14" fillId="3" borderId="137" xfId="601" applyNumberFormat="1" applyFont="1" applyFill="1" applyBorder="1" applyAlignment="1">
      <alignment horizontal="left" vertical="center" wrapText="1"/>
    </xf>
    <xf numFmtId="9" fontId="14" fillId="3" borderId="131" xfId="601" applyNumberFormat="1" applyFont="1" applyFill="1" applyBorder="1" applyAlignment="1">
      <alignment horizontal="left" vertical="center" wrapText="1"/>
    </xf>
    <xf numFmtId="0" fontId="238" fillId="3" borderId="100" xfId="605" applyFont="1" applyFill="1" applyBorder="1" applyAlignment="1">
      <alignment vertical="center"/>
    </xf>
    <xf numFmtId="237" fontId="238" fillId="3" borderId="102" xfId="605" applyNumberFormat="1" applyFont="1" applyFill="1" applyBorder="1" applyAlignment="1">
      <alignment vertical="center"/>
    </xf>
    <xf numFmtId="0" fontId="14" fillId="3" borderId="130" xfId="601" applyFont="1" applyFill="1" applyBorder="1" applyAlignment="1">
      <alignment horizontal="left" vertical="center" wrapText="1"/>
    </xf>
    <xf numFmtId="0" fontId="14" fillId="3" borderId="103" xfId="601" applyFont="1" applyFill="1" applyBorder="1" applyAlignment="1">
      <alignment vertical="center"/>
    </xf>
    <xf numFmtId="0" fontId="14" fillId="3" borderId="104" xfId="601" applyFont="1" applyFill="1" applyBorder="1" applyAlignment="1">
      <alignment vertical="center"/>
    </xf>
    <xf numFmtId="0" fontId="238" fillId="3" borderId="104" xfId="605" applyFont="1" applyFill="1" applyBorder="1" applyAlignment="1">
      <alignment vertical="center"/>
    </xf>
    <xf numFmtId="237" fontId="238" fillId="3" borderId="106" xfId="605" applyNumberFormat="1" applyFont="1" applyFill="1" applyBorder="1" applyAlignment="1">
      <alignment vertical="center"/>
    </xf>
    <xf numFmtId="202" fontId="232" fillId="0" borderId="0" xfId="602" applyNumberFormat="1" applyFont="1" applyFill="1" applyBorder="1"/>
    <xf numFmtId="237" fontId="14" fillId="24" borderId="107" xfId="601" applyNumberFormat="1" applyFont="1" applyFill="1" applyBorder="1" applyAlignment="1">
      <alignment vertical="center"/>
    </xf>
    <xf numFmtId="39" fontId="14" fillId="0" borderId="0" xfId="602" applyNumberFormat="1" applyFont="1" applyFill="1" applyBorder="1"/>
    <xf numFmtId="0" fontId="14" fillId="3" borderId="132" xfId="601" applyFont="1" applyFill="1" applyBorder="1" applyAlignment="1">
      <alignment vertical="center" wrapText="1"/>
    </xf>
    <xf numFmtId="0" fontId="14" fillId="3" borderId="133" xfId="601" applyFont="1" applyFill="1" applyBorder="1" applyAlignment="1">
      <alignment vertical="center" wrapText="1"/>
    </xf>
    <xf numFmtId="237" fontId="14" fillId="3" borderId="134" xfId="601" applyNumberFormat="1" applyFont="1" applyFill="1" applyBorder="1" applyAlignment="1">
      <alignment vertical="center" wrapText="1"/>
    </xf>
    <xf numFmtId="237" fontId="14" fillId="3" borderId="102" xfId="601" applyNumberFormat="1" applyFont="1" applyFill="1" applyBorder="1" applyAlignment="1">
      <alignment vertical="center" wrapText="1"/>
    </xf>
    <xf numFmtId="2" fontId="14" fillId="0" borderId="0" xfId="601" applyNumberFormat="1" applyFont="1" applyAlignment="1">
      <alignment vertical="center" wrapText="1"/>
    </xf>
    <xf numFmtId="0" fontId="14" fillId="3" borderId="103" xfId="601" applyFont="1" applyFill="1" applyBorder="1" applyAlignment="1">
      <alignment vertical="center" wrapText="1"/>
    </xf>
    <xf numFmtId="0" fontId="14" fillId="3" borderId="104" xfId="601" applyFont="1" applyFill="1" applyBorder="1" applyAlignment="1">
      <alignment vertical="center" wrapText="1"/>
    </xf>
    <xf numFmtId="237" fontId="14" fillId="3" borderId="106" xfId="601" applyNumberFormat="1" applyFont="1" applyFill="1" applyBorder="1" applyAlignment="1">
      <alignment vertical="center" wrapText="1"/>
    </xf>
    <xf numFmtId="0" fontId="14" fillId="24" borderId="139" xfId="601" applyFont="1" applyFill="1" applyBorder="1" applyAlignment="1">
      <alignment vertical="center"/>
    </xf>
    <xf numFmtId="0" fontId="14" fillId="24" borderId="140" xfId="601" applyFont="1" applyFill="1" applyBorder="1" applyAlignment="1">
      <alignment vertical="center"/>
    </xf>
    <xf numFmtId="237" fontId="14" fillId="24" borderId="39" xfId="601" applyNumberFormat="1" applyFont="1" applyFill="1" applyBorder="1" applyAlignment="1">
      <alignment vertical="center"/>
    </xf>
    <xf numFmtId="0" fontId="14" fillId="3" borderId="141" xfId="601" applyFont="1" applyFill="1" applyBorder="1" applyAlignment="1">
      <alignment vertical="center" wrapText="1"/>
    </xf>
    <xf numFmtId="0" fontId="14" fillId="3" borderId="136" xfId="601" quotePrefix="1" applyFont="1" applyFill="1" applyBorder="1" applyAlignment="1">
      <alignment vertical="center" wrapText="1"/>
    </xf>
    <xf numFmtId="0" fontId="14" fillId="3" borderId="137" xfId="601" quotePrefix="1" applyFont="1" applyFill="1" applyBorder="1" applyAlignment="1">
      <alignment vertical="center" wrapText="1"/>
    </xf>
    <xf numFmtId="0" fontId="14" fillId="3" borderId="142" xfId="601" applyFont="1" applyFill="1" applyBorder="1" applyAlignment="1">
      <alignment vertical="center" wrapText="1"/>
    </xf>
    <xf numFmtId="0" fontId="14" fillId="3" borderId="130" xfId="601" quotePrefix="1" applyFont="1" applyFill="1" applyBorder="1" applyAlignment="1">
      <alignment vertical="center" wrapText="1"/>
    </xf>
    <xf numFmtId="0" fontId="14" fillId="3" borderId="131" xfId="601" quotePrefix="1" applyFont="1" applyFill="1" applyBorder="1" applyAlignment="1">
      <alignment vertical="center" wrapText="1"/>
    </xf>
    <xf numFmtId="0" fontId="14" fillId="3" borderId="131" xfId="601" applyFont="1" applyFill="1" applyBorder="1" applyAlignment="1">
      <alignment vertical="center" wrapText="1"/>
    </xf>
    <xf numFmtId="0" fontId="14" fillId="3" borderId="0" xfId="601" quotePrefix="1" applyFont="1" applyFill="1" applyAlignment="1">
      <alignment vertical="center" wrapText="1"/>
    </xf>
    <xf numFmtId="0" fontId="14" fillId="24" borderId="139" xfId="601" applyFont="1" applyFill="1" applyBorder="1"/>
    <xf numFmtId="0" fontId="14" fillId="24" borderId="140" xfId="601" applyFont="1" applyFill="1" applyBorder="1"/>
    <xf numFmtId="237" fontId="14" fillId="24" borderId="39" xfId="601" applyNumberFormat="1" applyFont="1" applyFill="1" applyBorder="1"/>
    <xf numFmtId="39" fontId="232" fillId="0" borderId="0" xfId="602" applyNumberFormat="1" applyFont="1" applyFill="1" applyBorder="1"/>
    <xf numFmtId="0" fontId="14" fillId="3" borderId="145" xfId="601" applyFont="1" applyFill="1" applyBorder="1" applyAlignment="1">
      <alignment vertical="center"/>
    </xf>
    <xf numFmtId="0" fontId="14" fillId="3" borderId="125" xfId="601" quotePrefix="1" applyFont="1" applyFill="1" applyBorder="1" applyAlignment="1">
      <alignment vertical="center" wrapText="1"/>
    </xf>
    <xf numFmtId="0" fontId="14" fillId="3" borderId="20" xfId="601" applyFont="1" applyFill="1" applyBorder="1" applyAlignment="1">
      <alignment vertical="center" wrapText="1"/>
    </xf>
    <xf numFmtId="0" fontId="14" fillId="3" borderId="146" xfId="601" applyFont="1" applyFill="1" applyBorder="1" applyAlignment="1">
      <alignment vertical="center" wrapText="1"/>
    </xf>
    <xf numFmtId="0" fontId="14" fillId="3" borderId="107" xfId="601" applyFont="1" applyFill="1" applyBorder="1" applyAlignment="1">
      <alignment vertical="center" wrapText="1"/>
    </xf>
    <xf numFmtId="202" fontId="232" fillId="0" borderId="102" xfId="602" applyNumberFormat="1" applyFont="1" applyFill="1" applyBorder="1"/>
    <xf numFmtId="171" fontId="14" fillId="0" borderId="0" xfId="604" applyNumberFormat="1" applyFont="1" applyFill="1" applyBorder="1" applyAlignment="1">
      <alignment wrapText="1"/>
    </xf>
    <xf numFmtId="0" fontId="14" fillId="3" borderId="1" xfId="601" applyFont="1" applyFill="1" applyBorder="1" applyAlignment="1">
      <alignment vertical="top"/>
    </xf>
    <xf numFmtId="9" fontId="14" fillId="3" borderId="0" xfId="610" applyFont="1" applyFill="1" applyBorder="1" applyAlignment="1">
      <alignment vertical="center" wrapText="1"/>
    </xf>
    <xf numFmtId="0" fontId="14" fillId="3" borderId="142" xfId="601" applyFont="1" applyFill="1" applyBorder="1" applyAlignment="1">
      <alignment vertical="center"/>
    </xf>
    <xf numFmtId="39" fontId="14" fillId="3" borderId="0" xfId="602" applyNumberFormat="1" applyFont="1" applyFill="1" applyBorder="1"/>
    <xf numFmtId="0" fontId="14" fillId="3" borderId="0" xfId="605" applyFont="1" applyFill="1"/>
    <xf numFmtId="0" fontId="238" fillId="3" borderId="0" xfId="605" applyFont="1" applyFill="1"/>
    <xf numFmtId="43" fontId="14" fillId="0" borderId="0" xfId="607" applyFont="1" applyFill="1"/>
    <xf numFmtId="0" fontId="238" fillId="3" borderId="0" xfId="605" applyFont="1" applyFill="1" applyAlignment="1">
      <alignment vertical="center"/>
    </xf>
    <xf numFmtId="0" fontId="238" fillId="3" borderId="0" xfId="605" applyFont="1" applyFill="1" applyAlignment="1">
      <alignment horizontal="right" vertical="center"/>
    </xf>
    <xf numFmtId="237" fontId="238" fillId="3" borderId="0" xfId="605" applyNumberFormat="1" applyFont="1" applyFill="1" applyAlignment="1">
      <alignment vertical="center"/>
    </xf>
    <xf numFmtId="43" fontId="238" fillId="3" borderId="0" xfId="607" applyFont="1" applyFill="1" applyAlignment="1">
      <alignment horizontal="right" vertical="center"/>
    </xf>
    <xf numFmtId="0" fontId="226" fillId="47" borderId="0" xfId="605" applyFont="1" applyFill="1" applyAlignment="1">
      <alignment horizontal="left" vertical="center" wrapText="1"/>
    </xf>
    <xf numFmtId="173" fontId="226" fillId="47" borderId="0" xfId="605" applyNumberFormat="1" applyFont="1" applyFill="1" applyAlignment="1">
      <alignment horizontal="center" vertical="center"/>
    </xf>
    <xf numFmtId="0" fontId="226" fillId="47" borderId="0" xfId="605" applyFont="1" applyFill="1" applyAlignment="1">
      <alignment horizontal="left" vertical="center"/>
    </xf>
    <xf numFmtId="0" fontId="226" fillId="47" borderId="117" xfId="605" applyFont="1" applyFill="1" applyBorder="1" applyAlignment="1">
      <alignment horizontal="left" vertical="center" wrapText="1"/>
    </xf>
    <xf numFmtId="173" fontId="226" fillId="47" borderId="117" xfId="605" applyNumberFormat="1" applyFont="1" applyFill="1" applyBorder="1" applyAlignment="1">
      <alignment horizontal="center" vertical="center" wrapText="1"/>
    </xf>
    <xf numFmtId="0" fontId="226" fillId="47" borderId="22" xfId="601" applyFont="1" applyFill="1" applyBorder="1" applyAlignment="1">
      <alignment vertical="center"/>
    </xf>
    <xf numFmtId="0" fontId="224" fillId="47" borderId="24" xfId="601" applyFont="1" applyFill="1" applyBorder="1" applyAlignment="1">
      <alignment vertical="center" wrapText="1"/>
    </xf>
    <xf numFmtId="0" fontId="224" fillId="47" borderId="12" xfId="601" applyFont="1" applyFill="1" applyBorder="1" applyAlignment="1">
      <alignment vertical="center" wrapText="1"/>
    </xf>
    <xf numFmtId="0" fontId="224" fillId="47" borderId="25" xfId="601" applyFont="1" applyFill="1" applyBorder="1" applyAlignment="1">
      <alignment vertical="center" wrapText="1"/>
    </xf>
    <xf numFmtId="0" fontId="224" fillId="47" borderId="119" xfId="601" applyFont="1" applyFill="1" applyBorder="1" applyAlignment="1">
      <alignment vertical="center"/>
    </xf>
    <xf numFmtId="0" fontId="224" fillId="47" borderId="120" xfId="601" applyFont="1" applyFill="1" applyBorder="1" applyAlignment="1">
      <alignment vertical="center"/>
    </xf>
    <xf numFmtId="237" fontId="226" fillId="47" borderId="122" xfId="601" applyNumberFormat="1" applyFont="1" applyFill="1" applyBorder="1" applyAlignment="1">
      <alignment vertical="center"/>
    </xf>
    <xf numFmtId="0" fontId="243" fillId="47" borderId="1" xfId="605" applyFont="1" applyFill="1" applyBorder="1" applyAlignment="1">
      <alignment vertical="center"/>
    </xf>
    <xf numFmtId="0" fontId="243" fillId="47" borderId="0" xfId="605" applyFont="1" applyFill="1" applyAlignment="1">
      <alignment vertical="center"/>
    </xf>
    <xf numFmtId="0" fontId="224" fillId="47" borderId="2" xfId="601" applyFont="1" applyFill="1" applyBorder="1" applyAlignment="1">
      <alignment vertical="center"/>
    </xf>
    <xf numFmtId="0" fontId="224" fillId="47" borderId="103" xfId="601" applyFont="1" applyFill="1" applyBorder="1" applyAlignment="1">
      <alignment vertical="center"/>
    </xf>
    <xf numFmtId="0" fontId="224" fillId="47" borderId="104" xfId="601" applyFont="1" applyFill="1" applyBorder="1" applyAlignment="1">
      <alignment vertical="center"/>
    </xf>
    <xf numFmtId="237" fontId="226" fillId="47" borderId="106" xfId="601" applyNumberFormat="1" applyFont="1" applyFill="1" applyBorder="1" applyAlignment="1">
      <alignment vertical="center"/>
    </xf>
    <xf numFmtId="0" fontId="226" fillId="47" borderId="22" xfId="601" applyFont="1" applyFill="1" applyBorder="1"/>
    <xf numFmtId="0" fontId="224" fillId="47" borderId="1" xfId="601" applyFont="1" applyFill="1" applyBorder="1" applyAlignment="1">
      <alignment vertical="center" wrapText="1"/>
    </xf>
    <xf numFmtId="0" fontId="224" fillId="47" borderId="0" xfId="601" applyFont="1" applyFill="1" applyAlignment="1">
      <alignment vertical="center" wrapText="1"/>
    </xf>
    <xf numFmtId="0" fontId="226" fillId="47" borderId="21" xfId="601" applyFont="1" applyFill="1" applyBorder="1"/>
    <xf numFmtId="0" fontId="224" fillId="47" borderId="112" xfId="601" applyFont="1" applyFill="1" applyBorder="1"/>
    <xf numFmtId="0" fontId="224" fillId="47" borderId="2" xfId="601" applyFont="1" applyFill="1" applyBorder="1"/>
    <xf numFmtId="0" fontId="224" fillId="47" borderId="103" xfId="601" applyFont="1" applyFill="1" applyBorder="1"/>
    <xf numFmtId="0" fontId="224" fillId="47" borderId="104" xfId="601" applyFont="1" applyFill="1" applyBorder="1"/>
    <xf numFmtId="237" fontId="226" fillId="47" borderId="106" xfId="601" applyNumberFormat="1" applyFont="1" applyFill="1" applyBorder="1"/>
    <xf numFmtId="0" fontId="224" fillId="47" borderId="1" xfId="601" applyFont="1" applyFill="1" applyBorder="1" applyAlignment="1">
      <alignment vertical="center"/>
    </xf>
    <xf numFmtId="0" fontId="224" fillId="47" borderId="0" xfId="601" applyFont="1" applyFill="1" applyAlignment="1">
      <alignment vertical="center"/>
    </xf>
    <xf numFmtId="0" fontId="226" fillId="47" borderId="24" xfId="601" applyFont="1" applyFill="1" applyBorder="1" applyAlignment="1">
      <alignment vertical="center"/>
    </xf>
    <xf numFmtId="0" fontId="224" fillId="47" borderId="147" xfId="601" applyFont="1" applyFill="1" applyBorder="1" applyAlignment="1">
      <alignment vertical="center"/>
    </xf>
    <xf numFmtId="0" fontId="224" fillId="47" borderId="12" xfId="601" applyFont="1" applyFill="1" applyBorder="1" applyAlignment="1">
      <alignment vertical="center"/>
    </xf>
    <xf numFmtId="0" fontId="224" fillId="47" borderId="148" xfId="601" applyFont="1" applyFill="1" applyBorder="1" applyAlignment="1">
      <alignment vertical="center"/>
    </xf>
    <xf numFmtId="0" fontId="226" fillId="47" borderId="150" xfId="601" applyFont="1" applyFill="1" applyBorder="1" applyAlignment="1">
      <alignment vertical="center"/>
    </xf>
    <xf numFmtId="0" fontId="226" fillId="47" borderId="151" xfId="601" applyFont="1" applyFill="1" applyBorder="1" applyAlignment="1">
      <alignment vertical="center"/>
    </xf>
    <xf numFmtId="0" fontId="226" fillId="47" borderId="152" xfId="601" applyFont="1" applyFill="1" applyBorder="1" applyAlignment="1">
      <alignment vertical="center"/>
    </xf>
    <xf numFmtId="172" fontId="122" fillId="0" borderId="0" xfId="0" applyNumberFormat="1" applyFont="1"/>
    <xf numFmtId="0" fontId="126" fillId="54" borderId="0" xfId="0" applyFont="1" applyFill="1"/>
    <xf numFmtId="3" fontId="126" fillId="54" borderId="0" xfId="0" applyNumberFormat="1" applyFont="1" applyFill="1"/>
    <xf numFmtId="0" fontId="155" fillId="0" borderId="0" xfId="0" applyFont="1"/>
    <xf numFmtId="0" fontId="14" fillId="3" borderId="153" xfId="593" applyFont="1" applyFill="1" applyBorder="1"/>
    <xf numFmtId="0" fontId="229" fillId="3" borderId="93" xfId="593" applyFont="1" applyFill="1" applyBorder="1" applyAlignment="1">
      <alignment vertical="center" wrapText="1"/>
    </xf>
    <xf numFmtId="171" fontId="229" fillId="3" borderId="93" xfId="596" applyNumberFormat="1" applyFont="1" applyFill="1" applyBorder="1"/>
    <xf numFmtId="43" fontId="229" fillId="3" borderId="93" xfId="596" applyFont="1" applyFill="1" applyBorder="1"/>
    <xf numFmtId="0" fontId="229" fillId="48" borderId="93" xfId="593" applyFont="1" applyFill="1" applyBorder="1" applyAlignment="1">
      <alignment vertical="center" wrapText="1"/>
    </xf>
    <xf numFmtId="0" fontId="229" fillId="48" borderId="93" xfId="594" applyFont="1" applyFill="1" applyBorder="1" applyAlignment="1" applyProtection="1"/>
    <xf numFmtId="0" fontId="229" fillId="48" borderId="93" xfId="594" applyFont="1" applyFill="1" applyBorder="1" applyAlignment="1" applyProtection="1">
      <alignment horizontal="center"/>
    </xf>
    <xf numFmtId="171" fontId="229" fillId="48" borderId="93" xfId="596" applyNumberFormat="1" applyFont="1" applyFill="1" applyBorder="1"/>
    <xf numFmtId="43" fontId="229" fillId="48" borderId="93" xfId="596" applyFont="1" applyFill="1" applyBorder="1"/>
    <xf numFmtId="0" fontId="229" fillId="48" borderId="93" xfId="593" applyFont="1" applyFill="1" applyBorder="1"/>
    <xf numFmtId="0" fontId="229" fillId="48" borderId="93" xfId="593" applyFont="1" applyFill="1" applyBorder="1" applyAlignment="1">
      <alignment horizontal="center"/>
    </xf>
    <xf numFmtId="171" fontId="229" fillId="48" borderId="93" xfId="593" applyNumberFormat="1" applyFont="1" applyFill="1" applyBorder="1"/>
    <xf numFmtId="37" fontId="229" fillId="48" borderId="93" xfId="593" applyNumberFormat="1" applyFont="1" applyFill="1" applyBorder="1"/>
    <xf numFmtId="171" fontId="229" fillId="3" borderId="93" xfId="596" applyNumberFormat="1" applyFont="1" applyFill="1" applyBorder="1" applyAlignment="1">
      <alignment vertical="center" wrapText="1"/>
    </xf>
    <xf numFmtId="171" fontId="229" fillId="48" borderId="93" xfId="596" applyNumberFormat="1" applyFont="1" applyFill="1" applyBorder="1" applyAlignment="1">
      <alignment vertical="center" wrapText="1"/>
    </xf>
    <xf numFmtId="171" fontId="229" fillId="48" borderId="93" xfId="595" applyNumberFormat="1" applyFont="1" applyFill="1" applyBorder="1" applyAlignment="1">
      <alignment vertical="center" wrapText="1"/>
    </xf>
    <xf numFmtId="178" fontId="229" fillId="48" borderId="93" xfId="596" applyNumberFormat="1" applyFont="1" applyFill="1" applyBorder="1" applyAlignment="1">
      <alignment vertical="center" wrapText="1"/>
    </xf>
    <xf numFmtId="0" fontId="229" fillId="18" borderId="0" xfId="593" applyFont="1" applyFill="1"/>
    <xf numFmtId="0" fontId="230" fillId="18" borderId="0" xfId="593" applyFont="1" applyFill="1" applyAlignment="1">
      <alignment vertical="center" wrapText="1"/>
    </xf>
    <xf numFmtId="0" fontId="231" fillId="0" borderId="0" xfId="593" applyFont="1"/>
    <xf numFmtId="0" fontId="232" fillId="0" borderId="0" xfId="593" applyFont="1" applyAlignment="1">
      <alignment vertical="center" wrapText="1"/>
    </xf>
    <xf numFmtId="171" fontId="229" fillId="48" borderId="93" xfId="594" applyNumberFormat="1" applyFont="1" applyFill="1" applyBorder="1" applyAlignment="1" applyProtection="1"/>
    <xf numFmtId="0" fontId="229" fillId="18" borderId="93" xfId="593" applyFont="1" applyFill="1" applyBorder="1" applyAlignment="1">
      <alignment vertical="center" wrapText="1"/>
    </xf>
    <xf numFmtId="0" fontId="231" fillId="18" borderId="93" xfId="594" applyFont="1" applyFill="1" applyBorder="1" applyAlignment="1" applyProtection="1">
      <alignment vertical="center"/>
    </xf>
    <xf numFmtId="0" fontId="229" fillId="18" borderId="93" xfId="594" applyFont="1" applyFill="1" applyBorder="1" applyAlignment="1" applyProtection="1">
      <alignment horizontal="center" vertical="center"/>
    </xf>
    <xf numFmtId="0" fontId="229" fillId="18" borderId="93" xfId="594" applyFont="1" applyFill="1" applyBorder="1" applyAlignment="1" applyProtection="1">
      <alignment vertical="center"/>
    </xf>
    <xf numFmtId="0" fontId="231" fillId="0" borderId="93" xfId="593" applyFont="1" applyBorder="1" applyAlignment="1">
      <alignment vertical="center" wrapText="1"/>
    </xf>
    <xf numFmtId="0" fontId="231" fillId="0" borderId="93" xfId="593" applyFont="1" applyBorder="1" applyAlignment="1">
      <alignment vertical="center"/>
    </xf>
    <xf numFmtId="0" fontId="231" fillId="0" borderId="93" xfId="593" applyFont="1" applyBorder="1" applyAlignment="1">
      <alignment horizontal="center" vertical="center" wrapText="1"/>
    </xf>
    <xf numFmtId="178" fontId="229" fillId="3" borderId="93" xfId="596" applyNumberFormat="1" applyFont="1" applyFill="1" applyBorder="1" applyAlignment="1">
      <alignment vertical="center" wrapText="1"/>
    </xf>
    <xf numFmtId="178" fontId="229" fillId="18" borderId="93" xfId="596" applyNumberFormat="1" applyFont="1" applyFill="1" applyBorder="1" applyAlignment="1">
      <alignment vertical="center" wrapText="1"/>
    </xf>
    <xf numFmtId="171" fontId="229" fillId="18" borderId="93" xfId="595" applyNumberFormat="1" applyFont="1" applyFill="1" applyBorder="1" applyAlignment="1">
      <alignment vertical="center" wrapText="1"/>
    </xf>
    <xf numFmtId="171" fontId="231" fillId="0" borderId="93" xfId="593" applyNumberFormat="1" applyFont="1" applyBorder="1" applyAlignment="1">
      <alignment vertical="center" wrapText="1"/>
    </xf>
    <xf numFmtId="245" fontId="231" fillId="0" borderId="93" xfId="593" applyNumberFormat="1" applyFont="1" applyBorder="1" applyAlignment="1">
      <alignment vertical="center" wrapText="1"/>
    </xf>
    <xf numFmtId="246" fontId="231" fillId="0" borderId="93" xfId="593" applyNumberFormat="1" applyFont="1" applyBorder="1" applyAlignment="1">
      <alignment vertical="center" wrapText="1"/>
    </xf>
    <xf numFmtId="0" fontId="227" fillId="18" borderId="154" xfId="593" applyFont="1" applyFill="1" applyBorder="1" applyAlignment="1">
      <alignment vertical="center"/>
    </xf>
    <xf numFmtId="0" fontId="14" fillId="18" borderId="0" xfId="593" applyFont="1" applyFill="1"/>
    <xf numFmtId="0" fontId="14" fillId="18" borderId="0" xfId="593" applyFont="1" applyFill="1" applyAlignment="1">
      <alignment horizontal="center"/>
    </xf>
    <xf numFmtId="171" fontId="14" fillId="18" borderId="0" xfId="593" applyNumberFormat="1" applyFont="1" applyFill="1"/>
    <xf numFmtId="171" fontId="231" fillId="18" borderId="93" xfId="596" applyNumberFormat="1" applyFont="1" applyFill="1" applyBorder="1" applyAlignment="1">
      <alignment vertical="center" wrapText="1"/>
    </xf>
    <xf numFmtId="9" fontId="229" fillId="48" borderId="93" xfId="594" applyNumberFormat="1" applyFont="1" applyFill="1" applyBorder="1" applyAlignment="1" applyProtection="1">
      <alignment horizontal="center"/>
    </xf>
    <xf numFmtId="9" fontId="229" fillId="3" borderId="93" xfId="594" applyNumberFormat="1" applyFont="1" applyFill="1" applyBorder="1" applyAlignment="1" applyProtection="1">
      <alignment horizontal="center"/>
    </xf>
    <xf numFmtId="0" fontId="230" fillId="3" borderId="0" xfId="593" applyFont="1" applyFill="1" applyAlignment="1">
      <alignment vertical="center" wrapText="1"/>
    </xf>
    <xf numFmtId="0" fontId="232" fillId="3" borderId="0" xfId="593" applyFont="1" applyFill="1" applyAlignment="1">
      <alignment vertical="center" wrapText="1"/>
    </xf>
    <xf numFmtId="9" fontId="160" fillId="46" borderId="0" xfId="394" applyFont="1" applyFill="1" applyAlignment="1">
      <alignment horizontal="right" wrapText="1" readingOrder="1"/>
    </xf>
    <xf numFmtId="3" fontId="160" fillId="46" borderId="72" xfId="0" applyNumberFormat="1" applyFont="1" applyFill="1" applyBorder="1" applyAlignment="1">
      <alignment horizontal="right" wrapText="1" readingOrder="1"/>
    </xf>
    <xf numFmtId="246" fontId="160" fillId="46" borderId="0" xfId="0" applyNumberFormat="1" applyFont="1" applyFill="1" applyAlignment="1">
      <alignment horizontal="right" wrapText="1" readingOrder="1"/>
    </xf>
    <xf numFmtId="37" fontId="160" fillId="0" borderId="72" xfId="0" applyNumberFormat="1" applyFont="1" applyBorder="1" applyAlignment="1">
      <alignment horizontal="right" wrapText="1" readingOrder="1"/>
    </xf>
    <xf numFmtId="0" fontId="160" fillId="0" borderId="0" xfId="0" applyFont="1" applyAlignment="1">
      <alignment horizontal="right" wrapText="1" readingOrder="1"/>
    </xf>
    <xf numFmtId="0" fontId="162" fillId="0" borderId="0" xfId="0" applyFont="1" applyAlignment="1">
      <alignment horizontal="left" wrapText="1" readingOrder="1"/>
    </xf>
    <xf numFmtId="172" fontId="162" fillId="0" borderId="0" xfId="0" applyNumberFormat="1" applyFont="1" applyAlignment="1">
      <alignment horizontal="right" wrapText="1" readingOrder="1"/>
    </xf>
    <xf numFmtId="171" fontId="229" fillId="0" borderId="93" xfId="595" applyNumberFormat="1" applyFont="1" applyFill="1" applyBorder="1" applyAlignment="1">
      <alignment vertical="center" wrapText="1"/>
    </xf>
    <xf numFmtId="0" fontId="246" fillId="47" borderId="0" xfId="0" applyFont="1" applyFill="1"/>
    <xf numFmtId="0" fontId="246" fillId="47" borderId="0" xfId="0" applyFont="1" applyFill="1" applyAlignment="1">
      <alignment horizontal="right"/>
    </xf>
    <xf numFmtId="0" fontId="155" fillId="46" borderId="0" xfId="0" applyFont="1" applyFill="1"/>
    <xf numFmtId="3" fontId="185" fillId="46" borderId="0" xfId="0" applyNumberFormat="1" applyFont="1" applyFill="1"/>
    <xf numFmtId="9" fontId="185" fillId="46" borderId="0" xfId="0" applyNumberFormat="1" applyFont="1" applyFill="1"/>
    <xf numFmtId="37" fontId="185" fillId="46" borderId="0" xfId="0" applyNumberFormat="1" applyFont="1" applyFill="1"/>
    <xf numFmtId="37" fontId="155" fillId="46" borderId="0" xfId="0" applyNumberFormat="1" applyFont="1" applyFill="1"/>
    <xf numFmtId="0" fontId="184" fillId="46" borderId="0" xfId="0" applyFont="1" applyFill="1"/>
    <xf numFmtId="3" fontId="155" fillId="46" borderId="0" xfId="0" applyNumberFormat="1" applyFont="1" applyFill="1"/>
    <xf numFmtId="3" fontId="197" fillId="3" borderId="0" xfId="0" applyNumberFormat="1" applyFont="1" applyFill="1"/>
    <xf numFmtId="37" fontId="197" fillId="3" borderId="0" xfId="0" applyNumberFormat="1" applyFont="1" applyFill="1"/>
    <xf numFmtId="171" fontId="229" fillId="48" borderId="93" xfId="596" quotePrefix="1" applyNumberFormat="1" applyFont="1" applyFill="1" applyBorder="1" applyAlignment="1">
      <alignment horizontal="right" vertical="center" wrapText="1"/>
    </xf>
    <xf numFmtId="0" fontId="122" fillId="0" borderId="0" xfId="0" applyFont="1"/>
    <xf numFmtId="49" fontId="127" fillId="54" borderId="0" xfId="0" applyNumberFormat="1" applyFont="1" applyFill="1"/>
    <xf numFmtId="37" fontId="126" fillId="54" borderId="0" xfId="0" applyNumberFormat="1" applyFont="1" applyFill="1"/>
    <xf numFmtId="37" fontId="192" fillId="3" borderId="153" xfId="0" applyNumberFormat="1" applyFont="1" applyFill="1" applyBorder="1"/>
    <xf numFmtId="37" fontId="185" fillId="3" borderId="153" xfId="0" applyNumberFormat="1" applyFont="1" applyFill="1" applyBorder="1"/>
    <xf numFmtId="37" fontId="247" fillId="3" borderId="0" xfId="0" applyNumberFormat="1" applyFont="1" applyFill="1"/>
    <xf numFmtId="37" fontId="247" fillId="3" borderId="50" xfId="0" applyNumberFormat="1" applyFont="1" applyFill="1" applyBorder="1"/>
    <xf numFmtId="37" fontId="247" fillId="3" borderId="2" xfId="0" applyNumberFormat="1" applyFont="1" applyFill="1" applyBorder="1"/>
    <xf numFmtId="37" fontId="248" fillId="3" borderId="0" xfId="0" applyNumberFormat="1" applyFont="1" applyFill="1"/>
    <xf numFmtId="246" fontId="247" fillId="3" borderId="0" xfId="0" quotePrefix="1" applyNumberFormat="1" applyFont="1" applyFill="1"/>
    <xf numFmtId="0" fontId="247" fillId="3" borderId="0" xfId="0" applyFont="1" applyFill="1"/>
    <xf numFmtId="0" fontId="155" fillId="55" borderId="0" xfId="0" applyFont="1" applyFill="1"/>
    <xf numFmtId="9" fontId="155" fillId="3" borderId="0" xfId="394" applyFont="1" applyFill="1"/>
    <xf numFmtId="172" fontId="155" fillId="3" borderId="0" xfId="394" applyNumberFormat="1" applyFont="1" applyFill="1"/>
    <xf numFmtId="171" fontId="155" fillId="3" borderId="0" xfId="432" applyNumberFormat="1" applyFont="1" applyFill="1"/>
    <xf numFmtId="171" fontId="186" fillId="3" borderId="0" xfId="432" applyNumberFormat="1" applyFont="1" applyFill="1"/>
    <xf numFmtId="37" fontId="0" fillId="0" borderId="0" xfId="0" applyNumberFormat="1"/>
    <xf numFmtId="37" fontId="129" fillId="0" borderId="0" xfId="0" applyNumberFormat="1" applyFont="1"/>
    <xf numFmtId="37" fontId="0" fillId="0" borderId="0" xfId="432" applyNumberFormat="1" applyFont="1"/>
    <xf numFmtId="37" fontId="129" fillId="0" borderId="0" xfId="432" applyNumberFormat="1" applyFont="1"/>
    <xf numFmtId="37" fontId="13" fillId="0" borderId="0" xfId="432" applyNumberFormat="1" applyFont="1"/>
    <xf numFmtId="3" fontId="129" fillId="0" borderId="0" xfId="0" applyNumberFormat="1" applyFont="1"/>
    <xf numFmtId="0" fontId="111" fillId="0" borderId="0" xfId="611" applyFont="1"/>
    <xf numFmtId="3" fontId="111" fillId="0" borderId="0" xfId="611" applyNumberFormat="1" applyFont="1"/>
    <xf numFmtId="3" fontId="214" fillId="0" borderId="0" xfId="611" applyNumberFormat="1" applyFont="1"/>
    <xf numFmtId="3" fontId="235" fillId="0" borderId="0" xfId="611" applyNumberFormat="1" applyFont="1"/>
    <xf numFmtId="0" fontId="94" fillId="0" borderId="0" xfId="611" applyFont="1"/>
    <xf numFmtId="3" fontId="236" fillId="0" borderId="0" xfId="611" applyNumberFormat="1" applyFont="1"/>
    <xf numFmtId="3" fontId="94" fillId="0" borderId="0" xfId="611" applyNumberFormat="1" applyFont="1"/>
    <xf numFmtId="3" fontId="122" fillId="0" borderId="0" xfId="611" applyNumberFormat="1" applyFont="1"/>
    <xf numFmtId="49" fontId="214" fillId="49" borderId="0" xfId="611" applyNumberFormat="1" applyFont="1" applyFill="1"/>
    <xf numFmtId="49" fontId="214" fillId="54" borderId="0" xfId="611" applyNumberFormat="1" applyFont="1" applyFill="1"/>
    <xf numFmtId="0" fontId="94" fillId="54" borderId="0" xfId="611" applyFont="1" applyFill="1"/>
    <xf numFmtId="3" fontId="94" fillId="54" borderId="0" xfId="611" applyNumberFormat="1" applyFont="1" applyFill="1"/>
    <xf numFmtId="3" fontId="122" fillId="54" borderId="0" xfId="611" applyNumberFormat="1" applyFont="1" applyFill="1"/>
    <xf numFmtId="172" fontId="94" fillId="54" borderId="0" xfId="611" applyNumberFormat="1" applyFont="1" applyFill="1"/>
    <xf numFmtId="172" fontId="122" fillId="54" borderId="0" xfId="611" applyNumberFormat="1" applyFont="1" applyFill="1"/>
    <xf numFmtId="49" fontId="127" fillId="54" borderId="0" xfId="611" applyNumberFormat="1" applyFont="1" applyFill="1"/>
    <xf numFmtId="0" fontId="126" fillId="54" borderId="0" xfId="611" applyFont="1" applyFill="1"/>
    <xf numFmtId="3" fontId="126" fillId="54" borderId="0" xfId="611" applyNumberFormat="1" applyFont="1" applyFill="1"/>
    <xf numFmtId="0" fontId="184" fillId="55" borderId="0" xfId="0" applyFont="1" applyFill="1"/>
    <xf numFmtId="37" fontId="186" fillId="28" borderId="0" xfId="0" applyNumberFormat="1" applyFont="1" applyFill="1"/>
    <xf numFmtId="3" fontId="247" fillId="3" borderId="0" xfId="0" applyNumberFormat="1" applyFont="1" applyFill="1"/>
    <xf numFmtId="0" fontId="249" fillId="56" borderId="6" xfId="0" applyFont="1" applyFill="1" applyBorder="1" applyAlignment="1">
      <alignment horizontal="right" vertical="center" wrapText="1"/>
    </xf>
    <xf numFmtId="0" fontId="249" fillId="56" borderId="12" xfId="0" applyFont="1" applyFill="1" applyBorder="1" applyAlignment="1">
      <alignment horizontal="right" vertical="center" wrapText="1"/>
    </xf>
    <xf numFmtId="0" fontId="249" fillId="34" borderId="22" xfId="0" applyFont="1" applyFill="1" applyBorder="1" applyAlignment="1">
      <alignment vertical="center"/>
    </xf>
    <xf numFmtId="3" fontId="249" fillId="34" borderId="0" xfId="0" applyNumberFormat="1" applyFont="1" applyFill="1" applyAlignment="1">
      <alignment horizontal="right" vertical="center"/>
    </xf>
    <xf numFmtId="0" fontId="249" fillId="34" borderId="0" xfId="0" applyFont="1" applyFill="1" applyAlignment="1">
      <alignment horizontal="right" vertical="center"/>
    </xf>
    <xf numFmtId="9" fontId="249" fillId="34" borderId="0" xfId="0" applyNumberFormat="1" applyFont="1" applyFill="1" applyAlignment="1">
      <alignment horizontal="right" vertical="center" wrapText="1"/>
    </xf>
    <xf numFmtId="3" fontId="249" fillId="34" borderId="0" xfId="0" applyNumberFormat="1" applyFont="1" applyFill="1" applyAlignment="1">
      <alignment horizontal="right" vertical="center" wrapText="1"/>
    </xf>
    <xf numFmtId="9" fontId="249" fillId="34" borderId="0" xfId="0" applyNumberFormat="1" applyFont="1" applyFill="1" applyAlignment="1">
      <alignment horizontal="right" vertical="center"/>
    </xf>
    <xf numFmtId="9" fontId="249" fillId="34" borderId="107" xfId="0" applyNumberFormat="1" applyFont="1" applyFill="1" applyBorder="1" applyAlignment="1">
      <alignment horizontal="right" vertical="center" wrapText="1"/>
    </xf>
    <xf numFmtId="0" fontId="250" fillId="34" borderId="22" xfId="0" applyFont="1" applyFill="1" applyBorder="1" applyAlignment="1">
      <alignment vertical="center"/>
    </xf>
    <xf numFmtId="0" fontId="250" fillId="34" borderId="0" xfId="0" applyFont="1" applyFill="1" applyAlignment="1">
      <alignment horizontal="right" vertical="center"/>
    </xf>
    <xf numFmtId="9" fontId="250" fillId="34" borderId="0" xfId="0" applyNumberFormat="1" applyFont="1" applyFill="1" applyAlignment="1">
      <alignment horizontal="right" vertical="center" wrapText="1"/>
    </xf>
    <xf numFmtId="3" fontId="250" fillId="34" borderId="0" xfId="0" applyNumberFormat="1" applyFont="1" applyFill="1" applyAlignment="1">
      <alignment horizontal="right" vertical="center" wrapText="1"/>
    </xf>
    <xf numFmtId="0" fontId="250" fillId="34" borderId="0" xfId="0" applyFont="1" applyFill="1" applyAlignment="1">
      <alignment horizontal="right" vertical="center" wrapText="1"/>
    </xf>
    <xf numFmtId="9" fontId="250" fillId="34" borderId="0" xfId="0" applyNumberFormat="1" applyFont="1" applyFill="1" applyAlignment="1">
      <alignment horizontal="right" vertical="center"/>
    </xf>
    <xf numFmtId="9" fontId="250" fillId="34" borderId="107" xfId="0" applyNumberFormat="1" applyFont="1" applyFill="1" applyBorder="1" applyAlignment="1">
      <alignment horizontal="right" vertical="center" wrapText="1"/>
    </xf>
    <xf numFmtId="0" fontId="249" fillId="34" borderId="0" xfId="0" applyFont="1" applyFill="1" applyAlignment="1">
      <alignment horizontal="right" vertical="center" wrapText="1"/>
    </xf>
    <xf numFmtId="0" fontId="250" fillId="34" borderId="107" xfId="0" applyFont="1" applyFill="1" applyBorder="1" applyAlignment="1">
      <alignment horizontal="right" vertical="center" wrapText="1"/>
    </xf>
    <xf numFmtId="10" fontId="250" fillId="34" borderId="0" xfId="0" applyNumberFormat="1" applyFont="1" applyFill="1" applyAlignment="1">
      <alignment horizontal="right" vertical="center"/>
    </xf>
    <xf numFmtId="10" fontId="250" fillId="34" borderId="0" xfId="0" applyNumberFormat="1" applyFont="1" applyFill="1" applyAlignment="1">
      <alignment horizontal="right" vertical="center" wrapText="1"/>
    </xf>
    <xf numFmtId="0" fontId="250" fillId="34" borderId="24" xfId="0" applyFont="1" applyFill="1" applyBorder="1" applyAlignment="1">
      <alignment vertical="center"/>
    </xf>
    <xf numFmtId="10" fontId="250" fillId="34" borderId="12" xfId="0" applyNumberFormat="1" applyFont="1" applyFill="1" applyBorder="1" applyAlignment="1">
      <alignment horizontal="right" vertical="center"/>
    </xf>
    <xf numFmtId="0" fontId="250" fillId="34" borderId="12" xfId="0" applyFont="1" applyFill="1" applyBorder="1" applyAlignment="1">
      <alignment horizontal="right" vertical="center" wrapText="1"/>
    </xf>
    <xf numFmtId="10" fontId="250" fillId="34" borderId="12" xfId="0" applyNumberFormat="1" applyFont="1" applyFill="1" applyBorder="1" applyAlignment="1">
      <alignment horizontal="right" vertical="center" wrapText="1"/>
    </xf>
    <xf numFmtId="0" fontId="250" fillId="34" borderId="12" xfId="0" applyFont="1" applyFill="1" applyBorder="1" applyAlignment="1">
      <alignment horizontal="right" vertical="center"/>
    </xf>
    <xf numFmtId="0" fontId="250" fillId="34" borderId="25" xfId="0" applyFont="1" applyFill="1" applyBorder="1" applyAlignment="1">
      <alignment horizontal="right" vertical="center" wrapText="1"/>
    </xf>
    <xf numFmtId="37" fontId="250" fillId="34" borderId="0" xfId="0" applyNumberFormat="1" applyFont="1" applyFill="1" applyAlignment="1">
      <alignment horizontal="right" vertical="center" wrapText="1"/>
    </xf>
    <xf numFmtId="0" fontId="184" fillId="3" borderId="153" xfId="0" applyFont="1" applyFill="1" applyBorder="1"/>
    <xf numFmtId="16" fontId="155" fillId="3" borderId="0" xfId="0" applyNumberFormat="1" applyFont="1" applyFill="1"/>
    <xf numFmtId="37" fontId="251" fillId="3" borderId="0" xfId="0" applyNumberFormat="1" applyFont="1" applyFill="1"/>
    <xf numFmtId="171" fontId="247" fillId="3" borderId="0" xfId="432" applyNumberFormat="1" applyFont="1" applyFill="1"/>
    <xf numFmtId="37" fontId="252" fillId="3" borderId="0" xfId="0" applyNumberFormat="1" applyFont="1" applyFill="1"/>
    <xf numFmtId="173" fontId="247" fillId="3" borderId="0" xfId="0" applyNumberFormat="1" applyFont="1" applyFill="1"/>
    <xf numFmtId="3" fontId="186" fillId="3" borderId="50" xfId="0" applyNumberFormat="1" applyFont="1" applyFill="1" applyBorder="1"/>
    <xf numFmtId="171" fontId="184" fillId="3" borderId="0" xfId="432" applyNumberFormat="1" applyFont="1" applyFill="1"/>
    <xf numFmtId="0" fontId="253" fillId="3" borderId="0" xfId="0" applyFont="1" applyFill="1"/>
    <xf numFmtId="172" fontId="184" fillId="3" borderId="0" xfId="394" applyNumberFormat="1" applyFont="1" applyFill="1"/>
    <xf numFmtId="171" fontId="184" fillId="3" borderId="0" xfId="0" applyNumberFormat="1" applyFont="1" applyFill="1"/>
    <xf numFmtId="0" fontId="126" fillId="0" borderId="0" xfId="0" applyFont="1"/>
    <xf numFmtId="3" fontId="126" fillId="0" borderId="0" xfId="0" applyNumberFormat="1" applyFont="1"/>
    <xf numFmtId="173" fontId="155" fillId="21" borderId="0" xfId="0" applyNumberFormat="1" applyFont="1" applyFill="1"/>
    <xf numFmtId="171" fontId="155" fillId="21" borderId="0" xfId="432" applyNumberFormat="1" applyFont="1" applyFill="1"/>
    <xf numFmtId="37" fontId="190" fillId="3" borderId="0" xfId="0" applyNumberFormat="1" applyFont="1" applyFill="1"/>
    <xf numFmtId="43" fontId="155" fillId="3" borderId="0" xfId="432" applyFont="1" applyFill="1"/>
    <xf numFmtId="0" fontId="165" fillId="39" borderId="0" xfId="524" applyFont="1" applyFill="1" applyAlignment="1">
      <alignment vertical="center" wrapText="1"/>
    </xf>
    <xf numFmtId="0" fontId="165" fillId="0" borderId="0" xfId="524" applyFont="1"/>
    <xf numFmtId="0" fontId="165" fillId="41" borderId="0" xfId="524" applyFont="1" applyFill="1" applyAlignment="1">
      <alignment vertical="center" wrapText="1"/>
    </xf>
    <xf numFmtId="0" fontId="111" fillId="0" borderId="19" xfId="3" applyFont="1" applyBorder="1" applyAlignment="1">
      <alignment horizontal="center"/>
    </xf>
    <xf numFmtId="0" fontId="111" fillId="0" borderId="6" xfId="3" applyFont="1" applyBorder="1" applyAlignment="1">
      <alignment horizontal="center"/>
    </xf>
    <xf numFmtId="0" fontId="111" fillId="0" borderId="20" xfId="3" applyFont="1" applyBorder="1" applyAlignment="1">
      <alignment horizontal="center"/>
    </xf>
    <xf numFmtId="1" fontId="110" fillId="0" borderId="0" xfId="1" applyNumberFormat="1" applyFont="1" applyAlignment="1">
      <alignment horizontal="center"/>
    </xf>
    <xf numFmtId="0" fontId="141" fillId="0" borderId="29" xfId="439" applyFont="1" applyBorder="1" applyAlignment="1">
      <alignment horizontal="center"/>
    </xf>
    <xf numFmtId="0" fontId="141" fillId="0" borderId="5" xfId="439" applyFont="1" applyBorder="1" applyAlignment="1">
      <alignment horizontal="center"/>
    </xf>
    <xf numFmtId="0" fontId="141" fillId="0" borderId="30" xfId="439" applyFont="1" applyBorder="1" applyAlignment="1">
      <alignment horizontal="center"/>
    </xf>
    <xf numFmtId="0" fontId="249" fillId="56" borderId="19" xfId="0" applyFont="1" applyFill="1" applyBorder="1" applyAlignment="1">
      <alignment vertical="center" wrapText="1"/>
    </xf>
    <xf numFmtId="0" fontId="249" fillId="56" borderId="24" xfId="0" applyFont="1" applyFill="1" applyBorder="1" applyAlignment="1">
      <alignment vertical="center" wrapText="1"/>
    </xf>
    <xf numFmtId="0" fontId="249" fillId="56" borderId="6" xfId="0" applyFont="1" applyFill="1" applyBorder="1" applyAlignment="1">
      <alignment horizontal="right" vertical="center" wrapText="1"/>
    </xf>
    <xf numFmtId="0" fontId="249" fillId="56" borderId="12" xfId="0" applyFont="1" applyFill="1" applyBorder="1" applyAlignment="1">
      <alignment horizontal="right" vertical="center" wrapText="1"/>
    </xf>
    <xf numFmtId="0" fontId="249" fillId="56" borderId="20" xfId="0" applyFont="1" applyFill="1" applyBorder="1" applyAlignment="1">
      <alignment horizontal="right" vertical="center" wrapText="1"/>
    </xf>
    <xf numFmtId="0" fontId="249" fillId="56" borderId="25" xfId="0" applyFont="1" applyFill="1" applyBorder="1" applyAlignment="1">
      <alignment horizontal="right" vertical="center" wrapText="1"/>
    </xf>
    <xf numFmtId="0" fontId="232" fillId="0" borderId="0" xfId="598" applyFont="1" applyAlignment="1">
      <alignment horizontal="center"/>
    </xf>
    <xf numFmtId="0" fontId="14" fillId="0" borderId="0" xfId="601" applyFont="1" applyAlignment="1">
      <alignment horizontal="left"/>
    </xf>
    <xf numFmtId="0" fontId="14" fillId="0" borderId="0" xfId="601" applyFont="1" applyAlignment="1">
      <alignment horizontal="center"/>
    </xf>
    <xf numFmtId="0" fontId="144" fillId="3" borderId="143" xfId="605" applyFont="1" applyFill="1" applyBorder="1" applyAlignment="1">
      <alignment horizontal="left" vertical="center" wrapText="1"/>
    </xf>
    <xf numFmtId="0" fontId="144" fillId="3" borderId="138" xfId="605" applyFont="1" applyFill="1" applyBorder="1" applyAlignment="1">
      <alignment horizontal="left" vertical="center" wrapText="1"/>
    </xf>
    <xf numFmtId="0" fontId="144" fillId="3" borderId="149" xfId="605" applyFont="1" applyFill="1" applyBorder="1" applyAlignment="1">
      <alignment horizontal="left" vertical="center" wrapText="1"/>
    </xf>
    <xf numFmtId="0" fontId="232" fillId="0" borderId="0" xfId="605" applyFont="1" applyAlignment="1">
      <alignment horizontal="center"/>
    </xf>
    <xf numFmtId="0" fontId="144" fillId="3" borderId="123" xfId="605" applyFont="1" applyFill="1" applyBorder="1" applyAlignment="1">
      <alignment horizontal="left" vertical="center" wrapText="1"/>
    </xf>
    <xf numFmtId="0" fontId="144" fillId="3" borderId="35" xfId="605" applyFont="1" applyFill="1" applyBorder="1" applyAlignment="1">
      <alignment horizontal="left" vertical="center" wrapText="1"/>
    </xf>
    <xf numFmtId="0" fontId="144" fillId="3" borderId="144" xfId="605" applyFont="1" applyFill="1" applyBorder="1" applyAlignment="1">
      <alignment horizontal="left" vertical="center" wrapText="1"/>
    </xf>
    <xf numFmtId="0" fontId="144" fillId="3" borderId="138" xfId="605" applyFont="1" applyFill="1" applyBorder="1" applyAlignment="1">
      <alignment horizontal="left" vertical="center"/>
    </xf>
    <xf numFmtId="0" fontId="160" fillId="46" borderId="67" xfId="0" applyFont="1" applyFill="1" applyBorder="1" applyAlignment="1">
      <alignment horizontal="left" wrapText="1" readingOrder="1"/>
    </xf>
    <xf numFmtId="0" fontId="9" fillId="0" borderId="0" xfId="439" applyAlignment="1">
      <alignment horizontal="left" wrapText="1"/>
    </xf>
    <xf numFmtId="0" fontId="9" fillId="0" borderId="23" xfId="439" applyBorder="1" applyAlignment="1">
      <alignment horizontal="left" wrapText="1"/>
    </xf>
    <xf numFmtId="0" fontId="149" fillId="31" borderId="28" xfId="0" applyFont="1" applyFill="1" applyBorder="1" applyAlignment="1">
      <alignment horizontal="left" vertical="top" wrapText="1"/>
    </xf>
    <xf numFmtId="0" fontId="149" fillId="31" borderId="36" xfId="0" applyFont="1" applyFill="1" applyBorder="1" applyAlignment="1">
      <alignment horizontal="left" vertical="top" wrapText="1"/>
    </xf>
    <xf numFmtId="0" fontId="149" fillId="31" borderId="28" xfId="0" applyFont="1" applyFill="1" applyBorder="1" applyAlignment="1">
      <alignment horizontal="center" vertical="top" wrapText="1"/>
    </xf>
    <xf numFmtId="0" fontId="149" fillId="31" borderId="36" xfId="0" applyFont="1" applyFill="1" applyBorder="1" applyAlignment="1">
      <alignment horizontal="center" vertical="top" wrapText="1"/>
    </xf>
    <xf numFmtId="0" fontId="144" fillId="0" borderId="29" xfId="0" applyFont="1" applyBorder="1" applyAlignment="1">
      <alignment horizontal="center" vertical="top" wrapText="1"/>
    </xf>
    <xf numFmtId="0" fontId="144" fillId="0" borderId="30" xfId="0" applyFont="1" applyBorder="1" applyAlignment="1">
      <alignment horizontal="center" vertical="top" wrapText="1"/>
    </xf>
    <xf numFmtId="0" fontId="129" fillId="0" borderId="0" xfId="0" applyFont="1" applyAlignment="1">
      <alignment horizontal="center"/>
    </xf>
  </cellXfs>
  <cellStyles count="612">
    <cellStyle name="_x0001_" xfId="9" xr:uid="{00000000-0005-0000-0000-000000000000}"/>
    <cellStyle name="#.###" xfId="10" xr:uid="{00000000-0005-0000-0000-000001000000}"/>
    <cellStyle name="#TOTAL" xfId="449" xr:uid="{00000000-0005-0000-0000-000002000000}"/>
    <cellStyle name="$TOTAL" xfId="450" xr:uid="{00000000-0005-0000-0000-000003000000}"/>
    <cellStyle name="." xfId="11" xr:uid="{00000000-0005-0000-0000-000004000000}"/>
    <cellStyle name=";;;" xfId="396" xr:uid="{00000000-0005-0000-0000-000005000000}"/>
    <cellStyle name="??" xfId="12" xr:uid="{00000000-0005-0000-0000-000006000000}"/>
    <cellStyle name="?? [0.00]_List-dwg" xfId="13" xr:uid="{00000000-0005-0000-0000-000007000000}"/>
    <cellStyle name="?? [0]" xfId="14" xr:uid="{00000000-0005-0000-0000-000008000000}"/>
    <cellStyle name="?_x001d_??%U©÷u&amp;H©÷9_x0008_? s_x000a__x0007__x0001__x0001_" xfId="15" xr:uid="{00000000-0005-0000-0000-000009000000}"/>
    <cellStyle name="???? [0.00]_List-dwg" xfId="16" xr:uid="{00000000-0005-0000-0000-00000A000000}"/>
    <cellStyle name="????_List-dwg" xfId="17" xr:uid="{00000000-0005-0000-0000-00000B000000}"/>
    <cellStyle name="???[0]_?? DI" xfId="18" xr:uid="{00000000-0005-0000-0000-00000C000000}"/>
    <cellStyle name="???_?? DI" xfId="19" xr:uid="{00000000-0005-0000-0000-00000D000000}"/>
    <cellStyle name="??[0]_MATL COST ANALYSIS" xfId="20" xr:uid="{00000000-0005-0000-0000-00000E000000}"/>
    <cellStyle name="??_(????)??????" xfId="21" xr:uid="{00000000-0005-0000-0000-00000F000000}"/>
    <cellStyle name="??A? [0]_laroux_1_¢¬???¢â? " xfId="22" xr:uid="{00000000-0005-0000-0000-000010000000}"/>
    <cellStyle name="??A?_laroux_1_¢¬???¢â? " xfId="23" xr:uid="{00000000-0005-0000-0000-000011000000}"/>
    <cellStyle name="?¡±¢¥?_?¨ù??¢´¢¥_¢¬???¢â? " xfId="24" xr:uid="{00000000-0005-0000-0000-000012000000}"/>
    <cellStyle name="?ðÇ%U?&amp;H?_x0008_?s_x000a__x0007__x0001__x0001_" xfId="25" xr:uid="{00000000-0005-0000-0000-000013000000}"/>
    <cellStyle name="]_x000a__x000a_Zoomed=1_x000a__x000a_Row=0_x000a__x000a_Column=0_x000a__x000a_Height=0_x000a__x000a_Width=0_x000a__x000a_FontName=FoxFont_x000a__x000a_FontStyle=0_x000a__x000a_FontSize=9_x000a__x000a_PrtFontName=FoxPrin" xfId="530" xr:uid="{00000000-0005-0000-0000-000014000000}"/>
    <cellStyle name="]_x000d__x000a_Zoomed=1_x000d__x000a_Row=0_x000d__x000a_Column=0_x000d__x000a_Height=0_x000d__x000a_Width=0_x000d__x000a_FontName=FoxFont_x000d__x000a_FontStyle=0_x000d__x000a_FontSize=9_x000d__x000a_PrtFontName=FoxPrin" xfId="26" xr:uid="{00000000-0005-0000-0000-000015000000}"/>
    <cellStyle name="]_x000d__x000a_Zoomed=1_x000d__x000a_Row=0_x000d__x000a_Column=0_x000d__x000a_Height=0_x000d__x000a_Width=0_x000d__x000a_FontName=FoxFont_x000d__x000a_FontStyle=0_x000d__x000a_FontSize=9_x000d__x000a_PrtFontName=FoxPrin 2" xfId="451" xr:uid="{00000000-0005-0000-0000-000016000000}"/>
    <cellStyle name="_4 Bao cao tai chinh-KDN" xfId="27" xr:uid="{00000000-0005-0000-0000-000017000000}"/>
    <cellStyle name="_Book1" xfId="28" xr:uid="{00000000-0005-0000-0000-000018000000}"/>
    <cellStyle name="_CT338" xfId="29" xr:uid="{00000000-0005-0000-0000-000019000000}"/>
    <cellStyle name="_KT (2)" xfId="30" xr:uid="{00000000-0005-0000-0000-00001A000000}"/>
    <cellStyle name="_KT (2)_1" xfId="31" xr:uid="{00000000-0005-0000-0000-00001B000000}"/>
    <cellStyle name="_KT (2)_2" xfId="32" xr:uid="{00000000-0005-0000-0000-00001C000000}"/>
    <cellStyle name="_KT (2)_2_TG-TH" xfId="33" xr:uid="{00000000-0005-0000-0000-00001D000000}"/>
    <cellStyle name="_KT (2)_2_TG-TH_4 Bao cao tai chinh-KDN" xfId="34" xr:uid="{00000000-0005-0000-0000-00001E000000}"/>
    <cellStyle name="_KT (2)_2_TG-TH_Book1" xfId="35" xr:uid="{00000000-0005-0000-0000-00001F000000}"/>
    <cellStyle name="_KT (2)_2_TG-TH_Book1_1" xfId="36" xr:uid="{00000000-0005-0000-0000-000020000000}"/>
    <cellStyle name="_KT (2)_2_TG-TH_Book1_1_4 Bao cao tai chinh-KDN" xfId="37" xr:uid="{00000000-0005-0000-0000-000021000000}"/>
    <cellStyle name="_KT (2)_2_TG-TH_Book1_1_Book1" xfId="38" xr:uid="{00000000-0005-0000-0000-000022000000}"/>
    <cellStyle name="_KT (2)_2_TG-TH_Book1_2" xfId="39" xr:uid="{00000000-0005-0000-0000-000023000000}"/>
    <cellStyle name="_KT (2)_2_TG-TH_Book1_3" xfId="40" xr:uid="{00000000-0005-0000-0000-000024000000}"/>
    <cellStyle name="_KT (2)_2_TG-TH_Book1_4 Bao cao tai chinh-KDN" xfId="41" xr:uid="{00000000-0005-0000-0000-000025000000}"/>
    <cellStyle name="_KT (2)_2_TG-TH_Book1_Book1" xfId="42" xr:uid="{00000000-0005-0000-0000-000026000000}"/>
    <cellStyle name="_KT (2)_3" xfId="43" xr:uid="{00000000-0005-0000-0000-000027000000}"/>
    <cellStyle name="_KT (2)_3_TG-TH" xfId="44" xr:uid="{00000000-0005-0000-0000-000028000000}"/>
    <cellStyle name="_KT (2)_3_TG-TH_4 Bao cao tai chinh-KDN" xfId="45" xr:uid="{00000000-0005-0000-0000-000029000000}"/>
    <cellStyle name="_KT (2)_3_TG-TH_Book1" xfId="46" xr:uid="{00000000-0005-0000-0000-00002A000000}"/>
    <cellStyle name="_KT (2)_3_TG-TH_PERSONAL" xfId="47" xr:uid="{00000000-0005-0000-0000-00002B000000}"/>
    <cellStyle name="_KT (2)_3_TG-TH_PERSONAL_Book1" xfId="48" xr:uid="{00000000-0005-0000-0000-00002C000000}"/>
    <cellStyle name="_KT (2)_3_TG-TH_PERSONAL_Tong hop KHCB 2001" xfId="49" xr:uid="{00000000-0005-0000-0000-00002D000000}"/>
    <cellStyle name="_KT (2)_4" xfId="50" xr:uid="{00000000-0005-0000-0000-00002E000000}"/>
    <cellStyle name="_KT (2)_4 Bao cao tai chinh-KDN" xfId="51" xr:uid="{00000000-0005-0000-0000-00002F000000}"/>
    <cellStyle name="_KT (2)_4_4 Bao cao tai chinh-KDN" xfId="52" xr:uid="{00000000-0005-0000-0000-000030000000}"/>
    <cellStyle name="_KT (2)_4_Book1" xfId="53" xr:uid="{00000000-0005-0000-0000-000031000000}"/>
    <cellStyle name="_KT (2)_4_Book1_1" xfId="54" xr:uid="{00000000-0005-0000-0000-000032000000}"/>
    <cellStyle name="_KT (2)_4_Book1_1_4 Bao cao tai chinh-KDN" xfId="55" xr:uid="{00000000-0005-0000-0000-000033000000}"/>
    <cellStyle name="_KT (2)_4_Book1_1_Book1" xfId="56" xr:uid="{00000000-0005-0000-0000-000034000000}"/>
    <cellStyle name="_KT (2)_4_Book1_2" xfId="57" xr:uid="{00000000-0005-0000-0000-000035000000}"/>
    <cellStyle name="_KT (2)_4_Book1_3" xfId="58" xr:uid="{00000000-0005-0000-0000-000036000000}"/>
    <cellStyle name="_KT (2)_4_Book1_4 Bao cao tai chinh-KDN" xfId="59" xr:uid="{00000000-0005-0000-0000-000037000000}"/>
    <cellStyle name="_KT (2)_4_Book1_Book1" xfId="60" xr:uid="{00000000-0005-0000-0000-000038000000}"/>
    <cellStyle name="_KT (2)_4_TG-TH" xfId="61" xr:uid="{00000000-0005-0000-0000-000039000000}"/>
    <cellStyle name="_KT (2)_5" xfId="62" xr:uid="{00000000-0005-0000-0000-00003A000000}"/>
    <cellStyle name="_KT (2)_5_4 Bao cao tai chinh-KDN" xfId="63" xr:uid="{00000000-0005-0000-0000-00003B000000}"/>
    <cellStyle name="_KT (2)_5_Book1" xfId="64" xr:uid="{00000000-0005-0000-0000-00003C000000}"/>
    <cellStyle name="_KT (2)_5_Book1_1" xfId="65" xr:uid="{00000000-0005-0000-0000-00003D000000}"/>
    <cellStyle name="_KT (2)_5_Book1_1_4 Bao cao tai chinh-KDN" xfId="66" xr:uid="{00000000-0005-0000-0000-00003E000000}"/>
    <cellStyle name="_KT (2)_5_Book1_1_Book1" xfId="67" xr:uid="{00000000-0005-0000-0000-00003F000000}"/>
    <cellStyle name="_KT (2)_5_Book1_2" xfId="68" xr:uid="{00000000-0005-0000-0000-000040000000}"/>
    <cellStyle name="_KT (2)_5_Book1_3" xfId="69" xr:uid="{00000000-0005-0000-0000-000041000000}"/>
    <cellStyle name="_KT (2)_5_Book1_4 Bao cao tai chinh-KDN" xfId="70" xr:uid="{00000000-0005-0000-0000-000042000000}"/>
    <cellStyle name="_KT (2)_5_Book1_Book1" xfId="71" xr:uid="{00000000-0005-0000-0000-000043000000}"/>
    <cellStyle name="_KT (2)_Book1" xfId="72" xr:uid="{00000000-0005-0000-0000-000044000000}"/>
    <cellStyle name="_KT (2)_PERSONAL" xfId="73" xr:uid="{00000000-0005-0000-0000-000045000000}"/>
    <cellStyle name="_KT (2)_PERSONAL_Book1" xfId="74" xr:uid="{00000000-0005-0000-0000-000046000000}"/>
    <cellStyle name="_KT (2)_PERSONAL_Tong hop KHCB 2001" xfId="75" xr:uid="{00000000-0005-0000-0000-000047000000}"/>
    <cellStyle name="_KT (2)_TG-TH" xfId="76" xr:uid="{00000000-0005-0000-0000-000048000000}"/>
    <cellStyle name="_KT_TG" xfId="77" xr:uid="{00000000-0005-0000-0000-000049000000}"/>
    <cellStyle name="_KT_TG_1" xfId="78" xr:uid="{00000000-0005-0000-0000-00004A000000}"/>
    <cellStyle name="_KT_TG_1_4 Bao cao tai chinh-KDN" xfId="79" xr:uid="{00000000-0005-0000-0000-00004B000000}"/>
    <cellStyle name="_KT_TG_1_Book1" xfId="80" xr:uid="{00000000-0005-0000-0000-00004C000000}"/>
    <cellStyle name="_KT_TG_1_Book1_1" xfId="81" xr:uid="{00000000-0005-0000-0000-00004D000000}"/>
    <cellStyle name="_KT_TG_1_Book1_1_4 Bao cao tai chinh-KDN" xfId="82" xr:uid="{00000000-0005-0000-0000-00004E000000}"/>
    <cellStyle name="_KT_TG_1_Book1_1_Book1" xfId="83" xr:uid="{00000000-0005-0000-0000-00004F000000}"/>
    <cellStyle name="_KT_TG_1_Book1_2" xfId="84" xr:uid="{00000000-0005-0000-0000-000050000000}"/>
    <cellStyle name="_KT_TG_1_Book1_3" xfId="85" xr:uid="{00000000-0005-0000-0000-000051000000}"/>
    <cellStyle name="_KT_TG_1_Book1_4 Bao cao tai chinh-KDN" xfId="86" xr:uid="{00000000-0005-0000-0000-000052000000}"/>
    <cellStyle name="_KT_TG_1_Book1_Book1" xfId="87" xr:uid="{00000000-0005-0000-0000-000053000000}"/>
    <cellStyle name="_KT_TG_2" xfId="88" xr:uid="{00000000-0005-0000-0000-000054000000}"/>
    <cellStyle name="_KT_TG_2_4 Bao cao tai chinh-KDN" xfId="89" xr:uid="{00000000-0005-0000-0000-000055000000}"/>
    <cellStyle name="_KT_TG_2_Book1" xfId="90" xr:uid="{00000000-0005-0000-0000-000056000000}"/>
    <cellStyle name="_KT_TG_2_Book1_1" xfId="91" xr:uid="{00000000-0005-0000-0000-000057000000}"/>
    <cellStyle name="_KT_TG_2_Book1_1_4 Bao cao tai chinh-KDN" xfId="92" xr:uid="{00000000-0005-0000-0000-000058000000}"/>
    <cellStyle name="_KT_TG_2_Book1_1_Book1" xfId="93" xr:uid="{00000000-0005-0000-0000-000059000000}"/>
    <cellStyle name="_KT_TG_2_Book1_2" xfId="94" xr:uid="{00000000-0005-0000-0000-00005A000000}"/>
    <cellStyle name="_KT_TG_2_Book1_3" xfId="95" xr:uid="{00000000-0005-0000-0000-00005B000000}"/>
    <cellStyle name="_KT_TG_2_Book1_4 Bao cao tai chinh-KDN" xfId="96" xr:uid="{00000000-0005-0000-0000-00005C000000}"/>
    <cellStyle name="_KT_TG_2_Book1_Book1" xfId="97" xr:uid="{00000000-0005-0000-0000-00005D000000}"/>
    <cellStyle name="_KT_TG_3" xfId="98" xr:uid="{00000000-0005-0000-0000-00005E000000}"/>
    <cellStyle name="_KT_TG_4" xfId="99" xr:uid="{00000000-0005-0000-0000-00005F000000}"/>
    <cellStyle name="_PERSONAL" xfId="100" xr:uid="{00000000-0005-0000-0000-000060000000}"/>
    <cellStyle name="_PERSONAL_Book1" xfId="101" xr:uid="{00000000-0005-0000-0000-000061000000}"/>
    <cellStyle name="_PERSONAL_Tong hop KHCB 2001" xfId="102" xr:uid="{00000000-0005-0000-0000-000062000000}"/>
    <cellStyle name="_TG-TH" xfId="103" xr:uid="{00000000-0005-0000-0000-000063000000}"/>
    <cellStyle name="_TG-TH_1" xfId="104" xr:uid="{00000000-0005-0000-0000-000064000000}"/>
    <cellStyle name="_TG-TH_1_4 Bao cao tai chinh-KDN" xfId="105" xr:uid="{00000000-0005-0000-0000-000065000000}"/>
    <cellStyle name="_TG-TH_1_Book1" xfId="106" xr:uid="{00000000-0005-0000-0000-000066000000}"/>
    <cellStyle name="_TG-TH_1_Book1_1" xfId="107" xr:uid="{00000000-0005-0000-0000-000067000000}"/>
    <cellStyle name="_TG-TH_1_Book1_1_4 Bao cao tai chinh-KDN" xfId="108" xr:uid="{00000000-0005-0000-0000-000068000000}"/>
    <cellStyle name="_TG-TH_1_Book1_1_Book1" xfId="109" xr:uid="{00000000-0005-0000-0000-000069000000}"/>
    <cellStyle name="_TG-TH_1_Book1_2" xfId="110" xr:uid="{00000000-0005-0000-0000-00006A000000}"/>
    <cellStyle name="_TG-TH_1_Book1_3" xfId="111" xr:uid="{00000000-0005-0000-0000-00006B000000}"/>
    <cellStyle name="_TG-TH_1_Book1_4 Bao cao tai chinh-KDN" xfId="112" xr:uid="{00000000-0005-0000-0000-00006C000000}"/>
    <cellStyle name="_TG-TH_1_Book1_Book1" xfId="113" xr:uid="{00000000-0005-0000-0000-00006D000000}"/>
    <cellStyle name="_TG-TH_2" xfId="114" xr:uid="{00000000-0005-0000-0000-00006E000000}"/>
    <cellStyle name="_TG-TH_2_4 Bao cao tai chinh-KDN" xfId="115" xr:uid="{00000000-0005-0000-0000-00006F000000}"/>
    <cellStyle name="_TG-TH_2_Book1" xfId="116" xr:uid="{00000000-0005-0000-0000-000070000000}"/>
    <cellStyle name="_TG-TH_2_Book1_1" xfId="117" xr:uid="{00000000-0005-0000-0000-000071000000}"/>
    <cellStyle name="_TG-TH_2_Book1_1_4 Bao cao tai chinh-KDN" xfId="118" xr:uid="{00000000-0005-0000-0000-000072000000}"/>
    <cellStyle name="_TG-TH_2_Book1_1_Book1" xfId="119" xr:uid="{00000000-0005-0000-0000-000073000000}"/>
    <cellStyle name="_TG-TH_2_Book1_2" xfId="120" xr:uid="{00000000-0005-0000-0000-000074000000}"/>
    <cellStyle name="_TG-TH_2_Book1_3" xfId="121" xr:uid="{00000000-0005-0000-0000-000075000000}"/>
    <cellStyle name="_TG-TH_2_Book1_4 Bao cao tai chinh-KDN" xfId="122" xr:uid="{00000000-0005-0000-0000-000076000000}"/>
    <cellStyle name="_TG-TH_2_Book1_Book1" xfId="123" xr:uid="{00000000-0005-0000-0000-000077000000}"/>
    <cellStyle name="_TG-TH_3" xfId="124" xr:uid="{00000000-0005-0000-0000-000078000000}"/>
    <cellStyle name="_TG-TH_4" xfId="125" xr:uid="{00000000-0005-0000-0000-000079000000}"/>
    <cellStyle name="_Working P.P DIAOC3 2006 NTS 13032007" xfId="126" xr:uid="{00000000-0005-0000-0000-00007A000000}"/>
    <cellStyle name="_Workingpaper-NTH-120307-DIAOC3" xfId="127" xr:uid="{00000000-0005-0000-0000-00007B000000}"/>
    <cellStyle name="¤@¯ë_01" xfId="128" xr:uid="{00000000-0005-0000-0000-00007C000000}"/>
    <cellStyle name="W_STDFOR" xfId="327" xr:uid="{00000000-0005-0000-0000-00007D000000}"/>
    <cellStyle name="0,0_x000d__x000a_NA_x000d__x000a_" xfId="374" xr:uid="{00000000-0005-0000-0000-00007E000000}"/>
    <cellStyle name="1" xfId="129" xr:uid="{00000000-0005-0000-0000-00007F000000}"/>
    <cellStyle name="15" xfId="130" xr:uid="{00000000-0005-0000-0000-000080000000}"/>
    <cellStyle name="¹éºÐÀ²_±âÅ¸" xfId="131" xr:uid="{00000000-0005-0000-0000-000081000000}"/>
    <cellStyle name="2" xfId="132" xr:uid="{00000000-0005-0000-0000-000082000000}"/>
    <cellStyle name="3" xfId="133" xr:uid="{00000000-0005-0000-0000-000083000000}"/>
    <cellStyle name="³f¹ô[0]_ÿÿÿÿÿÿ" xfId="134" xr:uid="{00000000-0005-0000-0000-000084000000}"/>
    <cellStyle name="³f¹ô_ÿÿÿÿÿÿ" xfId="135" xr:uid="{00000000-0005-0000-0000-000085000000}"/>
    <cellStyle name="4" xfId="136" xr:uid="{00000000-0005-0000-0000-000086000000}"/>
    <cellStyle name="ÅëÈ­ [0]_¿ì¹°Åë" xfId="137" xr:uid="{00000000-0005-0000-0000-000087000000}"/>
    <cellStyle name="AeE­ [0]_INQUIRY ¿µ¾÷AßAø " xfId="138" xr:uid="{00000000-0005-0000-0000-000088000000}"/>
    <cellStyle name="ÅëÈ­ [0]_L601CPT" xfId="139" xr:uid="{00000000-0005-0000-0000-000089000000}"/>
    <cellStyle name="ÅëÈ­_¿ì¹°Åë" xfId="140" xr:uid="{00000000-0005-0000-0000-00008A000000}"/>
    <cellStyle name="AeE­_INQUIRY ¿µ¾÷AßAø " xfId="141" xr:uid="{00000000-0005-0000-0000-00008B000000}"/>
    <cellStyle name="ÅëÈ­_L601CPT" xfId="142" xr:uid="{00000000-0005-0000-0000-00008C000000}"/>
    <cellStyle name="ÄÞ¸¶ [0]_¿ì¹°Åë" xfId="143" xr:uid="{00000000-0005-0000-0000-00008D000000}"/>
    <cellStyle name="AÞ¸¶ [0]_INQUIRY ¿?¾÷AßAø " xfId="144" xr:uid="{00000000-0005-0000-0000-00008E000000}"/>
    <cellStyle name="ÄÞ¸¶ [0]_L601CPT" xfId="145" xr:uid="{00000000-0005-0000-0000-00008F000000}"/>
    <cellStyle name="ÄÞ¸¶_¿ì¹°Åë" xfId="146" xr:uid="{00000000-0005-0000-0000-000090000000}"/>
    <cellStyle name="AÞ¸¶_INQUIRY ¿?¾÷AßAø " xfId="147" xr:uid="{00000000-0005-0000-0000-000091000000}"/>
    <cellStyle name="ÄÞ¸¶_L601CPT" xfId="148" xr:uid="{00000000-0005-0000-0000-000092000000}"/>
    <cellStyle name="AutoFormat Options" xfId="149" xr:uid="{00000000-0005-0000-0000-000093000000}"/>
    <cellStyle name="Black" xfId="397" xr:uid="{00000000-0005-0000-0000-000094000000}"/>
    <cellStyle name="blank" xfId="150" xr:uid="{00000000-0005-0000-0000-000095000000}"/>
    <cellStyle name="Blue" xfId="398" xr:uid="{00000000-0005-0000-0000-000096000000}"/>
    <cellStyle name="c" xfId="151" xr:uid="{00000000-0005-0000-0000-000097000000}"/>
    <cellStyle name="C?AØ_¿?¾÷CoE² " xfId="152" xr:uid="{00000000-0005-0000-0000-000098000000}"/>
    <cellStyle name="Ç¥ÁØ_#2(M17)_1" xfId="153" xr:uid="{00000000-0005-0000-0000-000099000000}"/>
    <cellStyle name="C￥AØ_¿μ¾÷CoE² " xfId="154" xr:uid="{00000000-0005-0000-0000-00009A000000}"/>
    <cellStyle name="Ç¥ÁØ_±¸¹Ì´ëÃ¥" xfId="155" xr:uid="{00000000-0005-0000-0000-00009B000000}"/>
    <cellStyle name="C￥AØ_Sheet1_¿μ¾÷CoE² " xfId="156" xr:uid="{00000000-0005-0000-0000-00009C000000}"/>
    <cellStyle name="Calc Currency (0)" xfId="157" xr:uid="{00000000-0005-0000-0000-00009D000000}"/>
    <cellStyle name="Calc Currency (2)" xfId="158" xr:uid="{00000000-0005-0000-0000-00009E000000}"/>
    <cellStyle name="Calc Percent (0)" xfId="159" xr:uid="{00000000-0005-0000-0000-00009F000000}"/>
    <cellStyle name="Calc Percent (1)" xfId="160" xr:uid="{00000000-0005-0000-0000-0000A0000000}"/>
    <cellStyle name="Calc Percent (2)" xfId="161" xr:uid="{00000000-0005-0000-0000-0000A1000000}"/>
    <cellStyle name="Calc Units (0)" xfId="162" xr:uid="{00000000-0005-0000-0000-0000A2000000}"/>
    <cellStyle name="Calc Units (1)" xfId="163" xr:uid="{00000000-0005-0000-0000-0000A3000000}"/>
    <cellStyle name="Calc Units (2)" xfId="164" xr:uid="{00000000-0005-0000-0000-0000A4000000}"/>
    <cellStyle name="category" xfId="165" xr:uid="{00000000-0005-0000-0000-0000A5000000}"/>
    <cellStyle name="Cerrency_Sheet2_XANGDAU" xfId="166" xr:uid="{00000000-0005-0000-0000-0000A6000000}"/>
    <cellStyle name="CHUONG" xfId="167" xr:uid="{00000000-0005-0000-0000-0000A7000000}"/>
    <cellStyle name="COL HEADINGS" xfId="399" xr:uid="{00000000-0005-0000-0000-0000A8000000}"/>
    <cellStyle name="Comma" xfId="432" builtinId="3"/>
    <cellStyle name="Comma [00]" xfId="168" xr:uid="{00000000-0005-0000-0000-0000AA000000}"/>
    <cellStyle name="Comma [1]" xfId="400" xr:uid="{00000000-0005-0000-0000-0000AB000000}"/>
    <cellStyle name="Comma 0" xfId="401" xr:uid="{00000000-0005-0000-0000-0000AC000000}"/>
    <cellStyle name="Comma 0*" xfId="402" xr:uid="{00000000-0005-0000-0000-0000AD000000}"/>
    <cellStyle name="Comma 10" xfId="452" xr:uid="{00000000-0005-0000-0000-0000AE000000}"/>
    <cellStyle name="Comma 11" xfId="453" xr:uid="{00000000-0005-0000-0000-0000AF000000}"/>
    <cellStyle name="Comma 11 2" xfId="454" xr:uid="{00000000-0005-0000-0000-0000B0000000}"/>
    <cellStyle name="Comma 11 3" xfId="527" xr:uid="{00000000-0005-0000-0000-0000B1000000}"/>
    <cellStyle name="Comma 12" xfId="455" xr:uid="{00000000-0005-0000-0000-0000B2000000}"/>
    <cellStyle name="Comma 13" xfId="531" xr:uid="{00000000-0005-0000-0000-0000B3000000}"/>
    <cellStyle name="Comma 13 5" xfId="532" xr:uid="{00000000-0005-0000-0000-0000B4000000}"/>
    <cellStyle name="Comma 14" xfId="599" xr:uid="{00000000-0005-0000-0000-0000B5000000}"/>
    <cellStyle name="Comma 14 2" xfId="533" xr:uid="{00000000-0005-0000-0000-0000B6000000}"/>
    <cellStyle name="Comma 14 2 2 2 2" xfId="534" xr:uid="{00000000-0005-0000-0000-0000B7000000}"/>
    <cellStyle name="Comma 14 2 3 4" xfId="535" xr:uid="{00000000-0005-0000-0000-0000B8000000}"/>
    <cellStyle name="Comma 15" xfId="536" xr:uid="{00000000-0005-0000-0000-0000B9000000}"/>
    <cellStyle name="Comma 15 2" xfId="537" xr:uid="{00000000-0005-0000-0000-0000BA000000}"/>
    <cellStyle name="Comma 16" xfId="607" xr:uid="{00000000-0005-0000-0000-0000BB000000}"/>
    <cellStyle name="Comma 2" xfId="4" xr:uid="{00000000-0005-0000-0000-0000BC000000}"/>
    <cellStyle name="Comma 2 2" xfId="8" xr:uid="{00000000-0005-0000-0000-0000BD000000}"/>
    <cellStyle name="Comma 2 2 12" xfId="538" xr:uid="{00000000-0005-0000-0000-0000BE000000}"/>
    <cellStyle name="Comma 2 20" xfId="526" xr:uid="{00000000-0005-0000-0000-0000BF000000}"/>
    <cellStyle name="Comma 2 20 3" xfId="539" xr:uid="{00000000-0005-0000-0000-0000C0000000}"/>
    <cellStyle name="Comma 2 3" xfId="456" xr:uid="{00000000-0005-0000-0000-0000C1000000}"/>
    <cellStyle name="Comma 25" xfId="596" xr:uid="{00000000-0005-0000-0000-0000C2000000}"/>
    <cellStyle name="Comma 27" xfId="540" xr:uid="{00000000-0005-0000-0000-0000C3000000}"/>
    <cellStyle name="Comma 28" xfId="541" xr:uid="{00000000-0005-0000-0000-0000C4000000}"/>
    <cellStyle name="Comma 3" xfId="169" xr:uid="{00000000-0005-0000-0000-0000C5000000}"/>
    <cellStyle name="Comma 3 13" xfId="542" xr:uid="{00000000-0005-0000-0000-0000C6000000}"/>
    <cellStyle name="Comma 3 2" xfId="457" xr:uid="{00000000-0005-0000-0000-0000C7000000}"/>
    <cellStyle name="Comma 3 2 2" xfId="602" xr:uid="{00000000-0005-0000-0000-0000C8000000}"/>
    <cellStyle name="Comma 30" xfId="543" xr:uid="{00000000-0005-0000-0000-0000C9000000}"/>
    <cellStyle name="Comma 31" xfId="544" xr:uid="{00000000-0005-0000-0000-0000CA000000}"/>
    <cellStyle name="Comma 4" xfId="375" xr:uid="{00000000-0005-0000-0000-0000CB000000}"/>
    <cellStyle name="Comma 4 2" xfId="458" xr:uid="{00000000-0005-0000-0000-0000CC000000}"/>
    <cellStyle name="Comma 5" xfId="376" xr:uid="{00000000-0005-0000-0000-0000CD000000}"/>
    <cellStyle name="Comma 5 2" xfId="604" xr:uid="{00000000-0005-0000-0000-0000CE000000}"/>
    <cellStyle name="Comma 5 2 2" xfId="595" xr:uid="{00000000-0005-0000-0000-0000CF000000}"/>
    <cellStyle name="Comma 6" xfId="434" xr:uid="{00000000-0005-0000-0000-0000D0000000}"/>
    <cellStyle name="Comma 7" xfId="440" xr:uid="{00000000-0005-0000-0000-0000D1000000}"/>
    <cellStyle name="Comma 7 2" xfId="436" xr:uid="{00000000-0005-0000-0000-0000D2000000}"/>
    <cellStyle name="Comma 7 3" xfId="459" xr:uid="{00000000-0005-0000-0000-0000D3000000}"/>
    <cellStyle name="Comma 8" xfId="445" xr:uid="{00000000-0005-0000-0000-0000D4000000}"/>
    <cellStyle name="Comma 8 2" xfId="608" xr:uid="{00000000-0005-0000-0000-0000D5000000}"/>
    <cellStyle name="Comma 9" xfId="447" xr:uid="{00000000-0005-0000-0000-0000D6000000}"/>
    <cellStyle name="comma zerodec" xfId="170" xr:uid="{00000000-0005-0000-0000-0000D7000000}"/>
    <cellStyle name="Comma0" xfId="171" xr:uid="{00000000-0005-0000-0000-0000D8000000}"/>
    <cellStyle name="Currency" xfId="443" builtinId="4"/>
    <cellStyle name="Currency [00]" xfId="172" xr:uid="{00000000-0005-0000-0000-0000DA000000}"/>
    <cellStyle name="Currency [1]" xfId="403" xr:uid="{00000000-0005-0000-0000-0000DB000000}"/>
    <cellStyle name="Currency [2]" xfId="404" xr:uid="{00000000-0005-0000-0000-0000DC000000}"/>
    <cellStyle name="Currency [2] 2" xfId="460" xr:uid="{00000000-0005-0000-0000-0000DD000000}"/>
    <cellStyle name="Currency 0" xfId="405" xr:uid="{00000000-0005-0000-0000-0000DE000000}"/>
    <cellStyle name="Currency 2" xfId="395" xr:uid="{00000000-0005-0000-0000-0000DF000000}"/>
    <cellStyle name="Currency 3" xfId="461" xr:uid="{00000000-0005-0000-0000-0000E0000000}"/>
    <cellStyle name="Currency 4" xfId="462" xr:uid="{00000000-0005-0000-0000-0000E1000000}"/>
    <cellStyle name="Currency0" xfId="173" xr:uid="{00000000-0005-0000-0000-0000E2000000}"/>
    <cellStyle name="Currency1" xfId="174" xr:uid="{00000000-0005-0000-0000-0000E3000000}"/>
    <cellStyle name="Date" xfId="175" xr:uid="{00000000-0005-0000-0000-0000E4000000}"/>
    <cellStyle name="Date Aligned" xfId="406" xr:uid="{00000000-0005-0000-0000-0000E5000000}"/>
    <cellStyle name="Date Short" xfId="176" xr:uid="{00000000-0005-0000-0000-0000E6000000}"/>
    <cellStyle name="Date_Bao Cao Kiem Tra  trung bay Ke milk-yomilk CK 2" xfId="177" xr:uid="{00000000-0005-0000-0000-0000E7000000}"/>
    <cellStyle name="DELTA" xfId="178" xr:uid="{00000000-0005-0000-0000-0000E8000000}"/>
    <cellStyle name="Dezimal [0]_68574_Materialbedarfsliste" xfId="179" xr:uid="{00000000-0005-0000-0000-0000E9000000}"/>
    <cellStyle name="Dezimal_68574_Materialbedarfsliste" xfId="180" xr:uid="{00000000-0005-0000-0000-0000EA000000}"/>
    <cellStyle name="Dollar (zero dec)" xfId="181" xr:uid="{00000000-0005-0000-0000-0000EB000000}"/>
    <cellStyle name="Dollars" xfId="407" xr:uid="{00000000-0005-0000-0000-0000EC000000}"/>
    <cellStyle name="Dotted Line" xfId="408" xr:uid="{00000000-0005-0000-0000-0000ED000000}"/>
    <cellStyle name="Enter Currency (0)" xfId="182" xr:uid="{00000000-0005-0000-0000-0000EE000000}"/>
    <cellStyle name="Enter Currency (2)" xfId="183" xr:uid="{00000000-0005-0000-0000-0000EF000000}"/>
    <cellStyle name="Enter Units (0)" xfId="184" xr:uid="{00000000-0005-0000-0000-0000F0000000}"/>
    <cellStyle name="Enter Units (1)" xfId="185" xr:uid="{00000000-0005-0000-0000-0000F1000000}"/>
    <cellStyle name="Enter Units (2)" xfId="186" xr:uid="{00000000-0005-0000-0000-0000F2000000}"/>
    <cellStyle name="Euro" xfId="187" xr:uid="{00000000-0005-0000-0000-0000F3000000}"/>
    <cellStyle name="F2" xfId="188" xr:uid="{00000000-0005-0000-0000-0000F4000000}"/>
    <cellStyle name="F3" xfId="189" xr:uid="{00000000-0005-0000-0000-0000F5000000}"/>
    <cellStyle name="F4" xfId="190" xr:uid="{00000000-0005-0000-0000-0000F6000000}"/>
    <cellStyle name="F5" xfId="191" xr:uid="{00000000-0005-0000-0000-0000F7000000}"/>
    <cellStyle name="F6" xfId="192" xr:uid="{00000000-0005-0000-0000-0000F8000000}"/>
    <cellStyle name="F7" xfId="193" xr:uid="{00000000-0005-0000-0000-0000F9000000}"/>
    <cellStyle name="F8" xfId="194" xr:uid="{00000000-0005-0000-0000-0000FA000000}"/>
    <cellStyle name="Fixed" xfId="195" xr:uid="{00000000-0005-0000-0000-0000FB000000}"/>
    <cellStyle name="Footnote" xfId="409" xr:uid="{00000000-0005-0000-0000-0000FC000000}"/>
    <cellStyle name="Grey" xfId="196" xr:uid="{00000000-0005-0000-0000-0000FD000000}"/>
    <cellStyle name="Group" xfId="197" xr:uid="{00000000-0005-0000-0000-0000FE000000}"/>
    <cellStyle name="ha" xfId="198" xr:uid="{00000000-0005-0000-0000-0000FF000000}"/>
    <cellStyle name="Hard Percent" xfId="410" xr:uid="{00000000-0005-0000-0000-000000010000}"/>
    <cellStyle name="Header" xfId="199" xr:uid="{00000000-0005-0000-0000-000001010000}"/>
    <cellStyle name="Header1" xfId="200" xr:uid="{00000000-0005-0000-0000-000002010000}"/>
    <cellStyle name="Header2" xfId="201" xr:uid="{00000000-0005-0000-0000-000003010000}"/>
    <cellStyle name="HEADING1" xfId="202" xr:uid="{00000000-0005-0000-0000-000004010000}"/>
    <cellStyle name="HEADING2" xfId="203" xr:uid="{00000000-0005-0000-0000-000005010000}"/>
    <cellStyle name="headoption" xfId="204" xr:uid="{00000000-0005-0000-0000-000006010000}"/>
    <cellStyle name="headoption 2" xfId="463" xr:uid="{00000000-0005-0000-0000-000007010000}"/>
    <cellStyle name="hidenorm" xfId="411" xr:uid="{00000000-0005-0000-0000-000008010000}"/>
    <cellStyle name="Hoa-Scholl" xfId="205" xr:uid="{00000000-0005-0000-0000-000009010000}"/>
    <cellStyle name="Hoa-Scholl 2" xfId="464" xr:uid="{00000000-0005-0000-0000-00000A010000}"/>
    <cellStyle name="Hyperlink" xfId="2" builtinId="8"/>
    <cellStyle name="Hyperlink 2" xfId="377" xr:uid="{00000000-0005-0000-0000-00000C010000}"/>
    <cellStyle name="Hyperlink 2 2" xfId="594" xr:uid="{00000000-0005-0000-0000-00000D010000}"/>
    <cellStyle name="Hyperlink 3" xfId="442" xr:uid="{00000000-0005-0000-0000-00000E010000}"/>
    <cellStyle name="i·0" xfId="206" xr:uid="{00000000-0005-0000-0000-00000F010000}"/>
    <cellStyle name="Input [yellow]" xfId="207" xr:uid="{00000000-0005-0000-0000-000010010000}"/>
    <cellStyle name="Input [yellow] 2" xfId="465" xr:uid="{00000000-0005-0000-0000-000011010000}"/>
    <cellStyle name="Ledger" xfId="466" xr:uid="{00000000-0005-0000-0000-000012010000}"/>
    <cellStyle name="Ledger 17 x 11 in" xfId="208" xr:uid="{00000000-0005-0000-0000-000013010000}"/>
    <cellStyle name="Line" xfId="209" xr:uid="{00000000-0005-0000-0000-000014010000}"/>
    <cellStyle name="linh" xfId="210" xr:uid="{00000000-0005-0000-0000-000015010000}"/>
    <cellStyle name="Link Currency (0)" xfId="211" xr:uid="{00000000-0005-0000-0000-000016010000}"/>
    <cellStyle name="Link Currency (2)" xfId="212" xr:uid="{00000000-0005-0000-0000-000017010000}"/>
    <cellStyle name="Link Units (0)" xfId="213" xr:uid="{00000000-0005-0000-0000-000018010000}"/>
    <cellStyle name="Link Units (1)" xfId="214" xr:uid="{00000000-0005-0000-0000-000019010000}"/>
    <cellStyle name="Link Units (2)" xfId="215" xr:uid="{00000000-0005-0000-0000-00001A010000}"/>
    <cellStyle name="Millares [0]_Well Timing" xfId="216" xr:uid="{00000000-0005-0000-0000-00001B010000}"/>
    <cellStyle name="Millares_Well Timing" xfId="217" xr:uid="{00000000-0005-0000-0000-00001C010000}"/>
    <cellStyle name="Milliers [0]_AR1194" xfId="218" xr:uid="{00000000-0005-0000-0000-00001D010000}"/>
    <cellStyle name="Milliers_AR1194" xfId="219" xr:uid="{00000000-0005-0000-0000-00001E010000}"/>
    <cellStyle name="Model" xfId="220" xr:uid="{00000000-0005-0000-0000-00001F010000}"/>
    <cellStyle name="moi" xfId="221" xr:uid="{00000000-0005-0000-0000-000020010000}"/>
    <cellStyle name="Moneda [0]_Well Timing" xfId="222" xr:uid="{00000000-0005-0000-0000-000021010000}"/>
    <cellStyle name="Moneda_Well Timing" xfId="223" xr:uid="{00000000-0005-0000-0000-000022010000}"/>
    <cellStyle name="Monétaire [0]_AR1194" xfId="224" xr:uid="{00000000-0005-0000-0000-000023010000}"/>
    <cellStyle name="Monétaire_AR1194" xfId="225" xr:uid="{00000000-0005-0000-0000-000024010000}"/>
    <cellStyle name="Mult No x" xfId="412" xr:uid="{00000000-0005-0000-0000-000025010000}"/>
    <cellStyle name="Mult With x" xfId="413" xr:uid="{00000000-0005-0000-0000-000026010000}"/>
    <cellStyle name="Multiple" xfId="414" xr:uid="{00000000-0005-0000-0000-000027010000}"/>
    <cellStyle name="Multiple (no x)" xfId="415" xr:uid="{00000000-0005-0000-0000-000028010000}"/>
    <cellStyle name="Multiple (x)" xfId="416" xr:uid="{00000000-0005-0000-0000-000029010000}"/>
    <cellStyle name="Multiple [0]" xfId="417" xr:uid="{00000000-0005-0000-0000-00002A010000}"/>
    <cellStyle name="Multiple_Refinery_Trading Comps" xfId="418" xr:uid="{00000000-0005-0000-0000-00002B010000}"/>
    <cellStyle name="MultipleBelow" xfId="419" xr:uid="{00000000-0005-0000-0000-00002C010000}"/>
    <cellStyle name="n" xfId="226" xr:uid="{00000000-0005-0000-0000-00002D010000}"/>
    <cellStyle name="New Times Roman" xfId="227" xr:uid="{00000000-0005-0000-0000-00002E010000}"/>
    <cellStyle name="no dec" xfId="228" xr:uid="{00000000-0005-0000-0000-00002F010000}"/>
    <cellStyle name="ÑONVÒ" xfId="229" xr:uid="{00000000-0005-0000-0000-000030010000}"/>
    <cellStyle name="ÑONVÒ 2" xfId="467" xr:uid="{00000000-0005-0000-0000-000031010000}"/>
    <cellStyle name="Normal" xfId="0" builtinId="0"/>
    <cellStyle name="Normal - Style1" xfId="230" xr:uid="{00000000-0005-0000-0000-000033010000}"/>
    <cellStyle name="Normal - Style1 10" xfId="545" xr:uid="{00000000-0005-0000-0000-000034010000}"/>
    <cellStyle name="Normal - 유형1" xfId="231" xr:uid="{00000000-0005-0000-0000-000035010000}"/>
    <cellStyle name="Normal 10" xfId="378" xr:uid="{00000000-0005-0000-0000-000036010000}"/>
    <cellStyle name="Normal 11" xfId="379" xr:uid="{00000000-0005-0000-0000-000037010000}"/>
    <cellStyle name="Normal 11 2" xfId="468" xr:uid="{00000000-0005-0000-0000-000038010000}"/>
    <cellStyle name="Normal 12" xfId="380" xr:uid="{00000000-0005-0000-0000-000039010000}"/>
    <cellStyle name="Normal 13" xfId="429" xr:uid="{00000000-0005-0000-0000-00003A010000}"/>
    <cellStyle name="Normal 13 2" xfId="469" xr:uid="{00000000-0005-0000-0000-00003B010000}"/>
    <cellStyle name="Normal 14" xfId="430" xr:uid="{00000000-0005-0000-0000-00003C010000}"/>
    <cellStyle name="Normal 14 2" xfId="470" xr:uid="{00000000-0005-0000-0000-00003D010000}"/>
    <cellStyle name="Normal 14 2 2" xfId="609" xr:uid="{00000000-0005-0000-0000-00003E010000}"/>
    <cellStyle name="Normal 14 3" xfId="605" xr:uid="{00000000-0005-0000-0000-00003F010000}"/>
    <cellStyle name="Normal 15" xfId="433" xr:uid="{00000000-0005-0000-0000-000040010000}"/>
    <cellStyle name="Normal 15 2" xfId="546" xr:uid="{00000000-0005-0000-0000-000041010000}"/>
    <cellStyle name="Normal 16" xfId="439" xr:uid="{00000000-0005-0000-0000-000042010000}"/>
    <cellStyle name="Normal 16 2" xfId="471" xr:uid="{00000000-0005-0000-0000-000043010000}"/>
    <cellStyle name="Normal 16 3" xfId="472" xr:uid="{00000000-0005-0000-0000-000044010000}"/>
    <cellStyle name="Normal 17" xfId="444" xr:uid="{00000000-0005-0000-0000-000045010000}"/>
    <cellStyle name="Normal 18" xfId="446" xr:uid="{00000000-0005-0000-0000-000046010000}"/>
    <cellStyle name="Normal 18 2" xfId="525" xr:uid="{00000000-0005-0000-0000-000047010000}"/>
    <cellStyle name="Normal 18 4" xfId="593" xr:uid="{00000000-0005-0000-0000-000048010000}"/>
    <cellStyle name="Normal 19" xfId="473" xr:uid="{00000000-0005-0000-0000-000049010000}"/>
    <cellStyle name="Normal 2" xfId="1" xr:uid="{00000000-0005-0000-0000-00004A010000}"/>
    <cellStyle name="Normal 2 2" xfId="232" xr:uid="{00000000-0005-0000-0000-00004B010000}"/>
    <cellStyle name="Normal 2 2 2" xfId="592" xr:uid="{00000000-0005-0000-0000-00004C010000}"/>
    <cellStyle name="Normal 2 3" xfId="474" xr:uid="{00000000-0005-0000-0000-00004D010000}"/>
    <cellStyle name="Normal 2 3 6" xfId="547" xr:uid="{00000000-0005-0000-0000-00004E010000}"/>
    <cellStyle name="Normal 2 4" xfId="529" xr:uid="{00000000-0005-0000-0000-00004F010000}"/>
    <cellStyle name="Normal 2 6" xfId="548" xr:uid="{00000000-0005-0000-0000-000050010000}"/>
    <cellStyle name="Normal 20" xfId="475" xr:uid="{00000000-0005-0000-0000-000051010000}"/>
    <cellStyle name="Normal 21" xfId="476" xr:uid="{00000000-0005-0000-0000-000052010000}"/>
    <cellStyle name="Normal 21 2" xfId="528" xr:uid="{00000000-0005-0000-0000-000053010000}"/>
    <cellStyle name="Normal 22" xfId="477" xr:uid="{00000000-0005-0000-0000-000054010000}"/>
    <cellStyle name="Normal 22 2" xfId="478" xr:uid="{00000000-0005-0000-0000-000055010000}"/>
    <cellStyle name="Normal 23" xfId="479" xr:uid="{00000000-0005-0000-0000-000056010000}"/>
    <cellStyle name="Normal 24" xfId="524" xr:uid="{00000000-0005-0000-0000-000057010000}"/>
    <cellStyle name="Normal 25" xfId="549" xr:uid="{00000000-0005-0000-0000-000058010000}"/>
    <cellStyle name="Normal 26" xfId="550" xr:uid="{00000000-0005-0000-0000-000059010000}"/>
    <cellStyle name="Normal 27" xfId="551" xr:uid="{00000000-0005-0000-0000-00005A010000}"/>
    <cellStyle name="Normal 28" xfId="552" xr:uid="{00000000-0005-0000-0000-00005B010000}"/>
    <cellStyle name="Normal 29" xfId="553" xr:uid="{00000000-0005-0000-0000-00005C010000}"/>
    <cellStyle name="Normal 3" xfId="3" xr:uid="{00000000-0005-0000-0000-00005D010000}"/>
    <cellStyle name="Normal 3 2" xfId="381" xr:uid="{00000000-0005-0000-0000-00005E010000}"/>
    <cellStyle name="Normal 3 2 2" xfId="480" xr:uid="{00000000-0005-0000-0000-00005F010000}"/>
    <cellStyle name="Normal 3 2 3" xfId="591" xr:uid="{00000000-0005-0000-0000-000060010000}"/>
    <cellStyle name="Normal 3 3" xfId="481" xr:uid="{00000000-0005-0000-0000-000061010000}"/>
    <cellStyle name="Normal 3 3 2" xfId="482" xr:uid="{00000000-0005-0000-0000-000062010000}"/>
    <cellStyle name="Normal 3 4" xfId="483" xr:uid="{00000000-0005-0000-0000-000063010000}"/>
    <cellStyle name="Normal 3 5" xfId="484" xr:uid="{00000000-0005-0000-0000-000064010000}"/>
    <cellStyle name="Normal 30" xfId="554" xr:uid="{00000000-0005-0000-0000-000065010000}"/>
    <cellStyle name="Normal 31" xfId="555" xr:uid="{00000000-0005-0000-0000-000066010000}"/>
    <cellStyle name="Normal 32" xfId="556" xr:uid="{00000000-0005-0000-0000-000067010000}"/>
    <cellStyle name="Normal 33" xfId="557" xr:uid="{00000000-0005-0000-0000-000068010000}"/>
    <cellStyle name="Normal 34" xfId="558" xr:uid="{00000000-0005-0000-0000-000069010000}"/>
    <cellStyle name="Normal 35" xfId="559" xr:uid="{00000000-0005-0000-0000-00006A010000}"/>
    <cellStyle name="Normal 36" xfId="560" xr:uid="{00000000-0005-0000-0000-00006B010000}"/>
    <cellStyle name="Normal 37" xfId="561" xr:uid="{00000000-0005-0000-0000-00006C010000}"/>
    <cellStyle name="Normal 38" xfId="562" xr:uid="{00000000-0005-0000-0000-00006D010000}"/>
    <cellStyle name="Normal 39" xfId="563" xr:uid="{00000000-0005-0000-0000-00006E010000}"/>
    <cellStyle name="Normal 4" xfId="7" xr:uid="{00000000-0005-0000-0000-00006F010000}"/>
    <cellStyle name="Normal 4 2" xfId="601" xr:uid="{00000000-0005-0000-0000-000070010000}"/>
    <cellStyle name="Normal 40" xfId="564" xr:uid="{00000000-0005-0000-0000-000071010000}"/>
    <cellStyle name="Normal 41" xfId="565" xr:uid="{00000000-0005-0000-0000-000072010000}"/>
    <cellStyle name="Normal 42" xfId="566" xr:uid="{00000000-0005-0000-0000-000073010000}"/>
    <cellStyle name="Normal 43" xfId="567" xr:uid="{00000000-0005-0000-0000-000074010000}"/>
    <cellStyle name="Normal 44" xfId="568" xr:uid="{00000000-0005-0000-0000-000075010000}"/>
    <cellStyle name="Normal 45" xfId="569" xr:uid="{00000000-0005-0000-0000-000076010000}"/>
    <cellStyle name="Normal 46" xfId="570" xr:uid="{00000000-0005-0000-0000-000077010000}"/>
    <cellStyle name="Normal 47" xfId="571" xr:uid="{00000000-0005-0000-0000-000078010000}"/>
    <cellStyle name="Normal 48" xfId="572" xr:uid="{00000000-0005-0000-0000-000079010000}"/>
    <cellStyle name="Normal 49" xfId="573" xr:uid="{00000000-0005-0000-0000-00007A010000}"/>
    <cellStyle name="Normal 5" xfId="233" xr:uid="{00000000-0005-0000-0000-00007B010000}"/>
    <cellStyle name="Normal 5 2" xfId="382" xr:uid="{00000000-0005-0000-0000-00007C010000}"/>
    <cellStyle name="Normal 5 3" xfId="383" xr:uid="{00000000-0005-0000-0000-00007D010000}"/>
    <cellStyle name="Normal 5 4" xfId="574" xr:uid="{00000000-0005-0000-0000-00007E010000}"/>
    <cellStyle name="Normal 50" xfId="575" xr:uid="{00000000-0005-0000-0000-00007F010000}"/>
    <cellStyle name="Normal 51" xfId="576" xr:uid="{00000000-0005-0000-0000-000080010000}"/>
    <cellStyle name="Normal 52" xfId="577" xr:uid="{00000000-0005-0000-0000-000081010000}"/>
    <cellStyle name="Normal 53" xfId="578" xr:uid="{00000000-0005-0000-0000-000082010000}"/>
    <cellStyle name="Normal 54" xfId="579" xr:uid="{00000000-0005-0000-0000-000083010000}"/>
    <cellStyle name="Normal 55" xfId="580" xr:uid="{00000000-0005-0000-0000-000084010000}"/>
    <cellStyle name="Normal 56" xfId="581" xr:uid="{00000000-0005-0000-0000-000085010000}"/>
    <cellStyle name="Normal 57" xfId="582" xr:uid="{00000000-0005-0000-0000-000086010000}"/>
    <cellStyle name="Normal 58" xfId="583" xr:uid="{00000000-0005-0000-0000-000087010000}"/>
    <cellStyle name="Normal 59" xfId="584" xr:uid="{00000000-0005-0000-0000-000088010000}"/>
    <cellStyle name="Normal 6" xfId="373" xr:uid="{00000000-0005-0000-0000-000089010000}"/>
    <cellStyle name="Normal 6 2" xfId="485" xr:uid="{00000000-0005-0000-0000-00008A010000}"/>
    <cellStyle name="Normal 60" xfId="585" xr:uid="{00000000-0005-0000-0000-00008B010000}"/>
    <cellStyle name="Normal 61" xfId="586" xr:uid="{00000000-0005-0000-0000-00008C010000}"/>
    <cellStyle name="Normal 62" xfId="587" xr:uid="{00000000-0005-0000-0000-00008D010000}"/>
    <cellStyle name="Normal 63" xfId="588" xr:uid="{00000000-0005-0000-0000-00008E010000}"/>
    <cellStyle name="Normal 64" xfId="598" xr:uid="{00000000-0005-0000-0000-00008F010000}"/>
    <cellStyle name="Normal 65" xfId="611" xr:uid="{6AFE6712-5A08-4861-9E9A-F96E03611821}"/>
    <cellStyle name="Normal 7" xfId="384" xr:uid="{00000000-0005-0000-0000-000090010000}"/>
    <cellStyle name="Normal 8" xfId="385" xr:uid="{00000000-0005-0000-0000-000091010000}"/>
    <cellStyle name="Normal 9" xfId="386" xr:uid="{00000000-0005-0000-0000-000092010000}"/>
    <cellStyle name="Normal1" xfId="234" xr:uid="{00000000-0005-0000-0000-000093010000}"/>
    <cellStyle name="NWM" xfId="235" xr:uid="{00000000-0005-0000-0000-000094010000}"/>
    <cellStyle name="oft Excel]_x000d__x000a_Comment=open=/f ‚ðw’è‚·‚é‚ÆAƒ†[ƒU[’è‹`ŠÖ”‚ðŠÖ”“\‚è•t‚¯‚Ìˆê——‚É“o˜^‚·‚é‚±‚Æ‚ª‚Å‚«‚Ü‚·B_x000d__x000a_Maximized" xfId="236" xr:uid="{00000000-0005-0000-0000-000095010000}"/>
    <cellStyle name="omma [0]_Mktg Prog" xfId="237" xr:uid="{00000000-0005-0000-0000-000096010000}"/>
    <cellStyle name="ormal_Sheet1_1" xfId="238" xr:uid="{00000000-0005-0000-0000-000097010000}"/>
    <cellStyle name="Page Number" xfId="420" xr:uid="{00000000-0005-0000-0000-000098010000}"/>
    <cellStyle name="paint" xfId="239" xr:uid="{00000000-0005-0000-0000-000099010000}"/>
    <cellStyle name="Pattern" xfId="240" xr:uid="{00000000-0005-0000-0000-00009A010000}"/>
    <cellStyle name="Percent" xfId="394" builtinId="5"/>
    <cellStyle name="Percent (0)" xfId="241" xr:uid="{00000000-0005-0000-0000-00009C010000}"/>
    <cellStyle name="Percent [0]" xfId="242" xr:uid="{00000000-0005-0000-0000-00009D010000}"/>
    <cellStyle name="Percent [00]" xfId="243" xr:uid="{00000000-0005-0000-0000-00009E010000}"/>
    <cellStyle name="Percent [1]" xfId="421" xr:uid="{00000000-0005-0000-0000-00009F010000}"/>
    <cellStyle name="Percent [2]" xfId="244" xr:uid="{00000000-0005-0000-0000-0000A0010000}"/>
    <cellStyle name="Percent 10" xfId="448" xr:uid="{00000000-0005-0000-0000-0000A1010000}"/>
    <cellStyle name="Percent 11" xfId="486" xr:uid="{00000000-0005-0000-0000-0000A2010000}"/>
    <cellStyle name="Percent 12" xfId="487" xr:uid="{00000000-0005-0000-0000-0000A3010000}"/>
    <cellStyle name="Percent 13" xfId="488" xr:uid="{00000000-0005-0000-0000-0000A4010000}"/>
    <cellStyle name="Percent 14" xfId="489" xr:uid="{00000000-0005-0000-0000-0000A5010000}"/>
    <cellStyle name="Percent 15" xfId="490" xr:uid="{00000000-0005-0000-0000-0000A6010000}"/>
    <cellStyle name="Percent 15 2" xfId="491" xr:uid="{00000000-0005-0000-0000-0000A7010000}"/>
    <cellStyle name="Percent 16" xfId="492" xr:uid="{00000000-0005-0000-0000-0000A8010000}"/>
    <cellStyle name="Percent 17" xfId="600" xr:uid="{00000000-0005-0000-0000-0000A9010000}"/>
    <cellStyle name="Percent 18" xfId="606" xr:uid="{00000000-0005-0000-0000-0000AA010000}"/>
    <cellStyle name="Percent 2" xfId="5" xr:uid="{00000000-0005-0000-0000-0000AB010000}"/>
    <cellStyle name="Percent 2 2" xfId="6" xr:uid="{00000000-0005-0000-0000-0000AC010000}"/>
    <cellStyle name="Percent 2 2 6" xfId="589" xr:uid="{00000000-0005-0000-0000-0000AD010000}"/>
    <cellStyle name="Percent 2 3" xfId="387" xr:uid="{00000000-0005-0000-0000-0000AE010000}"/>
    <cellStyle name="Percent 2 3 2" xfId="493" xr:uid="{00000000-0005-0000-0000-0000AF010000}"/>
    <cellStyle name="Percent 2 4" xfId="494" xr:uid="{00000000-0005-0000-0000-0000B0010000}"/>
    <cellStyle name="Percent 27" xfId="597" xr:uid="{00000000-0005-0000-0000-0000B1010000}"/>
    <cellStyle name="Percent 3" xfId="388" xr:uid="{00000000-0005-0000-0000-0000B2010000}"/>
    <cellStyle name="Percent 3 2" xfId="389" xr:uid="{00000000-0005-0000-0000-0000B3010000}"/>
    <cellStyle name="Percent 3 3" xfId="390" xr:uid="{00000000-0005-0000-0000-0000B4010000}"/>
    <cellStyle name="Percent 4" xfId="391" xr:uid="{00000000-0005-0000-0000-0000B5010000}"/>
    <cellStyle name="Percent 4 2" xfId="495" xr:uid="{00000000-0005-0000-0000-0000B6010000}"/>
    <cellStyle name="Percent 4 2 2" xfId="610" xr:uid="{00000000-0005-0000-0000-0000B7010000}"/>
    <cellStyle name="Percent 4 3" xfId="603" xr:uid="{00000000-0005-0000-0000-0000B8010000}"/>
    <cellStyle name="Percent 5" xfId="392" xr:uid="{00000000-0005-0000-0000-0000B9010000}"/>
    <cellStyle name="Percent 5 2" xfId="496" xr:uid="{00000000-0005-0000-0000-0000BA010000}"/>
    <cellStyle name="Percent 6" xfId="393" xr:uid="{00000000-0005-0000-0000-0000BB010000}"/>
    <cellStyle name="Percent 7" xfId="431" xr:uid="{00000000-0005-0000-0000-0000BC010000}"/>
    <cellStyle name="Percent 7 2" xfId="497" xr:uid="{00000000-0005-0000-0000-0000BD010000}"/>
    <cellStyle name="Percent 7 2 2 2" xfId="590" xr:uid="{00000000-0005-0000-0000-0000BE010000}"/>
    <cellStyle name="Percent 8" xfId="435" xr:uid="{00000000-0005-0000-0000-0000BF010000}"/>
    <cellStyle name="Percent 8 2" xfId="437" xr:uid="{00000000-0005-0000-0000-0000C0010000}"/>
    <cellStyle name="Percent 9" xfId="441" xr:uid="{00000000-0005-0000-0000-0000C1010000}"/>
    <cellStyle name="Percent 9 2" xfId="498" xr:uid="{00000000-0005-0000-0000-0000C2010000}"/>
    <cellStyle name="Percent 9 3" xfId="499" xr:uid="{00000000-0005-0000-0000-0000C3010000}"/>
    <cellStyle name="PERCENTAGE" xfId="245" xr:uid="{00000000-0005-0000-0000-0000C4010000}"/>
    <cellStyle name="PrePop Currency (0)" xfId="246" xr:uid="{00000000-0005-0000-0000-0000C5010000}"/>
    <cellStyle name="PrePop Currency (2)" xfId="247" xr:uid="{00000000-0005-0000-0000-0000C6010000}"/>
    <cellStyle name="PrePop Units (0)" xfId="248" xr:uid="{00000000-0005-0000-0000-0000C7010000}"/>
    <cellStyle name="PrePop Units (1)" xfId="249" xr:uid="{00000000-0005-0000-0000-0000C8010000}"/>
    <cellStyle name="PrePop Units (2)" xfId="250" xr:uid="{00000000-0005-0000-0000-0000C9010000}"/>
    <cellStyle name="pricing" xfId="251" xr:uid="{00000000-0005-0000-0000-0000CA010000}"/>
    <cellStyle name="PSChar" xfId="252" xr:uid="{00000000-0005-0000-0000-0000CB010000}"/>
    <cellStyle name="PSDate" xfId="253" xr:uid="{00000000-0005-0000-0000-0000CC010000}"/>
    <cellStyle name="PSDec" xfId="254" xr:uid="{00000000-0005-0000-0000-0000CD010000}"/>
    <cellStyle name="PSHeading" xfId="255" xr:uid="{00000000-0005-0000-0000-0000CE010000}"/>
    <cellStyle name="PSInt" xfId="256" xr:uid="{00000000-0005-0000-0000-0000CF010000}"/>
    <cellStyle name="PSSpacer" xfId="257" xr:uid="{00000000-0005-0000-0000-0000D0010000}"/>
    <cellStyle name="S—_x0008_" xfId="258" xr:uid="{00000000-0005-0000-0000-0000D1010000}"/>
    <cellStyle name="s1" xfId="259" xr:uid="{00000000-0005-0000-0000-0000D2010000}"/>
    <cellStyle name="SMALL HEADER" xfId="500" xr:uid="{00000000-0005-0000-0000-0000D3010000}"/>
    <cellStyle name="Standard_Anpassen der Amortisation" xfId="260" xr:uid="{00000000-0005-0000-0000-0000D4010000}"/>
    <cellStyle name="Style 1" xfId="261" xr:uid="{00000000-0005-0000-0000-0000D5010000}"/>
    <cellStyle name="Style 10" xfId="262" xr:uid="{00000000-0005-0000-0000-0000D6010000}"/>
    <cellStyle name="Style 11" xfId="263" xr:uid="{00000000-0005-0000-0000-0000D7010000}"/>
    <cellStyle name="Style 12" xfId="264" xr:uid="{00000000-0005-0000-0000-0000D8010000}"/>
    <cellStyle name="Style 13" xfId="265" xr:uid="{00000000-0005-0000-0000-0000D9010000}"/>
    <cellStyle name="Style 14" xfId="266" xr:uid="{00000000-0005-0000-0000-0000DA010000}"/>
    <cellStyle name="Style 15" xfId="267" xr:uid="{00000000-0005-0000-0000-0000DB010000}"/>
    <cellStyle name="Style 16" xfId="268" xr:uid="{00000000-0005-0000-0000-0000DC010000}"/>
    <cellStyle name="Style 17" xfId="269" xr:uid="{00000000-0005-0000-0000-0000DD010000}"/>
    <cellStyle name="Style 18" xfId="270" xr:uid="{00000000-0005-0000-0000-0000DE010000}"/>
    <cellStyle name="Style 19" xfId="271" xr:uid="{00000000-0005-0000-0000-0000DF010000}"/>
    <cellStyle name="Style 2" xfId="272" xr:uid="{00000000-0005-0000-0000-0000E0010000}"/>
    <cellStyle name="Style 20" xfId="273" xr:uid="{00000000-0005-0000-0000-0000E1010000}"/>
    <cellStyle name="Style 21" xfId="274" xr:uid="{00000000-0005-0000-0000-0000E2010000}"/>
    <cellStyle name="Style 22" xfId="275" xr:uid="{00000000-0005-0000-0000-0000E3010000}"/>
    <cellStyle name="Style 23" xfId="276" xr:uid="{00000000-0005-0000-0000-0000E4010000}"/>
    <cellStyle name="Style 24" xfId="277" xr:uid="{00000000-0005-0000-0000-0000E5010000}"/>
    <cellStyle name="Style 25" xfId="278" xr:uid="{00000000-0005-0000-0000-0000E6010000}"/>
    <cellStyle name="Style 26" xfId="279" xr:uid="{00000000-0005-0000-0000-0000E7010000}"/>
    <cellStyle name="Style 27" xfId="280" xr:uid="{00000000-0005-0000-0000-0000E8010000}"/>
    <cellStyle name="Style 3" xfId="281" xr:uid="{00000000-0005-0000-0000-0000E9010000}"/>
    <cellStyle name="Style 4" xfId="282" xr:uid="{00000000-0005-0000-0000-0000EA010000}"/>
    <cellStyle name="Style 5" xfId="283" xr:uid="{00000000-0005-0000-0000-0000EB010000}"/>
    <cellStyle name="Style 6" xfId="284" xr:uid="{00000000-0005-0000-0000-0000EC010000}"/>
    <cellStyle name="Style 7" xfId="285" xr:uid="{00000000-0005-0000-0000-0000ED010000}"/>
    <cellStyle name="Style 8" xfId="286" xr:uid="{00000000-0005-0000-0000-0000EE010000}"/>
    <cellStyle name="Style 9" xfId="287" xr:uid="{00000000-0005-0000-0000-0000EF010000}"/>
    <cellStyle name="Style Date" xfId="288" xr:uid="{00000000-0005-0000-0000-0000F0010000}"/>
    <cellStyle name="subhead" xfId="289" xr:uid="{00000000-0005-0000-0000-0000F1010000}"/>
    <cellStyle name="T" xfId="290" xr:uid="{00000000-0005-0000-0000-0000F2010000}"/>
    <cellStyle name="T 2" xfId="501" xr:uid="{00000000-0005-0000-0000-0000F3010000}"/>
    <cellStyle name="T_Bao cao kttb milk yomilkYAO-mien bac" xfId="291" xr:uid="{00000000-0005-0000-0000-0000F4010000}"/>
    <cellStyle name="T_Bao cao kttb milk yomilkYAO-mien bac 2" xfId="502" xr:uid="{00000000-0005-0000-0000-0000F5010000}"/>
    <cellStyle name="T_bc_km_ngay" xfId="292" xr:uid="{00000000-0005-0000-0000-0000F6010000}"/>
    <cellStyle name="T_bc_km_ngay 2" xfId="503" xr:uid="{00000000-0005-0000-0000-0000F7010000}"/>
    <cellStyle name="T_Book1" xfId="293" xr:uid="{00000000-0005-0000-0000-0000F8010000}"/>
    <cellStyle name="T_Book1 2" xfId="504" xr:uid="{00000000-0005-0000-0000-0000F9010000}"/>
    <cellStyle name="T_Cac bao cao TB  Milk-Yomilk-co Ke- CK 1-Vinh Thang" xfId="294" xr:uid="{00000000-0005-0000-0000-0000FA010000}"/>
    <cellStyle name="T_Cac bao cao TB  Milk-Yomilk-co Ke- CK 1-Vinh Thang 2" xfId="505" xr:uid="{00000000-0005-0000-0000-0000FB010000}"/>
    <cellStyle name="T_cham diem Milk chu ky2-ANH MINH" xfId="295" xr:uid="{00000000-0005-0000-0000-0000FC010000}"/>
    <cellStyle name="T_cham diem Milk chu ky2-ANH MINH 2" xfId="506" xr:uid="{00000000-0005-0000-0000-0000FD010000}"/>
    <cellStyle name="T_cham trung bay ck 1 m.Bac milk co ke 2" xfId="296" xr:uid="{00000000-0005-0000-0000-0000FE010000}"/>
    <cellStyle name="T_cham trung bay ck 1 m.Bac milk co ke 2 2" xfId="507" xr:uid="{00000000-0005-0000-0000-0000FF010000}"/>
    <cellStyle name="T_cham trung bay yao smart milk ck 2 mien Bac" xfId="297" xr:uid="{00000000-0005-0000-0000-000000020000}"/>
    <cellStyle name="T_cham trung bay yao smart milk ck 2 mien Bac 2" xfId="508" xr:uid="{00000000-0005-0000-0000-000001020000}"/>
    <cellStyle name="T_CT338" xfId="298" xr:uid="{00000000-0005-0000-0000-000002020000}"/>
    <cellStyle name="T_CT338 2" xfId="509" xr:uid="{00000000-0005-0000-0000-000003020000}"/>
    <cellStyle name="T_danh sach chua nop bcao trung bay sua chua  tinh den 1-3-06" xfId="299" xr:uid="{00000000-0005-0000-0000-000004020000}"/>
    <cellStyle name="T_danh sach chua nop bcao trung bay sua chua  tinh den 1-3-06 2" xfId="510" xr:uid="{00000000-0005-0000-0000-000005020000}"/>
    <cellStyle name="T_Danh sach KH TB MilkYomilk Yao  Smart chu ky 2-Vinh Thang" xfId="300" xr:uid="{00000000-0005-0000-0000-000006020000}"/>
    <cellStyle name="T_Danh sach KH TB MilkYomilk Yao  Smart chu ky 2-Vinh Thang 2" xfId="511" xr:uid="{00000000-0005-0000-0000-000007020000}"/>
    <cellStyle name="T_Danh sach KH trung bay MilkYomilk co ke chu ky 2-Vinh Thang" xfId="301" xr:uid="{00000000-0005-0000-0000-000008020000}"/>
    <cellStyle name="T_Danh sach KH trung bay MilkYomilk co ke chu ky 2-Vinh Thang 2" xfId="512" xr:uid="{00000000-0005-0000-0000-000009020000}"/>
    <cellStyle name="T_DSACH MILK YO MILK CK 2 M.BAC" xfId="302" xr:uid="{00000000-0005-0000-0000-00000A020000}"/>
    <cellStyle name="T_DSACH MILK YO MILK CK 2 M.BAC 2" xfId="513" xr:uid="{00000000-0005-0000-0000-00000B020000}"/>
    <cellStyle name="T_DSKH Tbay Milk , Yomilk CK 2 Vu Thi Hanh" xfId="303" xr:uid="{00000000-0005-0000-0000-00000C020000}"/>
    <cellStyle name="T_DSKH Tbay Milk , Yomilk CK 2 Vu Thi Hanh 2" xfId="514" xr:uid="{00000000-0005-0000-0000-00000D020000}"/>
    <cellStyle name="T_form ton kho CK 2 tuan 8" xfId="304" xr:uid="{00000000-0005-0000-0000-00000E020000}"/>
    <cellStyle name="T_form ton kho CK 2 tuan 8 2" xfId="515" xr:uid="{00000000-0005-0000-0000-00000F020000}"/>
    <cellStyle name="T_NPP Khanh Vinh Thai Nguyen - BC KTTB_CTrinh_TB__20_loc__Milk_Yomilk_CK1" xfId="305" xr:uid="{00000000-0005-0000-0000-000010020000}"/>
    <cellStyle name="T_NPP Khanh Vinh Thai Nguyen - BC KTTB_CTrinh_TB__20_loc__Milk_Yomilk_CK1 2" xfId="516" xr:uid="{00000000-0005-0000-0000-000011020000}"/>
    <cellStyle name="T_Sheet1" xfId="306" xr:uid="{00000000-0005-0000-0000-000012020000}"/>
    <cellStyle name="T_Sheet1 2" xfId="517" xr:uid="{00000000-0005-0000-0000-000013020000}"/>
    <cellStyle name="T_sua chua cham trung bay  mien Bac" xfId="307" xr:uid="{00000000-0005-0000-0000-000014020000}"/>
    <cellStyle name="T_sua chua cham trung bay  mien Bac 2" xfId="518" xr:uid="{00000000-0005-0000-0000-000015020000}"/>
    <cellStyle name="T_Working P.P DIAOC3 2006 NTS 13032007" xfId="308" xr:uid="{00000000-0005-0000-0000-000016020000}"/>
    <cellStyle name="T_Working P.P DIAOC3 2006 NTS 13032007 2" xfId="519" xr:uid="{00000000-0005-0000-0000-000017020000}"/>
    <cellStyle name="T_Workingpaper-NTH-120307-DIAOC3" xfId="309" xr:uid="{00000000-0005-0000-0000-000018020000}"/>
    <cellStyle name="T_Workingpaper-NTH-120307-DIAOC3 2" xfId="520" xr:uid="{00000000-0005-0000-0000-000019020000}"/>
    <cellStyle name="Table Head" xfId="422" xr:uid="{00000000-0005-0000-0000-00001A020000}"/>
    <cellStyle name="Table Head Aligned" xfId="423" xr:uid="{00000000-0005-0000-0000-00001B020000}"/>
    <cellStyle name="Table Head Blue" xfId="424" xr:uid="{00000000-0005-0000-0000-00001C020000}"/>
    <cellStyle name="Table Head Green" xfId="425" xr:uid="{00000000-0005-0000-0000-00001D020000}"/>
    <cellStyle name="Table Title" xfId="426" xr:uid="{00000000-0005-0000-0000-00001E020000}"/>
    <cellStyle name="Table Units" xfId="427" xr:uid="{00000000-0005-0000-0000-00001F020000}"/>
    <cellStyle name="Text Indent A" xfId="310" xr:uid="{00000000-0005-0000-0000-000020020000}"/>
    <cellStyle name="Text Indent B" xfId="311" xr:uid="{00000000-0005-0000-0000-000021020000}"/>
    <cellStyle name="Text Indent C" xfId="312" xr:uid="{00000000-0005-0000-0000-000022020000}"/>
    <cellStyle name="th" xfId="313" xr:uid="{00000000-0005-0000-0000-000023020000}"/>
    <cellStyle name="th 2" xfId="521" xr:uid="{00000000-0005-0000-0000-000024020000}"/>
    <cellStyle name="þ_x001d_ð¤_x000c_¯þ_x0014__x000d_¨þU_x0001_À_x0004_ _x0015__x000f__x0001__x0001_" xfId="314" xr:uid="{00000000-0005-0000-0000-000025020000}"/>
    <cellStyle name="þ_x001d_ðK_x000c_Fý_x001b__x000d_9ýU_x0001_Ð_x0008_¦)_x0007__x0001__x0001_" xfId="315" xr:uid="{00000000-0005-0000-0000-000026020000}"/>
    <cellStyle name="unshade" xfId="438" xr:uid="{00000000-0005-0000-0000-000027020000}"/>
    <cellStyle name="viet" xfId="316" xr:uid="{00000000-0005-0000-0000-000028020000}"/>
    <cellStyle name="viet2" xfId="317" xr:uid="{00000000-0005-0000-0000-000029020000}"/>
    <cellStyle name="viet2 2" xfId="522" xr:uid="{00000000-0005-0000-0000-00002A020000}"/>
    <cellStyle name="VN new romanNormal" xfId="318" xr:uid="{00000000-0005-0000-0000-00002B020000}"/>
    <cellStyle name="VN time new roman" xfId="319" xr:uid="{00000000-0005-0000-0000-00002C020000}"/>
    <cellStyle name="vnbo" xfId="320" xr:uid="{00000000-0005-0000-0000-00002D020000}"/>
    <cellStyle name="vnhead1" xfId="321" xr:uid="{00000000-0005-0000-0000-00002E020000}"/>
    <cellStyle name="vnhead1 2" xfId="523" xr:uid="{00000000-0005-0000-0000-00002F020000}"/>
    <cellStyle name="vnhead2" xfId="322" xr:uid="{00000000-0005-0000-0000-000030020000}"/>
    <cellStyle name="vnhead3" xfId="323" xr:uid="{00000000-0005-0000-0000-000031020000}"/>
    <cellStyle name="vnhead4" xfId="324" xr:uid="{00000000-0005-0000-0000-000032020000}"/>
    <cellStyle name="vntxt1" xfId="325" xr:uid="{00000000-0005-0000-0000-000033020000}"/>
    <cellStyle name="vntxt2" xfId="326" xr:uid="{00000000-0005-0000-0000-000034020000}"/>
    <cellStyle name="Währung [0]_68574_Materialbedarfsliste" xfId="328" xr:uid="{00000000-0005-0000-0000-000035020000}"/>
    <cellStyle name="Währung_68574_Materialbedarfsliste" xfId="329" xr:uid="{00000000-0005-0000-0000-000036020000}"/>
    <cellStyle name="X" xfId="330" xr:uid="{00000000-0005-0000-0000-000037020000}"/>
    <cellStyle name="X_Report May final" xfId="331" xr:uid="{00000000-0005-0000-0000-000038020000}"/>
    <cellStyle name="X_SOCAI" xfId="332" xr:uid="{00000000-0005-0000-0000-000039020000}"/>
    <cellStyle name="X_sokho" xfId="333" xr:uid="{00000000-0005-0000-0000-00003A020000}"/>
    <cellStyle name="X_sokho_KEHOACHTRANO" xfId="334" xr:uid="{00000000-0005-0000-0000-00003B020000}"/>
    <cellStyle name="xstyle" xfId="428" xr:uid="{00000000-0005-0000-0000-00003C020000}"/>
    <cellStyle name="xuan" xfId="335" xr:uid="{00000000-0005-0000-0000-00003D020000}"/>
    <cellStyle name="เครื่องหมายสกุลเงิน [0]_FTC_OFFER" xfId="336" xr:uid="{00000000-0005-0000-0000-00003E020000}"/>
    <cellStyle name="เครื่องหมายสกุลเงิน_FTC_OFFER" xfId="337" xr:uid="{00000000-0005-0000-0000-00003F020000}"/>
    <cellStyle name="ปกติ_FTC_OFFER" xfId="338" xr:uid="{00000000-0005-0000-0000-000040020000}"/>
    <cellStyle name=" [0.00]_ Att. 1- Cover" xfId="370" xr:uid="{00000000-0005-0000-0000-000041020000}"/>
    <cellStyle name="_ Att. 1- Cover" xfId="371" xr:uid="{00000000-0005-0000-0000-000042020000}"/>
    <cellStyle name="?_ Att. 1- Cover" xfId="372" xr:uid="{00000000-0005-0000-0000-000043020000}"/>
    <cellStyle name="똿뗦먛귟 [0.00]_PRODUCT DETAIL Q1" xfId="339" xr:uid="{00000000-0005-0000-0000-000044020000}"/>
    <cellStyle name="똿뗦먛귟_PRODUCT DETAIL Q1" xfId="340" xr:uid="{00000000-0005-0000-0000-000045020000}"/>
    <cellStyle name="믅됞 [0.00]_PRODUCT DETAIL Q1" xfId="341" xr:uid="{00000000-0005-0000-0000-000046020000}"/>
    <cellStyle name="믅됞_PRODUCT DETAIL Q1" xfId="342" xr:uid="{00000000-0005-0000-0000-000047020000}"/>
    <cellStyle name="백분율_95" xfId="343" xr:uid="{00000000-0005-0000-0000-000048020000}"/>
    <cellStyle name="뷭?_BOOKSHIP" xfId="344" xr:uid="{00000000-0005-0000-0000-000049020000}"/>
    <cellStyle name="안건회계법인" xfId="345" xr:uid="{00000000-0005-0000-0000-00004A020000}"/>
    <cellStyle name="콤마 [ - 유형1" xfId="349" xr:uid="{00000000-0005-0000-0000-00004B020000}"/>
    <cellStyle name="콤마 [ - 유형2" xfId="350" xr:uid="{00000000-0005-0000-0000-00004C020000}"/>
    <cellStyle name="콤마 [ - 유형3" xfId="351" xr:uid="{00000000-0005-0000-0000-00004D020000}"/>
    <cellStyle name="콤마 [ - 유형4" xfId="352" xr:uid="{00000000-0005-0000-0000-00004E020000}"/>
    <cellStyle name="콤마 [ - 유형5" xfId="353" xr:uid="{00000000-0005-0000-0000-00004F020000}"/>
    <cellStyle name="콤마 [ - 유형6" xfId="354" xr:uid="{00000000-0005-0000-0000-000050020000}"/>
    <cellStyle name="콤마 [ - 유형7" xfId="355" xr:uid="{00000000-0005-0000-0000-000051020000}"/>
    <cellStyle name="콤마 [ - 유형8" xfId="356" xr:uid="{00000000-0005-0000-0000-000052020000}"/>
    <cellStyle name="콤마 [0]_ 비목별 월별기술 " xfId="357" xr:uid="{00000000-0005-0000-0000-000053020000}"/>
    <cellStyle name="콤마_ 비목별 월별기술 " xfId="358" xr:uid="{00000000-0005-0000-0000-000054020000}"/>
    <cellStyle name="통화 [0]_1202" xfId="359" xr:uid="{00000000-0005-0000-0000-000055020000}"/>
    <cellStyle name="통화_1202" xfId="360" xr:uid="{00000000-0005-0000-0000-000056020000}"/>
    <cellStyle name="표준_(정보부문)월별인원계획" xfId="361" xr:uid="{00000000-0005-0000-0000-000057020000}"/>
    <cellStyle name="一般_00Q3902REV.1" xfId="346" xr:uid="{00000000-0005-0000-0000-000058020000}"/>
    <cellStyle name="千分位[0]_00Q3902REV.1" xfId="347" xr:uid="{00000000-0005-0000-0000-000059020000}"/>
    <cellStyle name="千分位_00Q3902REV.1" xfId="348" xr:uid="{00000000-0005-0000-0000-00005A020000}"/>
    <cellStyle name="桁区切り [0.00]_List-dwg瑩畳䵜楡" xfId="362" xr:uid="{00000000-0005-0000-0000-00005B020000}"/>
    <cellStyle name="桁区切り_List-dwgist-" xfId="363" xr:uid="{00000000-0005-0000-0000-00005C020000}"/>
    <cellStyle name="標準_CAP_P001" xfId="364" xr:uid="{00000000-0005-0000-0000-00005D020000}"/>
    <cellStyle name="貨幣 [0]_00Q3902REV.1" xfId="365" xr:uid="{00000000-0005-0000-0000-00005E020000}"/>
    <cellStyle name="貨幣[0]_BRE" xfId="366" xr:uid="{00000000-0005-0000-0000-00005F020000}"/>
    <cellStyle name="貨幣_00Q3902REV.1" xfId="367" xr:uid="{00000000-0005-0000-0000-000060020000}"/>
    <cellStyle name="通貨 [0.00]_List-dwgwg" xfId="368" xr:uid="{00000000-0005-0000-0000-000061020000}"/>
    <cellStyle name="通貨_List-dwgis" xfId="369" xr:uid="{00000000-0005-0000-0000-000062020000}"/>
  </cellStyles>
  <dxfs count="14">
    <dxf>
      <font>
        <color theme="0"/>
      </font>
      <fill>
        <patternFill>
          <bgColor theme="3" tint="-0.24994659260841701"/>
        </patternFill>
      </fill>
    </dxf>
    <dxf>
      <font>
        <color theme="0"/>
      </font>
      <fill>
        <patternFill>
          <bgColor theme="3" tint="-0.24994659260841701"/>
        </patternFill>
      </fill>
    </dxf>
    <dxf>
      <font>
        <color theme="0"/>
      </font>
      <fill>
        <patternFill>
          <bgColor theme="3" tint="-0.24994659260841701"/>
        </patternFill>
      </fill>
    </dxf>
    <dxf>
      <font>
        <color theme="0"/>
      </font>
      <fill>
        <patternFill>
          <bgColor theme="3" tint="-0.24994659260841701"/>
        </patternFill>
      </fill>
    </dxf>
    <dxf>
      <font>
        <color theme="0"/>
      </font>
    </dxf>
    <dxf>
      <font>
        <color theme="0"/>
      </font>
    </dxf>
    <dxf>
      <font>
        <color theme="0"/>
      </font>
    </dxf>
    <dxf>
      <font>
        <color theme="0"/>
      </font>
    </dxf>
    <dxf>
      <font>
        <color theme="7" tint="0.59996337778862885"/>
      </font>
    </dxf>
    <dxf>
      <font>
        <color theme="0"/>
      </font>
    </dxf>
    <dxf>
      <font>
        <color theme="0"/>
      </font>
    </dxf>
    <dxf>
      <font>
        <color theme="0"/>
      </font>
    </dxf>
    <dxf>
      <font>
        <color theme="0"/>
      </font>
    </dxf>
    <dxf>
      <font>
        <color theme="0"/>
      </font>
    </dxf>
  </dxfs>
  <tableStyles count="0" defaultTableStyle="TableStyleMedium9" defaultPivotStyle="PivotStyleLight16"/>
  <colors>
    <mruColors>
      <color rgb="FF3333FF"/>
      <color rgb="FFE5F0ED"/>
      <color rgb="FF006847"/>
      <color rgb="FF0000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externalLink" Target="externalLinks/externalLink3.xml"/><Relationship Id="rId16" Type="http://schemas.openxmlformats.org/officeDocument/2006/relationships/worksheet" Target="worksheets/sheet16.xml"/><Relationship Id="rId107" Type="http://schemas.openxmlformats.org/officeDocument/2006/relationships/customXml" Target="../customXml/item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4.xml"/><Relationship Id="rId95" Type="http://schemas.openxmlformats.org/officeDocument/2006/relationships/externalLink" Target="externalLinks/externalLink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externalLink" Target="externalLinks/externalLink2.xml"/><Relationship Id="rId91" Type="http://schemas.openxmlformats.org/officeDocument/2006/relationships/externalLink" Target="externalLinks/externalLink5.xml"/><Relationship Id="rId96"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externalLink" Target="externalLinks/externalLink8.xml"/><Relationship Id="rId99" Type="http://schemas.openxmlformats.org/officeDocument/2006/relationships/externalLink" Target="externalLinks/externalLink13.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1.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4.xml"/><Relationship Id="rId105"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7.xml"/><Relationship Id="rId98" Type="http://schemas.openxmlformats.org/officeDocument/2006/relationships/externalLink" Target="externalLinks/externalLink1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charts/_rels/chart1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3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3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4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391675225379644"/>
          <c:y val="3.0858065818695792E-2"/>
          <c:w val="0.81608324774620356"/>
          <c:h val="0.62281619094488194"/>
        </c:manualLayout>
      </c:layout>
      <c:lineChart>
        <c:grouping val="standard"/>
        <c:varyColors val="0"/>
        <c:ser>
          <c:idx val="0"/>
          <c:order val="0"/>
          <c:tx>
            <c:strRef>
              <c:f>Price!$G$15</c:f>
              <c:strCache>
                <c:ptCount val="1"/>
                <c:pt idx="0">
                  <c:v>DXG</c:v>
                </c:pt>
              </c:strCache>
            </c:strRef>
          </c:tx>
          <c:spPr>
            <a:ln w="25400">
              <a:solidFill>
                <a:schemeClr val="accent1">
                  <a:lumMod val="75000"/>
                </a:schemeClr>
              </a:solidFill>
            </a:ln>
          </c:spPr>
          <c:marker>
            <c:symbol val="none"/>
          </c:marker>
          <c:cat>
            <c:numRef>
              <c:f>Price!$B$17:$B$383</c:f>
              <c:numCache>
                <c:formatCode>[$-409]d\-mmm\-yy;@</c:formatCode>
                <c:ptCount val="367"/>
                <c:pt idx="0">
                  <c:v>41473</c:v>
                </c:pt>
                <c:pt idx="1">
                  <c:v>41474</c:v>
                </c:pt>
                <c:pt idx="2">
                  <c:v>41475</c:v>
                </c:pt>
                <c:pt idx="3">
                  <c:v>41476</c:v>
                </c:pt>
                <c:pt idx="4">
                  <c:v>41477</c:v>
                </c:pt>
                <c:pt idx="5">
                  <c:v>41478</c:v>
                </c:pt>
                <c:pt idx="6">
                  <c:v>41479</c:v>
                </c:pt>
                <c:pt idx="7">
                  <c:v>41480</c:v>
                </c:pt>
                <c:pt idx="8">
                  <c:v>41481</c:v>
                </c:pt>
                <c:pt idx="9">
                  <c:v>41482</c:v>
                </c:pt>
                <c:pt idx="10">
                  <c:v>41483</c:v>
                </c:pt>
                <c:pt idx="11">
                  <c:v>41484</c:v>
                </c:pt>
                <c:pt idx="12">
                  <c:v>41485</c:v>
                </c:pt>
                <c:pt idx="13">
                  <c:v>41486</c:v>
                </c:pt>
                <c:pt idx="14">
                  <c:v>41487</c:v>
                </c:pt>
                <c:pt idx="15">
                  <c:v>41488</c:v>
                </c:pt>
                <c:pt idx="16">
                  <c:v>41489</c:v>
                </c:pt>
                <c:pt idx="17">
                  <c:v>41490</c:v>
                </c:pt>
                <c:pt idx="18">
                  <c:v>41491</c:v>
                </c:pt>
                <c:pt idx="19">
                  <c:v>41492</c:v>
                </c:pt>
                <c:pt idx="20">
                  <c:v>41493</c:v>
                </c:pt>
                <c:pt idx="21">
                  <c:v>41494</c:v>
                </c:pt>
                <c:pt idx="22">
                  <c:v>41495</c:v>
                </c:pt>
                <c:pt idx="23">
                  <c:v>41496</c:v>
                </c:pt>
                <c:pt idx="24">
                  <c:v>41497</c:v>
                </c:pt>
                <c:pt idx="25">
                  <c:v>41498</c:v>
                </c:pt>
                <c:pt idx="26">
                  <c:v>41499</c:v>
                </c:pt>
                <c:pt idx="27">
                  <c:v>41500</c:v>
                </c:pt>
                <c:pt idx="28">
                  <c:v>41501</c:v>
                </c:pt>
                <c:pt idx="29">
                  <c:v>41502</c:v>
                </c:pt>
                <c:pt idx="30">
                  <c:v>41503</c:v>
                </c:pt>
                <c:pt idx="31">
                  <c:v>41504</c:v>
                </c:pt>
                <c:pt idx="32">
                  <c:v>41505</c:v>
                </c:pt>
                <c:pt idx="33">
                  <c:v>41506</c:v>
                </c:pt>
                <c:pt idx="34">
                  <c:v>41507</c:v>
                </c:pt>
                <c:pt idx="35">
                  <c:v>41508</c:v>
                </c:pt>
                <c:pt idx="36">
                  <c:v>41509</c:v>
                </c:pt>
                <c:pt idx="37">
                  <c:v>41510</c:v>
                </c:pt>
                <c:pt idx="38">
                  <c:v>41511</c:v>
                </c:pt>
                <c:pt idx="39">
                  <c:v>41512</c:v>
                </c:pt>
                <c:pt idx="40">
                  <c:v>41513</c:v>
                </c:pt>
                <c:pt idx="41">
                  <c:v>41514</c:v>
                </c:pt>
                <c:pt idx="42">
                  <c:v>41515</c:v>
                </c:pt>
                <c:pt idx="43">
                  <c:v>41516</c:v>
                </c:pt>
                <c:pt idx="44">
                  <c:v>41517</c:v>
                </c:pt>
                <c:pt idx="45">
                  <c:v>41518</c:v>
                </c:pt>
                <c:pt idx="46">
                  <c:v>41519</c:v>
                </c:pt>
                <c:pt idx="47">
                  <c:v>41520</c:v>
                </c:pt>
                <c:pt idx="48">
                  <c:v>41521</c:v>
                </c:pt>
                <c:pt idx="49">
                  <c:v>41522</c:v>
                </c:pt>
                <c:pt idx="50">
                  <c:v>41523</c:v>
                </c:pt>
                <c:pt idx="51">
                  <c:v>41524</c:v>
                </c:pt>
                <c:pt idx="52">
                  <c:v>41525</c:v>
                </c:pt>
                <c:pt idx="53">
                  <c:v>41526</c:v>
                </c:pt>
                <c:pt idx="54">
                  <c:v>41527</c:v>
                </c:pt>
                <c:pt idx="55">
                  <c:v>41528</c:v>
                </c:pt>
                <c:pt idx="56">
                  <c:v>41529</c:v>
                </c:pt>
                <c:pt idx="57">
                  <c:v>41530</c:v>
                </c:pt>
                <c:pt idx="58">
                  <c:v>41531</c:v>
                </c:pt>
                <c:pt idx="59">
                  <c:v>41532</c:v>
                </c:pt>
                <c:pt idx="60">
                  <c:v>41533</c:v>
                </c:pt>
                <c:pt idx="61">
                  <c:v>41534</c:v>
                </c:pt>
                <c:pt idx="62">
                  <c:v>41535</c:v>
                </c:pt>
                <c:pt idx="63">
                  <c:v>41536</c:v>
                </c:pt>
                <c:pt idx="64">
                  <c:v>41537</c:v>
                </c:pt>
                <c:pt idx="65">
                  <c:v>41538</c:v>
                </c:pt>
                <c:pt idx="66">
                  <c:v>41539</c:v>
                </c:pt>
                <c:pt idx="67">
                  <c:v>41540</c:v>
                </c:pt>
                <c:pt idx="68">
                  <c:v>41541</c:v>
                </c:pt>
                <c:pt idx="69">
                  <c:v>41542</c:v>
                </c:pt>
                <c:pt idx="70">
                  <c:v>41543</c:v>
                </c:pt>
                <c:pt idx="71">
                  <c:v>41544</c:v>
                </c:pt>
                <c:pt idx="72">
                  <c:v>41545</c:v>
                </c:pt>
                <c:pt idx="73">
                  <c:v>41546</c:v>
                </c:pt>
                <c:pt idx="74">
                  <c:v>41547</c:v>
                </c:pt>
                <c:pt idx="75">
                  <c:v>41548</c:v>
                </c:pt>
                <c:pt idx="76">
                  <c:v>41549</c:v>
                </c:pt>
                <c:pt idx="77">
                  <c:v>41550</c:v>
                </c:pt>
                <c:pt idx="78">
                  <c:v>41551</c:v>
                </c:pt>
                <c:pt idx="79">
                  <c:v>41552</c:v>
                </c:pt>
                <c:pt idx="80">
                  <c:v>41553</c:v>
                </c:pt>
                <c:pt idx="81">
                  <c:v>41554</c:v>
                </c:pt>
                <c:pt idx="82">
                  <c:v>41555</c:v>
                </c:pt>
                <c:pt idx="83">
                  <c:v>41556</c:v>
                </c:pt>
                <c:pt idx="84">
                  <c:v>41557</c:v>
                </c:pt>
                <c:pt idx="85">
                  <c:v>41558</c:v>
                </c:pt>
                <c:pt idx="86">
                  <c:v>41559</c:v>
                </c:pt>
                <c:pt idx="87">
                  <c:v>41560</c:v>
                </c:pt>
                <c:pt idx="88">
                  <c:v>41561</c:v>
                </c:pt>
                <c:pt idx="89">
                  <c:v>41562</c:v>
                </c:pt>
                <c:pt idx="90">
                  <c:v>41563</c:v>
                </c:pt>
                <c:pt idx="91">
                  <c:v>41564</c:v>
                </c:pt>
                <c:pt idx="92">
                  <c:v>41565</c:v>
                </c:pt>
                <c:pt idx="93">
                  <c:v>41566</c:v>
                </c:pt>
                <c:pt idx="94">
                  <c:v>41567</c:v>
                </c:pt>
                <c:pt idx="95">
                  <c:v>41568</c:v>
                </c:pt>
                <c:pt idx="96">
                  <c:v>41569</c:v>
                </c:pt>
                <c:pt idx="97">
                  <c:v>41570</c:v>
                </c:pt>
                <c:pt idx="98">
                  <c:v>41571</c:v>
                </c:pt>
                <c:pt idx="99">
                  <c:v>41572</c:v>
                </c:pt>
                <c:pt idx="100">
                  <c:v>41573</c:v>
                </c:pt>
                <c:pt idx="101">
                  <c:v>41574</c:v>
                </c:pt>
                <c:pt idx="102">
                  <c:v>41575</c:v>
                </c:pt>
                <c:pt idx="103">
                  <c:v>41576</c:v>
                </c:pt>
                <c:pt idx="104">
                  <c:v>41577</c:v>
                </c:pt>
                <c:pt idx="105">
                  <c:v>41578</c:v>
                </c:pt>
                <c:pt idx="106">
                  <c:v>41579</c:v>
                </c:pt>
                <c:pt idx="107">
                  <c:v>41580</c:v>
                </c:pt>
                <c:pt idx="108">
                  <c:v>41581</c:v>
                </c:pt>
                <c:pt idx="109">
                  <c:v>41582</c:v>
                </c:pt>
                <c:pt idx="110">
                  <c:v>41583</c:v>
                </c:pt>
                <c:pt idx="111">
                  <c:v>41584</c:v>
                </c:pt>
                <c:pt idx="112">
                  <c:v>41585</c:v>
                </c:pt>
                <c:pt idx="113">
                  <c:v>41586</c:v>
                </c:pt>
                <c:pt idx="114">
                  <c:v>41587</c:v>
                </c:pt>
                <c:pt idx="115">
                  <c:v>41588</c:v>
                </c:pt>
                <c:pt idx="116">
                  <c:v>41589</c:v>
                </c:pt>
                <c:pt idx="117">
                  <c:v>41590</c:v>
                </c:pt>
                <c:pt idx="118">
                  <c:v>41591</c:v>
                </c:pt>
                <c:pt idx="119">
                  <c:v>41592</c:v>
                </c:pt>
                <c:pt idx="120">
                  <c:v>41593</c:v>
                </c:pt>
                <c:pt idx="121">
                  <c:v>41594</c:v>
                </c:pt>
                <c:pt idx="122">
                  <c:v>41595</c:v>
                </c:pt>
                <c:pt idx="123">
                  <c:v>41596</c:v>
                </c:pt>
                <c:pt idx="124">
                  <c:v>41597</c:v>
                </c:pt>
                <c:pt idx="125">
                  <c:v>41598</c:v>
                </c:pt>
                <c:pt idx="126">
                  <c:v>41599</c:v>
                </c:pt>
                <c:pt idx="127">
                  <c:v>41600</c:v>
                </c:pt>
                <c:pt idx="128">
                  <c:v>41601</c:v>
                </c:pt>
                <c:pt idx="129">
                  <c:v>41602</c:v>
                </c:pt>
                <c:pt idx="130">
                  <c:v>41603</c:v>
                </c:pt>
                <c:pt idx="131">
                  <c:v>41604</c:v>
                </c:pt>
                <c:pt idx="132">
                  <c:v>41605</c:v>
                </c:pt>
                <c:pt idx="133">
                  <c:v>41606</c:v>
                </c:pt>
                <c:pt idx="134">
                  <c:v>41607</c:v>
                </c:pt>
                <c:pt idx="135">
                  <c:v>41608</c:v>
                </c:pt>
                <c:pt idx="136">
                  <c:v>41609</c:v>
                </c:pt>
                <c:pt idx="137">
                  <c:v>41610</c:v>
                </c:pt>
                <c:pt idx="138">
                  <c:v>41611</c:v>
                </c:pt>
                <c:pt idx="139">
                  <c:v>41612</c:v>
                </c:pt>
                <c:pt idx="140">
                  <c:v>41613</c:v>
                </c:pt>
                <c:pt idx="141">
                  <c:v>41614</c:v>
                </c:pt>
                <c:pt idx="142">
                  <c:v>41615</c:v>
                </c:pt>
                <c:pt idx="143">
                  <c:v>41616</c:v>
                </c:pt>
                <c:pt idx="144">
                  <c:v>41617</c:v>
                </c:pt>
                <c:pt idx="145">
                  <c:v>41618</c:v>
                </c:pt>
                <c:pt idx="146">
                  <c:v>41619</c:v>
                </c:pt>
                <c:pt idx="147">
                  <c:v>41620</c:v>
                </c:pt>
                <c:pt idx="148">
                  <c:v>41621</c:v>
                </c:pt>
                <c:pt idx="149">
                  <c:v>41622</c:v>
                </c:pt>
                <c:pt idx="150">
                  <c:v>41623</c:v>
                </c:pt>
                <c:pt idx="151">
                  <c:v>41624</c:v>
                </c:pt>
                <c:pt idx="152">
                  <c:v>41625</c:v>
                </c:pt>
                <c:pt idx="153">
                  <c:v>41626</c:v>
                </c:pt>
                <c:pt idx="154">
                  <c:v>41627</c:v>
                </c:pt>
                <c:pt idx="155">
                  <c:v>41628</c:v>
                </c:pt>
                <c:pt idx="156">
                  <c:v>41629</c:v>
                </c:pt>
                <c:pt idx="157">
                  <c:v>41630</c:v>
                </c:pt>
                <c:pt idx="158">
                  <c:v>41631</c:v>
                </c:pt>
                <c:pt idx="159">
                  <c:v>41632</c:v>
                </c:pt>
                <c:pt idx="160">
                  <c:v>41633</c:v>
                </c:pt>
                <c:pt idx="161">
                  <c:v>41634</c:v>
                </c:pt>
                <c:pt idx="162">
                  <c:v>41635</c:v>
                </c:pt>
                <c:pt idx="163">
                  <c:v>41636</c:v>
                </c:pt>
                <c:pt idx="164">
                  <c:v>41637</c:v>
                </c:pt>
                <c:pt idx="165">
                  <c:v>41638</c:v>
                </c:pt>
                <c:pt idx="166">
                  <c:v>41639</c:v>
                </c:pt>
                <c:pt idx="167">
                  <c:v>41640</c:v>
                </c:pt>
                <c:pt idx="168">
                  <c:v>41641</c:v>
                </c:pt>
                <c:pt idx="169">
                  <c:v>41642</c:v>
                </c:pt>
                <c:pt idx="170">
                  <c:v>41643</c:v>
                </c:pt>
                <c:pt idx="171">
                  <c:v>41644</c:v>
                </c:pt>
                <c:pt idx="172">
                  <c:v>41645</c:v>
                </c:pt>
                <c:pt idx="173">
                  <c:v>41646</c:v>
                </c:pt>
                <c:pt idx="174">
                  <c:v>41647</c:v>
                </c:pt>
                <c:pt idx="175">
                  <c:v>41648</c:v>
                </c:pt>
                <c:pt idx="176">
                  <c:v>41649</c:v>
                </c:pt>
                <c:pt idx="177">
                  <c:v>41650</c:v>
                </c:pt>
                <c:pt idx="178">
                  <c:v>41651</c:v>
                </c:pt>
                <c:pt idx="179">
                  <c:v>41652</c:v>
                </c:pt>
                <c:pt idx="180">
                  <c:v>41653</c:v>
                </c:pt>
                <c:pt idx="181">
                  <c:v>41654</c:v>
                </c:pt>
                <c:pt idx="182">
                  <c:v>41655</c:v>
                </c:pt>
                <c:pt idx="183">
                  <c:v>41656</c:v>
                </c:pt>
                <c:pt idx="184">
                  <c:v>41657</c:v>
                </c:pt>
                <c:pt idx="185">
                  <c:v>41658</c:v>
                </c:pt>
                <c:pt idx="186">
                  <c:v>41659</c:v>
                </c:pt>
                <c:pt idx="187">
                  <c:v>41660</c:v>
                </c:pt>
                <c:pt idx="188">
                  <c:v>41661</c:v>
                </c:pt>
                <c:pt idx="189">
                  <c:v>41662</c:v>
                </c:pt>
                <c:pt idx="190">
                  <c:v>41663</c:v>
                </c:pt>
                <c:pt idx="191">
                  <c:v>41664</c:v>
                </c:pt>
                <c:pt idx="192">
                  <c:v>41665</c:v>
                </c:pt>
                <c:pt idx="193">
                  <c:v>41666</c:v>
                </c:pt>
                <c:pt idx="194">
                  <c:v>41667</c:v>
                </c:pt>
                <c:pt idx="195">
                  <c:v>41668</c:v>
                </c:pt>
                <c:pt idx="196">
                  <c:v>41669</c:v>
                </c:pt>
                <c:pt idx="197">
                  <c:v>41670</c:v>
                </c:pt>
                <c:pt idx="198">
                  <c:v>41671</c:v>
                </c:pt>
                <c:pt idx="199">
                  <c:v>41672</c:v>
                </c:pt>
                <c:pt idx="200">
                  <c:v>41673</c:v>
                </c:pt>
                <c:pt idx="201">
                  <c:v>41674</c:v>
                </c:pt>
                <c:pt idx="202">
                  <c:v>41675</c:v>
                </c:pt>
                <c:pt idx="203">
                  <c:v>41676</c:v>
                </c:pt>
                <c:pt idx="204">
                  <c:v>41677</c:v>
                </c:pt>
                <c:pt idx="205">
                  <c:v>41678</c:v>
                </c:pt>
                <c:pt idx="206">
                  <c:v>41679</c:v>
                </c:pt>
                <c:pt idx="207">
                  <c:v>41680</c:v>
                </c:pt>
                <c:pt idx="208">
                  <c:v>41681</c:v>
                </c:pt>
                <c:pt idx="209">
                  <c:v>41682</c:v>
                </c:pt>
                <c:pt idx="210">
                  <c:v>41683</c:v>
                </c:pt>
                <c:pt idx="211">
                  <c:v>41684</c:v>
                </c:pt>
                <c:pt idx="212">
                  <c:v>41685</c:v>
                </c:pt>
                <c:pt idx="213">
                  <c:v>41686</c:v>
                </c:pt>
                <c:pt idx="214">
                  <c:v>41687</c:v>
                </c:pt>
                <c:pt idx="215">
                  <c:v>41688</c:v>
                </c:pt>
                <c:pt idx="216">
                  <c:v>41689</c:v>
                </c:pt>
                <c:pt idx="217">
                  <c:v>41690</c:v>
                </c:pt>
                <c:pt idx="218">
                  <c:v>41691</c:v>
                </c:pt>
                <c:pt idx="219">
                  <c:v>41692</c:v>
                </c:pt>
                <c:pt idx="220">
                  <c:v>41693</c:v>
                </c:pt>
                <c:pt idx="221">
                  <c:v>41694</c:v>
                </c:pt>
                <c:pt idx="222">
                  <c:v>41695</c:v>
                </c:pt>
                <c:pt idx="223">
                  <c:v>41696</c:v>
                </c:pt>
                <c:pt idx="224">
                  <c:v>41697</c:v>
                </c:pt>
                <c:pt idx="225">
                  <c:v>41698</c:v>
                </c:pt>
                <c:pt idx="226">
                  <c:v>41699</c:v>
                </c:pt>
                <c:pt idx="227">
                  <c:v>41700</c:v>
                </c:pt>
                <c:pt idx="228">
                  <c:v>41701</c:v>
                </c:pt>
                <c:pt idx="229">
                  <c:v>41702</c:v>
                </c:pt>
                <c:pt idx="230">
                  <c:v>41703</c:v>
                </c:pt>
                <c:pt idx="231">
                  <c:v>41704</c:v>
                </c:pt>
                <c:pt idx="232">
                  <c:v>41705</c:v>
                </c:pt>
                <c:pt idx="233">
                  <c:v>41706</c:v>
                </c:pt>
                <c:pt idx="234">
                  <c:v>41707</c:v>
                </c:pt>
                <c:pt idx="235">
                  <c:v>41708</c:v>
                </c:pt>
                <c:pt idx="236">
                  <c:v>41709</c:v>
                </c:pt>
                <c:pt idx="237">
                  <c:v>41710</c:v>
                </c:pt>
                <c:pt idx="238">
                  <c:v>41711</c:v>
                </c:pt>
                <c:pt idx="239">
                  <c:v>41712</c:v>
                </c:pt>
                <c:pt idx="240">
                  <c:v>41713</c:v>
                </c:pt>
                <c:pt idx="241">
                  <c:v>41714</c:v>
                </c:pt>
                <c:pt idx="242">
                  <c:v>41715</c:v>
                </c:pt>
                <c:pt idx="243">
                  <c:v>41716</c:v>
                </c:pt>
                <c:pt idx="244">
                  <c:v>41717</c:v>
                </c:pt>
                <c:pt idx="245">
                  <c:v>41718</c:v>
                </c:pt>
                <c:pt idx="246">
                  <c:v>41719</c:v>
                </c:pt>
                <c:pt idx="247">
                  <c:v>41720</c:v>
                </c:pt>
                <c:pt idx="248">
                  <c:v>41721</c:v>
                </c:pt>
                <c:pt idx="249">
                  <c:v>41722</c:v>
                </c:pt>
                <c:pt idx="250">
                  <c:v>41723</c:v>
                </c:pt>
                <c:pt idx="251">
                  <c:v>41724</c:v>
                </c:pt>
                <c:pt idx="252">
                  <c:v>41725</c:v>
                </c:pt>
                <c:pt idx="253">
                  <c:v>41726</c:v>
                </c:pt>
                <c:pt idx="254">
                  <c:v>41727</c:v>
                </c:pt>
                <c:pt idx="255">
                  <c:v>41728</c:v>
                </c:pt>
                <c:pt idx="256">
                  <c:v>41729</c:v>
                </c:pt>
                <c:pt idx="257">
                  <c:v>41730</c:v>
                </c:pt>
                <c:pt idx="258">
                  <c:v>41731</c:v>
                </c:pt>
                <c:pt idx="259">
                  <c:v>41732</c:v>
                </c:pt>
                <c:pt idx="260">
                  <c:v>41733</c:v>
                </c:pt>
                <c:pt idx="261">
                  <c:v>41734</c:v>
                </c:pt>
                <c:pt idx="262">
                  <c:v>41735</c:v>
                </c:pt>
                <c:pt idx="263">
                  <c:v>41736</c:v>
                </c:pt>
                <c:pt idx="264">
                  <c:v>41737</c:v>
                </c:pt>
                <c:pt idx="265">
                  <c:v>41738</c:v>
                </c:pt>
                <c:pt idx="266">
                  <c:v>41739</c:v>
                </c:pt>
                <c:pt idx="267">
                  <c:v>41740</c:v>
                </c:pt>
                <c:pt idx="268">
                  <c:v>41741</c:v>
                </c:pt>
                <c:pt idx="269">
                  <c:v>41742</c:v>
                </c:pt>
                <c:pt idx="270">
                  <c:v>41743</c:v>
                </c:pt>
                <c:pt idx="271">
                  <c:v>41744</c:v>
                </c:pt>
                <c:pt idx="272">
                  <c:v>41745</c:v>
                </c:pt>
                <c:pt idx="273">
                  <c:v>41746</c:v>
                </c:pt>
                <c:pt idx="274">
                  <c:v>41747</c:v>
                </c:pt>
                <c:pt idx="275">
                  <c:v>41748</c:v>
                </c:pt>
                <c:pt idx="276">
                  <c:v>41749</c:v>
                </c:pt>
                <c:pt idx="277">
                  <c:v>41750</c:v>
                </c:pt>
                <c:pt idx="278">
                  <c:v>41751</c:v>
                </c:pt>
                <c:pt idx="279">
                  <c:v>41752</c:v>
                </c:pt>
                <c:pt idx="280">
                  <c:v>41753</c:v>
                </c:pt>
                <c:pt idx="281">
                  <c:v>41754</c:v>
                </c:pt>
                <c:pt idx="282">
                  <c:v>41755</c:v>
                </c:pt>
                <c:pt idx="283">
                  <c:v>41756</c:v>
                </c:pt>
                <c:pt idx="284">
                  <c:v>41757</c:v>
                </c:pt>
                <c:pt idx="285">
                  <c:v>41758</c:v>
                </c:pt>
                <c:pt idx="286">
                  <c:v>41759</c:v>
                </c:pt>
                <c:pt idx="287">
                  <c:v>41760</c:v>
                </c:pt>
                <c:pt idx="288">
                  <c:v>41761</c:v>
                </c:pt>
                <c:pt idx="289">
                  <c:v>41762</c:v>
                </c:pt>
                <c:pt idx="290">
                  <c:v>41763</c:v>
                </c:pt>
                <c:pt idx="291">
                  <c:v>41764</c:v>
                </c:pt>
                <c:pt idx="292">
                  <c:v>41765</c:v>
                </c:pt>
                <c:pt idx="293">
                  <c:v>41766</c:v>
                </c:pt>
                <c:pt idx="294">
                  <c:v>41767</c:v>
                </c:pt>
                <c:pt idx="295">
                  <c:v>41768</c:v>
                </c:pt>
                <c:pt idx="296">
                  <c:v>41769</c:v>
                </c:pt>
                <c:pt idx="297">
                  <c:v>41770</c:v>
                </c:pt>
                <c:pt idx="298">
                  <c:v>41771</c:v>
                </c:pt>
                <c:pt idx="299">
                  <c:v>41772</c:v>
                </c:pt>
                <c:pt idx="300">
                  <c:v>41773</c:v>
                </c:pt>
                <c:pt idx="301">
                  <c:v>41774</c:v>
                </c:pt>
                <c:pt idx="302">
                  <c:v>41775</c:v>
                </c:pt>
                <c:pt idx="303">
                  <c:v>41776</c:v>
                </c:pt>
                <c:pt idx="304">
                  <c:v>41777</c:v>
                </c:pt>
                <c:pt idx="305">
                  <c:v>41778</c:v>
                </c:pt>
                <c:pt idx="306">
                  <c:v>41779</c:v>
                </c:pt>
                <c:pt idx="307">
                  <c:v>41780</c:v>
                </c:pt>
                <c:pt idx="308">
                  <c:v>41781</c:v>
                </c:pt>
                <c:pt idx="309">
                  <c:v>41782</c:v>
                </c:pt>
                <c:pt idx="310">
                  <c:v>41783</c:v>
                </c:pt>
                <c:pt idx="311">
                  <c:v>41784</c:v>
                </c:pt>
                <c:pt idx="312">
                  <c:v>41785</c:v>
                </c:pt>
                <c:pt idx="313">
                  <c:v>41786</c:v>
                </c:pt>
                <c:pt idx="314">
                  <c:v>41787</c:v>
                </c:pt>
                <c:pt idx="315">
                  <c:v>41788</c:v>
                </c:pt>
                <c:pt idx="316">
                  <c:v>41789</c:v>
                </c:pt>
                <c:pt idx="317">
                  <c:v>41790</c:v>
                </c:pt>
                <c:pt idx="318">
                  <c:v>41791</c:v>
                </c:pt>
                <c:pt idx="319">
                  <c:v>41792</c:v>
                </c:pt>
                <c:pt idx="320">
                  <c:v>41793</c:v>
                </c:pt>
                <c:pt idx="321">
                  <c:v>41794</c:v>
                </c:pt>
                <c:pt idx="322">
                  <c:v>41795</c:v>
                </c:pt>
                <c:pt idx="323">
                  <c:v>41796</c:v>
                </c:pt>
                <c:pt idx="324">
                  <c:v>41797</c:v>
                </c:pt>
                <c:pt idx="325">
                  <c:v>41798</c:v>
                </c:pt>
                <c:pt idx="326">
                  <c:v>41799</c:v>
                </c:pt>
                <c:pt idx="327">
                  <c:v>41800</c:v>
                </c:pt>
                <c:pt idx="328">
                  <c:v>41801</c:v>
                </c:pt>
                <c:pt idx="329">
                  <c:v>41802</c:v>
                </c:pt>
                <c:pt idx="330">
                  <c:v>41803</c:v>
                </c:pt>
                <c:pt idx="331">
                  <c:v>41804</c:v>
                </c:pt>
                <c:pt idx="332">
                  <c:v>41805</c:v>
                </c:pt>
                <c:pt idx="333">
                  <c:v>41806</c:v>
                </c:pt>
                <c:pt idx="334">
                  <c:v>41807</c:v>
                </c:pt>
                <c:pt idx="335">
                  <c:v>41808</c:v>
                </c:pt>
                <c:pt idx="336">
                  <c:v>41809</c:v>
                </c:pt>
                <c:pt idx="337">
                  <c:v>41810</c:v>
                </c:pt>
                <c:pt idx="338">
                  <c:v>41811</c:v>
                </c:pt>
                <c:pt idx="339">
                  <c:v>41812</c:v>
                </c:pt>
                <c:pt idx="340">
                  <c:v>41813</c:v>
                </c:pt>
                <c:pt idx="341">
                  <c:v>41814</c:v>
                </c:pt>
                <c:pt idx="342">
                  <c:v>41815</c:v>
                </c:pt>
                <c:pt idx="343">
                  <c:v>41816</c:v>
                </c:pt>
                <c:pt idx="344">
                  <c:v>41817</c:v>
                </c:pt>
                <c:pt idx="345">
                  <c:v>41818</c:v>
                </c:pt>
                <c:pt idx="346">
                  <c:v>41819</c:v>
                </c:pt>
                <c:pt idx="347">
                  <c:v>41820</c:v>
                </c:pt>
                <c:pt idx="348">
                  <c:v>41821</c:v>
                </c:pt>
                <c:pt idx="349">
                  <c:v>41822</c:v>
                </c:pt>
                <c:pt idx="350">
                  <c:v>41823</c:v>
                </c:pt>
                <c:pt idx="351">
                  <c:v>41824</c:v>
                </c:pt>
                <c:pt idx="352">
                  <c:v>41825</c:v>
                </c:pt>
                <c:pt idx="353">
                  <c:v>41826</c:v>
                </c:pt>
                <c:pt idx="354">
                  <c:v>41827</c:v>
                </c:pt>
                <c:pt idx="355">
                  <c:v>41828</c:v>
                </c:pt>
                <c:pt idx="356">
                  <c:v>41829</c:v>
                </c:pt>
                <c:pt idx="357">
                  <c:v>41830</c:v>
                </c:pt>
                <c:pt idx="358">
                  <c:v>41831</c:v>
                </c:pt>
                <c:pt idx="359">
                  <c:v>41832</c:v>
                </c:pt>
                <c:pt idx="360">
                  <c:v>41833</c:v>
                </c:pt>
                <c:pt idx="361">
                  <c:v>41834</c:v>
                </c:pt>
                <c:pt idx="362">
                  <c:v>41835</c:v>
                </c:pt>
                <c:pt idx="363">
                  <c:v>41836</c:v>
                </c:pt>
                <c:pt idx="364">
                  <c:v>41837</c:v>
                </c:pt>
                <c:pt idx="365">
                  <c:v>41838</c:v>
                </c:pt>
              </c:numCache>
            </c:numRef>
          </c:cat>
          <c:val>
            <c:numRef>
              <c:f>Price!$G$17:$G$383</c:f>
              <c:numCache>
                <c:formatCode>0.0%</c:formatCode>
                <c:ptCount val="367"/>
                <c:pt idx="0">
                  <c:v>0</c:v>
                </c:pt>
                <c:pt idx="1">
                  <c:v>1.0869686594797701E-2</c:v>
                </c:pt>
                <c:pt idx="2">
                  <c:v>1.0869686594797701E-2</c:v>
                </c:pt>
                <c:pt idx="3">
                  <c:v>1.0869686594797701E-2</c:v>
                </c:pt>
                <c:pt idx="4">
                  <c:v>-1.0869686594797701E-2</c:v>
                </c:pt>
                <c:pt idx="5">
                  <c:v>-4.3478746379190691E-2</c:v>
                </c:pt>
                <c:pt idx="6">
                  <c:v>-3.2609059784392991E-2</c:v>
                </c:pt>
                <c:pt idx="7">
                  <c:v>-3.2609059784392991E-2</c:v>
                </c:pt>
                <c:pt idx="8">
                  <c:v>-4.3478746379190691E-2</c:v>
                </c:pt>
                <c:pt idx="9">
                  <c:v>-4.3478746379190691E-2</c:v>
                </c:pt>
                <c:pt idx="10">
                  <c:v>-4.3478746379190691E-2</c:v>
                </c:pt>
                <c:pt idx="11">
                  <c:v>-9.7826062681040438E-2</c:v>
                </c:pt>
                <c:pt idx="12">
                  <c:v>-9.7826062681040438E-2</c:v>
                </c:pt>
                <c:pt idx="13">
                  <c:v>-0.11956543587063584</c:v>
                </c:pt>
                <c:pt idx="14">
                  <c:v>-0.10869574927583814</c:v>
                </c:pt>
                <c:pt idx="15">
                  <c:v>-8.6956376086242848E-2</c:v>
                </c:pt>
                <c:pt idx="16">
                  <c:v>-8.6956376086242848E-2</c:v>
                </c:pt>
                <c:pt idx="17">
                  <c:v>-8.6956376086242848E-2</c:v>
                </c:pt>
                <c:pt idx="18">
                  <c:v>-0.10869574927583814</c:v>
                </c:pt>
                <c:pt idx="19">
                  <c:v>-0.11956543587063584</c:v>
                </c:pt>
                <c:pt idx="20">
                  <c:v>-6.5217002896647558E-2</c:v>
                </c:pt>
                <c:pt idx="21">
                  <c:v>-7.6086689491445259E-2</c:v>
                </c:pt>
                <c:pt idx="22">
                  <c:v>-7.6086689491445259E-2</c:v>
                </c:pt>
                <c:pt idx="23">
                  <c:v>-7.6086689491445259E-2</c:v>
                </c:pt>
                <c:pt idx="24">
                  <c:v>-7.6086689491445259E-2</c:v>
                </c:pt>
                <c:pt idx="25">
                  <c:v>-8.6956376086242848E-2</c:v>
                </c:pt>
                <c:pt idx="26">
                  <c:v>-9.7826062681040438E-2</c:v>
                </c:pt>
                <c:pt idx="27">
                  <c:v>-8.6956376086242848E-2</c:v>
                </c:pt>
                <c:pt idx="28">
                  <c:v>-6.5217002896647558E-2</c:v>
                </c:pt>
                <c:pt idx="29">
                  <c:v>-6.5217002896647558E-2</c:v>
                </c:pt>
                <c:pt idx="30">
                  <c:v>-6.5217002896647558E-2</c:v>
                </c:pt>
                <c:pt idx="31">
                  <c:v>-6.5217002896647558E-2</c:v>
                </c:pt>
                <c:pt idx="32">
                  <c:v>-4.3478746379190691E-2</c:v>
                </c:pt>
                <c:pt idx="33">
                  <c:v>-5.4348432973988281E-2</c:v>
                </c:pt>
                <c:pt idx="34">
                  <c:v>-5.4348432973988281E-2</c:v>
                </c:pt>
                <c:pt idx="35">
                  <c:v>-5.4348432973988281E-2</c:v>
                </c:pt>
                <c:pt idx="36">
                  <c:v>-6.5217002896647558E-2</c:v>
                </c:pt>
                <c:pt idx="37">
                  <c:v>-6.5217002896647558E-2</c:v>
                </c:pt>
                <c:pt idx="38">
                  <c:v>-6.5217002896647558E-2</c:v>
                </c:pt>
                <c:pt idx="39">
                  <c:v>-6.5217002896647558E-2</c:v>
                </c:pt>
                <c:pt idx="40">
                  <c:v>-6.5217002896647558E-2</c:v>
                </c:pt>
                <c:pt idx="41">
                  <c:v>-9.7826062681040438E-2</c:v>
                </c:pt>
                <c:pt idx="42">
                  <c:v>-0.10869574927583814</c:v>
                </c:pt>
                <c:pt idx="43">
                  <c:v>-0.10869574927583814</c:v>
                </c:pt>
                <c:pt idx="44">
                  <c:v>-0.10869574927583814</c:v>
                </c:pt>
                <c:pt idx="45">
                  <c:v>-0.10869574927583814</c:v>
                </c:pt>
                <c:pt idx="46">
                  <c:v>-0.10869574927583814</c:v>
                </c:pt>
                <c:pt idx="47">
                  <c:v>-0.11956543587063584</c:v>
                </c:pt>
                <c:pt idx="48">
                  <c:v>-0.14130480906023102</c:v>
                </c:pt>
                <c:pt idx="49">
                  <c:v>-0.11956543587063584</c:v>
                </c:pt>
                <c:pt idx="50">
                  <c:v>-0.11956543587063584</c:v>
                </c:pt>
                <c:pt idx="51">
                  <c:v>-0.11956543587063584</c:v>
                </c:pt>
                <c:pt idx="52">
                  <c:v>-0.11956543587063584</c:v>
                </c:pt>
                <c:pt idx="53">
                  <c:v>-0.15217449565502872</c:v>
                </c:pt>
                <c:pt idx="54">
                  <c:v>-0.11956543587063584</c:v>
                </c:pt>
                <c:pt idx="55">
                  <c:v>-0.10869574927583814</c:v>
                </c:pt>
                <c:pt idx="56">
                  <c:v>-0.13043512246543343</c:v>
                </c:pt>
                <c:pt idx="57">
                  <c:v>-0.11956543587063584</c:v>
                </c:pt>
                <c:pt idx="58">
                  <c:v>-0.11956543587063584</c:v>
                </c:pt>
                <c:pt idx="59">
                  <c:v>-0.11956543587063584</c:v>
                </c:pt>
                <c:pt idx="60">
                  <c:v>-0.13043512246543343</c:v>
                </c:pt>
                <c:pt idx="61">
                  <c:v>-0.13043512246543343</c:v>
                </c:pt>
                <c:pt idx="62">
                  <c:v>-9.7826062681040438E-2</c:v>
                </c:pt>
                <c:pt idx="63">
                  <c:v>-0.10869574927583814</c:v>
                </c:pt>
                <c:pt idx="64">
                  <c:v>-0.13043512246543343</c:v>
                </c:pt>
                <c:pt idx="65">
                  <c:v>-0.13043512246543343</c:v>
                </c:pt>
                <c:pt idx="66">
                  <c:v>-0.13043512246543343</c:v>
                </c:pt>
                <c:pt idx="67">
                  <c:v>-9.7826062681040438E-2</c:v>
                </c:pt>
                <c:pt idx="68">
                  <c:v>-9.7826062681040438E-2</c:v>
                </c:pt>
                <c:pt idx="69">
                  <c:v>-6.5217002896647558E-2</c:v>
                </c:pt>
                <c:pt idx="70">
                  <c:v>-6.5217002896647558E-2</c:v>
                </c:pt>
                <c:pt idx="71">
                  <c:v>-8.6956376086242848E-2</c:v>
                </c:pt>
                <c:pt idx="72">
                  <c:v>-8.6956376086242848E-2</c:v>
                </c:pt>
                <c:pt idx="73">
                  <c:v>-8.6956376086242848E-2</c:v>
                </c:pt>
                <c:pt idx="74">
                  <c:v>-4.3478746379190691E-2</c:v>
                </c:pt>
                <c:pt idx="75">
                  <c:v>-6.5217002896647558E-2</c:v>
                </c:pt>
                <c:pt idx="76">
                  <c:v>-5.4348432973988281E-2</c:v>
                </c:pt>
                <c:pt idx="77">
                  <c:v>-2.173937318959529E-2</c:v>
                </c:pt>
                <c:pt idx="78">
                  <c:v>3.2609059784393102E-2</c:v>
                </c:pt>
                <c:pt idx="79">
                  <c:v>3.2609059784393102E-2</c:v>
                </c:pt>
                <c:pt idx="80">
                  <c:v>3.2609059784393102E-2</c:v>
                </c:pt>
                <c:pt idx="81">
                  <c:v>4.3477629707052268E-2</c:v>
                </c:pt>
                <c:pt idx="82">
                  <c:v>2.1739373189595401E-2</c:v>
                </c:pt>
                <c:pt idx="83">
                  <c:v>2.1739373189595401E-2</c:v>
                </c:pt>
                <c:pt idx="84">
                  <c:v>0</c:v>
                </c:pt>
                <c:pt idx="85">
                  <c:v>-1.0869686594797701E-2</c:v>
                </c:pt>
                <c:pt idx="86">
                  <c:v>-1.0869686594797701E-2</c:v>
                </c:pt>
                <c:pt idx="87">
                  <c:v>-1.0869686594797701E-2</c:v>
                </c:pt>
                <c:pt idx="88">
                  <c:v>-1.0869686594797701E-2</c:v>
                </c:pt>
                <c:pt idx="89">
                  <c:v>0</c:v>
                </c:pt>
                <c:pt idx="90">
                  <c:v>4.3477629707052268E-2</c:v>
                </c:pt>
                <c:pt idx="91">
                  <c:v>4.3477629707052268E-2</c:v>
                </c:pt>
                <c:pt idx="92">
                  <c:v>6.5217002896647447E-2</c:v>
                </c:pt>
                <c:pt idx="93">
                  <c:v>6.5217002896647447E-2</c:v>
                </c:pt>
                <c:pt idx="94">
                  <c:v>6.5217002896647447E-2</c:v>
                </c:pt>
                <c:pt idx="95">
                  <c:v>0.13043512246543343</c:v>
                </c:pt>
                <c:pt idx="96">
                  <c:v>0.11956543587063573</c:v>
                </c:pt>
                <c:pt idx="97">
                  <c:v>0.14130369238809259</c:v>
                </c:pt>
                <c:pt idx="98">
                  <c:v>9.7826062681040327E-2</c:v>
                </c:pt>
                <c:pt idx="99">
                  <c:v>9.7826062681040327E-2</c:v>
                </c:pt>
                <c:pt idx="100">
                  <c:v>9.7826062681040327E-2</c:v>
                </c:pt>
                <c:pt idx="101">
                  <c:v>9.7826062681040327E-2</c:v>
                </c:pt>
                <c:pt idx="102">
                  <c:v>5.4347316301849968E-2</c:v>
                </c:pt>
                <c:pt idx="103">
                  <c:v>8.6956376086242626E-2</c:v>
                </c:pt>
                <c:pt idx="104">
                  <c:v>7.6086689491445147E-2</c:v>
                </c:pt>
                <c:pt idx="105">
                  <c:v>7.6086689491445147E-2</c:v>
                </c:pt>
                <c:pt idx="106">
                  <c:v>8.6956376086242626E-2</c:v>
                </c:pt>
                <c:pt idx="107">
                  <c:v>8.6956376086242626E-2</c:v>
                </c:pt>
                <c:pt idx="108">
                  <c:v>8.6956376086242626E-2</c:v>
                </c:pt>
                <c:pt idx="109">
                  <c:v>0.163043065577688</c:v>
                </c:pt>
                <c:pt idx="110">
                  <c:v>0.23912975506913314</c:v>
                </c:pt>
                <c:pt idx="111">
                  <c:v>0.24999944166393062</c:v>
                </c:pt>
                <c:pt idx="112">
                  <c:v>0.22826118514647376</c:v>
                </c:pt>
                <c:pt idx="113">
                  <c:v>0.27173881485352602</c:v>
                </c:pt>
                <c:pt idx="114">
                  <c:v>0.27173881485352602</c:v>
                </c:pt>
                <c:pt idx="115">
                  <c:v>0.27173881485352602</c:v>
                </c:pt>
                <c:pt idx="116">
                  <c:v>0.35869519093976887</c:v>
                </c:pt>
                <c:pt idx="117">
                  <c:v>0.35869519093976887</c:v>
                </c:pt>
                <c:pt idx="118">
                  <c:v>0.3152175612327166</c:v>
                </c:pt>
                <c:pt idx="119">
                  <c:v>0.33695581775017369</c:v>
                </c:pt>
                <c:pt idx="120">
                  <c:v>0.33695581775017369</c:v>
                </c:pt>
                <c:pt idx="121">
                  <c:v>0.33695581775017369</c:v>
                </c:pt>
                <c:pt idx="122">
                  <c:v>0.33695581775017369</c:v>
                </c:pt>
                <c:pt idx="123">
                  <c:v>0.3152175612327166</c:v>
                </c:pt>
                <c:pt idx="124">
                  <c:v>0.34782550434497139</c:v>
                </c:pt>
                <c:pt idx="125">
                  <c:v>0.36956487753456657</c:v>
                </c:pt>
                <c:pt idx="126">
                  <c:v>0.30434787463791912</c:v>
                </c:pt>
                <c:pt idx="127">
                  <c:v>0.27173881485352602</c:v>
                </c:pt>
                <c:pt idx="128">
                  <c:v>0.27173881485352602</c:v>
                </c:pt>
                <c:pt idx="129">
                  <c:v>0.27173881485352602</c:v>
                </c:pt>
                <c:pt idx="130">
                  <c:v>0.3152175612327166</c:v>
                </c:pt>
                <c:pt idx="131">
                  <c:v>0.3152175612327166</c:v>
                </c:pt>
                <c:pt idx="132">
                  <c:v>0.27173881485352602</c:v>
                </c:pt>
                <c:pt idx="133">
                  <c:v>0.3152175612327166</c:v>
                </c:pt>
                <c:pt idx="134">
                  <c:v>0.29347818804312142</c:v>
                </c:pt>
                <c:pt idx="135">
                  <c:v>0.29347818804312142</c:v>
                </c:pt>
                <c:pt idx="136">
                  <c:v>0.29347818804312142</c:v>
                </c:pt>
                <c:pt idx="137">
                  <c:v>0.28260850144832372</c:v>
                </c:pt>
                <c:pt idx="138">
                  <c:v>0.3152175612327166</c:v>
                </c:pt>
                <c:pt idx="139">
                  <c:v>0.40217393731895945</c:v>
                </c:pt>
                <c:pt idx="140">
                  <c:v>0.38043456412936427</c:v>
                </c:pt>
                <c:pt idx="141">
                  <c:v>0.34782550434497139</c:v>
                </c:pt>
                <c:pt idx="142">
                  <c:v>0.34782550434497139</c:v>
                </c:pt>
                <c:pt idx="143">
                  <c:v>0.34782550434497139</c:v>
                </c:pt>
                <c:pt idx="144">
                  <c:v>0.3152175612327166</c:v>
                </c:pt>
                <c:pt idx="145">
                  <c:v>0.29347818804312142</c:v>
                </c:pt>
                <c:pt idx="146">
                  <c:v>0.31767312326497055</c:v>
                </c:pt>
                <c:pt idx="147">
                  <c:v>0.31767312326497055</c:v>
                </c:pt>
                <c:pt idx="148">
                  <c:v>0.32883984464857208</c:v>
                </c:pt>
                <c:pt idx="149">
                  <c:v>0.32883984464857208</c:v>
                </c:pt>
                <c:pt idx="150">
                  <c:v>0.32883984464857208</c:v>
                </c:pt>
                <c:pt idx="151">
                  <c:v>0.31767312326497055</c:v>
                </c:pt>
                <c:pt idx="152">
                  <c:v>0.37350673018297775</c:v>
                </c:pt>
                <c:pt idx="153">
                  <c:v>0.35117328741577492</c:v>
                </c:pt>
                <c:pt idx="154">
                  <c:v>0.44050705848458649</c:v>
                </c:pt>
                <c:pt idx="155">
                  <c:v>0.46284050125178933</c:v>
                </c:pt>
                <c:pt idx="156">
                  <c:v>0.46284050125178933</c:v>
                </c:pt>
                <c:pt idx="157">
                  <c:v>0.46284050125178933</c:v>
                </c:pt>
                <c:pt idx="158">
                  <c:v>0.44050705848458649</c:v>
                </c:pt>
                <c:pt idx="159">
                  <c:v>0.42934033710098518</c:v>
                </c:pt>
                <c:pt idx="160">
                  <c:v>0.45167377986818802</c:v>
                </c:pt>
                <c:pt idx="161">
                  <c:v>0.45167377986818802</c:v>
                </c:pt>
                <c:pt idx="162">
                  <c:v>0.41817361571738365</c:v>
                </c:pt>
                <c:pt idx="163">
                  <c:v>0.41817361571738365</c:v>
                </c:pt>
                <c:pt idx="164">
                  <c:v>0.41817361571738365</c:v>
                </c:pt>
                <c:pt idx="165">
                  <c:v>0.32883984464857208</c:v>
                </c:pt>
                <c:pt idx="166">
                  <c:v>0.39584017295018081</c:v>
                </c:pt>
                <c:pt idx="167">
                  <c:v>0.39584017295018081</c:v>
                </c:pt>
                <c:pt idx="168">
                  <c:v>0.36234000879937645</c:v>
                </c:pt>
                <c:pt idx="169">
                  <c:v>0.37350673018297775</c:v>
                </c:pt>
                <c:pt idx="170">
                  <c:v>0.37350673018297775</c:v>
                </c:pt>
                <c:pt idx="171">
                  <c:v>0.37350673018297775</c:v>
                </c:pt>
                <c:pt idx="172">
                  <c:v>0.41817361571738365</c:v>
                </c:pt>
                <c:pt idx="173">
                  <c:v>0.41817361571738365</c:v>
                </c:pt>
                <c:pt idx="174">
                  <c:v>0.41817361571738365</c:v>
                </c:pt>
                <c:pt idx="175">
                  <c:v>0.45167377986818802</c:v>
                </c:pt>
                <c:pt idx="176">
                  <c:v>0.41817361571738365</c:v>
                </c:pt>
                <c:pt idx="177">
                  <c:v>0.41817361571738365</c:v>
                </c:pt>
                <c:pt idx="178">
                  <c:v>0.41817361571738365</c:v>
                </c:pt>
                <c:pt idx="179">
                  <c:v>0.40700689433378212</c:v>
                </c:pt>
                <c:pt idx="180">
                  <c:v>0.40700689433378212</c:v>
                </c:pt>
                <c:pt idx="181">
                  <c:v>0.44050705848458649</c:v>
                </c:pt>
                <c:pt idx="182">
                  <c:v>0.42934033710098518</c:v>
                </c:pt>
                <c:pt idx="183">
                  <c:v>0.39584017295018081</c:v>
                </c:pt>
                <c:pt idx="184">
                  <c:v>0.39584017295018081</c:v>
                </c:pt>
                <c:pt idx="185">
                  <c:v>0.39584017295018081</c:v>
                </c:pt>
                <c:pt idx="186">
                  <c:v>0.35117328741577492</c:v>
                </c:pt>
                <c:pt idx="187">
                  <c:v>0.39584017295018081</c:v>
                </c:pt>
                <c:pt idx="188">
                  <c:v>0.36234000879937645</c:v>
                </c:pt>
                <c:pt idx="189">
                  <c:v>0.38467345156657928</c:v>
                </c:pt>
                <c:pt idx="190">
                  <c:v>0.39584017295018081</c:v>
                </c:pt>
                <c:pt idx="191">
                  <c:v>0.39584017295018081</c:v>
                </c:pt>
                <c:pt idx="192">
                  <c:v>0.39584017295018081</c:v>
                </c:pt>
                <c:pt idx="193">
                  <c:v>0.41817361571738365</c:v>
                </c:pt>
                <c:pt idx="194">
                  <c:v>0.41817361571738365</c:v>
                </c:pt>
                <c:pt idx="195">
                  <c:v>0.41817361571738365</c:v>
                </c:pt>
                <c:pt idx="196">
                  <c:v>0.41817361571738365</c:v>
                </c:pt>
                <c:pt idx="197">
                  <c:v>0.41817361571738365</c:v>
                </c:pt>
                <c:pt idx="198">
                  <c:v>0.41817361571738365</c:v>
                </c:pt>
                <c:pt idx="199">
                  <c:v>0.41817361571738365</c:v>
                </c:pt>
                <c:pt idx="200">
                  <c:v>0.41817361571738365</c:v>
                </c:pt>
                <c:pt idx="201">
                  <c:v>0.41817361571738365</c:v>
                </c:pt>
                <c:pt idx="202">
                  <c:v>0.41817361571738365</c:v>
                </c:pt>
                <c:pt idx="203">
                  <c:v>0.50750738678619522</c:v>
                </c:pt>
                <c:pt idx="204">
                  <c:v>0.50750738678619522</c:v>
                </c:pt>
                <c:pt idx="205">
                  <c:v>0.50750738678619522</c:v>
                </c:pt>
                <c:pt idx="206">
                  <c:v>0.50750738678619522</c:v>
                </c:pt>
                <c:pt idx="207">
                  <c:v>0.52984082955339806</c:v>
                </c:pt>
                <c:pt idx="208">
                  <c:v>0.46284050125178933</c:v>
                </c:pt>
                <c:pt idx="209">
                  <c:v>0.47400722263539086</c:v>
                </c:pt>
                <c:pt idx="210">
                  <c:v>0.52984082955339806</c:v>
                </c:pt>
                <c:pt idx="211">
                  <c:v>0.51867410816979675</c:v>
                </c:pt>
                <c:pt idx="212">
                  <c:v>0.51867410816979675</c:v>
                </c:pt>
                <c:pt idx="213">
                  <c:v>0.51867410816979675</c:v>
                </c:pt>
                <c:pt idx="214">
                  <c:v>0.52984082955339806</c:v>
                </c:pt>
                <c:pt idx="215">
                  <c:v>0.63034132200581117</c:v>
                </c:pt>
                <c:pt idx="216">
                  <c:v>0.74200853584182558</c:v>
                </c:pt>
                <c:pt idx="217">
                  <c:v>0.63034132200581117</c:v>
                </c:pt>
                <c:pt idx="218">
                  <c:v>0.58567443647140527</c:v>
                </c:pt>
                <c:pt idx="219">
                  <c:v>0.58567443647140527</c:v>
                </c:pt>
                <c:pt idx="220">
                  <c:v>0.58567443647140527</c:v>
                </c:pt>
                <c:pt idx="221">
                  <c:v>0.67500820754021684</c:v>
                </c:pt>
                <c:pt idx="222">
                  <c:v>0.78667542137623125</c:v>
                </c:pt>
                <c:pt idx="223">
                  <c:v>0.88717591382864436</c:v>
                </c:pt>
                <c:pt idx="224">
                  <c:v>0.76434197860902842</c:v>
                </c:pt>
                <c:pt idx="225">
                  <c:v>0.80900886414343431</c:v>
                </c:pt>
                <c:pt idx="226">
                  <c:v>0.80900886414343431</c:v>
                </c:pt>
                <c:pt idx="227">
                  <c:v>0.80900886414343431</c:v>
                </c:pt>
                <c:pt idx="228">
                  <c:v>0.70850837169102121</c:v>
                </c:pt>
                <c:pt idx="229">
                  <c:v>0.74200853584182558</c:v>
                </c:pt>
                <c:pt idx="230">
                  <c:v>0.76434197860902842</c:v>
                </c:pt>
                <c:pt idx="231">
                  <c:v>0.85367574967783999</c:v>
                </c:pt>
                <c:pt idx="232">
                  <c:v>0.82017558552703562</c:v>
                </c:pt>
                <c:pt idx="233">
                  <c:v>0.82017558552703562</c:v>
                </c:pt>
                <c:pt idx="234">
                  <c:v>0.82017558552703562</c:v>
                </c:pt>
                <c:pt idx="235">
                  <c:v>0.83134230691063715</c:v>
                </c:pt>
                <c:pt idx="236">
                  <c:v>0.83134230691063715</c:v>
                </c:pt>
                <c:pt idx="237">
                  <c:v>0.79784214275983278</c:v>
                </c:pt>
                <c:pt idx="238">
                  <c:v>0.80900886414343431</c:v>
                </c:pt>
                <c:pt idx="239">
                  <c:v>0.79784214275983278</c:v>
                </c:pt>
                <c:pt idx="240">
                  <c:v>0.79784214275983278</c:v>
                </c:pt>
                <c:pt idx="241">
                  <c:v>0.79784214275983278</c:v>
                </c:pt>
                <c:pt idx="242">
                  <c:v>0.82017558552703562</c:v>
                </c:pt>
                <c:pt idx="243">
                  <c:v>0.86484247106144152</c:v>
                </c:pt>
                <c:pt idx="244">
                  <c:v>0.95417624213025309</c:v>
                </c:pt>
                <c:pt idx="245">
                  <c:v>0.89834263521224589</c:v>
                </c:pt>
                <c:pt idx="246">
                  <c:v>0.92067607797944873</c:v>
                </c:pt>
                <c:pt idx="247">
                  <c:v>0.92067607797944873</c:v>
                </c:pt>
                <c:pt idx="248">
                  <c:v>0.92067607797944873</c:v>
                </c:pt>
                <c:pt idx="249">
                  <c:v>0.95417624213025309</c:v>
                </c:pt>
                <c:pt idx="250">
                  <c:v>0.88717591382864436</c:v>
                </c:pt>
                <c:pt idx="251">
                  <c:v>0.85367574967783999</c:v>
                </c:pt>
                <c:pt idx="252">
                  <c:v>0.88717591382864436</c:v>
                </c:pt>
                <c:pt idx="253">
                  <c:v>0.85367574967783999</c:v>
                </c:pt>
                <c:pt idx="254">
                  <c:v>0.85367574967783999</c:v>
                </c:pt>
                <c:pt idx="255">
                  <c:v>0.85367574967783999</c:v>
                </c:pt>
                <c:pt idx="256">
                  <c:v>0.82017558552703562</c:v>
                </c:pt>
                <c:pt idx="257">
                  <c:v>0.70850837169102121</c:v>
                </c:pt>
                <c:pt idx="258">
                  <c:v>0.66384148615661553</c:v>
                </c:pt>
                <c:pt idx="259">
                  <c:v>0.77550869999262995</c:v>
                </c:pt>
                <c:pt idx="260">
                  <c:v>0.75317525722542711</c:v>
                </c:pt>
                <c:pt idx="261">
                  <c:v>0.75317525722542711</c:v>
                </c:pt>
                <c:pt idx="262">
                  <c:v>0.75317525722542711</c:v>
                </c:pt>
                <c:pt idx="263">
                  <c:v>0.77550869999262995</c:v>
                </c:pt>
                <c:pt idx="264">
                  <c:v>0.84250902829423868</c:v>
                </c:pt>
                <c:pt idx="265">
                  <c:v>0.84250902829423868</c:v>
                </c:pt>
                <c:pt idx="266">
                  <c:v>0.86484247106144152</c:v>
                </c:pt>
                <c:pt idx="267">
                  <c:v>0.85367574967783999</c:v>
                </c:pt>
                <c:pt idx="268">
                  <c:v>0.85367574967783999</c:v>
                </c:pt>
                <c:pt idx="269">
                  <c:v>0.85367574967783999</c:v>
                </c:pt>
                <c:pt idx="270">
                  <c:v>0.83134230691063715</c:v>
                </c:pt>
                <c:pt idx="271">
                  <c:v>0.76434197860902842</c:v>
                </c:pt>
                <c:pt idx="272">
                  <c:v>0.74200853584182558</c:v>
                </c:pt>
                <c:pt idx="273">
                  <c:v>0.78667542137623125</c:v>
                </c:pt>
                <c:pt idx="274">
                  <c:v>0.69734165030741968</c:v>
                </c:pt>
                <c:pt idx="275">
                  <c:v>0.69734165030741968</c:v>
                </c:pt>
                <c:pt idx="276">
                  <c:v>0.69734165030741968</c:v>
                </c:pt>
                <c:pt idx="277">
                  <c:v>0.70850837169102121</c:v>
                </c:pt>
                <c:pt idx="278">
                  <c:v>0.77550869999262995</c:v>
                </c:pt>
                <c:pt idx="279">
                  <c:v>0.74200853584182558</c:v>
                </c:pt>
                <c:pt idx="280">
                  <c:v>0.76434197860902842</c:v>
                </c:pt>
                <c:pt idx="281">
                  <c:v>0.77550869999262995</c:v>
                </c:pt>
                <c:pt idx="282">
                  <c:v>0.77550869999262995</c:v>
                </c:pt>
                <c:pt idx="283">
                  <c:v>0.77550869999262995</c:v>
                </c:pt>
                <c:pt idx="284">
                  <c:v>0.74200853584182558</c:v>
                </c:pt>
                <c:pt idx="285">
                  <c:v>0.77550869999262995</c:v>
                </c:pt>
                <c:pt idx="286">
                  <c:v>0.77550869999262995</c:v>
                </c:pt>
                <c:pt idx="287">
                  <c:v>0.77550869999262995</c:v>
                </c:pt>
                <c:pt idx="288">
                  <c:v>0.77550869999262995</c:v>
                </c:pt>
                <c:pt idx="289">
                  <c:v>0.77550869999262995</c:v>
                </c:pt>
                <c:pt idx="290">
                  <c:v>0.77550869999262995</c:v>
                </c:pt>
                <c:pt idx="291">
                  <c:v>0.68617492892381837</c:v>
                </c:pt>
                <c:pt idx="292">
                  <c:v>0.5968411578550068</c:v>
                </c:pt>
                <c:pt idx="293">
                  <c:v>0.5968411578550068</c:v>
                </c:pt>
                <c:pt idx="294">
                  <c:v>0.48517394401899239</c:v>
                </c:pt>
                <c:pt idx="295">
                  <c:v>0.51867410816979675</c:v>
                </c:pt>
                <c:pt idx="296">
                  <c:v>0.51867410816979675</c:v>
                </c:pt>
                <c:pt idx="297">
                  <c:v>0.51867410816979675</c:v>
                </c:pt>
                <c:pt idx="298">
                  <c:v>0.41817361571738365</c:v>
                </c:pt>
                <c:pt idx="299">
                  <c:v>0.39584017295018081</c:v>
                </c:pt>
                <c:pt idx="300">
                  <c:v>0.47400722263539086</c:v>
                </c:pt>
                <c:pt idx="301">
                  <c:v>0.47400722263539086</c:v>
                </c:pt>
                <c:pt idx="302">
                  <c:v>0.54100755093699959</c:v>
                </c:pt>
                <c:pt idx="303">
                  <c:v>0.54100755093699959</c:v>
                </c:pt>
                <c:pt idx="304">
                  <c:v>0.54100755093699959</c:v>
                </c:pt>
                <c:pt idx="305">
                  <c:v>0.61917460062220964</c:v>
                </c:pt>
                <c:pt idx="306">
                  <c:v>0.67500820754021684</c:v>
                </c:pt>
                <c:pt idx="307">
                  <c:v>0.69734165030741968</c:v>
                </c:pt>
                <c:pt idx="308">
                  <c:v>0.61917460062220964</c:v>
                </c:pt>
                <c:pt idx="309">
                  <c:v>0.5968411578550068</c:v>
                </c:pt>
                <c:pt idx="310">
                  <c:v>0.5968411578550068</c:v>
                </c:pt>
                <c:pt idx="311">
                  <c:v>0.5968411578550068</c:v>
                </c:pt>
                <c:pt idx="312">
                  <c:v>0.61917460062220964</c:v>
                </c:pt>
                <c:pt idx="313">
                  <c:v>0.67500820754021684</c:v>
                </c:pt>
                <c:pt idx="314">
                  <c:v>0.66384148615661553</c:v>
                </c:pt>
                <c:pt idx="315">
                  <c:v>0.63034132200581117</c:v>
                </c:pt>
                <c:pt idx="316">
                  <c:v>0.60800787923860811</c:v>
                </c:pt>
                <c:pt idx="317">
                  <c:v>0.60800787923860811</c:v>
                </c:pt>
                <c:pt idx="318">
                  <c:v>0.60800787923860811</c:v>
                </c:pt>
                <c:pt idx="319">
                  <c:v>0.57450771508780396</c:v>
                </c:pt>
                <c:pt idx="320">
                  <c:v>0.60800787923860811</c:v>
                </c:pt>
                <c:pt idx="321">
                  <c:v>0.58567443647140527</c:v>
                </c:pt>
                <c:pt idx="322">
                  <c:v>0.5968411578550068</c:v>
                </c:pt>
                <c:pt idx="323">
                  <c:v>0.63034132200581117</c:v>
                </c:pt>
                <c:pt idx="324">
                  <c:v>0.63034132200581117</c:v>
                </c:pt>
                <c:pt idx="325">
                  <c:v>0.63034132200581117</c:v>
                </c:pt>
                <c:pt idx="326">
                  <c:v>0.652674764773014</c:v>
                </c:pt>
                <c:pt idx="327">
                  <c:v>0.61917460062220964</c:v>
                </c:pt>
                <c:pt idx="328">
                  <c:v>0.61917460062220964</c:v>
                </c:pt>
                <c:pt idx="329">
                  <c:v>0.652674764773014</c:v>
                </c:pt>
                <c:pt idx="330">
                  <c:v>0.652674764773014</c:v>
                </c:pt>
                <c:pt idx="331">
                  <c:v>0.652674764773014</c:v>
                </c:pt>
                <c:pt idx="332">
                  <c:v>0.652674764773014</c:v>
                </c:pt>
                <c:pt idx="333">
                  <c:v>0.66384148615661553</c:v>
                </c:pt>
                <c:pt idx="334">
                  <c:v>0.66384148615661553</c:v>
                </c:pt>
                <c:pt idx="335">
                  <c:v>0.69734165030741968</c:v>
                </c:pt>
                <c:pt idx="336">
                  <c:v>0.68617492892381837</c:v>
                </c:pt>
                <c:pt idx="337">
                  <c:v>0.67500820754021684</c:v>
                </c:pt>
                <c:pt idx="338">
                  <c:v>0.67500820754021684</c:v>
                </c:pt>
                <c:pt idx="339">
                  <c:v>0.67500820754021684</c:v>
                </c:pt>
                <c:pt idx="340">
                  <c:v>0.63034132200581117</c:v>
                </c:pt>
                <c:pt idx="341">
                  <c:v>0.63034132200581117</c:v>
                </c:pt>
                <c:pt idx="342">
                  <c:v>0.652674764773014</c:v>
                </c:pt>
                <c:pt idx="343">
                  <c:v>0.66384148615661553</c:v>
                </c:pt>
                <c:pt idx="344">
                  <c:v>0.66384148615661553</c:v>
                </c:pt>
                <c:pt idx="345">
                  <c:v>0.66384148615661553</c:v>
                </c:pt>
                <c:pt idx="346">
                  <c:v>0.66384148615661553</c:v>
                </c:pt>
                <c:pt idx="347">
                  <c:v>0.66384148615661553</c:v>
                </c:pt>
                <c:pt idx="348">
                  <c:v>0.652674764773014</c:v>
                </c:pt>
                <c:pt idx="349">
                  <c:v>0.652674764773014</c:v>
                </c:pt>
                <c:pt idx="350">
                  <c:v>0.74200853584182558</c:v>
                </c:pt>
                <c:pt idx="351">
                  <c:v>0.75317525722542711</c:v>
                </c:pt>
                <c:pt idx="352">
                  <c:v>0.75317525722542711</c:v>
                </c:pt>
                <c:pt idx="353">
                  <c:v>0.75317525722542711</c:v>
                </c:pt>
                <c:pt idx="354">
                  <c:v>0.71967509307462274</c:v>
                </c:pt>
                <c:pt idx="355">
                  <c:v>0.71967509307462274</c:v>
                </c:pt>
                <c:pt idx="356">
                  <c:v>0.73084181445822405</c:v>
                </c:pt>
                <c:pt idx="357">
                  <c:v>0.68617492892381837</c:v>
                </c:pt>
                <c:pt idx="358">
                  <c:v>0.69734165030741968</c:v>
                </c:pt>
                <c:pt idx="359">
                  <c:v>0.69734165030741968</c:v>
                </c:pt>
                <c:pt idx="360">
                  <c:v>0.69734165030741968</c:v>
                </c:pt>
                <c:pt idx="361">
                  <c:v>0.69734165030741968</c:v>
                </c:pt>
                <c:pt idx="362">
                  <c:v>0.70850837169102121</c:v>
                </c:pt>
                <c:pt idx="363">
                  <c:v>0.70850837169102121</c:v>
                </c:pt>
                <c:pt idx="364">
                  <c:v>0.71967509307462274</c:v>
                </c:pt>
                <c:pt idx="365">
                  <c:v>0.75317525722542711</c:v>
                </c:pt>
              </c:numCache>
            </c:numRef>
          </c:val>
          <c:smooth val="0"/>
          <c:extLst>
            <c:ext xmlns:c16="http://schemas.microsoft.com/office/drawing/2014/chart" uri="{C3380CC4-5D6E-409C-BE32-E72D297353CC}">
              <c16:uniqueId val="{00000000-187A-42A1-9157-6A445B5946B9}"/>
            </c:ext>
          </c:extLst>
        </c:ser>
        <c:ser>
          <c:idx val="1"/>
          <c:order val="1"/>
          <c:tx>
            <c:strRef>
              <c:f>Price!$H$15</c:f>
              <c:strCache>
                <c:ptCount val="1"/>
                <c:pt idx="0">
                  <c:v>VNIndex</c:v>
                </c:pt>
              </c:strCache>
            </c:strRef>
          </c:tx>
          <c:spPr>
            <a:ln w="12700">
              <a:solidFill>
                <a:srgbClr val="FF0000"/>
              </a:solidFill>
              <a:prstDash val="solid"/>
            </a:ln>
          </c:spPr>
          <c:marker>
            <c:symbol val="dot"/>
            <c:size val="2"/>
            <c:spPr>
              <a:solidFill>
                <a:srgbClr val="FF0000"/>
              </a:solidFill>
            </c:spPr>
          </c:marker>
          <c:cat>
            <c:numRef>
              <c:f>Price!$B$17:$B$383</c:f>
              <c:numCache>
                <c:formatCode>[$-409]d\-mmm\-yy;@</c:formatCode>
                <c:ptCount val="367"/>
                <c:pt idx="0">
                  <c:v>41473</c:v>
                </c:pt>
                <c:pt idx="1">
                  <c:v>41474</c:v>
                </c:pt>
                <c:pt idx="2">
                  <c:v>41475</c:v>
                </c:pt>
                <c:pt idx="3">
                  <c:v>41476</c:v>
                </c:pt>
                <c:pt idx="4">
                  <c:v>41477</c:v>
                </c:pt>
                <c:pt idx="5">
                  <c:v>41478</c:v>
                </c:pt>
                <c:pt idx="6">
                  <c:v>41479</c:v>
                </c:pt>
                <c:pt idx="7">
                  <c:v>41480</c:v>
                </c:pt>
                <c:pt idx="8">
                  <c:v>41481</c:v>
                </c:pt>
                <c:pt idx="9">
                  <c:v>41482</c:v>
                </c:pt>
                <c:pt idx="10">
                  <c:v>41483</c:v>
                </c:pt>
                <c:pt idx="11">
                  <c:v>41484</c:v>
                </c:pt>
                <c:pt idx="12">
                  <c:v>41485</c:v>
                </c:pt>
                <c:pt idx="13">
                  <c:v>41486</c:v>
                </c:pt>
                <c:pt idx="14">
                  <c:v>41487</c:v>
                </c:pt>
                <c:pt idx="15">
                  <c:v>41488</c:v>
                </c:pt>
                <c:pt idx="16">
                  <c:v>41489</c:v>
                </c:pt>
                <c:pt idx="17">
                  <c:v>41490</c:v>
                </c:pt>
                <c:pt idx="18">
                  <c:v>41491</c:v>
                </c:pt>
                <c:pt idx="19">
                  <c:v>41492</c:v>
                </c:pt>
                <c:pt idx="20">
                  <c:v>41493</c:v>
                </c:pt>
                <c:pt idx="21">
                  <c:v>41494</c:v>
                </c:pt>
                <c:pt idx="22">
                  <c:v>41495</c:v>
                </c:pt>
                <c:pt idx="23">
                  <c:v>41496</c:v>
                </c:pt>
                <c:pt idx="24">
                  <c:v>41497</c:v>
                </c:pt>
                <c:pt idx="25">
                  <c:v>41498</c:v>
                </c:pt>
                <c:pt idx="26">
                  <c:v>41499</c:v>
                </c:pt>
                <c:pt idx="27">
                  <c:v>41500</c:v>
                </c:pt>
                <c:pt idx="28">
                  <c:v>41501</c:v>
                </c:pt>
                <c:pt idx="29">
                  <c:v>41502</c:v>
                </c:pt>
                <c:pt idx="30">
                  <c:v>41503</c:v>
                </c:pt>
                <c:pt idx="31">
                  <c:v>41504</c:v>
                </c:pt>
                <c:pt idx="32">
                  <c:v>41505</c:v>
                </c:pt>
                <c:pt idx="33">
                  <c:v>41506</c:v>
                </c:pt>
                <c:pt idx="34">
                  <c:v>41507</c:v>
                </c:pt>
                <c:pt idx="35">
                  <c:v>41508</c:v>
                </c:pt>
                <c:pt idx="36">
                  <c:v>41509</c:v>
                </c:pt>
                <c:pt idx="37">
                  <c:v>41510</c:v>
                </c:pt>
                <c:pt idx="38">
                  <c:v>41511</c:v>
                </c:pt>
                <c:pt idx="39">
                  <c:v>41512</c:v>
                </c:pt>
                <c:pt idx="40">
                  <c:v>41513</c:v>
                </c:pt>
                <c:pt idx="41">
                  <c:v>41514</c:v>
                </c:pt>
                <c:pt idx="42">
                  <c:v>41515</c:v>
                </c:pt>
                <c:pt idx="43">
                  <c:v>41516</c:v>
                </c:pt>
                <c:pt idx="44">
                  <c:v>41517</c:v>
                </c:pt>
                <c:pt idx="45">
                  <c:v>41518</c:v>
                </c:pt>
                <c:pt idx="46">
                  <c:v>41519</c:v>
                </c:pt>
                <c:pt idx="47">
                  <c:v>41520</c:v>
                </c:pt>
                <c:pt idx="48">
                  <c:v>41521</c:v>
                </c:pt>
                <c:pt idx="49">
                  <c:v>41522</c:v>
                </c:pt>
                <c:pt idx="50">
                  <c:v>41523</c:v>
                </c:pt>
                <c:pt idx="51">
                  <c:v>41524</c:v>
                </c:pt>
                <c:pt idx="52">
                  <c:v>41525</c:v>
                </c:pt>
                <c:pt idx="53">
                  <c:v>41526</c:v>
                </c:pt>
                <c:pt idx="54">
                  <c:v>41527</c:v>
                </c:pt>
                <c:pt idx="55">
                  <c:v>41528</c:v>
                </c:pt>
                <c:pt idx="56">
                  <c:v>41529</c:v>
                </c:pt>
                <c:pt idx="57">
                  <c:v>41530</c:v>
                </c:pt>
                <c:pt idx="58">
                  <c:v>41531</c:v>
                </c:pt>
                <c:pt idx="59">
                  <c:v>41532</c:v>
                </c:pt>
                <c:pt idx="60">
                  <c:v>41533</c:v>
                </c:pt>
                <c:pt idx="61">
                  <c:v>41534</c:v>
                </c:pt>
                <c:pt idx="62">
                  <c:v>41535</c:v>
                </c:pt>
                <c:pt idx="63">
                  <c:v>41536</c:v>
                </c:pt>
                <c:pt idx="64">
                  <c:v>41537</c:v>
                </c:pt>
                <c:pt idx="65">
                  <c:v>41538</c:v>
                </c:pt>
                <c:pt idx="66">
                  <c:v>41539</c:v>
                </c:pt>
                <c:pt idx="67">
                  <c:v>41540</c:v>
                </c:pt>
                <c:pt idx="68">
                  <c:v>41541</c:v>
                </c:pt>
                <c:pt idx="69">
                  <c:v>41542</c:v>
                </c:pt>
                <c:pt idx="70">
                  <c:v>41543</c:v>
                </c:pt>
                <c:pt idx="71">
                  <c:v>41544</c:v>
                </c:pt>
                <c:pt idx="72">
                  <c:v>41545</c:v>
                </c:pt>
                <c:pt idx="73">
                  <c:v>41546</c:v>
                </c:pt>
                <c:pt idx="74">
                  <c:v>41547</c:v>
                </c:pt>
                <c:pt idx="75">
                  <c:v>41548</c:v>
                </c:pt>
                <c:pt idx="76">
                  <c:v>41549</c:v>
                </c:pt>
                <c:pt idx="77">
                  <c:v>41550</c:v>
                </c:pt>
                <c:pt idx="78">
                  <c:v>41551</c:v>
                </c:pt>
                <c:pt idx="79">
                  <c:v>41552</c:v>
                </c:pt>
                <c:pt idx="80">
                  <c:v>41553</c:v>
                </c:pt>
                <c:pt idx="81">
                  <c:v>41554</c:v>
                </c:pt>
                <c:pt idx="82">
                  <c:v>41555</c:v>
                </c:pt>
                <c:pt idx="83">
                  <c:v>41556</c:v>
                </c:pt>
                <c:pt idx="84">
                  <c:v>41557</c:v>
                </c:pt>
                <c:pt idx="85">
                  <c:v>41558</c:v>
                </c:pt>
                <c:pt idx="86">
                  <c:v>41559</c:v>
                </c:pt>
                <c:pt idx="87">
                  <c:v>41560</c:v>
                </c:pt>
                <c:pt idx="88">
                  <c:v>41561</c:v>
                </c:pt>
                <c:pt idx="89">
                  <c:v>41562</c:v>
                </c:pt>
                <c:pt idx="90">
                  <c:v>41563</c:v>
                </c:pt>
                <c:pt idx="91">
                  <c:v>41564</c:v>
                </c:pt>
                <c:pt idx="92">
                  <c:v>41565</c:v>
                </c:pt>
                <c:pt idx="93">
                  <c:v>41566</c:v>
                </c:pt>
                <c:pt idx="94">
                  <c:v>41567</c:v>
                </c:pt>
                <c:pt idx="95">
                  <c:v>41568</c:v>
                </c:pt>
                <c:pt idx="96">
                  <c:v>41569</c:v>
                </c:pt>
                <c:pt idx="97">
                  <c:v>41570</c:v>
                </c:pt>
                <c:pt idx="98">
                  <c:v>41571</c:v>
                </c:pt>
                <c:pt idx="99">
                  <c:v>41572</c:v>
                </c:pt>
                <c:pt idx="100">
                  <c:v>41573</c:v>
                </c:pt>
                <c:pt idx="101">
                  <c:v>41574</c:v>
                </c:pt>
                <c:pt idx="102">
                  <c:v>41575</c:v>
                </c:pt>
                <c:pt idx="103">
                  <c:v>41576</c:v>
                </c:pt>
                <c:pt idx="104">
                  <c:v>41577</c:v>
                </c:pt>
                <c:pt idx="105">
                  <c:v>41578</c:v>
                </c:pt>
                <c:pt idx="106">
                  <c:v>41579</c:v>
                </c:pt>
                <c:pt idx="107">
                  <c:v>41580</c:v>
                </c:pt>
                <c:pt idx="108">
                  <c:v>41581</c:v>
                </c:pt>
                <c:pt idx="109">
                  <c:v>41582</c:v>
                </c:pt>
                <c:pt idx="110">
                  <c:v>41583</c:v>
                </c:pt>
                <c:pt idx="111">
                  <c:v>41584</c:v>
                </c:pt>
                <c:pt idx="112">
                  <c:v>41585</c:v>
                </c:pt>
                <c:pt idx="113">
                  <c:v>41586</c:v>
                </c:pt>
                <c:pt idx="114">
                  <c:v>41587</c:v>
                </c:pt>
                <c:pt idx="115">
                  <c:v>41588</c:v>
                </c:pt>
                <c:pt idx="116">
                  <c:v>41589</c:v>
                </c:pt>
                <c:pt idx="117">
                  <c:v>41590</c:v>
                </c:pt>
                <c:pt idx="118">
                  <c:v>41591</c:v>
                </c:pt>
                <c:pt idx="119">
                  <c:v>41592</c:v>
                </c:pt>
                <c:pt idx="120">
                  <c:v>41593</c:v>
                </c:pt>
                <c:pt idx="121">
                  <c:v>41594</c:v>
                </c:pt>
                <c:pt idx="122">
                  <c:v>41595</c:v>
                </c:pt>
                <c:pt idx="123">
                  <c:v>41596</c:v>
                </c:pt>
                <c:pt idx="124">
                  <c:v>41597</c:v>
                </c:pt>
                <c:pt idx="125">
                  <c:v>41598</c:v>
                </c:pt>
                <c:pt idx="126">
                  <c:v>41599</c:v>
                </c:pt>
                <c:pt idx="127">
                  <c:v>41600</c:v>
                </c:pt>
                <c:pt idx="128">
                  <c:v>41601</c:v>
                </c:pt>
                <c:pt idx="129">
                  <c:v>41602</c:v>
                </c:pt>
                <c:pt idx="130">
                  <c:v>41603</c:v>
                </c:pt>
                <c:pt idx="131">
                  <c:v>41604</c:v>
                </c:pt>
                <c:pt idx="132">
                  <c:v>41605</c:v>
                </c:pt>
                <c:pt idx="133">
                  <c:v>41606</c:v>
                </c:pt>
                <c:pt idx="134">
                  <c:v>41607</c:v>
                </c:pt>
                <c:pt idx="135">
                  <c:v>41608</c:v>
                </c:pt>
                <c:pt idx="136">
                  <c:v>41609</c:v>
                </c:pt>
                <c:pt idx="137">
                  <c:v>41610</c:v>
                </c:pt>
                <c:pt idx="138">
                  <c:v>41611</c:v>
                </c:pt>
                <c:pt idx="139">
                  <c:v>41612</c:v>
                </c:pt>
                <c:pt idx="140">
                  <c:v>41613</c:v>
                </c:pt>
                <c:pt idx="141">
                  <c:v>41614</c:v>
                </c:pt>
                <c:pt idx="142">
                  <c:v>41615</c:v>
                </c:pt>
                <c:pt idx="143">
                  <c:v>41616</c:v>
                </c:pt>
                <c:pt idx="144">
                  <c:v>41617</c:v>
                </c:pt>
                <c:pt idx="145">
                  <c:v>41618</c:v>
                </c:pt>
                <c:pt idx="146">
                  <c:v>41619</c:v>
                </c:pt>
                <c:pt idx="147">
                  <c:v>41620</c:v>
                </c:pt>
                <c:pt idx="148">
                  <c:v>41621</c:v>
                </c:pt>
                <c:pt idx="149">
                  <c:v>41622</c:v>
                </c:pt>
                <c:pt idx="150">
                  <c:v>41623</c:v>
                </c:pt>
                <c:pt idx="151">
                  <c:v>41624</c:v>
                </c:pt>
                <c:pt idx="152">
                  <c:v>41625</c:v>
                </c:pt>
                <c:pt idx="153">
                  <c:v>41626</c:v>
                </c:pt>
                <c:pt idx="154">
                  <c:v>41627</c:v>
                </c:pt>
                <c:pt idx="155">
                  <c:v>41628</c:v>
                </c:pt>
                <c:pt idx="156">
                  <c:v>41629</c:v>
                </c:pt>
                <c:pt idx="157">
                  <c:v>41630</c:v>
                </c:pt>
                <c:pt idx="158">
                  <c:v>41631</c:v>
                </c:pt>
                <c:pt idx="159">
                  <c:v>41632</c:v>
                </c:pt>
                <c:pt idx="160">
                  <c:v>41633</c:v>
                </c:pt>
                <c:pt idx="161">
                  <c:v>41634</c:v>
                </c:pt>
                <c:pt idx="162">
                  <c:v>41635</c:v>
                </c:pt>
                <c:pt idx="163">
                  <c:v>41636</c:v>
                </c:pt>
                <c:pt idx="164">
                  <c:v>41637</c:v>
                </c:pt>
                <c:pt idx="165">
                  <c:v>41638</c:v>
                </c:pt>
                <c:pt idx="166">
                  <c:v>41639</c:v>
                </c:pt>
                <c:pt idx="167">
                  <c:v>41640</c:v>
                </c:pt>
                <c:pt idx="168">
                  <c:v>41641</c:v>
                </c:pt>
                <c:pt idx="169">
                  <c:v>41642</c:v>
                </c:pt>
                <c:pt idx="170">
                  <c:v>41643</c:v>
                </c:pt>
                <c:pt idx="171">
                  <c:v>41644</c:v>
                </c:pt>
                <c:pt idx="172">
                  <c:v>41645</c:v>
                </c:pt>
                <c:pt idx="173">
                  <c:v>41646</c:v>
                </c:pt>
                <c:pt idx="174">
                  <c:v>41647</c:v>
                </c:pt>
                <c:pt idx="175">
                  <c:v>41648</c:v>
                </c:pt>
                <c:pt idx="176">
                  <c:v>41649</c:v>
                </c:pt>
                <c:pt idx="177">
                  <c:v>41650</c:v>
                </c:pt>
                <c:pt idx="178">
                  <c:v>41651</c:v>
                </c:pt>
                <c:pt idx="179">
                  <c:v>41652</c:v>
                </c:pt>
                <c:pt idx="180">
                  <c:v>41653</c:v>
                </c:pt>
                <c:pt idx="181">
                  <c:v>41654</c:v>
                </c:pt>
                <c:pt idx="182">
                  <c:v>41655</c:v>
                </c:pt>
                <c:pt idx="183">
                  <c:v>41656</c:v>
                </c:pt>
                <c:pt idx="184">
                  <c:v>41657</c:v>
                </c:pt>
                <c:pt idx="185">
                  <c:v>41658</c:v>
                </c:pt>
                <c:pt idx="186">
                  <c:v>41659</c:v>
                </c:pt>
                <c:pt idx="187">
                  <c:v>41660</c:v>
                </c:pt>
                <c:pt idx="188">
                  <c:v>41661</c:v>
                </c:pt>
                <c:pt idx="189">
                  <c:v>41662</c:v>
                </c:pt>
                <c:pt idx="190">
                  <c:v>41663</c:v>
                </c:pt>
                <c:pt idx="191">
                  <c:v>41664</c:v>
                </c:pt>
                <c:pt idx="192">
                  <c:v>41665</c:v>
                </c:pt>
                <c:pt idx="193">
                  <c:v>41666</c:v>
                </c:pt>
                <c:pt idx="194">
                  <c:v>41667</c:v>
                </c:pt>
                <c:pt idx="195">
                  <c:v>41668</c:v>
                </c:pt>
                <c:pt idx="196">
                  <c:v>41669</c:v>
                </c:pt>
                <c:pt idx="197">
                  <c:v>41670</c:v>
                </c:pt>
                <c:pt idx="198">
                  <c:v>41671</c:v>
                </c:pt>
                <c:pt idx="199">
                  <c:v>41672</c:v>
                </c:pt>
                <c:pt idx="200">
                  <c:v>41673</c:v>
                </c:pt>
                <c:pt idx="201">
                  <c:v>41674</c:v>
                </c:pt>
                <c:pt idx="202">
                  <c:v>41675</c:v>
                </c:pt>
                <c:pt idx="203">
                  <c:v>41676</c:v>
                </c:pt>
                <c:pt idx="204">
                  <c:v>41677</c:v>
                </c:pt>
                <c:pt idx="205">
                  <c:v>41678</c:v>
                </c:pt>
                <c:pt idx="206">
                  <c:v>41679</c:v>
                </c:pt>
                <c:pt idx="207">
                  <c:v>41680</c:v>
                </c:pt>
                <c:pt idx="208">
                  <c:v>41681</c:v>
                </c:pt>
                <c:pt idx="209">
                  <c:v>41682</c:v>
                </c:pt>
                <c:pt idx="210">
                  <c:v>41683</c:v>
                </c:pt>
                <c:pt idx="211">
                  <c:v>41684</c:v>
                </c:pt>
                <c:pt idx="212">
                  <c:v>41685</c:v>
                </c:pt>
                <c:pt idx="213">
                  <c:v>41686</c:v>
                </c:pt>
                <c:pt idx="214">
                  <c:v>41687</c:v>
                </c:pt>
                <c:pt idx="215">
                  <c:v>41688</c:v>
                </c:pt>
                <c:pt idx="216">
                  <c:v>41689</c:v>
                </c:pt>
                <c:pt idx="217">
                  <c:v>41690</c:v>
                </c:pt>
                <c:pt idx="218">
                  <c:v>41691</c:v>
                </c:pt>
                <c:pt idx="219">
                  <c:v>41692</c:v>
                </c:pt>
                <c:pt idx="220">
                  <c:v>41693</c:v>
                </c:pt>
                <c:pt idx="221">
                  <c:v>41694</c:v>
                </c:pt>
                <c:pt idx="222">
                  <c:v>41695</c:v>
                </c:pt>
                <c:pt idx="223">
                  <c:v>41696</c:v>
                </c:pt>
                <c:pt idx="224">
                  <c:v>41697</c:v>
                </c:pt>
                <c:pt idx="225">
                  <c:v>41698</c:v>
                </c:pt>
                <c:pt idx="226">
                  <c:v>41699</c:v>
                </c:pt>
                <c:pt idx="227">
                  <c:v>41700</c:v>
                </c:pt>
                <c:pt idx="228">
                  <c:v>41701</c:v>
                </c:pt>
                <c:pt idx="229">
                  <c:v>41702</c:v>
                </c:pt>
                <c:pt idx="230">
                  <c:v>41703</c:v>
                </c:pt>
                <c:pt idx="231">
                  <c:v>41704</c:v>
                </c:pt>
                <c:pt idx="232">
                  <c:v>41705</c:v>
                </c:pt>
                <c:pt idx="233">
                  <c:v>41706</c:v>
                </c:pt>
                <c:pt idx="234">
                  <c:v>41707</c:v>
                </c:pt>
                <c:pt idx="235">
                  <c:v>41708</c:v>
                </c:pt>
                <c:pt idx="236">
                  <c:v>41709</c:v>
                </c:pt>
                <c:pt idx="237">
                  <c:v>41710</c:v>
                </c:pt>
                <c:pt idx="238">
                  <c:v>41711</c:v>
                </c:pt>
                <c:pt idx="239">
                  <c:v>41712</c:v>
                </c:pt>
                <c:pt idx="240">
                  <c:v>41713</c:v>
                </c:pt>
                <c:pt idx="241">
                  <c:v>41714</c:v>
                </c:pt>
                <c:pt idx="242">
                  <c:v>41715</c:v>
                </c:pt>
                <c:pt idx="243">
                  <c:v>41716</c:v>
                </c:pt>
                <c:pt idx="244">
                  <c:v>41717</c:v>
                </c:pt>
                <c:pt idx="245">
                  <c:v>41718</c:v>
                </c:pt>
                <c:pt idx="246">
                  <c:v>41719</c:v>
                </c:pt>
                <c:pt idx="247">
                  <c:v>41720</c:v>
                </c:pt>
                <c:pt idx="248">
                  <c:v>41721</c:v>
                </c:pt>
                <c:pt idx="249">
                  <c:v>41722</c:v>
                </c:pt>
                <c:pt idx="250">
                  <c:v>41723</c:v>
                </c:pt>
                <c:pt idx="251">
                  <c:v>41724</c:v>
                </c:pt>
                <c:pt idx="252">
                  <c:v>41725</c:v>
                </c:pt>
                <c:pt idx="253">
                  <c:v>41726</c:v>
                </c:pt>
                <c:pt idx="254">
                  <c:v>41727</c:v>
                </c:pt>
                <c:pt idx="255">
                  <c:v>41728</c:v>
                </c:pt>
                <c:pt idx="256">
                  <c:v>41729</c:v>
                </c:pt>
                <c:pt idx="257">
                  <c:v>41730</c:v>
                </c:pt>
                <c:pt idx="258">
                  <c:v>41731</c:v>
                </c:pt>
                <c:pt idx="259">
                  <c:v>41732</c:v>
                </c:pt>
                <c:pt idx="260">
                  <c:v>41733</c:v>
                </c:pt>
                <c:pt idx="261">
                  <c:v>41734</c:v>
                </c:pt>
                <c:pt idx="262">
                  <c:v>41735</c:v>
                </c:pt>
                <c:pt idx="263">
                  <c:v>41736</c:v>
                </c:pt>
                <c:pt idx="264">
                  <c:v>41737</c:v>
                </c:pt>
                <c:pt idx="265">
                  <c:v>41738</c:v>
                </c:pt>
                <c:pt idx="266">
                  <c:v>41739</c:v>
                </c:pt>
                <c:pt idx="267">
                  <c:v>41740</c:v>
                </c:pt>
                <c:pt idx="268">
                  <c:v>41741</c:v>
                </c:pt>
                <c:pt idx="269">
                  <c:v>41742</c:v>
                </c:pt>
                <c:pt idx="270">
                  <c:v>41743</c:v>
                </c:pt>
                <c:pt idx="271">
                  <c:v>41744</c:v>
                </c:pt>
                <c:pt idx="272">
                  <c:v>41745</c:v>
                </c:pt>
                <c:pt idx="273">
                  <c:v>41746</c:v>
                </c:pt>
                <c:pt idx="274">
                  <c:v>41747</c:v>
                </c:pt>
                <c:pt idx="275">
                  <c:v>41748</c:v>
                </c:pt>
                <c:pt idx="276">
                  <c:v>41749</c:v>
                </c:pt>
                <c:pt idx="277">
                  <c:v>41750</c:v>
                </c:pt>
                <c:pt idx="278">
                  <c:v>41751</c:v>
                </c:pt>
                <c:pt idx="279">
                  <c:v>41752</c:v>
                </c:pt>
                <c:pt idx="280">
                  <c:v>41753</c:v>
                </c:pt>
                <c:pt idx="281">
                  <c:v>41754</c:v>
                </c:pt>
                <c:pt idx="282">
                  <c:v>41755</c:v>
                </c:pt>
                <c:pt idx="283">
                  <c:v>41756</c:v>
                </c:pt>
                <c:pt idx="284">
                  <c:v>41757</c:v>
                </c:pt>
                <c:pt idx="285">
                  <c:v>41758</c:v>
                </c:pt>
                <c:pt idx="286">
                  <c:v>41759</c:v>
                </c:pt>
                <c:pt idx="287">
                  <c:v>41760</c:v>
                </c:pt>
                <c:pt idx="288">
                  <c:v>41761</c:v>
                </c:pt>
                <c:pt idx="289">
                  <c:v>41762</c:v>
                </c:pt>
                <c:pt idx="290">
                  <c:v>41763</c:v>
                </c:pt>
                <c:pt idx="291">
                  <c:v>41764</c:v>
                </c:pt>
                <c:pt idx="292">
                  <c:v>41765</c:v>
                </c:pt>
                <c:pt idx="293">
                  <c:v>41766</c:v>
                </c:pt>
                <c:pt idx="294">
                  <c:v>41767</c:v>
                </c:pt>
                <c:pt idx="295">
                  <c:v>41768</c:v>
                </c:pt>
                <c:pt idx="296">
                  <c:v>41769</c:v>
                </c:pt>
                <c:pt idx="297">
                  <c:v>41770</c:v>
                </c:pt>
                <c:pt idx="298">
                  <c:v>41771</c:v>
                </c:pt>
                <c:pt idx="299">
                  <c:v>41772</c:v>
                </c:pt>
                <c:pt idx="300">
                  <c:v>41773</c:v>
                </c:pt>
                <c:pt idx="301">
                  <c:v>41774</c:v>
                </c:pt>
                <c:pt idx="302">
                  <c:v>41775</c:v>
                </c:pt>
                <c:pt idx="303">
                  <c:v>41776</c:v>
                </c:pt>
                <c:pt idx="304">
                  <c:v>41777</c:v>
                </c:pt>
                <c:pt idx="305">
                  <c:v>41778</c:v>
                </c:pt>
                <c:pt idx="306">
                  <c:v>41779</c:v>
                </c:pt>
                <c:pt idx="307">
                  <c:v>41780</c:v>
                </c:pt>
                <c:pt idx="308">
                  <c:v>41781</c:v>
                </c:pt>
                <c:pt idx="309">
                  <c:v>41782</c:v>
                </c:pt>
                <c:pt idx="310">
                  <c:v>41783</c:v>
                </c:pt>
                <c:pt idx="311">
                  <c:v>41784</c:v>
                </c:pt>
                <c:pt idx="312">
                  <c:v>41785</c:v>
                </c:pt>
                <c:pt idx="313">
                  <c:v>41786</c:v>
                </c:pt>
                <c:pt idx="314">
                  <c:v>41787</c:v>
                </c:pt>
                <c:pt idx="315">
                  <c:v>41788</c:v>
                </c:pt>
                <c:pt idx="316">
                  <c:v>41789</c:v>
                </c:pt>
                <c:pt idx="317">
                  <c:v>41790</c:v>
                </c:pt>
                <c:pt idx="318">
                  <c:v>41791</c:v>
                </c:pt>
                <c:pt idx="319">
                  <c:v>41792</c:v>
                </c:pt>
                <c:pt idx="320">
                  <c:v>41793</c:v>
                </c:pt>
                <c:pt idx="321">
                  <c:v>41794</c:v>
                </c:pt>
                <c:pt idx="322">
                  <c:v>41795</c:v>
                </c:pt>
                <c:pt idx="323">
                  <c:v>41796</c:v>
                </c:pt>
                <c:pt idx="324">
                  <c:v>41797</c:v>
                </c:pt>
                <c:pt idx="325">
                  <c:v>41798</c:v>
                </c:pt>
                <c:pt idx="326">
                  <c:v>41799</c:v>
                </c:pt>
                <c:pt idx="327">
                  <c:v>41800</c:v>
                </c:pt>
                <c:pt idx="328">
                  <c:v>41801</c:v>
                </c:pt>
                <c:pt idx="329">
                  <c:v>41802</c:v>
                </c:pt>
                <c:pt idx="330">
                  <c:v>41803</c:v>
                </c:pt>
                <c:pt idx="331">
                  <c:v>41804</c:v>
                </c:pt>
                <c:pt idx="332">
                  <c:v>41805</c:v>
                </c:pt>
                <c:pt idx="333">
                  <c:v>41806</c:v>
                </c:pt>
                <c:pt idx="334">
                  <c:v>41807</c:v>
                </c:pt>
                <c:pt idx="335">
                  <c:v>41808</c:v>
                </c:pt>
                <c:pt idx="336">
                  <c:v>41809</c:v>
                </c:pt>
                <c:pt idx="337">
                  <c:v>41810</c:v>
                </c:pt>
                <c:pt idx="338">
                  <c:v>41811</c:v>
                </c:pt>
                <c:pt idx="339">
                  <c:v>41812</c:v>
                </c:pt>
                <c:pt idx="340">
                  <c:v>41813</c:v>
                </c:pt>
                <c:pt idx="341">
                  <c:v>41814</c:v>
                </c:pt>
                <c:pt idx="342">
                  <c:v>41815</c:v>
                </c:pt>
                <c:pt idx="343">
                  <c:v>41816</c:v>
                </c:pt>
                <c:pt idx="344">
                  <c:v>41817</c:v>
                </c:pt>
                <c:pt idx="345">
                  <c:v>41818</c:v>
                </c:pt>
                <c:pt idx="346">
                  <c:v>41819</c:v>
                </c:pt>
                <c:pt idx="347">
                  <c:v>41820</c:v>
                </c:pt>
                <c:pt idx="348">
                  <c:v>41821</c:v>
                </c:pt>
                <c:pt idx="349">
                  <c:v>41822</c:v>
                </c:pt>
                <c:pt idx="350">
                  <c:v>41823</c:v>
                </c:pt>
                <c:pt idx="351">
                  <c:v>41824</c:v>
                </c:pt>
                <c:pt idx="352">
                  <c:v>41825</c:v>
                </c:pt>
                <c:pt idx="353">
                  <c:v>41826</c:v>
                </c:pt>
                <c:pt idx="354">
                  <c:v>41827</c:v>
                </c:pt>
                <c:pt idx="355">
                  <c:v>41828</c:v>
                </c:pt>
                <c:pt idx="356">
                  <c:v>41829</c:v>
                </c:pt>
                <c:pt idx="357">
                  <c:v>41830</c:v>
                </c:pt>
                <c:pt idx="358">
                  <c:v>41831</c:v>
                </c:pt>
                <c:pt idx="359">
                  <c:v>41832</c:v>
                </c:pt>
                <c:pt idx="360">
                  <c:v>41833</c:v>
                </c:pt>
                <c:pt idx="361">
                  <c:v>41834</c:v>
                </c:pt>
                <c:pt idx="362">
                  <c:v>41835</c:v>
                </c:pt>
                <c:pt idx="363">
                  <c:v>41836</c:v>
                </c:pt>
                <c:pt idx="364">
                  <c:v>41837</c:v>
                </c:pt>
                <c:pt idx="365">
                  <c:v>41838</c:v>
                </c:pt>
              </c:numCache>
            </c:numRef>
          </c:cat>
          <c:val>
            <c:numRef>
              <c:f>Price!$H$17:$H$383</c:f>
              <c:numCache>
                <c:formatCode>0.0%</c:formatCode>
                <c:ptCount val="367"/>
                <c:pt idx="0">
                  <c:v>0</c:v>
                </c:pt>
                <c:pt idx="1">
                  <c:v>1.3928025118750575E-2</c:v>
                </c:pt>
                <c:pt idx="2">
                  <c:v>1.3928025118750575E-2</c:v>
                </c:pt>
                <c:pt idx="3">
                  <c:v>1.3928025118750575E-2</c:v>
                </c:pt>
                <c:pt idx="4">
                  <c:v>1.875855406166993E-2</c:v>
                </c:pt>
                <c:pt idx="5">
                  <c:v>1.4994766926978542E-2</c:v>
                </c:pt>
                <c:pt idx="6">
                  <c:v>-5.3538362450687993E-3</c:v>
                </c:pt>
                <c:pt idx="7">
                  <c:v>-1.0184365187988043E-2</c:v>
                </c:pt>
                <c:pt idx="8">
                  <c:v>-5.8570163432895006E-3</c:v>
                </c:pt>
                <c:pt idx="9">
                  <c:v>-5.8570163432895006E-3</c:v>
                </c:pt>
                <c:pt idx="10">
                  <c:v>-5.8570163432895006E-3</c:v>
                </c:pt>
                <c:pt idx="11">
                  <c:v>-2.2441832380645677E-2</c:v>
                </c:pt>
                <c:pt idx="12">
                  <c:v>-1.6705579260928971E-2</c:v>
                </c:pt>
                <c:pt idx="13">
                  <c:v>-1.0043474760486171E-2</c:v>
                </c:pt>
                <c:pt idx="14">
                  <c:v>-8.8760969326140415E-3</c:v>
                </c:pt>
                <c:pt idx="15">
                  <c:v>-4.387730456484884E-3</c:v>
                </c:pt>
                <c:pt idx="16">
                  <c:v>-4.387730456484884E-3</c:v>
                </c:pt>
                <c:pt idx="17">
                  <c:v>-4.387730456484884E-3</c:v>
                </c:pt>
                <c:pt idx="18">
                  <c:v>-6.4004508493679113E-3</c:v>
                </c:pt>
                <c:pt idx="19">
                  <c:v>-5.6356171000715438E-4</c:v>
                </c:pt>
                <c:pt idx="20">
                  <c:v>6.5614684807986379E-3</c:v>
                </c:pt>
                <c:pt idx="21">
                  <c:v>2.7775541421786176E-3</c:v>
                </c:pt>
                <c:pt idx="22">
                  <c:v>7.6080830850979719E-3</c:v>
                </c:pt>
                <c:pt idx="23">
                  <c:v>7.6080830850979719E-3</c:v>
                </c:pt>
                <c:pt idx="24">
                  <c:v>7.6080830850979719E-3</c:v>
                </c:pt>
                <c:pt idx="25">
                  <c:v>5.2733274293534915E-3</c:v>
                </c:pt>
                <c:pt idx="26">
                  <c:v>1.7913211496660697E-3</c:v>
                </c:pt>
                <c:pt idx="27">
                  <c:v>1.354560824410278E-2</c:v>
                </c:pt>
                <c:pt idx="28">
                  <c:v>2.290475807100889E-2</c:v>
                </c:pt>
                <c:pt idx="29">
                  <c:v>2.2039288302069249E-2</c:v>
                </c:pt>
                <c:pt idx="30">
                  <c:v>2.2039288302069249E-2</c:v>
                </c:pt>
                <c:pt idx="31">
                  <c:v>2.2039288302069249E-2</c:v>
                </c:pt>
                <c:pt idx="32">
                  <c:v>2.8540375171081322E-2</c:v>
                </c:pt>
                <c:pt idx="33">
                  <c:v>1.6041381531277654E-2</c:v>
                </c:pt>
                <c:pt idx="34">
                  <c:v>1.179454150229442E-2</c:v>
                </c:pt>
                <c:pt idx="35">
                  <c:v>-1.4491586828757619E-3</c:v>
                </c:pt>
                <c:pt idx="36">
                  <c:v>-2.0167458336687871E-2</c:v>
                </c:pt>
                <c:pt idx="37">
                  <c:v>-2.0167458336687871E-2</c:v>
                </c:pt>
                <c:pt idx="38">
                  <c:v>-2.0167458336687871E-2</c:v>
                </c:pt>
                <c:pt idx="39">
                  <c:v>-1.2680138475162916E-2</c:v>
                </c:pt>
                <c:pt idx="40">
                  <c:v>-2.26833588277916E-2</c:v>
                </c:pt>
                <c:pt idx="41">
                  <c:v>-4.7379438048466227E-2</c:v>
                </c:pt>
                <c:pt idx="42">
                  <c:v>-5.6939859914660551E-2</c:v>
                </c:pt>
                <c:pt idx="43">
                  <c:v>-4.8587070284196066E-2</c:v>
                </c:pt>
                <c:pt idx="44">
                  <c:v>-4.8587070284196066E-2</c:v>
                </c:pt>
                <c:pt idx="45">
                  <c:v>-4.8587070284196066E-2</c:v>
                </c:pt>
                <c:pt idx="46">
                  <c:v>-4.8587070284196066E-2</c:v>
                </c:pt>
                <c:pt idx="47">
                  <c:v>-4.9653812092424032E-2</c:v>
                </c:pt>
                <c:pt idx="48">
                  <c:v>-5.1102970775299905E-2</c:v>
                </c:pt>
                <c:pt idx="49">
                  <c:v>-3.8785121970855818E-2</c:v>
                </c:pt>
                <c:pt idx="50">
                  <c:v>-3.3833829804363558E-2</c:v>
                </c:pt>
                <c:pt idx="51">
                  <c:v>-3.3833829804363558E-2</c:v>
                </c:pt>
                <c:pt idx="52">
                  <c:v>-3.3833829804363558E-2</c:v>
                </c:pt>
                <c:pt idx="53">
                  <c:v>-5.3699380082118942E-2</c:v>
                </c:pt>
                <c:pt idx="54">
                  <c:v>-4.4903791965220208E-2</c:v>
                </c:pt>
                <c:pt idx="55">
                  <c:v>-4.1140004830528931E-2</c:v>
                </c:pt>
                <c:pt idx="56">
                  <c:v>-4.2770308348764163E-2</c:v>
                </c:pt>
                <c:pt idx="57">
                  <c:v>-4.1099750422671222E-2</c:v>
                </c:pt>
                <c:pt idx="58">
                  <c:v>-4.1099750422671222E-2</c:v>
                </c:pt>
                <c:pt idx="59">
                  <c:v>-4.1099750422671222E-2</c:v>
                </c:pt>
                <c:pt idx="60">
                  <c:v>-4.2810562756621762E-2</c:v>
                </c:pt>
                <c:pt idx="61">
                  <c:v>-3.8463086707994476E-2</c:v>
                </c:pt>
                <c:pt idx="62">
                  <c:v>-4.5447226471298618E-2</c:v>
                </c:pt>
                <c:pt idx="63">
                  <c:v>-4.176394815232265E-2</c:v>
                </c:pt>
                <c:pt idx="64">
                  <c:v>-3.9549955720151297E-2</c:v>
                </c:pt>
                <c:pt idx="65">
                  <c:v>-3.9549955720151297E-2</c:v>
                </c:pt>
                <c:pt idx="66">
                  <c:v>-3.9549955720151297E-2</c:v>
                </c:pt>
                <c:pt idx="67">
                  <c:v>-3.5725786973673568E-2</c:v>
                </c:pt>
                <c:pt idx="68">
                  <c:v>-2.8218339908219869E-2</c:v>
                </c:pt>
                <c:pt idx="69">
                  <c:v>-2.1375090572417599E-2</c:v>
                </c:pt>
                <c:pt idx="70">
                  <c:v>-2.3609210208517806E-2</c:v>
                </c:pt>
                <c:pt idx="71">
                  <c:v>-2.0590129619193265E-2</c:v>
                </c:pt>
                <c:pt idx="72">
                  <c:v>-2.0590129619193265E-2</c:v>
                </c:pt>
                <c:pt idx="73">
                  <c:v>-2.0590129619193265E-2</c:v>
                </c:pt>
                <c:pt idx="74">
                  <c:v>-8.4735528540375027E-3</c:v>
                </c:pt>
                <c:pt idx="75">
                  <c:v>-9.2585138072618367E-3</c:v>
                </c:pt>
                <c:pt idx="76">
                  <c:v>-4.9311649625634058E-3</c:v>
                </c:pt>
                <c:pt idx="77">
                  <c:v>-9.1377505836888195E-3</c:v>
                </c:pt>
                <c:pt idx="78">
                  <c:v>1.3283954593028557E-3</c:v>
                </c:pt>
                <c:pt idx="79">
                  <c:v>1.3283954593028557E-3</c:v>
                </c:pt>
                <c:pt idx="80">
                  <c:v>1.3283954593028557E-3</c:v>
                </c:pt>
                <c:pt idx="81">
                  <c:v>7.3061750261653735E-3</c:v>
                </c:pt>
                <c:pt idx="82">
                  <c:v>1.0828435713710727E-2</c:v>
                </c:pt>
                <c:pt idx="83">
                  <c:v>7.7087191047420234E-3</c:v>
                </c:pt>
                <c:pt idx="84">
                  <c:v>-4.0858223975525076E-3</c:v>
                </c:pt>
                <c:pt idx="85">
                  <c:v>-4.649384107559773E-3</c:v>
                </c:pt>
                <c:pt idx="86">
                  <c:v>-4.649384107559773E-3</c:v>
                </c:pt>
                <c:pt idx="87">
                  <c:v>-4.649384107559773E-3</c:v>
                </c:pt>
                <c:pt idx="88">
                  <c:v>-6.4809596650832191E-3</c:v>
                </c:pt>
                <c:pt idx="89">
                  <c:v>-2.2542468400288396E-3</c:v>
                </c:pt>
                <c:pt idx="90">
                  <c:v>4.2669672329120889E-3</c:v>
                </c:pt>
                <c:pt idx="91">
                  <c:v>5.5349810804283806E-3</c:v>
                </c:pt>
                <c:pt idx="92">
                  <c:v>8.0307543676032545E-3</c:v>
                </c:pt>
                <c:pt idx="93">
                  <c:v>8.0307543676032545E-3</c:v>
                </c:pt>
                <c:pt idx="94">
                  <c:v>8.0307543676032545E-3</c:v>
                </c:pt>
                <c:pt idx="95">
                  <c:v>9.5201674583367257E-3</c:v>
                </c:pt>
                <c:pt idx="96">
                  <c:v>7.5074470654536984E-3</c:v>
                </c:pt>
                <c:pt idx="97">
                  <c:v>1.4511714032686696E-2</c:v>
                </c:pt>
                <c:pt idx="98">
                  <c:v>8.715079301183648E-3</c:v>
                </c:pt>
                <c:pt idx="99">
                  <c:v>7.8697367361726389E-3</c:v>
                </c:pt>
                <c:pt idx="100">
                  <c:v>7.8697367361726389E-3</c:v>
                </c:pt>
                <c:pt idx="101">
                  <c:v>7.8697367361726389E-3</c:v>
                </c:pt>
                <c:pt idx="102">
                  <c:v>-7.6483374929559034E-4</c:v>
                </c:pt>
                <c:pt idx="103">
                  <c:v>4.8305289429184661E-4</c:v>
                </c:pt>
                <c:pt idx="104">
                  <c:v>4.4883664761292685E-3</c:v>
                </c:pt>
                <c:pt idx="105">
                  <c:v>1.1472506239433855E-3</c:v>
                </c:pt>
                <c:pt idx="106">
                  <c:v>4.8305289429184661E-4</c:v>
                </c:pt>
                <c:pt idx="107">
                  <c:v>4.8305289429184661E-4</c:v>
                </c:pt>
                <c:pt idx="108">
                  <c:v>4.8305289429184661E-4</c:v>
                </c:pt>
                <c:pt idx="109">
                  <c:v>4.6292569036321396E-4</c:v>
                </c:pt>
                <c:pt idx="110">
                  <c:v>5.9375251590050304E-3</c:v>
                </c:pt>
                <c:pt idx="111">
                  <c:v>1.143225183157548E-2</c:v>
                </c:pt>
                <c:pt idx="112">
                  <c:v>6.0784155865067913E-3</c:v>
                </c:pt>
                <c:pt idx="113">
                  <c:v>3.5625150954030627E-3</c:v>
                </c:pt>
                <c:pt idx="114">
                  <c:v>3.5625150954030627E-3</c:v>
                </c:pt>
                <c:pt idx="115">
                  <c:v>3.5625150954030627E-3</c:v>
                </c:pt>
                <c:pt idx="116">
                  <c:v>8.5339344658239558E-3</c:v>
                </c:pt>
                <c:pt idx="117">
                  <c:v>1.6303035182352321E-3</c:v>
                </c:pt>
                <c:pt idx="118">
                  <c:v>-1.4491586828757619E-3</c:v>
                </c:pt>
                <c:pt idx="119">
                  <c:v>2.032847596811882E-3</c:v>
                </c:pt>
                <c:pt idx="120">
                  <c:v>9.0572417679735118E-3</c:v>
                </c:pt>
                <c:pt idx="121">
                  <c:v>9.0572417679735118E-3</c:v>
                </c:pt>
                <c:pt idx="122">
                  <c:v>9.0572417679735118E-3</c:v>
                </c:pt>
                <c:pt idx="123">
                  <c:v>1.9402624587392392E-2</c:v>
                </c:pt>
                <c:pt idx="124">
                  <c:v>1.5840109491989329E-2</c:v>
                </c:pt>
                <c:pt idx="125">
                  <c:v>1.7470413010224561E-2</c:v>
                </c:pt>
                <c:pt idx="126">
                  <c:v>1.3485226632316438E-2</c:v>
                </c:pt>
                <c:pt idx="127">
                  <c:v>1.7711939457370596E-2</c:v>
                </c:pt>
                <c:pt idx="128">
                  <c:v>1.7711939457370596E-2</c:v>
                </c:pt>
                <c:pt idx="129">
                  <c:v>1.7711939457370596E-2</c:v>
                </c:pt>
                <c:pt idx="130">
                  <c:v>1.9362370179534683E-2</c:v>
                </c:pt>
                <c:pt idx="131">
                  <c:v>2.4796715240319012E-2</c:v>
                </c:pt>
                <c:pt idx="132">
                  <c:v>2.3327429353514173E-2</c:v>
                </c:pt>
                <c:pt idx="133">
                  <c:v>2.1878270670638411E-2</c:v>
                </c:pt>
                <c:pt idx="134">
                  <c:v>2.2019161098140172E-2</c:v>
                </c:pt>
                <c:pt idx="135">
                  <c:v>2.2019161098140172E-2</c:v>
                </c:pt>
                <c:pt idx="136">
                  <c:v>2.2019161098140172E-2</c:v>
                </c:pt>
                <c:pt idx="137">
                  <c:v>2.3528701392802498E-2</c:v>
                </c:pt>
                <c:pt idx="138">
                  <c:v>2.974800740681105E-2</c:v>
                </c:pt>
                <c:pt idx="139">
                  <c:v>2.8258594316077579E-2</c:v>
                </c:pt>
                <c:pt idx="140">
                  <c:v>2.654778198212715E-2</c:v>
                </c:pt>
                <c:pt idx="141">
                  <c:v>2.672892681748662E-2</c:v>
                </c:pt>
                <c:pt idx="142">
                  <c:v>2.672892681748662E-2</c:v>
                </c:pt>
                <c:pt idx="143">
                  <c:v>2.672892681748662E-2</c:v>
                </c:pt>
                <c:pt idx="144">
                  <c:v>2.8963046453586827E-2</c:v>
                </c:pt>
                <c:pt idx="145">
                  <c:v>2.9707752998953563E-2</c:v>
                </c:pt>
                <c:pt idx="146">
                  <c:v>1.7047741727719279E-2</c:v>
                </c:pt>
                <c:pt idx="147">
                  <c:v>2.0288221560260888E-2</c:v>
                </c:pt>
                <c:pt idx="148">
                  <c:v>1.8557282022381605E-2</c:v>
                </c:pt>
                <c:pt idx="149">
                  <c:v>1.8557282022381605E-2</c:v>
                </c:pt>
                <c:pt idx="150">
                  <c:v>1.8557282022381605E-2</c:v>
                </c:pt>
                <c:pt idx="151">
                  <c:v>1.0466146042991786E-2</c:v>
                </c:pt>
                <c:pt idx="152">
                  <c:v>1.777232106915716E-2</c:v>
                </c:pt>
                <c:pt idx="153">
                  <c:v>1.6926978504146151E-2</c:v>
                </c:pt>
                <c:pt idx="154">
                  <c:v>1.9000080508815742E-2</c:v>
                </c:pt>
                <c:pt idx="155">
                  <c:v>1.5316802189839773E-2</c:v>
                </c:pt>
                <c:pt idx="156">
                  <c:v>1.5316802189839773E-2</c:v>
                </c:pt>
                <c:pt idx="157">
                  <c:v>1.5316802189839773E-2</c:v>
                </c:pt>
                <c:pt idx="158">
                  <c:v>2.3830609451735096E-2</c:v>
                </c:pt>
                <c:pt idx="159">
                  <c:v>1.7671685049512886E-2</c:v>
                </c:pt>
                <c:pt idx="160">
                  <c:v>1.5256420578053431E-2</c:v>
                </c:pt>
                <c:pt idx="161">
                  <c:v>1.9543515014894153E-2</c:v>
                </c:pt>
                <c:pt idx="162">
                  <c:v>1.9261734159890631E-2</c:v>
                </c:pt>
                <c:pt idx="163">
                  <c:v>1.9261734159890631E-2</c:v>
                </c:pt>
                <c:pt idx="164">
                  <c:v>1.9261734159890631E-2</c:v>
                </c:pt>
                <c:pt idx="165">
                  <c:v>7.0646485790195612E-3</c:v>
                </c:pt>
                <c:pt idx="166">
                  <c:v>1.5679091860558714E-2</c:v>
                </c:pt>
                <c:pt idx="167">
                  <c:v>1.5679091860558714E-2</c:v>
                </c:pt>
                <c:pt idx="168">
                  <c:v>1.5437565413412901E-2</c:v>
                </c:pt>
                <c:pt idx="169">
                  <c:v>1.7168504951292185E-2</c:v>
                </c:pt>
                <c:pt idx="170">
                  <c:v>1.7168504951292185E-2</c:v>
                </c:pt>
                <c:pt idx="171">
                  <c:v>1.7168504951292185E-2</c:v>
                </c:pt>
                <c:pt idx="172">
                  <c:v>2.4675952016745883E-2</c:v>
                </c:pt>
                <c:pt idx="173">
                  <c:v>2.672892681748662E-2</c:v>
                </c:pt>
                <c:pt idx="174">
                  <c:v>3.433700990258437E-2</c:v>
                </c:pt>
                <c:pt idx="175">
                  <c:v>4.0536188712664067E-2</c:v>
                </c:pt>
                <c:pt idx="176">
                  <c:v>4.4481120682714925E-2</c:v>
                </c:pt>
                <c:pt idx="177">
                  <c:v>4.4481120682714925E-2</c:v>
                </c:pt>
                <c:pt idx="178">
                  <c:v>4.4481120682714925E-2</c:v>
                </c:pt>
                <c:pt idx="179">
                  <c:v>4.8848723935271066E-2</c:v>
                </c:pt>
                <c:pt idx="180">
                  <c:v>5.1263988406730521E-2</c:v>
                </c:pt>
                <c:pt idx="181">
                  <c:v>6.0059576523629365E-2</c:v>
                </c:pt>
                <c:pt idx="182">
                  <c:v>7.3866838418806813E-2</c:v>
                </c:pt>
                <c:pt idx="183">
                  <c:v>9.4094678367281359E-2</c:v>
                </c:pt>
                <c:pt idx="184">
                  <c:v>9.4094678367281359E-2</c:v>
                </c:pt>
                <c:pt idx="185">
                  <c:v>9.4094678367281359E-2</c:v>
                </c:pt>
                <c:pt idx="186">
                  <c:v>0.11438289992754203</c:v>
                </c:pt>
                <c:pt idx="187">
                  <c:v>0.12694227517913204</c:v>
                </c:pt>
                <c:pt idx="188">
                  <c:v>0.11086063923999667</c:v>
                </c:pt>
                <c:pt idx="189">
                  <c:v>0.11414137348039599</c:v>
                </c:pt>
                <c:pt idx="190">
                  <c:v>0.12750583688913952</c:v>
                </c:pt>
                <c:pt idx="191">
                  <c:v>0.12750583688913952</c:v>
                </c:pt>
                <c:pt idx="192">
                  <c:v>0.12750583688913952</c:v>
                </c:pt>
                <c:pt idx="193">
                  <c:v>0.12011915304725873</c:v>
                </c:pt>
                <c:pt idx="194">
                  <c:v>0.12011915304725873</c:v>
                </c:pt>
                <c:pt idx="195">
                  <c:v>0.12011915304725873</c:v>
                </c:pt>
                <c:pt idx="196">
                  <c:v>0.12011915304725873</c:v>
                </c:pt>
                <c:pt idx="197">
                  <c:v>0.12011915304725873</c:v>
                </c:pt>
                <c:pt idx="198">
                  <c:v>0.12011915304725873</c:v>
                </c:pt>
                <c:pt idx="199">
                  <c:v>0.12011915304725873</c:v>
                </c:pt>
                <c:pt idx="200">
                  <c:v>0.12011915304725873</c:v>
                </c:pt>
                <c:pt idx="201">
                  <c:v>0.12011915304725873</c:v>
                </c:pt>
                <c:pt idx="202">
                  <c:v>0.12011915304725873</c:v>
                </c:pt>
                <c:pt idx="203">
                  <c:v>0.11641574752435391</c:v>
                </c:pt>
                <c:pt idx="204">
                  <c:v>0.10651316319136939</c:v>
                </c:pt>
                <c:pt idx="205">
                  <c:v>0.10651316319136939</c:v>
                </c:pt>
                <c:pt idx="206">
                  <c:v>0.10651316319136939</c:v>
                </c:pt>
                <c:pt idx="207">
                  <c:v>0.11887126640367129</c:v>
                </c:pt>
                <c:pt idx="208">
                  <c:v>0.11484582561790524</c:v>
                </c:pt>
                <c:pt idx="209">
                  <c:v>0.13567748168424454</c:v>
                </c:pt>
                <c:pt idx="210">
                  <c:v>0.14761291361404072</c:v>
                </c:pt>
                <c:pt idx="211">
                  <c:v>0.15171886321552219</c:v>
                </c:pt>
                <c:pt idx="212">
                  <c:v>0.15171886321552219</c:v>
                </c:pt>
                <c:pt idx="213">
                  <c:v>0.15171886321552219</c:v>
                </c:pt>
                <c:pt idx="214">
                  <c:v>0.14765316802189865</c:v>
                </c:pt>
                <c:pt idx="215">
                  <c:v>0.15642862893486842</c:v>
                </c:pt>
                <c:pt idx="216">
                  <c:v>0.16359391353353203</c:v>
                </c:pt>
                <c:pt idx="217">
                  <c:v>0.14934385315192023</c:v>
                </c:pt>
                <c:pt idx="218">
                  <c:v>0.14839787456726516</c:v>
                </c:pt>
                <c:pt idx="219">
                  <c:v>0.14839787456726516</c:v>
                </c:pt>
                <c:pt idx="220">
                  <c:v>0.14839787456726516</c:v>
                </c:pt>
                <c:pt idx="221">
                  <c:v>0.16049432412849218</c:v>
                </c:pt>
                <c:pt idx="222">
                  <c:v>0.17985669430802687</c:v>
                </c:pt>
                <c:pt idx="223">
                  <c:v>0.18712261492633431</c:v>
                </c:pt>
                <c:pt idx="224">
                  <c:v>0.17701875855406168</c:v>
                </c:pt>
                <c:pt idx="225">
                  <c:v>0.18042025601803413</c:v>
                </c:pt>
                <c:pt idx="226">
                  <c:v>0.18042025601803413</c:v>
                </c:pt>
                <c:pt idx="227">
                  <c:v>0.18042025601803413</c:v>
                </c:pt>
                <c:pt idx="228">
                  <c:v>0.15405361887126645</c:v>
                </c:pt>
                <c:pt idx="229">
                  <c:v>0.14719024233153544</c:v>
                </c:pt>
                <c:pt idx="230">
                  <c:v>0.15719346268416401</c:v>
                </c:pt>
                <c:pt idx="231">
                  <c:v>0.16447951050640031</c:v>
                </c:pt>
                <c:pt idx="232">
                  <c:v>0.16687464777393135</c:v>
                </c:pt>
                <c:pt idx="233">
                  <c:v>0.16687464777393135</c:v>
                </c:pt>
                <c:pt idx="234">
                  <c:v>0.16687464777393135</c:v>
                </c:pt>
                <c:pt idx="235">
                  <c:v>0.17480476612189055</c:v>
                </c:pt>
                <c:pt idx="236">
                  <c:v>0.18448595121165767</c:v>
                </c:pt>
                <c:pt idx="237">
                  <c:v>0.18754528620883981</c:v>
                </c:pt>
                <c:pt idx="238">
                  <c:v>0.1980114322518316</c:v>
                </c:pt>
                <c:pt idx="239">
                  <c:v>0.20125191208437343</c:v>
                </c:pt>
                <c:pt idx="240">
                  <c:v>0.20125191208437343</c:v>
                </c:pt>
                <c:pt idx="241">
                  <c:v>0.20125191208437343</c:v>
                </c:pt>
                <c:pt idx="242">
                  <c:v>0.20835681507125048</c:v>
                </c:pt>
                <c:pt idx="243">
                  <c:v>0.20733032767088</c:v>
                </c:pt>
                <c:pt idx="244">
                  <c:v>0.21888334272602861</c:v>
                </c:pt>
                <c:pt idx="245">
                  <c:v>0.20815554303196193</c:v>
                </c:pt>
                <c:pt idx="246">
                  <c:v>0.21115449641735773</c:v>
                </c:pt>
                <c:pt idx="247">
                  <c:v>0.21115449641735773</c:v>
                </c:pt>
                <c:pt idx="248">
                  <c:v>0.21115449641735773</c:v>
                </c:pt>
                <c:pt idx="249">
                  <c:v>0.22282827469607924</c:v>
                </c:pt>
                <c:pt idx="250">
                  <c:v>0.21135576845664605</c:v>
                </c:pt>
                <c:pt idx="251">
                  <c:v>0.18360035423878918</c:v>
                </c:pt>
                <c:pt idx="252">
                  <c:v>0.18778681265598585</c:v>
                </c:pt>
                <c:pt idx="253">
                  <c:v>0.19613960228645033</c:v>
                </c:pt>
                <c:pt idx="254">
                  <c:v>0.19613960228645033</c:v>
                </c:pt>
                <c:pt idx="255">
                  <c:v>0.19613960228645033</c:v>
                </c:pt>
                <c:pt idx="256">
                  <c:v>0.19066500281780874</c:v>
                </c:pt>
                <c:pt idx="257">
                  <c:v>0.17512680138475178</c:v>
                </c:pt>
                <c:pt idx="258">
                  <c:v>0.17073907092826657</c:v>
                </c:pt>
                <c:pt idx="259">
                  <c:v>0.18637790838096779</c:v>
                </c:pt>
                <c:pt idx="260">
                  <c:v>0.1936237017953466</c:v>
                </c:pt>
                <c:pt idx="261">
                  <c:v>0.1936237017953466</c:v>
                </c:pt>
                <c:pt idx="262">
                  <c:v>0.1936237017953466</c:v>
                </c:pt>
                <c:pt idx="263">
                  <c:v>0.20877948635375598</c:v>
                </c:pt>
                <c:pt idx="264">
                  <c:v>0.21417357700668238</c:v>
                </c:pt>
                <c:pt idx="265">
                  <c:v>0.21417357700668238</c:v>
                </c:pt>
                <c:pt idx="266">
                  <c:v>0.21030915385234694</c:v>
                </c:pt>
                <c:pt idx="267">
                  <c:v>0.20877948635375598</c:v>
                </c:pt>
                <c:pt idx="268">
                  <c:v>0.20877948635375598</c:v>
                </c:pt>
                <c:pt idx="269">
                  <c:v>0.20877948635375598</c:v>
                </c:pt>
                <c:pt idx="270">
                  <c:v>0.19980275340149745</c:v>
                </c:pt>
                <c:pt idx="271">
                  <c:v>0.17963529506480969</c:v>
                </c:pt>
                <c:pt idx="272">
                  <c:v>0.15588519442879001</c:v>
                </c:pt>
                <c:pt idx="273">
                  <c:v>0.16800177119394566</c:v>
                </c:pt>
                <c:pt idx="274">
                  <c:v>0.13785121970855818</c:v>
                </c:pt>
                <c:pt idx="275">
                  <c:v>0.13785121970855818</c:v>
                </c:pt>
                <c:pt idx="276">
                  <c:v>0.13785121970855818</c:v>
                </c:pt>
                <c:pt idx="277">
                  <c:v>0.1233797600837292</c:v>
                </c:pt>
                <c:pt idx="278">
                  <c:v>0.14698897029224711</c:v>
                </c:pt>
                <c:pt idx="279">
                  <c:v>0.14596248289187685</c:v>
                </c:pt>
                <c:pt idx="280">
                  <c:v>0.14817647532404821</c:v>
                </c:pt>
                <c:pt idx="281">
                  <c:v>0.16520408984783841</c:v>
                </c:pt>
                <c:pt idx="282">
                  <c:v>0.16520408984783841</c:v>
                </c:pt>
                <c:pt idx="283">
                  <c:v>0.16520408984783841</c:v>
                </c:pt>
                <c:pt idx="284">
                  <c:v>0.15349005716125919</c:v>
                </c:pt>
                <c:pt idx="285">
                  <c:v>0.163352387086386</c:v>
                </c:pt>
                <c:pt idx="286">
                  <c:v>0.163352387086386</c:v>
                </c:pt>
                <c:pt idx="287">
                  <c:v>0.163352387086386</c:v>
                </c:pt>
                <c:pt idx="288">
                  <c:v>0.163352387086386</c:v>
                </c:pt>
                <c:pt idx="289">
                  <c:v>0.163352387086386</c:v>
                </c:pt>
                <c:pt idx="290">
                  <c:v>0.163352387086386</c:v>
                </c:pt>
                <c:pt idx="291">
                  <c:v>0.13688511391997427</c:v>
                </c:pt>
                <c:pt idx="292">
                  <c:v>0.11728121729329377</c:v>
                </c:pt>
                <c:pt idx="293">
                  <c:v>0.12706303840270516</c:v>
                </c:pt>
                <c:pt idx="294">
                  <c:v>6.088479188471152E-2</c:v>
                </c:pt>
                <c:pt idx="295">
                  <c:v>9.1820304323323443E-2</c:v>
                </c:pt>
                <c:pt idx="296">
                  <c:v>9.1820304323323443E-2</c:v>
                </c:pt>
                <c:pt idx="297">
                  <c:v>9.1820304323323443E-2</c:v>
                </c:pt>
                <c:pt idx="298">
                  <c:v>4.0677079140165828E-2</c:v>
                </c:pt>
                <c:pt idx="299">
                  <c:v>3.4357137106513225E-2</c:v>
                </c:pt>
                <c:pt idx="300">
                  <c:v>6.5795829643345849E-2</c:v>
                </c:pt>
                <c:pt idx="301">
                  <c:v>5.4766121890347019E-2</c:v>
                </c:pt>
                <c:pt idx="302">
                  <c:v>6.5715320827630652E-2</c:v>
                </c:pt>
                <c:pt idx="303">
                  <c:v>6.5715320827630652E-2</c:v>
                </c:pt>
                <c:pt idx="304">
                  <c:v>6.5715320827630652E-2</c:v>
                </c:pt>
                <c:pt idx="305">
                  <c:v>7.286047822236541E-2</c:v>
                </c:pt>
                <c:pt idx="306">
                  <c:v>8.1877465582481213E-2</c:v>
                </c:pt>
                <c:pt idx="307">
                  <c:v>9.4678367281217257E-2</c:v>
                </c:pt>
                <c:pt idx="308">
                  <c:v>9.0351018436518826E-2</c:v>
                </c:pt>
                <c:pt idx="309">
                  <c:v>8.986796554222698E-2</c:v>
                </c:pt>
                <c:pt idx="310">
                  <c:v>8.986796554222698E-2</c:v>
                </c:pt>
                <c:pt idx="311">
                  <c:v>8.986796554222698E-2</c:v>
                </c:pt>
                <c:pt idx="312">
                  <c:v>9.5040656951936198E-2</c:v>
                </c:pt>
                <c:pt idx="313">
                  <c:v>0.11253119716608984</c:v>
                </c:pt>
                <c:pt idx="314">
                  <c:v>0.12176958376942282</c:v>
                </c:pt>
                <c:pt idx="315">
                  <c:v>0.12400370340552302</c:v>
                </c:pt>
                <c:pt idx="316">
                  <c:v>0.13118911520811527</c:v>
                </c:pt>
                <c:pt idx="317">
                  <c:v>0.13118911520811527</c:v>
                </c:pt>
                <c:pt idx="318">
                  <c:v>0.13118911520811527</c:v>
                </c:pt>
                <c:pt idx="319">
                  <c:v>0.120682714757266</c:v>
                </c:pt>
                <c:pt idx="320">
                  <c:v>0.12462764672731663</c:v>
                </c:pt>
                <c:pt idx="321">
                  <c:v>0.11396022864503674</c:v>
                </c:pt>
                <c:pt idx="322">
                  <c:v>0.10921020851783281</c:v>
                </c:pt>
                <c:pt idx="323">
                  <c:v>0.1251912084373239</c:v>
                </c:pt>
                <c:pt idx="324">
                  <c:v>0.1251912084373239</c:v>
                </c:pt>
                <c:pt idx="325">
                  <c:v>0.1251912084373239</c:v>
                </c:pt>
                <c:pt idx="326">
                  <c:v>0.13841478141856545</c:v>
                </c:pt>
                <c:pt idx="327">
                  <c:v>0.14099106352145574</c:v>
                </c:pt>
                <c:pt idx="328">
                  <c:v>0.14797520328475966</c:v>
                </c:pt>
                <c:pt idx="329">
                  <c:v>0.1548385798244909</c:v>
                </c:pt>
                <c:pt idx="330">
                  <c:v>0.1562676113034378</c:v>
                </c:pt>
                <c:pt idx="331">
                  <c:v>0.1562676113034378</c:v>
                </c:pt>
                <c:pt idx="332">
                  <c:v>0.1562676113034378</c:v>
                </c:pt>
                <c:pt idx="333">
                  <c:v>0.15202077127445457</c:v>
                </c:pt>
                <c:pt idx="334">
                  <c:v>0.15177924482730876</c:v>
                </c:pt>
                <c:pt idx="335">
                  <c:v>0.14731100555510834</c:v>
                </c:pt>
                <c:pt idx="336">
                  <c:v>0.14191691490218195</c:v>
                </c:pt>
                <c:pt idx="337">
                  <c:v>0.1286933419209404</c:v>
                </c:pt>
                <c:pt idx="338">
                  <c:v>0.1286933419209404</c:v>
                </c:pt>
                <c:pt idx="339">
                  <c:v>0.1286933419209404</c:v>
                </c:pt>
                <c:pt idx="340">
                  <c:v>0.13903872474035905</c:v>
                </c:pt>
                <c:pt idx="341">
                  <c:v>0.14672731664117222</c:v>
                </c:pt>
                <c:pt idx="342">
                  <c:v>0.15181949923516624</c:v>
                </c:pt>
                <c:pt idx="343">
                  <c:v>0.16013203445777324</c:v>
                </c:pt>
                <c:pt idx="344">
                  <c:v>0.16500281780855031</c:v>
                </c:pt>
                <c:pt idx="345">
                  <c:v>0.16500281780855031</c:v>
                </c:pt>
                <c:pt idx="346">
                  <c:v>0.16500281780855031</c:v>
                </c:pt>
                <c:pt idx="347">
                  <c:v>0.16361404073746089</c:v>
                </c:pt>
                <c:pt idx="348">
                  <c:v>0.16349327751388798</c:v>
                </c:pt>
                <c:pt idx="349">
                  <c:v>0.16496256340069237</c:v>
                </c:pt>
                <c:pt idx="350">
                  <c:v>0.1774816842444249</c:v>
                </c:pt>
                <c:pt idx="351">
                  <c:v>0.18619676354560832</c:v>
                </c:pt>
                <c:pt idx="352">
                  <c:v>0.18619676354560832</c:v>
                </c:pt>
                <c:pt idx="353">
                  <c:v>0.18619676354560832</c:v>
                </c:pt>
                <c:pt idx="354">
                  <c:v>0.18889380887207174</c:v>
                </c:pt>
                <c:pt idx="355">
                  <c:v>0.19046373077852041</c:v>
                </c:pt>
                <c:pt idx="356">
                  <c:v>0.19072538442959508</c:v>
                </c:pt>
                <c:pt idx="357">
                  <c:v>0.17719990338942115</c:v>
                </c:pt>
                <c:pt idx="358">
                  <c:v>0.17295306336043792</c:v>
                </c:pt>
                <c:pt idx="359">
                  <c:v>0.17295306336043792</c:v>
                </c:pt>
                <c:pt idx="360">
                  <c:v>0.17295306336043792</c:v>
                </c:pt>
                <c:pt idx="361">
                  <c:v>0.17991707591981321</c:v>
                </c:pt>
                <c:pt idx="362">
                  <c:v>0.1861162547298929</c:v>
                </c:pt>
                <c:pt idx="363">
                  <c:v>0.18686096127525964</c:v>
                </c:pt>
                <c:pt idx="364">
                  <c:v>0.18824973834634906</c:v>
                </c:pt>
                <c:pt idx="365">
                  <c:v>0.1923959423556878</c:v>
                </c:pt>
              </c:numCache>
            </c:numRef>
          </c:val>
          <c:smooth val="0"/>
          <c:extLst>
            <c:ext xmlns:c16="http://schemas.microsoft.com/office/drawing/2014/chart" uri="{C3380CC4-5D6E-409C-BE32-E72D297353CC}">
              <c16:uniqueId val="{00000001-187A-42A1-9157-6A445B5946B9}"/>
            </c:ext>
          </c:extLst>
        </c:ser>
        <c:dLbls>
          <c:showLegendKey val="0"/>
          <c:showVal val="0"/>
          <c:showCatName val="0"/>
          <c:showSerName val="0"/>
          <c:showPercent val="0"/>
          <c:showBubbleSize val="0"/>
        </c:dLbls>
        <c:smooth val="0"/>
        <c:axId val="1941507872"/>
        <c:axId val="1941498624"/>
      </c:lineChart>
      <c:dateAx>
        <c:axId val="1941507872"/>
        <c:scaling>
          <c:orientation val="minMax"/>
        </c:scaling>
        <c:delete val="0"/>
        <c:axPos val="b"/>
        <c:numFmt formatCode="m\/yyyy" sourceLinked="0"/>
        <c:majorTickMark val="none"/>
        <c:minorTickMark val="none"/>
        <c:tickLblPos val="low"/>
        <c:txPr>
          <a:bodyPr rot="-5400000" vert="horz"/>
          <a:lstStyle/>
          <a:p>
            <a:pPr>
              <a:defRPr lang="en-US" sz="700"/>
            </a:pPr>
            <a:endParaRPr lang="en-US"/>
          </a:p>
        </c:txPr>
        <c:crossAx val="1941498624"/>
        <c:crosses val="autoZero"/>
        <c:auto val="1"/>
        <c:lblOffset val="100"/>
        <c:baseTimeUnit val="days"/>
      </c:dateAx>
      <c:valAx>
        <c:axId val="1941498624"/>
        <c:scaling>
          <c:orientation val="minMax"/>
        </c:scaling>
        <c:delete val="0"/>
        <c:axPos val="l"/>
        <c:numFmt formatCode="0%" sourceLinked="0"/>
        <c:majorTickMark val="none"/>
        <c:minorTickMark val="none"/>
        <c:tickLblPos val="nextTo"/>
        <c:txPr>
          <a:bodyPr/>
          <a:lstStyle/>
          <a:p>
            <a:pPr>
              <a:defRPr lang="en-US" sz="700"/>
            </a:pPr>
            <a:endParaRPr lang="en-US"/>
          </a:p>
        </c:txPr>
        <c:crossAx val="1941507872"/>
        <c:crosses val="autoZero"/>
        <c:crossBetween val="between"/>
      </c:valAx>
      <c:spPr>
        <a:noFill/>
        <a:ln w="25400">
          <a:noFill/>
        </a:ln>
      </c:spPr>
    </c:plotArea>
    <c:legend>
      <c:legendPos val="r"/>
      <c:layout>
        <c:manualLayout>
          <c:xMode val="edge"/>
          <c:yMode val="edge"/>
          <c:x val="0.19571160941838792"/>
          <c:y val="1.876025262467192E-2"/>
          <c:w val="0.69739387196165659"/>
          <c:h val="0.12130627902281479"/>
        </c:manualLayout>
      </c:layout>
      <c:overlay val="0"/>
      <c:txPr>
        <a:bodyPr/>
        <a:lstStyle/>
        <a:p>
          <a:pPr>
            <a:defRPr lang="en-US" sz="700"/>
          </a:pPr>
          <a:endParaRPr lang="en-US"/>
        </a:p>
      </c:txPr>
    </c:legend>
    <c:plotVisOnly val="1"/>
    <c:dispBlanksAs val="gap"/>
    <c:showDLblsOverMax val="0"/>
  </c:chart>
  <c:spPr>
    <a:noFill/>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1126513449628679"/>
          <c:y val="1.3071895424836603E-2"/>
        </c:manualLayout>
      </c:layout>
      <c:overlay val="0"/>
      <c:txPr>
        <a:bodyPr/>
        <a:lstStyle/>
        <a:p>
          <a:pPr>
            <a:defRPr lang="en-US" sz="800"/>
          </a:pPr>
          <a:endParaRPr lang="en-US"/>
        </a:p>
      </c:txPr>
    </c:title>
    <c:autoTitleDeleted val="0"/>
    <c:plotArea>
      <c:layout>
        <c:manualLayout>
          <c:layoutTarget val="inner"/>
          <c:xMode val="edge"/>
          <c:yMode val="edge"/>
          <c:x val="0.1046710526315882"/>
          <c:y val="0.11607906154587815"/>
          <c:w val="0.89532894736842161"/>
          <c:h val="0.64964700840974965"/>
        </c:manualLayout>
      </c:layout>
      <c:lineChart>
        <c:grouping val="standard"/>
        <c:varyColors val="0"/>
        <c:ser>
          <c:idx val="0"/>
          <c:order val="0"/>
          <c:tx>
            <c:strRef>
              <c:f>Assumption!$B$11</c:f>
              <c:strCache>
                <c:ptCount val="1"/>
                <c:pt idx="0">
                  <c:v>Revenue growth % [link Sales &amp; COGS]</c:v>
                </c:pt>
              </c:strCache>
            </c:strRef>
          </c:tx>
          <c:marker>
            <c:symbol val="none"/>
          </c:marker>
          <c:cat>
            <c:numRef>
              <c:f>Assumption!$C$9:$P$9</c:f>
              <c:numCache>
                <c:formatCode>###0\ ;[Red]\(###0\);"- ";"- "</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Assumption!$C$11:$P$11</c:f>
              <c:numCache>
                <c:formatCode>0.0%</c:formatCode>
                <c:ptCount val="14"/>
                <c:pt idx="0">
                  <c:v>3.4076980121972529</c:v>
                </c:pt>
                <c:pt idx="1">
                  <c:v>-0.23478314926169108</c:v>
                </c:pt>
                <c:pt idx="2">
                  <c:v>0.40894670807256306</c:v>
                </c:pt>
                <c:pt idx="3">
                  <c:v>-0.15095760336457831</c:v>
                </c:pt>
                <c:pt idx="4">
                  <c:v>5.0000000000000044E-2</c:v>
                </c:pt>
                <c:pt idx="5">
                  <c:v>5.0000000000000044E-2</c:v>
                </c:pt>
                <c:pt idx="6">
                  <c:v>5.0000000000000044E-2</c:v>
                </c:pt>
                <c:pt idx="7">
                  <c:v>5.0000000000000044E-2</c:v>
                </c:pt>
                <c:pt idx="8">
                  <c:v>5.0000000000000044E-2</c:v>
                </c:pt>
                <c:pt idx="9">
                  <c:v>5.0000000000000044E-2</c:v>
                </c:pt>
                <c:pt idx="10">
                  <c:v>5.0000000000000044E-2</c:v>
                </c:pt>
                <c:pt idx="11">
                  <c:v>5.0000000000000044E-2</c:v>
                </c:pt>
                <c:pt idx="12">
                  <c:v>5.0000000000000044E-2</c:v>
                </c:pt>
                <c:pt idx="13">
                  <c:v>5.0000000000000044E-2</c:v>
                </c:pt>
              </c:numCache>
            </c:numRef>
          </c:val>
          <c:smooth val="0"/>
          <c:extLst>
            <c:ext xmlns:c16="http://schemas.microsoft.com/office/drawing/2014/chart" uri="{C3380CC4-5D6E-409C-BE32-E72D297353CC}">
              <c16:uniqueId val="{00000000-53FB-4C27-A09A-8D586BE4661D}"/>
            </c:ext>
          </c:extLst>
        </c:ser>
        <c:dLbls>
          <c:showLegendKey val="0"/>
          <c:showVal val="0"/>
          <c:showCatName val="0"/>
          <c:showSerName val="0"/>
          <c:showPercent val="0"/>
          <c:showBubbleSize val="0"/>
        </c:dLbls>
        <c:smooth val="0"/>
        <c:axId val="1941500256"/>
        <c:axId val="1941510592"/>
      </c:lineChart>
      <c:catAx>
        <c:axId val="1941500256"/>
        <c:scaling>
          <c:orientation val="minMax"/>
        </c:scaling>
        <c:delete val="0"/>
        <c:axPos val="b"/>
        <c:numFmt formatCode="###0\ ;[Red]\(###0\);&quot;- &quot;;&quot;- &quot;" sourceLinked="1"/>
        <c:majorTickMark val="out"/>
        <c:minorTickMark val="none"/>
        <c:tickLblPos val="nextTo"/>
        <c:txPr>
          <a:bodyPr rot="-5400000" vert="horz"/>
          <a:lstStyle/>
          <a:p>
            <a:pPr>
              <a:defRPr lang="en-US"/>
            </a:pPr>
            <a:endParaRPr lang="en-US"/>
          </a:p>
        </c:txPr>
        <c:crossAx val="1941510592"/>
        <c:crosses val="autoZero"/>
        <c:auto val="1"/>
        <c:lblAlgn val="ctr"/>
        <c:lblOffset val="100"/>
        <c:noMultiLvlLbl val="0"/>
      </c:catAx>
      <c:valAx>
        <c:axId val="1941510592"/>
        <c:scaling>
          <c:orientation val="minMax"/>
        </c:scaling>
        <c:delete val="0"/>
        <c:axPos val="l"/>
        <c:majorGridlines/>
        <c:numFmt formatCode="0%" sourceLinked="0"/>
        <c:majorTickMark val="out"/>
        <c:minorTickMark val="none"/>
        <c:tickLblPos val="nextTo"/>
        <c:txPr>
          <a:bodyPr/>
          <a:lstStyle/>
          <a:p>
            <a:pPr>
              <a:defRPr lang="en-US"/>
            </a:pPr>
            <a:endParaRPr lang="en-US"/>
          </a:p>
        </c:txPr>
        <c:crossAx val="1941500256"/>
        <c:crosses val="autoZero"/>
        <c:crossBetween val="between"/>
      </c:valAx>
    </c:plotArea>
    <c:plotVisOnly val="1"/>
    <c:dispBlanksAs val="gap"/>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9837390998346836"/>
          <c:y val="2.2222235183576394E-2"/>
        </c:manualLayout>
      </c:layout>
      <c:overlay val="0"/>
      <c:txPr>
        <a:bodyPr/>
        <a:lstStyle/>
        <a:p>
          <a:pPr>
            <a:defRPr lang="en-US" sz="800"/>
          </a:pPr>
          <a:endParaRPr lang="en-US"/>
        </a:p>
      </c:txPr>
    </c:title>
    <c:autoTitleDeleted val="0"/>
    <c:plotArea>
      <c:layout>
        <c:manualLayout>
          <c:layoutTarget val="inner"/>
          <c:xMode val="edge"/>
          <c:yMode val="edge"/>
          <c:x val="0.15192842830131581"/>
          <c:y val="0.13409286067973031"/>
          <c:w val="0.84807139107611562"/>
          <c:h val="0.63746027733264243"/>
        </c:manualLayout>
      </c:layout>
      <c:lineChart>
        <c:grouping val="standard"/>
        <c:varyColors val="0"/>
        <c:ser>
          <c:idx val="0"/>
          <c:order val="0"/>
          <c:tx>
            <c:strRef>
              <c:f>Assumption!$B$13</c:f>
              <c:strCache>
                <c:ptCount val="1"/>
                <c:pt idx="0">
                  <c:v>Gross margin %  [link Sales &amp; COGS]</c:v>
                </c:pt>
              </c:strCache>
            </c:strRef>
          </c:tx>
          <c:marker>
            <c:symbol val="none"/>
          </c:marker>
          <c:cat>
            <c:numRef>
              <c:f>Assumption!$C$9:$P$9</c:f>
              <c:numCache>
                <c:formatCode>###0\ ;[Red]\(###0\);"- ";"- "</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Assumption!$C$13:$P$13</c:f>
              <c:numCache>
                <c:formatCode>0.0%</c:formatCode>
                <c:ptCount val="14"/>
                <c:pt idx="0">
                  <c:v>0.45230410780101998</c:v>
                </c:pt>
                <c:pt idx="1">
                  <c:v>0.71959795320350983</c:v>
                </c:pt>
                <c:pt idx="2">
                  <c:v>0.47802567960142417</c:v>
                </c:pt>
                <c:pt idx="3">
                  <c:v>0.6010982286332649</c:v>
                </c:pt>
                <c:pt idx="4">
                  <c:v>0.62009355107929998</c:v>
                </c:pt>
                <c:pt idx="5">
                  <c:v>0.63818433436123811</c:v>
                </c:pt>
                <c:pt idx="6">
                  <c:v>0.65541365177260769</c:v>
                </c:pt>
                <c:pt idx="7">
                  <c:v>0.6718225254977217</c:v>
                </c:pt>
                <c:pt idx="8">
                  <c:v>0.6874500242835444</c:v>
                </c:pt>
                <c:pt idx="9">
                  <c:v>0.70233335646051853</c:v>
                </c:pt>
                <c:pt idx="10">
                  <c:v>0.71650795853382721</c:v>
                </c:pt>
                <c:pt idx="11">
                  <c:v>0.73000757955602591</c:v>
                </c:pt>
                <c:pt idx="12">
                  <c:v>0.74286436148192947</c:v>
                </c:pt>
                <c:pt idx="13">
                  <c:v>0.75510891569707561</c:v>
                </c:pt>
              </c:numCache>
            </c:numRef>
          </c:val>
          <c:smooth val="0"/>
          <c:extLst>
            <c:ext xmlns:c16="http://schemas.microsoft.com/office/drawing/2014/chart" uri="{C3380CC4-5D6E-409C-BE32-E72D297353CC}">
              <c16:uniqueId val="{00000000-974B-4040-A0B9-748CA8BAF6E0}"/>
            </c:ext>
          </c:extLst>
        </c:ser>
        <c:dLbls>
          <c:showLegendKey val="0"/>
          <c:showVal val="0"/>
          <c:showCatName val="0"/>
          <c:showSerName val="0"/>
          <c:showPercent val="0"/>
          <c:showBubbleSize val="0"/>
        </c:dLbls>
        <c:smooth val="0"/>
        <c:axId val="1941499168"/>
        <c:axId val="1941484480"/>
      </c:lineChart>
      <c:catAx>
        <c:axId val="1941499168"/>
        <c:scaling>
          <c:orientation val="minMax"/>
        </c:scaling>
        <c:delete val="0"/>
        <c:axPos val="b"/>
        <c:numFmt formatCode="###0\ ;[Red]\(###0\);&quot;- &quot;;&quot;- &quot;" sourceLinked="1"/>
        <c:majorTickMark val="out"/>
        <c:minorTickMark val="none"/>
        <c:tickLblPos val="nextTo"/>
        <c:txPr>
          <a:bodyPr rot="-5400000" vert="horz"/>
          <a:lstStyle/>
          <a:p>
            <a:pPr>
              <a:defRPr lang="en-US"/>
            </a:pPr>
            <a:endParaRPr lang="en-US"/>
          </a:p>
        </c:txPr>
        <c:crossAx val="1941484480"/>
        <c:crosses val="autoZero"/>
        <c:auto val="1"/>
        <c:lblAlgn val="ctr"/>
        <c:lblOffset val="100"/>
        <c:noMultiLvlLbl val="0"/>
      </c:catAx>
      <c:valAx>
        <c:axId val="1941484480"/>
        <c:scaling>
          <c:orientation val="minMax"/>
        </c:scaling>
        <c:delete val="0"/>
        <c:axPos val="l"/>
        <c:majorGridlines/>
        <c:numFmt formatCode="0%" sourceLinked="0"/>
        <c:majorTickMark val="out"/>
        <c:minorTickMark val="none"/>
        <c:tickLblPos val="nextTo"/>
        <c:txPr>
          <a:bodyPr/>
          <a:lstStyle/>
          <a:p>
            <a:pPr>
              <a:defRPr lang="en-US"/>
            </a:pPr>
            <a:endParaRPr lang="en-US"/>
          </a:p>
        </c:txPr>
        <c:crossAx val="1941499168"/>
        <c:crosses val="autoZero"/>
        <c:crossBetween val="between"/>
      </c:valAx>
    </c:plotArea>
    <c:plotVisOnly val="1"/>
    <c:dispBlanksAs val="gap"/>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Rev_NPAT!$R$46</c:f>
              <c:strCache>
                <c:ptCount val="1"/>
                <c:pt idx="0">
                  <c:v>Brokerage</c:v>
                </c:pt>
              </c:strCache>
            </c:strRef>
          </c:tx>
          <c:invertIfNegative val="0"/>
          <c:cat>
            <c:numRef>
              <c:f>Rev_NPAT!$S$45:$U$45</c:f>
              <c:numCache>
                <c:formatCode>General</c:formatCode>
                <c:ptCount val="3"/>
                <c:pt idx="0">
                  <c:v>2014</c:v>
                </c:pt>
                <c:pt idx="1">
                  <c:v>2015</c:v>
                </c:pt>
                <c:pt idx="2">
                  <c:v>2016</c:v>
                </c:pt>
              </c:numCache>
            </c:numRef>
          </c:cat>
          <c:val>
            <c:numRef>
              <c:f>Rev_NPAT!$S$46:$U$46</c:f>
              <c:numCache>
                <c:formatCode>_(* #,##0_);_(* \(#,##0\);_(* "-"??_);_(@_)</c:formatCode>
                <c:ptCount val="3"/>
                <c:pt idx="0">
                  <c:v>302855.90478079999</c:v>
                </c:pt>
                <c:pt idx="1">
                  <c:v>333141.49525888002</c:v>
                </c:pt>
                <c:pt idx="2">
                  <c:v>366455.64478476805</c:v>
                </c:pt>
              </c:numCache>
            </c:numRef>
          </c:val>
          <c:extLst>
            <c:ext xmlns:c16="http://schemas.microsoft.com/office/drawing/2014/chart" uri="{C3380CC4-5D6E-409C-BE32-E72D297353CC}">
              <c16:uniqueId val="{00000000-902F-4F2C-8870-B782F34CF10C}"/>
            </c:ext>
          </c:extLst>
        </c:ser>
        <c:ser>
          <c:idx val="1"/>
          <c:order val="1"/>
          <c:tx>
            <c:strRef>
              <c:f>Rev_NPAT!$R$47</c:f>
              <c:strCache>
                <c:ptCount val="1"/>
                <c:pt idx="0">
                  <c:v>Project development</c:v>
                </c:pt>
              </c:strCache>
            </c:strRef>
          </c:tx>
          <c:invertIfNegative val="0"/>
          <c:cat>
            <c:numRef>
              <c:f>Rev_NPAT!$S$45:$U$45</c:f>
              <c:numCache>
                <c:formatCode>General</c:formatCode>
                <c:ptCount val="3"/>
                <c:pt idx="0">
                  <c:v>2014</c:v>
                </c:pt>
                <c:pt idx="1">
                  <c:v>2015</c:v>
                </c:pt>
                <c:pt idx="2">
                  <c:v>2016</c:v>
                </c:pt>
              </c:numCache>
            </c:numRef>
          </c:cat>
          <c:val>
            <c:numRef>
              <c:f>Rev_NPAT!$S$47:$U$47</c:f>
              <c:numCache>
                <c:formatCode>_(* #,##0_);_(* \(#,##0\);_(* "-"??_);_(@_)</c:formatCode>
                <c:ptCount val="3"/>
                <c:pt idx="0">
                  <c:v>0</c:v>
                </c:pt>
                <c:pt idx="1">
                  <c:v>0</c:v>
                </c:pt>
                <c:pt idx="2">
                  <c:v>0</c:v>
                </c:pt>
              </c:numCache>
            </c:numRef>
          </c:val>
          <c:extLst>
            <c:ext xmlns:c16="http://schemas.microsoft.com/office/drawing/2014/chart" uri="{C3380CC4-5D6E-409C-BE32-E72D297353CC}">
              <c16:uniqueId val="{00000001-902F-4F2C-8870-B782F34CF10C}"/>
            </c:ext>
          </c:extLst>
        </c:ser>
        <c:ser>
          <c:idx val="2"/>
          <c:order val="2"/>
          <c:tx>
            <c:strRef>
              <c:f>Rev_NPAT!$R$48</c:f>
              <c:strCache>
                <c:ptCount val="1"/>
                <c:pt idx="0">
                  <c:v>Construction</c:v>
                </c:pt>
              </c:strCache>
            </c:strRef>
          </c:tx>
          <c:invertIfNegative val="0"/>
          <c:cat>
            <c:numRef>
              <c:f>Rev_NPAT!$S$45:$U$45</c:f>
              <c:numCache>
                <c:formatCode>General</c:formatCode>
                <c:ptCount val="3"/>
                <c:pt idx="0">
                  <c:v>2014</c:v>
                </c:pt>
                <c:pt idx="1">
                  <c:v>2015</c:v>
                </c:pt>
                <c:pt idx="2">
                  <c:v>2016</c:v>
                </c:pt>
              </c:numCache>
            </c:numRef>
          </c:cat>
          <c:val>
            <c:numRef>
              <c:f>Rev_NPAT!$S$48:$U$48</c:f>
              <c:numCache>
                <c:formatCode>_(* #,##0_);_(* \(#,##0\);_(* "-"??_);_(@_)</c:formatCode>
                <c:ptCount val="3"/>
                <c:pt idx="0">
                  <c:v>44457</c:v>
                </c:pt>
                <c:pt idx="1">
                  <c:v>57794.1</c:v>
                </c:pt>
                <c:pt idx="2">
                  <c:v>75132.33</c:v>
                </c:pt>
              </c:numCache>
            </c:numRef>
          </c:val>
          <c:extLst>
            <c:ext xmlns:c16="http://schemas.microsoft.com/office/drawing/2014/chart" uri="{C3380CC4-5D6E-409C-BE32-E72D297353CC}">
              <c16:uniqueId val="{00000002-902F-4F2C-8870-B782F34CF10C}"/>
            </c:ext>
          </c:extLst>
        </c:ser>
        <c:dLbls>
          <c:showLegendKey val="0"/>
          <c:showVal val="0"/>
          <c:showCatName val="0"/>
          <c:showSerName val="0"/>
          <c:showPercent val="0"/>
          <c:showBubbleSize val="0"/>
        </c:dLbls>
        <c:gapWidth val="150"/>
        <c:overlap val="100"/>
        <c:axId val="1941481760"/>
        <c:axId val="1941486656"/>
      </c:barChart>
      <c:catAx>
        <c:axId val="1941481760"/>
        <c:scaling>
          <c:orientation val="minMax"/>
        </c:scaling>
        <c:delete val="0"/>
        <c:axPos val="b"/>
        <c:numFmt formatCode="General" sourceLinked="1"/>
        <c:majorTickMark val="out"/>
        <c:minorTickMark val="none"/>
        <c:tickLblPos val="nextTo"/>
        <c:crossAx val="1941486656"/>
        <c:crosses val="autoZero"/>
        <c:auto val="1"/>
        <c:lblAlgn val="ctr"/>
        <c:lblOffset val="100"/>
        <c:noMultiLvlLbl val="0"/>
      </c:catAx>
      <c:valAx>
        <c:axId val="1941486656"/>
        <c:scaling>
          <c:orientation val="minMax"/>
        </c:scaling>
        <c:delete val="0"/>
        <c:axPos val="l"/>
        <c:majorGridlines/>
        <c:numFmt formatCode="_(* #,##0_);_(* \(#,##0\);_(* &quot;-&quot;??_);_(@_)" sourceLinked="1"/>
        <c:majorTickMark val="out"/>
        <c:minorTickMark val="none"/>
        <c:tickLblPos val="nextTo"/>
        <c:crossAx val="1941481760"/>
        <c:crosses val="autoZero"/>
        <c:crossBetween val="between"/>
      </c:valAx>
    </c:plotArea>
    <c:legend>
      <c:legendPos val="r"/>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681001481847369E-2"/>
          <c:y val="5.0884357012224997E-2"/>
          <c:w val="0.87370736312206709"/>
          <c:h val="0.83792549175160003"/>
        </c:manualLayout>
      </c:layout>
      <c:barChart>
        <c:barDir val="col"/>
        <c:grouping val="clustered"/>
        <c:varyColors val="0"/>
        <c:ser>
          <c:idx val="0"/>
          <c:order val="0"/>
          <c:tx>
            <c:strRef>
              <c:f>'SI_Control sheet'!$A$49</c:f>
              <c:strCache>
                <c:ptCount val="1"/>
                <c:pt idx="0">
                  <c:v>Brokerage revenue</c:v>
                </c:pt>
              </c:strCache>
            </c:strRef>
          </c:tx>
          <c:invertIfNegative val="0"/>
          <c:cat>
            <c:strRef>
              <c:f>'SI_Control sheet'!$B$48:$M$48</c:f>
              <c:strCache>
                <c:ptCount val="12"/>
                <c:pt idx="0">
                  <c:v>1Q13</c:v>
                </c:pt>
                <c:pt idx="1">
                  <c:v>2Q13</c:v>
                </c:pt>
                <c:pt idx="2">
                  <c:v>3Q13</c:v>
                </c:pt>
                <c:pt idx="3">
                  <c:v>4Q13</c:v>
                </c:pt>
                <c:pt idx="4">
                  <c:v>1Q14</c:v>
                </c:pt>
                <c:pt idx="5">
                  <c:v>2Q14</c:v>
                </c:pt>
                <c:pt idx="6">
                  <c:v>3Q14</c:v>
                </c:pt>
                <c:pt idx="7">
                  <c:v>4Q14</c:v>
                </c:pt>
                <c:pt idx="8">
                  <c:v>1Q15</c:v>
                </c:pt>
                <c:pt idx="9">
                  <c:v>2Q15</c:v>
                </c:pt>
                <c:pt idx="10">
                  <c:v>3Q15</c:v>
                </c:pt>
                <c:pt idx="11">
                  <c:v>4Q15</c:v>
                </c:pt>
              </c:strCache>
            </c:strRef>
          </c:cat>
          <c:val>
            <c:numRef>
              <c:f>'SI_Control sheet'!$B$49:$M$49</c:f>
              <c:numCache>
                <c:formatCode>General</c:formatCode>
                <c:ptCount val="12"/>
                <c:pt idx="0">
                  <c:v>24.9</c:v>
                </c:pt>
                <c:pt idx="1">
                  <c:v>25.9</c:v>
                </c:pt>
                <c:pt idx="2">
                  <c:v>31.4</c:v>
                </c:pt>
                <c:pt idx="3">
                  <c:v>95.9</c:v>
                </c:pt>
                <c:pt idx="4">
                  <c:v>24.1</c:v>
                </c:pt>
                <c:pt idx="5">
                  <c:v>115.8</c:v>
                </c:pt>
                <c:pt idx="6">
                  <c:v>55.7</c:v>
                </c:pt>
                <c:pt idx="7">
                  <c:v>130.4</c:v>
                </c:pt>
                <c:pt idx="8">
                  <c:v>155.6</c:v>
                </c:pt>
                <c:pt idx="9" formatCode="_(* #,##0.0_);_(* \(#,##0.0\);_(* &quot;-&quot;??_);_(@_)">
                  <c:v>167.977</c:v>
                </c:pt>
                <c:pt idx="10" formatCode="_(* #,##0.0_);_(* \(#,##0.0\);_(* &quot;-&quot;??_);_(@_)">
                  <c:v>110.78181430271995</c:v>
                </c:pt>
                <c:pt idx="11" formatCode="_(* #,##0.0_);_(* \(#,##0.0\);_(* &quot;-&quot;??_);_(@_)">
                  <c:v>110.78181430271995</c:v>
                </c:pt>
              </c:numCache>
            </c:numRef>
          </c:val>
          <c:extLst>
            <c:ext xmlns:c16="http://schemas.microsoft.com/office/drawing/2014/chart" uri="{C3380CC4-5D6E-409C-BE32-E72D297353CC}">
              <c16:uniqueId val="{00000000-EEE4-47B3-90FE-4101F0FC8664}"/>
            </c:ext>
          </c:extLst>
        </c:ser>
        <c:ser>
          <c:idx val="1"/>
          <c:order val="1"/>
          <c:tx>
            <c:strRef>
              <c:f>'SI_Control sheet'!$A$50</c:f>
              <c:strCache>
                <c:ptCount val="1"/>
                <c:pt idx="0">
                  <c:v>Gross profit</c:v>
                </c:pt>
              </c:strCache>
            </c:strRef>
          </c:tx>
          <c:invertIfNegative val="0"/>
          <c:cat>
            <c:strRef>
              <c:f>'SI_Control sheet'!$B$48:$M$48</c:f>
              <c:strCache>
                <c:ptCount val="12"/>
                <c:pt idx="0">
                  <c:v>1Q13</c:v>
                </c:pt>
                <c:pt idx="1">
                  <c:v>2Q13</c:v>
                </c:pt>
                <c:pt idx="2">
                  <c:v>3Q13</c:v>
                </c:pt>
                <c:pt idx="3">
                  <c:v>4Q13</c:v>
                </c:pt>
                <c:pt idx="4">
                  <c:v>1Q14</c:v>
                </c:pt>
                <c:pt idx="5">
                  <c:v>2Q14</c:v>
                </c:pt>
                <c:pt idx="6">
                  <c:v>3Q14</c:v>
                </c:pt>
                <c:pt idx="7">
                  <c:v>4Q14</c:v>
                </c:pt>
                <c:pt idx="8">
                  <c:v>1Q15</c:v>
                </c:pt>
                <c:pt idx="9">
                  <c:v>2Q15</c:v>
                </c:pt>
                <c:pt idx="10">
                  <c:v>3Q15</c:v>
                </c:pt>
                <c:pt idx="11">
                  <c:v>4Q15</c:v>
                </c:pt>
              </c:strCache>
            </c:strRef>
          </c:cat>
          <c:val>
            <c:numRef>
              <c:f>'SI_Control sheet'!$B$50:$M$50</c:f>
              <c:numCache>
                <c:formatCode>_(* #,##0.0_);_(* \(#,##0.0\);_(* "-"??_);_(@_)</c:formatCode>
                <c:ptCount val="12"/>
                <c:pt idx="0">
                  <c:v>18.599999999999998</c:v>
                </c:pt>
                <c:pt idx="1">
                  <c:v>19.399999999999999</c:v>
                </c:pt>
                <c:pt idx="2">
                  <c:v>25.799999999999997</c:v>
                </c:pt>
                <c:pt idx="3">
                  <c:v>67.900000000000006</c:v>
                </c:pt>
                <c:pt idx="4">
                  <c:v>12.500000000000002</c:v>
                </c:pt>
                <c:pt idx="5">
                  <c:v>84.5</c:v>
                </c:pt>
                <c:pt idx="6">
                  <c:v>48.1</c:v>
                </c:pt>
                <c:pt idx="7">
                  <c:v>98.300000000000011</c:v>
                </c:pt>
                <c:pt idx="8">
                  <c:v>99.6</c:v>
                </c:pt>
                <c:pt idx="9">
                  <c:v>133.53274999999999</c:v>
                </c:pt>
                <c:pt idx="10">
                  <c:v>88.636360727039971</c:v>
                </c:pt>
                <c:pt idx="11">
                  <c:v>87.08636072703996</c:v>
                </c:pt>
              </c:numCache>
            </c:numRef>
          </c:val>
          <c:extLst>
            <c:ext xmlns:c16="http://schemas.microsoft.com/office/drawing/2014/chart" uri="{C3380CC4-5D6E-409C-BE32-E72D297353CC}">
              <c16:uniqueId val="{00000001-EEE4-47B3-90FE-4101F0FC8664}"/>
            </c:ext>
          </c:extLst>
        </c:ser>
        <c:dLbls>
          <c:showLegendKey val="0"/>
          <c:showVal val="0"/>
          <c:showCatName val="0"/>
          <c:showSerName val="0"/>
          <c:showPercent val="0"/>
          <c:showBubbleSize val="0"/>
        </c:dLbls>
        <c:gapWidth val="150"/>
        <c:axId val="1941512224"/>
        <c:axId val="1941509504"/>
      </c:barChart>
      <c:lineChart>
        <c:grouping val="standard"/>
        <c:varyColors val="0"/>
        <c:ser>
          <c:idx val="2"/>
          <c:order val="2"/>
          <c:tx>
            <c:strRef>
              <c:f>'SI_Control sheet'!$A$51</c:f>
              <c:strCache>
                <c:ptCount val="1"/>
                <c:pt idx="0">
                  <c:v>Gross margin</c:v>
                </c:pt>
              </c:strCache>
            </c:strRef>
          </c:tx>
          <c:cat>
            <c:strRef>
              <c:f>'SI_Control sheet'!$B$48:$M$48</c:f>
              <c:strCache>
                <c:ptCount val="12"/>
                <c:pt idx="0">
                  <c:v>1Q13</c:v>
                </c:pt>
                <c:pt idx="1">
                  <c:v>2Q13</c:v>
                </c:pt>
                <c:pt idx="2">
                  <c:v>3Q13</c:v>
                </c:pt>
                <c:pt idx="3">
                  <c:v>4Q13</c:v>
                </c:pt>
                <c:pt idx="4">
                  <c:v>1Q14</c:v>
                </c:pt>
                <c:pt idx="5">
                  <c:v>2Q14</c:v>
                </c:pt>
                <c:pt idx="6">
                  <c:v>3Q14</c:v>
                </c:pt>
                <c:pt idx="7">
                  <c:v>4Q14</c:v>
                </c:pt>
                <c:pt idx="8">
                  <c:v>1Q15</c:v>
                </c:pt>
                <c:pt idx="9">
                  <c:v>2Q15</c:v>
                </c:pt>
                <c:pt idx="10">
                  <c:v>3Q15</c:v>
                </c:pt>
                <c:pt idx="11">
                  <c:v>4Q15</c:v>
                </c:pt>
              </c:strCache>
            </c:strRef>
          </c:cat>
          <c:val>
            <c:numRef>
              <c:f>'SI_Control sheet'!$B$51:$M$51</c:f>
              <c:numCache>
                <c:formatCode>0%</c:formatCode>
                <c:ptCount val="12"/>
                <c:pt idx="0">
                  <c:v>0.74698795180722888</c:v>
                </c:pt>
                <c:pt idx="1">
                  <c:v>0.74903474903474898</c:v>
                </c:pt>
                <c:pt idx="2">
                  <c:v>0.82165605095541394</c:v>
                </c:pt>
                <c:pt idx="3">
                  <c:v>0.70802919708029199</c:v>
                </c:pt>
                <c:pt idx="4">
                  <c:v>0.51867219917012453</c:v>
                </c:pt>
                <c:pt idx="5">
                  <c:v>0.72970639032815199</c:v>
                </c:pt>
                <c:pt idx="6">
                  <c:v>0.86355475763016154</c:v>
                </c:pt>
                <c:pt idx="7">
                  <c:v>0.75383435582822089</c:v>
                </c:pt>
                <c:pt idx="8">
                  <c:v>0.64010282776349614</c:v>
                </c:pt>
                <c:pt idx="9">
                  <c:v>0.7949466295980997</c:v>
                </c:pt>
                <c:pt idx="10">
                  <c:v>0.80009847541252754</c:v>
                </c:pt>
                <c:pt idx="11">
                  <c:v>0.78610700930632604</c:v>
                </c:pt>
              </c:numCache>
            </c:numRef>
          </c:val>
          <c:smooth val="0"/>
          <c:extLst>
            <c:ext xmlns:c16="http://schemas.microsoft.com/office/drawing/2014/chart" uri="{C3380CC4-5D6E-409C-BE32-E72D297353CC}">
              <c16:uniqueId val="{00000002-EEE4-47B3-90FE-4101F0FC8664}"/>
            </c:ext>
          </c:extLst>
        </c:ser>
        <c:dLbls>
          <c:showLegendKey val="0"/>
          <c:showVal val="0"/>
          <c:showCatName val="0"/>
          <c:showSerName val="0"/>
          <c:showPercent val="0"/>
          <c:showBubbleSize val="0"/>
        </c:dLbls>
        <c:marker val="1"/>
        <c:smooth val="0"/>
        <c:axId val="1941493728"/>
        <c:axId val="1941498080"/>
      </c:lineChart>
      <c:catAx>
        <c:axId val="1941512224"/>
        <c:scaling>
          <c:orientation val="minMax"/>
        </c:scaling>
        <c:delete val="0"/>
        <c:axPos val="b"/>
        <c:numFmt formatCode="General" sourceLinked="0"/>
        <c:majorTickMark val="out"/>
        <c:minorTickMark val="none"/>
        <c:tickLblPos val="nextTo"/>
        <c:crossAx val="1941509504"/>
        <c:crosses val="autoZero"/>
        <c:auto val="1"/>
        <c:lblAlgn val="ctr"/>
        <c:lblOffset val="100"/>
        <c:noMultiLvlLbl val="0"/>
      </c:catAx>
      <c:valAx>
        <c:axId val="1941509504"/>
        <c:scaling>
          <c:orientation val="minMax"/>
        </c:scaling>
        <c:delete val="0"/>
        <c:axPos val="l"/>
        <c:numFmt formatCode="General" sourceLinked="1"/>
        <c:majorTickMark val="out"/>
        <c:minorTickMark val="none"/>
        <c:tickLblPos val="nextTo"/>
        <c:crossAx val="1941512224"/>
        <c:crosses val="autoZero"/>
        <c:crossBetween val="between"/>
      </c:valAx>
      <c:valAx>
        <c:axId val="1941498080"/>
        <c:scaling>
          <c:orientation val="minMax"/>
        </c:scaling>
        <c:delete val="0"/>
        <c:axPos val="r"/>
        <c:numFmt formatCode="0%" sourceLinked="1"/>
        <c:majorTickMark val="out"/>
        <c:minorTickMark val="none"/>
        <c:tickLblPos val="nextTo"/>
        <c:crossAx val="1941493728"/>
        <c:crosses val="max"/>
        <c:crossBetween val="between"/>
      </c:valAx>
      <c:catAx>
        <c:axId val="1941493728"/>
        <c:scaling>
          <c:orientation val="minMax"/>
        </c:scaling>
        <c:delete val="1"/>
        <c:axPos val="b"/>
        <c:numFmt formatCode="General" sourceLinked="1"/>
        <c:majorTickMark val="out"/>
        <c:minorTickMark val="none"/>
        <c:tickLblPos val="none"/>
        <c:crossAx val="1941498080"/>
        <c:crosses val="autoZero"/>
        <c:auto val="1"/>
        <c:lblAlgn val="ctr"/>
        <c:lblOffset val="100"/>
        <c:noMultiLvlLbl val="0"/>
      </c:catAx>
    </c:plotArea>
    <c:legend>
      <c:legendPos val="r"/>
      <c:layout>
        <c:manualLayout>
          <c:xMode val="edge"/>
          <c:yMode val="edge"/>
          <c:x val="8.8589341118177747E-2"/>
          <c:y val="1.6159881053718381E-2"/>
          <c:w val="0.56068989835456218"/>
          <c:h val="0.11652372059716452"/>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320053276922482E-2"/>
          <c:y val="5.8679886285663646E-2"/>
          <c:w val="0.91374466251422393"/>
          <c:h val="0.83025945175835925"/>
        </c:manualLayout>
      </c:layout>
      <c:barChart>
        <c:barDir val="col"/>
        <c:grouping val="clustered"/>
        <c:varyColors val="0"/>
        <c:ser>
          <c:idx val="0"/>
          <c:order val="0"/>
          <c:tx>
            <c:strRef>
              <c:f>'SI_Control sheet'!$K$25</c:f>
              <c:strCache>
                <c:ptCount val="1"/>
                <c:pt idx="0">
                  <c:v>Number of unit launched</c:v>
                </c:pt>
              </c:strCache>
            </c:strRef>
          </c:tx>
          <c:invertIfNegative val="0"/>
          <c:cat>
            <c:strRef>
              <c:f>'SI_Control sheet'!$L$24:$Q$24</c:f>
              <c:strCache>
                <c:ptCount val="6"/>
                <c:pt idx="0">
                  <c:v>3Q14</c:v>
                </c:pt>
                <c:pt idx="1">
                  <c:v>4Q14</c:v>
                </c:pt>
                <c:pt idx="2">
                  <c:v>1Q15</c:v>
                </c:pt>
                <c:pt idx="3">
                  <c:v>2Q15</c:v>
                </c:pt>
                <c:pt idx="4">
                  <c:v>3Q15</c:v>
                </c:pt>
                <c:pt idx="5">
                  <c:v>4Q15</c:v>
                </c:pt>
              </c:strCache>
            </c:strRef>
          </c:cat>
          <c:val>
            <c:numRef>
              <c:f>'SI_Control sheet'!$L$25:$Q$25</c:f>
              <c:numCache>
                <c:formatCode>#,##0</c:formatCode>
                <c:ptCount val="6"/>
                <c:pt idx="0" formatCode="General">
                  <c:v>605</c:v>
                </c:pt>
                <c:pt idx="1">
                  <c:v>1323</c:v>
                </c:pt>
                <c:pt idx="2" formatCode="General">
                  <c:v>837</c:v>
                </c:pt>
                <c:pt idx="3" formatCode="General">
                  <c:v>741</c:v>
                </c:pt>
                <c:pt idx="4" formatCode="General">
                  <c:v>202</c:v>
                </c:pt>
                <c:pt idx="5" formatCode="General">
                  <c:v>220</c:v>
                </c:pt>
              </c:numCache>
            </c:numRef>
          </c:val>
          <c:extLst>
            <c:ext xmlns:c16="http://schemas.microsoft.com/office/drawing/2014/chart" uri="{C3380CC4-5D6E-409C-BE32-E72D297353CC}">
              <c16:uniqueId val="{00000000-0691-40B4-A094-AD211B645516}"/>
            </c:ext>
          </c:extLst>
        </c:ser>
        <c:dLbls>
          <c:showLegendKey val="0"/>
          <c:showVal val="0"/>
          <c:showCatName val="0"/>
          <c:showSerName val="0"/>
          <c:showPercent val="0"/>
          <c:showBubbleSize val="0"/>
        </c:dLbls>
        <c:gapWidth val="150"/>
        <c:axId val="1941488832"/>
        <c:axId val="1941492640"/>
      </c:barChart>
      <c:catAx>
        <c:axId val="1941488832"/>
        <c:scaling>
          <c:orientation val="minMax"/>
        </c:scaling>
        <c:delete val="0"/>
        <c:axPos val="b"/>
        <c:numFmt formatCode="General" sourceLinked="0"/>
        <c:majorTickMark val="out"/>
        <c:minorTickMark val="none"/>
        <c:tickLblPos val="nextTo"/>
        <c:crossAx val="1941492640"/>
        <c:crosses val="autoZero"/>
        <c:auto val="1"/>
        <c:lblAlgn val="ctr"/>
        <c:lblOffset val="100"/>
        <c:noMultiLvlLbl val="0"/>
      </c:catAx>
      <c:valAx>
        <c:axId val="1941492640"/>
        <c:scaling>
          <c:orientation val="minMax"/>
        </c:scaling>
        <c:delete val="0"/>
        <c:axPos val="l"/>
        <c:numFmt formatCode="General" sourceLinked="1"/>
        <c:majorTickMark val="out"/>
        <c:minorTickMark val="none"/>
        <c:tickLblPos val="nextTo"/>
        <c:crossAx val="1941488832"/>
        <c:crosses val="autoZero"/>
        <c:crossBetween val="between"/>
      </c:valAx>
    </c:plotArea>
    <c:legend>
      <c:legendPos val="r"/>
      <c:layout>
        <c:manualLayout>
          <c:xMode val="edge"/>
          <c:yMode val="edge"/>
          <c:x val="0.4865721784777014"/>
          <c:y val="6.2526876908669815E-2"/>
          <c:w val="0.24875120460688691"/>
          <c:h val="7.8840023546172977E-2"/>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'Rev_NPAT (new)'!$R$62</c:f>
              <c:strCache>
                <c:ptCount val="1"/>
                <c:pt idx="0">
                  <c:v>Brokerage</c:v>
                </c:pt>
              </c:strCache>
            </c:strRef>
          </c:tx>
          <c:invertIfNegative val="0"/>
          <c:cat>
            <c:numRef>
              <c:f>'Rev_NPAT (new)'!$S$61:$U$61</c:f>
              <c:numCache>
                <c:formatCode>General</c:formatCode>
                <c:ptCount val="3"/>
                <c:pt idx="0">
                  <c:v>2014</c:v>
                </c:pt>
                <c:pt idx="1">
                  <c:v>2015</c:v>
                </c:pt>
                <c:pt idx="2">
                  <c:v>2016</c:v>
                </c:pt>
              </c:numCache>
            </c:numRef>
          </c:cat>
          <c:val>
            <c:numRef>
              <c:f>'Rev_NPAT (new)'!$S$62:$U$62</c:f>
              <c:numCache>
                <c:formatCode>_(* #,##0_);_(* \(#,##0\);_(* "-"??_);_(@_)</c:formatCode>
                <c:ptCount val="3"/>
                <c:pt idx="0">
                  <c:v>302855.90478079999</c:v>
                </c:pt>
                <c:pt idx="1">
                  <c:v>545140.62860543991</c:v>
                </c:pt>
                <c:pt idx="2">
                  <c:v>626911.7228962559</c:v>
                </c:pt>
              </c:numCache>
            </c:numRef>
          </c:val>
          <c:extLst>
            <c:ext xmlns:c16="http://schemas.microsoft.com/office/drawing/2014/chart" uri="{C3380CC4-5D6E-409C-BE32-E72D297353CC}">
              <c16:uniqueId val="{00000000-5190-473B-8EF3-63E08DCBA355}"/>
            </c:ext>
          </c:extLst>
        </c:ser>
        <c:ser>
          <c:idx val="1"/>
          <c:order val="1"/>
          <c:tx>
            <c:strRef>
              <c:f>'Rev_NPAT (new)'!$R$63</c:f>
              <c:strCache>
                <c:ptCount val="1"/>
                <c:pt idx="0">
                  <c:v>Project development</c:v>
                </c:pt>
              </c:strCache>
            </c:strRef>
          </c:tx>
          <c:invertIfNegative val="0"/>
          <c:cat>
            <c:numRef>
              <c:f>'Rev_NPAT (new)'!$S$61:$U$61</c:f>
              <c:numCache>
                <c:formatCode>General</c:formatCode>
                <c:ptCount val="3"/>
                <c:pt idx="0">
                  <c:v>2014</c:v>
                </c:pt>
                <c:pt idx="1">
                  <c:v>2015</c:v>
                </c:pt>
                <c:pt idx="2">
                  <c:v>2016</c:v>
                </c:pt>
              </c:numCache>
            </c:numRef>
          </c:cat>
          <c:val>
            <c:numRef>
              <c:f>'Rev_NPAT (new)'!$S$63:$U$63</c:f>
              <c:numCache>
                <c:formatCode>_(* #,##0_);_(* \(#,##0\);_(* "-"??_);_(@_)</c:formatCode>
                <c:ptCount val="3"/>
                <c:pt idx="0">
                  <c:v>0</c:v>
                </c:pt>
                <c:pt idx="1">
                  <c:v>0</c:v>
                </c:pt>
                <c:pt idx="2">
                  <c:v>0</c:v>
                </c:pt>
              </c:numCache>
            </c:numRef>
          </c:val>
          <c:extLst>
            <c:ext xmlns:c16="http://schemas.microsoft.com/office/drawing/2014/chart" uri="{C3380CC4-5D6E-409C-BE32-E72D297353CC}">
              <c16:uniqueId val="{00000001-5190-473B-8EF3-63E08DCBA355}"/>
            </c:ext>
          </c:extLst>
        </c:ser>
        <c:ser>
          <c:idx val="2"/>
          <c:order val="2"/>
          <c:tx>
            <c:strRef>
              <c:f>'Rev_NPAT (new)'!$R$64</c:f>
              <c:strCache>
                <c:ptCount val="1"/>
                <c:pt idx="0">
                  <c:v>Construction</c:v>
                </c:pt>
              </c:strCache>
            </c:strRef>
          </c:tx>
          <c:invertIfNegative val="0"/>
          <c:cat>
            <c:numRef>
              <c:f>'Rev_NPAT (new)'!$S$61:$U$61</c:f>
              <c:numCache>
                <c:formatCode>General</c:formatCode>
                <c:ptCount val="3"/>
                <c:pt idx="0">
                  <c:v>2014</c:v>
                </c:pt>
                <c:pt idx="1">
                  <c:v>2015</c:v>
                </c:pt>
                <c:pt idx="2">
                  <c:v>2016</c:v>
                </c:pt>
              </c:numCache>
            </c:numRef>
          </c:cat>
          <c:val>
            <c:numRef>
              <c:f>'Rev_NPAT (new)'!$S$64:$U$64</c:f>
              <c:numCache>
                <c:formatCode>_(* #,##0_);_(* \(#,##0\);_(* "-"??_);_(@_)</c:formatCode>
                <c:ptCount val="3"/>
                <c:pt idx="0">
                  <c:v>44573</c:v>
                </c:pt>
                <c:pt idx="1">
                  <c:v>111432.5</c:v>
                </c:pt>
                <c:pt idx="2">
                  <c:v>144862.25</c:v>
                </c:pt>
              </c:numCache>
            </c:numRef>
          </c:val>
          <c:extLst>
            <c:ext xmlns:c16="http://schemas.microsoft.com/office/drawing/2014/chart" uri="{C3380CC4-5D6E-409C-BE32-E72D297353CC}">
              <c16:uniqueId val="{00000002-5190-473B-8EF3-63E08DCBA355}"/>
            </c:ext>
          </c:extLst>
        </c:ser>
        <c:dLbls>
          <c:showLegendKey val="0"/>
          <c:showVal val="0"/>
          <c:showCatName val="0"/>
          <c:showSerName val="0"/>
          <c:showPercent val="0"/>
          <c:showBubbleSize val="0"/>
        </c:dLbls>
        <c:gapWidth val="150"/>
        <c:overlap val="100"/>
        <c:axId val="1941482304"/>
        <c:axId val="1941512768"/>
      </c:barChart>
      <c:catAx>
        <c:axId val="1941482304"/>
        <c:scaling>
          <c:orientation val="minMax"/>
        </c:scaling>
        <c:delete val="0"/>
        <c:axPos val="b"/>
        <c:numFmt formatCode="General" sourceLinked="1"/>
        <c:majorTickMark val="out"/>
        <c:minorTickMark val="none"/>
        <c:tickLblPos val="nextTo"/>
        <c:crossAx val="1941512768"/>
        <c:crosses val="autoZero"/>
        <c:auto val="1"/>
        <c:lblAlgn val="ctr"/>
        <c:lblOffset val="100"/>
        <c:noMultiLvlLbl val="0"/>
      </c:catAx>
      <c:valAx>
        <c:axId val="1941512768"/>
        <c:scaling>
          <c:orientation val="minMax"/>
        </c:scaling>
        <c:delete val="0"/>
        <c:axPos val="l"/>
        <c:majorGridlines/>
        <c:numFmt formatCode="_(* #,##0_);_(* \(#,##0\);_(* &quot;-&quot;??_);_(@_)" sourceLinked="1"/>
        <c:majorTickMark val="out"/>
        <c:minorTickMark val="none"/>
        <c:tickLblPos val="nextTo"/>
        <c:crossAx val="1941482304"/>
        <c:crosses val="autoZero"/>
        <c:crossBetween val="between"/>
      </c:valAx>
    </c:plotArea>
    <c:legend>
      <c:legendPos val="r"/>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00606635536686"/>
          <c:y val="4.9255907888279001E-2"/>
          <c:w val="0.80682000090346262"/>
          <c:h val="0.84311235283164798"/>
        </c:manualLayout>
      </c:layout>
      <c:barChart>
        <c:barDir val="col"/>
        <c:grouping val="stacked"/>
        <c:varyColors val="0"/>
        <c:ser>
          <c:idx val="0"/>
          <c:order val="0"/>
          <c:tx>
            <c:strRef>
              <c:f>'Rev_NPAT (new)'!$B$249</c:f>
              <c:strCache>
                <c:ptCount val="1"/>
                <c:pt idx="0">
                  <c:v>Gold Hill Revenue</c:v>
                </c:pt>
              </c:strCache>
            </c:strRef>
          </c:tx>
          <c:invertIfNegative val="0"/>
          <c:cat>
            <c:strRef>
              <c:f>'Rev_NPAT (new)'!$C$248:$F$248</c:f>
              <c:strCache>
                <c:ptCount val="4"/>
                <c:pt idx="0">
                  <c:v>1Q15A</c:v>
                </c:pt>
                <c:pt idx="1">
                  <c:v>2Q15F</c:v>
                </c:pt>
                <c:pt idx="2">
                  <c:v>3Q15F</c:v>
                </c:pt>
                <c:pt idx="3">
                  <c:v>4Q15F</c:v>
                </c:pt>
              </c:strCache>
            </c:strRef>
          </c:cat>
          <c:val>
            <c:numRef>
              <c:f>'Rev_NPAT (new)'!$C$249:$F$249</c:f>
              <c:numCache>
                <c:formatCode>_(* #,##0_);_(* \(#,##0\);_(* "-"??_);_(@_)</c:formatCode>
                <c:ptCount val="4"/>
                <c:pt idx="0">
                  <c:v>1500</c:v>
                </c:pt>
                <c:pt idx="1">
                  <c:v>55274.015999999996</c:v>
                </c:pt>
                <c:pt idx="3">
                  <c:v>55274.015999999996</c:v>
                </c:pt>
              </c:numCache>
            </c:numRef>
          </c:val>
          <c:extLst>
            <c:ext xmlns:c16="http://schemas.microsoft.com/office/drawing/2014/chart" uri="{C3380CC4-5D6E-409C-BE32-E72D297353CC}">
              <c16:uniqueId val="{00000000-9D0C-4F16-9B6D-24A04AF82558}"/>
            </c:ext>
          </c:extLst>
        </c:ser>
        <c:ser>
          <c:idx val="1"/>
          <c:order val="1"/>
          <c:tx>
            <c:strRef>
              <c:f>'Rev_NPAT (new)'!$B$250</c:f>
              <c:strCache>
                <c:ptCount val="1"/>
                <c:pt idx="0">
                  <c:v>Sunview Town Revenue</c:v>
                </c:pt>
              </c:strCache>
            </c:strRef>
          </c:tx>
          <c:invertIfNegative val="0"/>
          <c:cat>
            <c:strRef>
              <c:f>'Rev_NPAT (new)'!$C$248:$F$248</c:f>
              <c:strCache>
                <c:ptCount val="4"/>
                <c:pt idx="0">
                  <c:v>1Q15A</c:v>
                </c:pt>
                <c:pt idx="1">
                  <c:v>2Q15F</c:v>
                </c:pt>
                <c:pt idx="2">
                  <c:v>3Q15F</c:v>
                </c:pt>
                <c:pt idx="3">
                  <c:v>4Q15F</c:v>
                </c:pt>
              </c:strCache>
            </c:strRef>
          </c:cat>
          <c:val>
            <c:numRef>
              <c:f>'Rev_NPAT (new)'!$C$250:$F$250</c:f>
              <c:numCache>
                <c:formatCode>_(* #,##0_);_(* \(#,##0\);_(* "-"??_);_(@_)</c:formatCode>
                <c:ptCount val="4"/>
                <c:pt idx="0">
                  <c:v>0</c:v>
                </c:pt>
                <c:pt idx="1">
                  <c:v>327006.95624999999</c:v>
                </c:pt>
                <c:pt idx="2">
                  <c:v>327006.95624999999</c:v>
                </c:pt>
                <c:pt idx="3">
                  <c:v>327006.95625000005</c:v>
                </c:pt>
              </c:numCache>
            </c:numRef>
          </c:val>
          <c:extLst>
            <c:ext xmlns:c16="http://schemas.microsoft.com/office/drawing/2014/chart" uri="{C3380CC4-5D6E-409C-BE32-E72D297353CC}">
              <c16:uniqueId val="{00000001-9D0C-4F16-9B6D-24A04AF82558}"/>
            </c:ext>
          </c:extLst>
        </c:ser>
        <c:ser>
          <c:idx val="2"/>
          <c:order val="2"/>
          <c:tx>
            <c:strRef>
              <c:f>'Rev_NPAT (new)'!$B$251</c:f>
              <c:strCache>
                <c:ptCount val="1"/>
                <c:pt idx="0">
                  <c:v>Construction Revenue</c:v>
                </c:pt>
              </c:strCache>
            </c:strRef>
          </c:tx>
          <c:invertIfNegative val="0"/>
          <c:cat>
            <c:strRef>
              <c:f>'Rev_NPAT (new)'!$C$248:$F$248</c:f>
              <c:strCache>
                <c:ptCount val="4"/>
                <c:pt idx="0">
                  <c:v>1Q15A</c:v>
                </c:pt>
                <c:pt idx="1">
                  <c:v>2Q15F</c:v>
                </c:pt>
                <c:pt idx="2">
                  <c:v>3Q15F</c:v>
                </c:pt>
                <c:pt idx="3">
                  <c:v>4Q15F</c:v>
                </c:pt>
              </c:strCache>
            </c:strRef>
          </c:cat>
          <c:val>
            <c:numRef>
              <c:f>'Rev_NPAT (new)'!$C$251:$F$251</c:f>
              <c:numCache>
                <c:formatCode>_(* #,##0_);_(* \(#,##0\);_(* "-"??_);_(@_)</c:formatCode>
                <c:ptCount val="4"/>
                <c:pt idx="0">
                  <c:v>14743</c:v>
                </c:pt>
                <c:pt idx="1">
                  <c:v>29715.333333333332</c:v>
                </c:pt>
                <c:pt idx="2">
                  <c:v>14857.666666666666</c:v>
                </c:pt>
                <c:pt idx="3">
                  <c:v>29715.333333333332</c:v>
                </c:pt>
              </c:numCache>
            </c:numRef>
          </c:val>
          <c:extLst>
            <c:ext xmlns:c16="http://schemas.microsoft.com/office/drawing/2014/chart" uri="{C3380CC4-5D6E-409C-BE32-E72D297353CC}">
              <c16:uniqueId val="{00000002-9D0C-4F16-9B6D-24A04AF82558}"/>
            </c:ext>
          </c:extLst>
        </c:ser>
        <c:ser>
          <c:idx val="3"/>
          <c:order val="3"/>
          <c:tx>
            <c:strRef>
              <c:f>'Rev_NPAT (new)'!$B$252</c:f>
              <c:strCache>
                <c:ptCount val="1"/>
                <c:pt idx="0">
                  <c:v>Brokerage Revenue</c:v>
                </c:pt>
              </c:strCache>
            </c:strRef>
          </c:tx>
          <c:invertIfNegative val="0"/>
          <c:cat>
            <c:strRef>
              <c:f>'Rev_NPAT (new)'!$C$248:$F$248</c:f>
              <c:strCache>
                <c:ptCount val="4"/>
                <c:pt idx="0">
                  <c:v>1Q15A</c:v>
                </c:pt>
                <c:pt idx="1">
                  <c:v>2Q15F</c:v>
                </c:pt>
                <c:pt idx="2">
                  <c:v>3Q15F</c:v>
                </c:pt>
                <c:pt idx="3">
                  <c:v>4Q15F</c:v>
                </c:pt>
              </c:strCache>
            </c:strRef>
          </c:cat>
          <c:val>
            <c:numRef>
              <c:f>'Rev_NPAT (new)'!$C$252:$F$252</c:f>
              <c:numCache>
                <c:formatCode>_(* #,##0_);_(* \(#,##0\);_(* "-"??_);_(@_)</c:formatCode>
                <c:ptCount val="4"/>
                <c:pt idx="0">
                  <c:v>155600</c:v>
                </c:pt>
                <c:pt idx="1">
                  <c:v>121142.36191232</c:v>
                </c:pt>
                <c:pt idx="2">
                  <c:v>36342.708573696</c:v>
                </c:pt>
                <c:pt idx="3">
                  <c:v>50342.015250944009</c:v>
                </c:pt>
              </c:numCache>
            </c:numRef>
          </c:val>
          <c:extLst>
            <c:ext xmlns:c16="http://schemas.microsoft.com/office/drawing/2014/chart" uri="{C3380CC4-5D6E-409C-BE32-E72D297353CC}">
              <c16:uniqueId val="{00000003-9D0C-4F16-9B6D-24A04AF82558}"/>
            </c:ext>
          </c:extLst>
        </c:ser>
        <c:dLbls>
          <c:showLegendKey val="0"/>
          <c:showVal val="0"/>
          <c:showCatName val="0"/>
          <c:showSerName val="0"/>
          <c:showPercent val="0"/>
          <c:showBubbleSize val="0"/>
        </c:dLbls>
        <c:gapWidth val="150"/>
        <c:overlap val="100"/>
        <c:axId val="1941491552"/>
        <c:axId val="1941492096"/>
      </c:barChart>
      <c:lineChart>
        <c:grouping val="standard"/>
        <c:varyColors val="0"/>
        <c:ser>
          <c:idx val="4"/>
          <c:order val="4"/>
          <c:tx>
            <c:strRef>
              <c:f>'Rev_NPAT (new)'!$B$253</c:f>
              <c:strCache>
                <c:ptCount val="1"/>
                <c:pt idx="0">
                  <c:v>NPAT</c:v>
                </c:pt>
              </c:strCache>
            </c:strRef>
          </c:tx>
          <c:marker>
            <c:symbol val="none"/>
          </c:marker>
          <c:cat>
            <c:strRef>
              <c:f>'Rev_NPAT (new)'!$C$248:$F$248</c:f>
              <c:strCache>
                <c:ptCount val="4"/>
                <c:pt idx="0">
                  <c:v>1Q15A</c:v>
                </c:pt>
                <c:pt idx="1">
                  <c:v>2Q15F</c:v>
                </c:pt>
                <c:pt idx="2">
                  <c:v>3Q15F</c:v>
                </c:pt>
                <c:pt idx="3">
                  <c:v>4Q15F</c:v>
                </c:pt>
              </c:strCache>
            </c:strRef>
          </c:cat>
          <c:val>
            <c:numRef>
              <c:f>'Rev_NPAT (new)'!$C$253:$F$253</c:f>
              <c:numCache>
                <c:formatCode>_(* #,##0_);_(* \(#,##0\);_(* "-"??_);_(@_)</c:formatCode>
                <c:ptCount val="4"/>
                <c:pt idx="0">
                  <c:v>0</c:v>
                </c:pt>
                <c:pt idx="1">
                  <c:v>0</c:v>
                </c:pt>
                <c:pt idx="2">
                  <c:v>0</c:v>
                </c:pt>
                <c:pt idx="3">
                  <c:v>0</c:v>
                </c:pt>
              </c:numCache>
            </c:numRef>
          </c:val>
          <c:smooth val="0"/>
          <c:extLst>
            <c:ext xmlns:c16="http://schemas.microsoft.com/office/drawing/2014/chart" uri="{C3380CC4-5D6E-409C-BE32-E72D297353CC}">
              <c16:uniqueId val="{00000004-9D0C-4F16-9B6D-24A04AF82558}"/>
            </c:ext>
          </c:extLst>
        </c:ser>
        <c:dLbls>
          <c:showLegendKey val="0"/>
          <c:showVal val="0"/>
          <c:showCatName val="0"/>
          <c:showSerName val="0"/>
          <c:showPercent val="0"/>
          <c:showBubbleSize val="0"/>
        </c:dLbls>
        <c:marker val="1"/>
        <c:smooth val="0"/>
        <c:axId val="1941487744"/>
        <c:axId val="1941483392"/>
      </c:lineChart>
      <c:catAx>
        <c:axId val="1941491552"/>
        <c:scaling>
          <c:orientation val="minMax"/>
        </c:scaling>
        <c:delete val="0"/>
        <c:axPos val="b"/>
        <c:numFmt formatCode="General" sourceLinked="0"/>
        <c:majorTickMark val="out"/>
        <c:minorTickMark val="none"/>
        <c:tickLblPos val="nextTo"/>
        <c:crossAx val="1941492096"/>
        <c:crosses val="autoZero"/>
        <c:auto val="1"/>
        <c:lblAlgn val="ctr"/>
        <c:lblOffset val="100"/>
        <c:noMultiLvlLbl val="0"/>
      </c:catAx>
      <c:valAx>
        <c:axId val="1941492096"/>
        <c:scaling>
          <c:orientation val="minMax"/>
        </c:scaling>
        <c:delete val="0"/>
        <c:axPos val="l"/>
        <c:numFmt formatCode="_(* #,##0_);_(* \(#,##0\);_(* &quot;-&quot;??_);_(@_)" sourceLinked="1"/>
        <c:majorTickMark val="out"/>
        <c:minorTickMark val="none"/>
        <c:tickLblPos val="nextTo"/>
        <c:crossAx val="1941491552"/>
        <c:crosses val="autoZero"/>
        <c:crossBetween val="between"/>
        <c:dispUnits>
          <c:builtInUnit val="thousands"/>
        </c:dispUnits>
      </c:valAx>
      <c:valAx>
        <c:axId val="1941483392"/>
        <c:scaling>
          <c:orientation val="minMax"/>
        </c:scaling>
        <c:delete val="0"/>
        <c:axPos val="r"/>
        <c:numFmt formatCode="_(* #,##0_);_(* \(#,##0\);_(* &quot;-&quot;??_);_(@_)" sourceLinked="1"/>
        <c:majorTickMark val="out"/>
        <c:minorTickMark val="none"/>
        <c:tickLblPos val="nextTo"/>
        <c:crossAx val="1941487744"/>
        <c:crosses val="max"/>
        <c:crossBetween val="between"/>
        <c:majorUnit val="20000"/>
        <c:dispUnits>
          <c:builtInUnit val="thousands"/>
          <c:dispUnitsLbl/>
        </c:dispUnits>
      </c:valAx>
      <c:catAx>
        <c:axId val="1941487744"/>
        <c:scaling>
          <c:orientation val="minMax"/>
        </c:scaling>
        <c:delete val="1"/>
        <c:axPos val="b"/>
        <c:numFmt formatCode="General" sourceLinked="1"/>
        <c:majorTickMark val="out"/>
        <c:minorTickMark val="none"/>
        <c:tickLblPos val="none"/>
        <c:crossAx val="1941483392"/>
        <c:crosses val="autoZero"/>
        <c:auto val="1"/>
        <c:lblAlgn val="ctr"/>
        <c:lblOffset val="100"/>
        <c:noMultiLvlLbl val="0"/>
      </c:catAx>
    </c:plotArea>
    <c:legend>
      <c:legendPos val="r"/>
      <c:layout>
        <c:manualLayout>
          <c:xMode val="edge"/>
          <c:yMode val="edge"/>
          <c:x val="0.11711679707664437"/>
          <c:y val="1.6218838674738584E-5"/>
          <c:w val="0.73806607292520521"/>
          <c:h val="0.16709458544648867"/>
        </c:manualLayout>
      </c:layout>
      <c:overlay val="0"/>
    </c:legend>
    <c:plotVisOnly val="1"/>
    <c:dispBlanksAs val="gap"/>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Rev_NPAT!$B$3</c:f>
              <c:strCache>
                <c:ptCount val="1"/>
                <c:pt idx="0">
                  <c:v>Revenue</c:v>
                </c:pt>
              </c:strCache>
            </c:strRef>
          </c:tx>
          <c:invertIfNegative val="0"/>
          <c:dPt>
            <c:idx val="7"/>
            <c:invertIfNegative val="0"/>
            <c:bubble3D val="0"/>
            <c:spPr>
              <a:solidFill>
                <a:srgbClr val="FF0000"/>
              </a:solidFill>
              <a:ln>
                <a:noFill/>
              </a:ln>
            </c:spPr>
            <c:extLst>
              <c:ext xmlns:c16="http://schemas.microsoft.com/office/drawing/2014/chart" uri="{C3380CC4-5D6E-409C-BE32-E72D297353CC}">
                <c16:uniqueId val="{00000000-4122-4D65-823B-2B61AD118FEE}"/>
              </c:ext>
            </c:extLst>
          </c:dPt>
          <c:cat>
            <c:numRef>
              <c:f>Rev_NPAT!$C$2:$J$2</c:f>
              <c:numCache>
                <c:formatCode>General</c:formatCode>
                <c:ptCount val="8"/>
                <c:pt idx="0">
                  <c:v>2007</c:v>
                </c:pt>
                <c:pt idx="1">
                  <c:v>2008</c:v>
                </c:pt>
                <c:pt idx="2">
                  <c:v>2009</c:v>
                </c:pt>
                <c:pt idx="3">
                  <c:v>2010</c:v>
                </c:pt>
                <c:pt idx="4">
                  <c:v>2011</c:v>
                </c:pt>
                <c:pt idx="5">
                  <c:v>2012</c:v>
                </c:pt>
                <c:pt idx="6">
                  <c:v>2013</c:v>
                </c:pt>
                <c:pt idx="7">
                  <c:v>2014</c:v>
                </c:pt>
              </c:numCache>
            </c:numRef>
          </c:cat>
          <c:val>
            <c:numRef>
              <c:f>Rev_NPAT!$C$3:$J$3</c:f>
              <c:numCache>
                <c:formatCode>_(* #,##0_);_(* \(#,##0\);_(* "-"??_);_(@_)</c:formatCode>
                <c:ptCount val="8"/>
                <c:pt idx="0">
                  <c:v>28607.37138</c:v>
                </c:pt>
                <c:pt idx="1">
                  <c:v>28610.676713000001</c:v>
                </c:pt>
                <c:pt idx="2">
                  <c:v>84909.410818000004</c:v>
                </c:pt>
                <c:pt idx="3">
                  <c:v>103711.442446</c:v>
                </c:pt>
                <c:pt idx="4">
                  <c:v>181290.059461</c:v>
                </c:pt>
                <c:pt idx="5">
                  <c:v>162637.90627199999</c:v>
                </c:pt>
                <c:pt idx="6">
                  <c:v>178150.532224</c:v>
                </c:pt>
                <c:pt idx="7">
                  <c:v>302855.90478079999</c:v>
                </c:pt>
              </c:numCache>
            </c:numRef>
          </c:val>
          <c:extLst>
            <c:ext xmlns:c16="http://schemas.microsoft.com/office/drawing/2014/chart" uri="{C3380CC4-5D6E-409C-BE32-E72D297353CC}">
              <c16:uniqueId val="{00000001-4122-4D65-823B-2B61AD118FEE}"/>
            </c:ext>
          </c:extLst>
        </c:ser>
        <c:dLbls>
          <c:showLegendKey val="0"/>
          <c:showVal val="0"/>
          <c:showCatName val="0"/>
          <c:showSerName val="0"/>
          <c:showPercent val="0"/>
          <c:showBubbleSize val="0"/>
        </c:dLbls>
        <c:gapWidth val="75"/>
        <c:overlap val="-25"/>
        <c:axId val="1941486112"/>
        <c:axId val="1941479584"/>
      </c:barChart>
      <c:catAx>
        <c:axId val="1941486112"/>
        <c:scaling>
          <c:orientation val="minMax"/>
        </c:scaling>
        <c:delete val="0"/>
        <c:axPos val="b"/>
        <c:numFmt formatCode="General" sourceLinked="1"/>
        <c:majorTickMark val="none"/>
        <c:minorTickMark val="none"/>
        <c:tickLblPos val="nextTo"/>
        <c:crossAx val="1941479584"/>
        <c:crosses val="autoZero"/>
        <c:auto val="1"/>
        <c:lblAlgn val="ctr"/>
        <c:lblOffset val="100"/>
        <c:noMultiLvlLbl val="0"/>
      </c:catAx>
      <c:valAx>
        <c:axId val="1941479584"/>
        <c:scaling>
          <c:orientation val="minMax"/>
        </c:scaling>
        <c:delete val="0"/>
        <c:axPos val="l"/>
        <c:majorGridlines/>
        <c:numFmt formatCode="_(* #,##0_);_(* \(#,##0\);_(* &quot;-&quot;??_);_(@_)" sourceLinked="1"/>
        <c:majorTickMark val="none"/>
        <c:minorTickMark val="none"/>
        <c:tickLblPos val="nextTo"/>
        <c:spPr>
          <a:ln w="9525">
            <a:noFill/>
          </a:ln>
        </c:spPr>
        <c:crossAx val="1941486112"/>
        <c:crosses val="autoZero"/>
        <c:crossBetween val="between"/>
      </c:valAx>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Lbls>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strRef>
              <c:f>'RNAV_No dilution'!$S$31:$S$36</c:f>
              <c:strCache>
                <c:ptCount val="6"/>
                <c:pt idx="0">
                  <c:v>Gold Hill</c:v>
                </c:pt>
                <c:pt idx="1">
                  <c:v>Viva City</c:v>
                </c:pt>
                <c:pt idx="2">
                  <c:v>Sunview Town</c:v>
                </c:pt>
                <c:pt idx="3">
                  <c:v>Riverside Garden</c:v>
                </c:pt>
                <c:pt idx="4">
                  <c:v>Green City</c:v>
                </c:pt>
                <c:pt idx="5">
                  <c:v>Other projects</c:v>
                </c:pt>
              </c:strCache>
            </c:strRef>
          </c:cat>
          <c:val>
            <c:numRef>
              <c:f>'RNAV_No dilution'!$T$31:$T$36</c:f>
              <c:numCache>
                <c:formatCode>_(* #,##0_);_(* \(#,##0\);_(* "-"??_);_(@_)</c:formatCode>
                <c:ptCount val="6"/>
                <c:pt idx="0">
                  <c:v>186383.31788141446</c:v>
                </c:pt>
                <c:pt idx="1">
                  <c:v>289782.62541854871</c:v>
                </c:pt>
                <c:pt idx="2">
                  <c:v>282667.72437026864</c:v>
                </c:pt>
                <c:pt idx="3">
                  <c:v>81313.003833026101</c:v>
                </c:pt>
                <c:pt idx="4">
                  <c:v>263266.0889801333</c:v>
                </c:pt>
                <c:pt idx="5">
                  <c:v>145634.20481342857</c:v>
                </c:pt>
              </c:numCache>
            </c:numRef>
          </c:val>
          <c:extLst>
            <c:ext xmlns:c16="http://schemas.microsoft.com/office/drawing/2014/chart" uri="{C3380CC4-5D6E-409C-BE32-E72D297353CC}">
              <c16:uniqueId val="{00000000-0FFA-4F4F-80C4-EA96B170F88C}"/>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printSettings>
    <c:headerFooter/>
    <c:pageMargins b="0.75000000000001465" l="0.70000000000000062" r="0.70000000000000062" t="0.75000000000001465"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B3-446D-97F4-25210C690E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B3-446D-97F4-25210C690E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B3-446D-97F4-25210C690E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B3-446D-97F4-25210C690E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B3-446D-97F4-25210C690E2C}"/>
              </c:ext>
            </c:extLst>
          </c:dPt>
          <c:cat>
            <c:strRef>
              <c:f>'New Valuation'!$K$18:$K$22</c:f>
              <c:strCache>
                <c:ptCount val="5"/>
                <c:pt idx="0">
                  <c:v>Project development</c:v>
                </c:pt>
                <c:pt idx="1">
                  <c:v>Brokerage and construction</c:v>
                </c:pt>
                <c:pt idx="2">
                  <c:v>Cash proceeds from share issuance</c:v>
                </c:pt>
                <c:pt idx="3">
                  <c:v>Cash and cash equivalent</c:v>
                </c:pt>
                <c:pt idx="4">
                  <c:v>Investment in LDG</c:v>
                </c:pt>
              </c:strCache>
            </c:strRef>
          </c:cat>
          <c:val>
            <c:numRef>
              <c:f>'New Valuation'!$L$18:$L$22</c:f>
              <c:numCache>
                <c:formatCode>#,##0%_);\(#,##0%\)</c:formatCode>
                <c:ptCount val="5"/>
                <c:pt idx="0">
                  <c:v>0</c:v>
                </c:pt>
                <c:pt idx="1">
                  <c:v>0</c:v>
                </c:pt>
                <c:pt idx="2">
                  <c:v>0</c:v>
                </c:pt>
                <c:pt idx="3">
                  <c:v>0</c:v>
                </c:pt>
                <c:pt idx="4">
                  <c:v>0</c:v>
                </c:pt>
              </c:numCache>
            </c:numRef>
          </c:val>
          <c:extLst>
            <c:ext xmlns:c16="http://schemas.microsoft.com/office/drawing/2014/chart" uri="{C3380CC4-5D6E-409C-BE32-E72D297353CC}">
              <c16:uniqueId val="{00000000-F3E3-4AA2-B96C-D639F237B5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91" l="0.70000000000000062" r="0.70000000000000062" t="0.7500000000000091"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BB-4046-B97B-6F32DCC74F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BB-4046-B97B-6F32DCC74F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BB-4046-B97B-6F32DCC74F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BB-4046-B97B-6F32DCC74F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BB-4046-B97B-6F32DCC74F3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BB-4046-B97B-6F32DCC74F3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BB-4046-B97B-6F32DCC74F3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FBB-4046-B97B-6F32DCC74F3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FBB-4046-B97B-6F32DCC74F3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FBB-4046-B97B-6F32DCC74F3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FBB-4046-B97B-6F32DCC74F3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FBB-4046-B97B-6F32DCC74F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Valuation'!$B$44:$B$55</c:f>
              <c:strCache>
                <c:ptCount val="12"/>
                <c:pt idx="0">
                  <c:v>Sunview Town</c:v>
                </c:pt>
                <c:pt idx="1">
                  <c:v>Gold Hill</c:v>
                </c:pt>
                <c:pt idx="2">
                  <c:v>Luxcity</c:v>
                </c:pt>
                <c:pt idx="3">
                  <c:v>Opal Riverside</c:v>
                </c:pt>
                <c:pt idx="4">
                  <c:v>Green City</c:v>
                </c:pt>
                <c:pt idx="5">
                  <c:v>Bivi</c:v>
                </c:pt>
                <c:pt idx="6">
                  <c:v>Tam Da</c:v>
                </c:pt>
                <c:pt idx="7">
                  <c:v>Tam Thong</c:v>
                </c:pt>
                <c:pt idx="8">
                  <c:v>Tam Thong 1</c:v>
                </c:pt>
                <c:pt idx="9">
                  <c:v>Tan Kieng - 2</c:v>
                </c:pt>
                <c:pt idx="10">
                  <c:v>Binh Dang</c:v>
                </c:pt>
                <c:pt idx="11">
                  <c:v>Venice City</c:v>
                </c:pt>
              </c:strCache>
            </c:strRef>
          </c:cat>
          <c:val>
            <c:numRef>
              <c:f>'New Valuation'!$F$5:$F$16</c:f>
              <c:numCache>
                <c:formatCode>#,##0.0%_);\(#,##0.0%\)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77F-4981-B612-21CAF11E922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91" l="0.70000000000000062" r="0.70000000000000062" t="0.750000000000009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Debt Repayment Profile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Debt!$D$34</c:f>
              <c:strCache>
                <c:ptCount val="1"/>
                <c:pt idx="0">
                  <c:v>Loans</c:v>
                </c:pt>
              </c:strCache>
            </c:strRef>
          </c:tx>
          <c:spPr>
            <a:solidFill>
              <a:schemeClr val="accent1"/>
            </a:solidFill>
            <a:ln>
              <a:noFill/>
            </a:ln>
            <a:effectLst/>
          </c:spPr>
          <c:invertIfNegative val="0"/>
          <c:cat>
            <c:strRef>
              <c:f>Debt!$C$35:$C$39</c:f>
              <c:strCache>
                <c:ptCount val="5"/>
                <c:pt idx="0">
                  <c:v>Paid in Oct23</c:v>
                </c:pt>
                <c:pt idx="1">
                  <c:v>23-Dec</c:v>
                </c:pt>
                <c:pt idx="2">
                  <c:v>2024</c:v>
                </c:pt>
                <c:pt idx="3">
                  <c:v>2025</c:v>
                </c:pt>
                <c:pt idx="4">
                  <c:v>2026</c:v>
                </c:pt>
              </c:strCache>
            </c:strRef>
          </c:cat>
          <c:val>
            <c:numRef>
              <c:f>Debt!$D$35:$D$39</c:f>
              <c:numCache>
                <c:formatCode>General</c:formatCode>
                <c:ptCount val="5"/>
                <c:pt idx="0">
                  <c:v>175</c:v>
                </c:pt>
                <c:pt idx="1">
                  <c:v>0</c:v>
                </c:pt>
                <c:pt idx="2">
                  <c:v>200</c:v>
                </c:pt>
                <c:pt idx="3">
                  <c:v>650</c:v>
                </c:pt>
                <c:pt idx="4">
                  <c:v>510</c:v>
                </c:pt>
              </c:numCache>
            </c:numRef>
          </c:val>
          <c:extLst>
            <c:ext xmlns:c16="http://schemas.microsoft.com/office/drawing/2014/chart" uri="{C3380CC4-5D6E-409C-BE32-E72D297353CC}">
              <c16:uniqueId val="{00000000-B786-47CC-B1AD-103FA823407E}"/>
            </c:ext>
          </c:extLst>
        </c:ser>
        <c:ser>
          <c:idx val="1"/>
          <c:order val="1"/>
          <c:tx>
            <c:strRef>
              <c:f>Debt!$E$34</c:f>
              <c:strCache>
                <c:ptCount val="1"/>
                <c:pt idx="0">
                  <c:v>Bonds</c:v>
                </c:pt>
              </c:strCache>
            </c:strRef>
          </c:tx>
          <c:spPr>
            <a:solidFill>
              <a:schemeClr val="accent2"/>
            </a:solidFill>
            <a:ln>
              <a:noFill/>
            </a:ln>
            <a:effectLst/>
          </c:spPr>
          <c:invertIfNegative val="0"/>
          <c:cat>
            <c:strRef>
              <c:f>Debt!$C$35:$C$39</c:f>
              <c:strCache>
                <c:ptCount val="5"/>
                <c:pt idx="0">
                  <c:v>Paid in Oct23</c:v>
                </c:pt>
                <c:pt idx="1">
                  <c:v>23-Dec</c:v>
                </c:pt>
                <c:pt idx="2">
                  <c:v>2024</c:v>
                </c:pt>
                <c:pt idx="3">
                  <c:v>2025</c:v>
                </c:pt>
                <c:pt idx="4">
                  <c:v>2026</c:v>
                </c:pt>
              </c:strCache>
            </c:strRef>
          </c:cat>
          <c:val>
            <c:numRef>
              <c:f>Debt!$E$35:$E$39</c:f>
              <c:numCache>
                <c:formatCode>General</c:formatCode>
                <c:ptCount val="5"/>
                <c:pt idx="0">
                  <c:v>66</c:v>
                </c:pt>
                <c:pt idx="1">
                  <c:v>160</c:v>
                </c:pt>
                <c:pt idx="2">
                  <c:v>500</c:v>
                </c:pt>
                <c:pt idx="3">
                  <c:v>500</c:v>
                </c:pt>
                <c:pt idx="4">
                  <c:v>500</c:v>
                </c:pt>
              </c:numCache>
            </c:numRef>
          </c:val>
          <c:extLst>
            <c:ext xmlns:c16="http://schemas.microsoft.com/office/drawing/2014/chart" uri="{C3380CC4-5D6E-409C-BE32-E72D297353CC}">
              <c16:uniqueId val="{00000001-B786-47CC-B1AD-103FA823407E}"/>
            </c:ext>
          </c:extLst>
        </c:ser>
        <c:dLbls>
          <c:showLegendKey val="0"/>
          <c:showVal val="0"/>
          <c:showCatName val="0"/>
          <c:showSerName val="0"/>
          <c:showPercent val="0"/>
          <c:showBubbleSize val="0"/>
        </c:dLbls>
        <c:gapWidth val="150"/>
        <c:overlap val="100"/>
        <c:axId val="1084015792"/>
        <c:axId val="1084008592"/>
      </c:barChart>
      <c:catAx>
        <c:axId val="108401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08592"/>
        <c:crosses val="autoZero"/>
        <c:auto val="1"/>
        <c:lblAlgn val="ctr"/>
        <c:lblOffset val="100"/>
        <c:noMultiLvlLbl val="0"/>
      </c:catAx>
      <c:valAx>
        <c:axId val="108400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15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r>
              <a:rPr lang="en-US"/>
              <a:t>Brokerage Revenue </a:t>
            </a:r>
          </a:p>
        </c:rich>
      </c:tx>
      <c:overlay val="0"/>
      <c:spPr>
        <a:noFill/>
        <a:ln>
          <a:noFill/>
        </a:ln>
        <a:effectLst/>
      </c:spPr>
      <c:txPr>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Brokerage!$D$35:$P$35</c:f>
              <c:numCache>
                <c:formatCode>General</c:formatCode>
                <c:ptCount val="13"/>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numCache>
            </c:numRef>
          </c:cat>
          <c:val>
            <c:numRef>
              <c:f>Brokerage!$D$36:$P$36</c:f>
              <c:numCache>
                <c:formatCode>#,##0_);\(#,##0\)</c:formatCode>
                <c:ptCount val="13"/>
                <c:pt idx="0">
                  <c:v>29</c:v>
                </c:pt>
                <c:pt idx="1">
                  <c:v>29</c:v>
                </c:pt>
                <c:pt idx="2">
                  <c:v>85</c:v>
                </c:pt>
                <c:pt idx="3">
                  <c:v>104</c:v>
                </c:pt>
                <c:pt idx="4">
                  <c:v>181</c:v>
                </c:pt>
                <c:pt idx="5">
                  <c:v>163</c:v>
                </c:pt>
                <c:pt idx="6">
                  <c:v>178</c:v>
                </c:pt>
                <c:pt idx="7">
                  <c:v>314</c:v>
                </c:pt>
                <c:pt idx="8">
                  <c:v>753</c:v>
                </c:pt>
                <c:pt idx="9">
                  <c:v>811</c:v>
                </c:pt>
                <c:pt idx="10">
                  <c:v>1616</c:v>
                </c:pt>
                <c:pt idx="11">
                  <c:v>2420</c:v>
                </c:pt>
                <c:pt idx="12">
                  <c:v>2842</c:v>
                </c:pt>
              </c:numCache>
            </c:numRef>
          </c:val>
          <c:extLst>
            <c:ext xmlns:c16="http://schemas.microsoft.com/office/drawing/2014/chart" uri="{C3380CC4-5D6E-409C-BE32-E72D297353CC}">
              <c16:uniqueId val="{00000000-E899-4204-80CC-1447430BC780}"/>
            </c:ext>
          </c:extLst>
        </c:ser>
        <c:dLbls>
          <c:showLegendKey val="0"/>
          <c:showVal val="0"/>
          <c:showCatName val="0"/>
          <c:showSerName val="0"/>
          <c:showPercent val="0"/>
          <c:showBubbleSize val="0"/>
        </c:dLbls>
        <c:gapWidth val="219"/>
        <c:overlap val="-27"/>
        <c:axId val="1941520928"/>
        <c:axId val="1941538880"/>
      </c:barChart>
      <c:catAx>
        <c:axId val="194152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41538880"/>
        <c:crosses val="autoZero"/>
        <c:auto val="1"/>
        <c:lblAlgn val="ctr"/>
        <c:lblOffset val="100"/>
        <c:noMultiLvlLbl val="0"/>
      </c:catAx>
      <c:valAx>
        <c:axId val="1941538880"/>
        <c:scaling>
          <c:orientation val="minMax"/>
        </c:scaling>
        <c:delete val="1"/>
        <c:axPos val="l"/>
        <c:numFmt formatCode="#,##0_);\(#,##0\)" sourceLinked="1"/>
        <c:majorTickMark val="none"/>
        <c:minorTickMark val="none"/>
        <c:tickLblPos val="nextTo"/>
        <c:crossAx val="194152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r>
              <a:rPr lang="en-US"/>
              <a:t>Brokerage PAT - VND bn</a:t>
            </a:r>
          </a:p>
        </c:rich>
      </c:tx>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Brokerage!$K$35:$R$35</c:f>
              <c:numCache>
                <c:formatCode>General</c:formatCode>
                <c:ptCount val="8"/>
                <c:pt idx="0">
                  <c:v>2014</c:v>
                </c:pt>
                <c:pt idx="1">
                  <c:v>2015</c:v>
                </c:pt>
                <c:pt idx="2">
                  <c:v>2016</c:v>
                </c:pt>
                <c:pt idx="3">
                  <c:v>2017</c:v>
                </c:pt>
                <c:pt idx="4">
                  <c:v>2018</c:v>
                </c:pt>
                <c:pt idx="5">
                  <c:v>2019</c:v>
                </c:pt>
                <c:pt idx="6">
                  <c:v>2020</c:v>
                </c:pt>
                <c:pt idx="7">
                  <c:v>2021</c:v>
                </c:pt>
              </c:numCache>
            </c:numRef>
          </c:cat>
          <c:val>
            <c:numRef>
              <c:f>Brokerage!$K$47:$R$47</c:f>
              <c:numCache>
                <c:formatCode>#,##0_);\(#,##0\)</c:formatCode>
                <c:ptCount val="8"/>
                <c:pt idx="0">
                  <c:v>45.2</c:v>
                </c:pt>
                <c:pt idx="1">
                  <c:v>109</c:v>
                </c:pt>
                <c:pt idx="2">
                  <c:v>127</c:v>
                </c:pt>
                <c:pt idx="3">
                  <c:v>335</c:v>
                </c:pt>
                <c:pt idx="4">
                  <c:v>544</c:v>
                </c:pt>
                <c:pt idx="5">
                  <c:v>670</c:v>
                </c:pt>
                <c:pt idx="6">
                  <c:v>305</c:v>
                </c:pt>
                <c:pt idx="7">
                  <c:v>430.12905256531315</c:v>
                </c:pt>
              </c:numCache>
            </c:numRef>
          </c:val>
          <c:extLst>
            <c:ext xmlns:c16="http://schemas.microsoft.com/office/drawing/2014/chart" uri="{C3380CC4-5D6E-409C-BE32-E72D297353CC}">
              <c16:uniqueId val="{00000000-A3FF-45D0-B645-57150EF7A760}"/>
            </c:ext>
          </c:extLst>
        </c:ser>
        <c:dLbls>
          <c:showLegendKey val="0"/>
          <c:showVal val="0"/>
          <c:showCatName val="0"/>
          <c:showSerName val="0"/>
          <c:showPercent val="0"/>
          <c:showBubbleSize val="0"/>
        </c:dLbls>
        <c:gapWidth val="219"/>
        <c:overlap val="-27"/>
        <c:axId val="1941541056"/>
        <c:axId val="1941535072"/>
      </c:barChart>
      <c:catAx>
        <c:axId val="19415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41535072"/>
        <c:crosses val="autoZero"/>
        <c:auto val="1"/>
        <c:lblAlgn val="ctr"/>
        <c:lblOffset val="100"/>
        <c:noMultiLvlLbl val="0"/>
      </c:catAx>
      <c:valAx>
        <c:axId val="1941535072"/>
        <c:scaling>
          <c:orientation val="minMax"/>
        </c:scaling>
        <c:delete val="1"/>
        <c:axPos val="l"/>
        <c:numFmt formatCode="#,##0_);\(#,##0\)" sourceLinked="1"/>
        <c:majorTickMark val="none"/>
        <c:minorTickMark val="none"/>
        <c:tickLblPos val="nextTo"/>
        <c:crossAx val="194154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r>
              <a:rPr lang="en-US"/>
              <a:t>Brokerage PAT - VND bn</a:t>
            </a:r>
          </a:p>
        </c:rich>
      </c:tx>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Brokerage!$AD$71:$AK$71</c:f>
              <c:strCache>
                <c:ptCount val="8"/>
                <c:pt idx="0">
                  <c:v>2014</c:v>
                </c:pt>
                <c:pt idx="1">
                  <c:v>2015</c:v>
                </c:pt>
                <c:pt idx="2">
                  <c:v>2016</c:v>
                </c:pt>
                <c:pt idx="3">
                  <c:v>2017</c:v>
                </c:pt>
                <c:pt idx="4">
                  <c:v>2018</c:v>
                </c:pt>
                <c:pt idx="5">
                  <c:v>2019</c:v>
                </c:pt>
                <c:pt idx="6">
                  <c:v>2020F</c:v>
                </c:pt>
                <c:pt idx="7">
                  <c:v>2021F</c:v>
                </c:pt>
              </c:strCache>
            </c:strRef>
          </c:cat>
          <c:val>
            <c:numRef>
              <c:f>Brokerage!$AD$72:$AK$72</c:f>
              <c:numCache>
                <c:formatCode>#,##0_);\(#,##0\)</c:formatCode>
                <c:ptCount val="8"/>
                <c:pt idx="0">
                  <c:v>45.2</c:v>
                </c:pt>
                <c:pt idx="1">
                  <c:v>107</c:v>
                </c:pt>
                <c:pt idx="2">
                  <c:v>127</c:v>
                </c:pt>
                <c:pt idx="3">
                  <c:v>348.63338876164778</c:v>
                </c:pt>
                <c:pt idx="4">
                  <c:v>518.39174222696317</c:v>
                </c:pt>
                <c:pt idx="5">
                  <c:v>667.494117277947</c:v>
                </c:pt>
                <c:pt idx="6">
                  <c:v>400</c:v>
                </c:pt>
                <c:pt idx="7">
                  <c:v>800</c:v>
                </c:pt>
              </c:numCache>
            </c:numRef>
          </c:val>
          <c:extLst>
            <c:ext xmlns:c16="http://schemas.microsoft.com/office/drawing/2014/chart" uri="{C3380CC4-5D6E-409C-BE32-E72D297353CC}">
              <c16:uniqueId val="{00000000-D18F-4037-B69D-7862E80AABFD}"/>
            </c:ext>
          </c:extLst>
        </c:ser>
        <c:dLbls>
          <c:showLegendKey val="0"/>
          <c:showVal val="0"/>
          <c:showCatName val="0"/>
          <c:showSerName val="0"/>
          <c:showPercent val="0"/>
          <c:showBubbleSize val="0"/>
        </c:dLbls>
        <c:gapWidth val="219"/>
        <c:overlap val="-27"/>
        <c:axId val="1941520384"/>
        <c:axId val="1941535616"/>
      </c:barChart>
      <c:catAx>
        <c:axId val="194152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41535616"/>
        <c:crosses val="autoZero"/>
        <c:auto val="1"/>
        <c:lblAlgn val="ctr"/>
        <c:lblOffset val="100"/>
        <c:noMultiLvlLbl val="0"/>
      </c:catAx>
      <c:valAx>
        <c:axId val="1941535616"/>
        <c:scaling>
          <c:orientation val="minMax"/>
        </c:scaling>
        <c:delete val="1"/>
        <c:axPos val="l"/>
        <c:numFmt formatCode="#,##0_);\(#,##0\)" sourceLinked="1"/>
        <c:majorTickMark val="none"/>
        <c:minorTickMark val="none"/>
        <c:tickLblPos val="nextTo"/>
        <c:crossAx val="194152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Quarterly</a:t>
            </a:r>
            <a:r>
              <a:rPr lang="en-US" baseline="0"/>
              <a:t> Earnings - VNDbn</a:t>
            </a:r>
            <a:endParaRPr lang="en-US"/>
          </a:p>
        </c:rich>
      </c:tx>
      <c:overlay val="0"/>
    </c:title>
    <c:autoTitleDeleted val="0"/>
    <c:plotArea>
      <c:layout/>
      <c:lineChart>
        <c:grouping val="standard"/>
        <c:varyColors val="0"/>
        <c:ser>
          <c:idx val="0"/>
          <c:order val="0"/>
          <c:marker>
            <c:symbol val="none"/>
          </c:marker>
          <c:dLbls>
            <c:dLbl>
              <c:idx val="20"/>
              <c:layout>
                <c:manualLayout>
                  <c:x val="-2.1909165123799895E-2"/>
                  <c:y val="4.74736747669441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3E-49EC-ACA9-A7266E92F640}"/>
                </c:ext>
              </c:extLst>
            </c:dLbl>
            <c:dLbl>
              <c:idx val="24"/>
              <c:layout>
                <c:manualLayout>
                  <c:x val="-2.3725845482324044E-2"/>
                  <c:y val="5.21052527929873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3E-49EC-ACA9-A7266E92F640}"/>
                </c:ext>
              </c:extLst>
            </c:dLbl>
            <c:dLbl>
              <c:idx val="26"/>
              <c:layout>
                <c:manualLayout>
                  <c:x val="-6.5582160942716421E-3"/>
                  <c:y val="-7.7578931936226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3E-49EC-ACA9-A7266E92F640}"/>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'For Report'!$C$105:$AH$105</c:f>
              <c:strCache>
                <c:ptCount val="32"/>
                <c:pt idx="0">
                  <c:v>Q1 2010</c:v>
                </c:pt>
                <c:pt idx="1">
                  <c:v>Q2 2010</c:v>
                </c:pt>
                <c:pt idx="2">
                  <c:v>Q3 2010</c:v>
                </c:pt>
                <c:pt idx="3">
                  <c:v>Q4 2010</c:v>
                </c:pt>
                <c:pt idx="4">
                  <c:v>Q1 2011</c:v>
                </c:pt>
                <c:pt idx="5">
                  <c:v>Q2 2011</c:v>
                </c:pt>
                <c:pt idx="6">
                  <c:v>Q3 2011</c:v>
                </c:pt>
                <c:pt idx="7">
                  <c:v>Q4 2011</c:v>
                </c:pt>
                <c:pt idx="8">
                  <c:v>Q1 2012</c:v>
                </c:pt>
                <c:pt idx="9">
                  <c:v>Q2 2012</c:v>
                </c:pt>
                <c:pt idx="10">
                  <c:v>Q3 2012</c:v>
                </c:pt>
                <c:pt idx="11">
                  <c:v>Q4 2012</c:v>
                </c:pt>
                <c:pt idx="12">
                  <c:v>Q1 2013</c:v>
                </c:pt>
                <c:pt idx="13">
                  <c:v>Q2 2013</c:v>
                </c:pt>
                <c:pt idx="14">
                  <c:v>Q3 2013</c:v>
                </c:pt>
                <c:pt idx="15">
                  <c:v>Q4 2013</c:v>
                </c:pt>
                <c:pt idx="16">
                  <c:v>Q1 2014</c:v>
                </c:pt>
                <c:pt idx="17">
                  <c:v>Q2 2014</c:v>
                </c:pt>
                <c:pt idx="18">
                  <c:v>Q3 2014</c:v>
                </c:pt>
                <c:pt idx="19">
                  <c:v>Q4 2014</c:v>
                </c:pt>
                <c:pt idx="20">
                  <c:v>Q1 2015</c:v>
                </c:pt>
                <c:pt idx="21">
                  <c:v>Q2 2015</c:v>
                </c:pt>
                <c:pt idx="22">
                  <c:v>Q3 2015</c:v>
                </c:pt>
                <c:pt idx="23">
                  <c:v>Q4 2015</c:v>
                </c:pt>
                <c:pt idx="24">
                  <c:v>Q1 2016</c:v>
                </c:pt>
                <c:pt idx="25">
                  <c:v>Q2 2016</c:v>
                </c:pt>
                <c:pt idx="26">
                  <c:v>Q3 2016</c:v>
                </c:pt>
                <c:pt idx="27">
                  <c:v>Q4 2016</c:v>
                </c:pt>
                <c:pt idx="28">
                  <c:v>Q1 2017</c:v>
                </c:pt>
                <c:pt idx="29">
                  <c:v>Q2 2017</c:v>
                </c:pt>
                <c:pt idx="30">
                  <c:v>Q3 2017</c:v>
                </c:pt>
                <c:pt idx="31">
                  <c:v>Q4 2017F</c:v>
                </c:pt>
              </c:strCache>
            </c:strRef>
          </c:cat>
          <c:val>
            <c:numRef>
              <c:f>'For Report'!$C$106:$AH$106</c:f>
              <c:numCache>
                <c:formatCode>#,##0_);\(#,##0\)</c:formatCode>
                <c:ptCount val="32"/>
                <c:pt idx="0">
                  <c:v>20.152999999999999</c:v>
                </c:pt>
                <c:pt idx="1">
                  <c:v>30.597999999999999</c:v>
                </c:pt>
                <c:pt idx="2">
                  <c:v>10.07</c:v>
                </c:pt>
                <c:pt idx="3">
                  <c:v>11.259</c:v>
                </c:pt>
                <c:pt idx="4">
                  <c:v>20.384835979999998</c:v>
                </c:pt>
                <c:pt idx="5">
                  <c:v>10.071238047</c:v>
                </c:pt>
                <c:pt idx="6">
                  <c:v>11.899891158000001</c:v>
                </c:pt>
                <c:pt idx="7">
                  <c:v>-17.764469118000001</c:v>
                </c:pt>
                <c:pt idx="8">
                  <c:v>2.554320814</c:v>
                </c:pt>
                <c:pt idx="9">
                  <c:v>5.6878930929999996</c:v>
                </c:pt>
                <c:pt idx="10">
                  <c:v>25.493338038000001</c:v>
                </c:pt>
                <c:pt idx="11">
                  <c:v>24.124399201999999</c:v>
                </c:pt>
                <c:pt idx="12">
                  <c:v>1.40476088</c:v>
                </c:pt>
                <c:pt idx="13">
                  <c:v>20.074933484999999</c:v>
                </c:pt>
                <c:pt idx="14">
                  <c:v>30.079285884000001</c:v>
                </c:pt>
                <c:pt idx="15">
                  <c:v>39.341421341</c:v>
                </c:pt>
                <c:pt idx="16">
                  <c:v>21.316938261000001</c:v>
                </c:pt>
                <c:pt idx="17">
                  <c:v>31.330132633000002</c:v>
                </c:pt>
                <c:pt idx="18">
                  <c:v>0.96796774399999996</c:v>
                </c:pt>
                <c:pt idx="19">
                  <c:v>114.219450986</c:v>
                </c:pt>
                <c:pt idx="20">
                  <c:v>36.595385567999998</c:v>
                </c:pt>
                <c:pt idx="21">
                  <c:v>116.582898415</c:v>
                </c:pt>
                <c:pt idx="22">
                  <c:v>93.457906786999999</c:v>
                </c:pt>
                <c:pt idx="23">
                  <c:v>89.992345580999995</c:v>
                </c:pt>
                <c:pt idx="24">
                  <c:v>29.438134118000001</c:v>
                </c:pt>
                <c:pt idx="25">
                  <c:v>119.560722738</c:v>
                </c:pt>
                <c:pt idx="26">
                  <c:v>-4.9737315960000004</c:v>
                </c:pt>
                <c:pt idx="27" formatCode="General">
                  <c:v>393</c:v>
                </c:pt>
                <c:pt idx="28" formatCode="General">
                  <c:v>151</c:v>
                </c:pt>
                <c:pt idx="29" formatCode="General">
                  <c:v>51</c:v>
                </c:pt>
                <c:pt idx="30" formatCode="General">
                  <c:v>257</c:v>
                </c:pt>
                <c:pt idx="31">
                  <c:v>291.89074550899977</c:v>
                </c:pt>
              </c:numCache>
            </c:numRef>
          </c:val>
          <c:smooth val="0"/>
          <c:extLst>
            <c:ext xmlns:c16="http://schemas.microsoft.com/office/drawing/2014/chart" uri="{C3380CC4-5D6E-409C-BE32-E72D297353CC}">
              <c16:uniqueId val="{00000003-563E-49EC-ACA9-A7266E92F640}"/>
            </c:ext>
          </c:extLst>
        </c:ser>
        <c:dLbls>
          <c:showLegendKey val="0"/>
          <c:showVal val="0"/>
          <c:showCatName val="0"/>
          <c:showSerName val="0"/>
          <c:showPercent val="0"/>
          <c:showBubbleSize val="0"/>
        </c:dLbls>
        <c:smooth val="0"/>
        <c:axId val="1941541600"/>
        <c:axId val="1941523104"/>
      </c:lineChart>
      <c:catAx>
        <c:axId val="1941541600"/>
        <c:scaling>
          <c:orientation val="minMax"/>
        </c:scaling>
        <c:delete val="0"/>
        <c:axPos val="b"/>
        <c:numFmt formatCode="General" sourceLinked="0"/>
        <c:majorTickMark val="out"/>
        <c:minorTickMark val="none"/>
        <c:tickLblPos val="low"/>
        <c:crossAx val="1941523104"/>
        <c:crosses val="autoZero"/>
        <c:auto val="1"/>
        <c:lblAlgn val="ctr"/>
        <c:lblOffset val="100"/>
        <c:tickLblSkip val="3"/>
        <c:noMultiLvlLbl val="0"/>
      </c:catAx>
      <c:valAx>
        <c:axId val="1941523104"/>
        <c:scaling>
          <c:orientation val="minMax"/>
        </c:scaling>
        <c:delete val="1"/>
        <c:axPos val="l"/>
        <c:numFmt formatCode="#,##0_);\(#,##0\)" sourceLinked="1"/>
        <c:majorTickMark val="out"/>
        <c:minorTickMark val="none"/>
        <c:tickLblPos val="none"/>
        <c:crossAx val="1941541600"/>
        <c:crosses val="autoZero"/>
        <c:crossBetween val="between"/>
        <c:majorUnit val="30"/>
      </c:valAx>
    </c:plotArea>
    <c:plotVisOnly val="1"/>
    <c:dispBlanksAs val="gap"/>
    <c:showDLblsOverMax val="0"/>
  </c:chart>
  <c:spPr>
    <a:ln>
      <a:noFill/>
    </a:ln>
  </c:spPr>
  <c:txPr>
    <a:bodyPr/>
    <a:lstStyle/>
    <a:p>
      <a:pPr>
        <a:defRPr sz="800"/>
      </a:pPr>
      <a:endParaRPr lang="en-US"/>
    </a:p>
  </c:txPr>
  <c:printSettings>
    <c:headerFooter/>
    <c:pageMargins b="0.75000000000000477" l="0.70000000000000062" r="0.70000000000000062" t="0.75000000000000477"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'For Report'!$C$125</c:f>
              <c:strCache>
                <c:ptCount val="1"/>
                <c:pt idx="0">
                  <c:v>Revenue</c:v>
                </c:pt>
              </c:strCache>
            </c:strRef>
          </c:tx>
          <c:marker>
            <c:symbol val="none"/>
          </c:marker>
          <c:cat>
            <c:numRef>
              <c:f>'For Report'!$D$124:$O$124</c:f>
              <c:numCache>
                <c:formatCode>General</c:formatCode>
                <c:ptCount val="12"/>
                <c:pt idx="0">
                  <c:v>2007</c:v>
                </c:pt>
                <c:pt idx="1">
                  <c:v>2008</c:v>
                </c:pt>
                <c:pt idx="2">
                  <c:v>2009</c:v>
                </c:pt>
                <c:pt idx="3">
                  <c:v>2010</c:v>
                </c:pt>
                <c:pt idx="4">
                  <c:v>2011</c:v>
                </c:pt>
                <c:pt idx="5">
                  <c:v>2012</c:v>
                </c:pt>
                <c:pt idx="6">
                  <c:v>2013</c:v>
                </c:pt>
                <c:pt idx="7">
                  <c:v>2014</c:v>
                </c:pt>
                <c:pt idx="8">
                  <c:v>2015</c:v>
                </c:pt>
                <c:pt idx="9">
                  <c:v>2016</c:v>
                </c:pt>
                <c:pt idx="10">
                  <c:v>2017</c:v>
                </c:pt>
                <c:pt idx="11">
                  <c:v>2018</c:v>
                </c:pt>
              </c:numCache>
            </c:numRef>
          </c:cat>
          <c:val>
            <c:numRef>
              <c:f>'For Report'!$D$125:$O$125</c:f>
              <c:numCache>
                <c:formatCode>#,##0_);\(#,##0\)</c:formatCode>
                <c:ptCount val="12"/>
                <c:pt idx="0">
                  <c:v>29</c:v>
                </c:pt>
                <c:pt idx="1">
                  <c:v>29</c:v>
                </c:pt>
                <c:pt idx="2">
                  <c:v>85</c:v>
                </c:pt>
                <c:pt idx="3">
                  <c:v>104</c:v>
                </c:pt>
                <c:pt idx="4">
                  <c:v>181</c:v>
                </c:pt>
                <c:pt idx="5">
                  <c:v>163</c:v>
                </c:pt>
                <c:pt idx="6">
                  <c:v>178</c:v>
                </c:pt>
                <c:pt idx="7">
                  <c:v>314</c:v>
                </c:pt>
                <c:pt idx="8">
                  <c:v>753</c:v>
                </c:pt>
                <c:pt idx="9">
                  <c:v>811</c:v>
                </c:pt>
                <c:pt idx="10">
                  <c:v>1616</c:v>
                </c:pt>
                <c:pt idx="11">
                  <c:v>2420</c:v>
                </c:pt>
              </c:numCache>
            </c:numRef>
          </c:val>
          <c:smooth val="0"/>
          <c:extLst>
            <c:ext xmlns:c16="http://schemas.microsoft.com/office/drawing/2014/chart" uri="{C3380CC4-5D6E-409C-BE32-E72D297353CC}">
              <c16:uniqueId val="{00000000-639D-4AC3-9A5E-E0FA9CF8337F}"/>
            </c:ext>
          </c:extLst>
        </c:ser>
        <c:ser>
          <c:idx val="2"/>
          <c:order val="1"/>
          <c:tx>
            <c:strRef>
              <c:f>'For Report'!$C$126</c:f>
              <c:strCache>
                <c:ptCount val="1"/>
                <c:pt idx="0">
                  <c:v>Gross profit</c:v>
                </c:pt>
              </c:strCache>
            </c:strRef>
          </c:tx>
          <c:marker>
            <c:symbol val="none"/>
          </c:marker>
          <c:cat>
            <c:numRef>
              <c:f>'For Report'!$D$124:$O$124</c:f>
              <c:numCache>
                <c:formatCode>General</c:formatCode>
                <c:ptCount val="12"/>
                <c:pt idx="0">
                  <c:v>2007</c:v>
                </c:pt>
                <c:pt idx="1">
                  <c:v>2008</c:v>
                </c:pt>
                <c:pt idx="2">
                  <c:v>2009</c:v>
                </c:pt>
                <c:pt idx="3">
                  <c:v>2010</c:v>
                </c:pt>
                <c:pt idx="4">
                  <c:v>2011</c:v>
                </c:pt>
                <c:pt idx="5">
                  <c:v>2012</c:v>
                </c:pt>
                <c:pt idx="6">
                  <c:v>2013</c:v>
                </c:pt>
                <c:pt idx="7">
                  <c:v>2014</c:v>
                </c:pt>
                <c:pt idx="8">
                  <c:v>2015</c:v>
                </c:pt>
                <c:pt idx="9">
                  <c:v>2016</c:v>
                </c:pt>
                <c:pt idx="10">
                  <c:v>2017</c:v>
                </c:pt>
                <c:pt idx="11">
                  <c:v>2018</c:v>
                </c:pt>
              </c:numCache>
            </c:numRef>
          </c:cat>
          <c:val>
            <c:numRef>
              <c:f>'For Report'!$D$126:$O$126</c:f>
              <c:numCache>
                <c:formatCode>#,##0_);\(#,##0\)</c:formatCode>
                <c:ptCount val="12"/>
                <c:pt idx="0">
                  <c:v>25.5</c:v>
                </c:pt>
                <c:pt idx="1">
                  <c:v>25</c:v>
                </c:pt>
                <c:pt idx="2">
                  <c:v>78.900000000000006</c:v>
                </c:pt>
                <c:pt idx="3">
                  <c:v>86.8</c:v>
                </c:pt>
                <c:pt idx="4">
                  <c:v>159.19999999999999</c:v>
                </c:pt>
                <c:pt idx="5">
                  <c:v>128</c:v>
                </c:pt>
                <c:pt idx="6">
                  <c:v>131.6</c:v>
                </c:pt>
                <c:pt idx="7">
                  <c:v>230.8</c:v>
                </c:pt>
                <c:pt idx="8">
                  <c:v>544</c:v>
                </c:pt>
                <c:pt idx="9">
                  <c:v>591</c:v>
                </c:pt>
                <c:pt idx="10">
                  <c:v>1311</c:v>
                </c:pt>
                <c:pt idx="11">
                  <c:v>1922</c:v>
                </c:pt>
              </c:numCache>
            </c:numRef>
          </c:val>
          <c:smooth val="0"/>
          <c:extLst>
            <c:ext xmlns:c16="http://schemas.microsoft.com/office/drawing/2014/chart" uri="{C3380CC4-5D6E-409C-BE32-E72D297353CC}">
              <c16:uniqueId val="{00000001-639D-4AC3-9A5E-E0FA9CF8337F}"/>
            </c:ext>
          </c:extLst>
        </c:ser>
        <c:dLbls>
          <c:showLegendKey val="0"/>
          <c:showVal val="0"/>
          <c:showCatName val="0"/>
          <c:showSerName val="0"/>
          <c:showPercent val="0"/>
          <c:showBubbleSize val="0"/>
        </c:dLbls>
        <c:smooth val="0"/>
        <c:axId val="1941514400"/>
        <c:axId val="1941526368"/>
      </c:lineChart>
      <c:catAx>
        <c:axId val="1941514400"/>
        <c:scaling>
          <c:orientation val="minMax"/>
        </c:scaling>
        <c:delete val="0"/>
        <c:axPos val="b"/>
        <c:numFmt formatCode="General" sourceLinked="1"/>
        <c:majorTickMark val="out"/>
        <c:minorTickMark val="none"/>
        <c:tickLblPos val="nextTo"/>
        <c:crossAx val="1941526368"/>
        <c:crosses val="autoZero"/>
        <c:auto val="1"/>
        <c:lblAlgn val="ctr"/>
        <c:lblOffset val="100"/>
        <c:noMultiLvlLbl val="0"/>
      </c:catAx>
      <c:valAx>
        <c:axId val="1941526368"/>
        <c:scaling>
          <c:orientation val="minMax"/>
        </c:scaling>
        <c:delete val="0"/>
        <c:axPos val="l"/>
        <c:numFmt formatCode="#,##0_);\(#,##0\)" sourceLinked="1"/>
        <c:majorTickMark val="out"/>
        <c:minorTickMark val="none"/>
        <c:tickLblPos val="nextTo"/>
        <c:crossAx val="1941514400"/>
        <c:crosses val="autoZero"/>
        <c:crossBetween val="between"/>
      </c:valAx>
    </c:plotArea>
    <c:legend>
      <c:legendPos val="t"/>
      <c:overlay val="0"/>
    </c:legend>
    <c:plotVisOnly val="1"/>
    <c:dispBlanksAs val="gap"/>
    <c:showDLblsOverMax val="0"/>
  </c:chart>
  <c:txPr>
    <a:bodyPr/>
    <a:lstStyle/>
    <a:p>
      <a:pPr>
        <a:defRPr sz="800"/>
      </a:pPr>
      <a:endParaRPr lang="en-US"/>
    </a:p>
  </c:txPr>
  <c:printSettings>
    <c:headerFooter/>
    <c:pageMargins b="0.75000000000000133" l="0.70000000000000062" r="0.70000000000000062" t="0.75000000000000133"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Contract sales value - VNDbn</a:t>
            </a:r>
          </a:p>
        </c:rich>
      </c:tx>
      <c:overlay val="0"/>
    </c:title>
    <c:autoTitleDeleted val="0"/>
    <c:plotArea>
      <c:layout/>
      <c:barChart>
        <c:barDir val="col"/>
        <c:grouping val="clustered"/>
        <c:varyColors val="0"/>
        <c:ser>
          <c:idx val="1"/>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'For Report'!$F$143:$J$143</c:f>
              <c:numCache>
                <c:formatCode>General</c:formatCode>
                <c:ptCount val="5"/>
                <c:pt idx="0">
                  <c:v>2015</c:v>
                </c:pt>
                <c:pt idx="1">
                  <c:v>2016</c:v>
                </c:pt>
                <c:pt idx="2">
                  <c:v>2017</c:v>
                </c:pt>
                <c:pt idx="3">
                  <c:v>2018</c:v>
                </c:pt>
                <c:pt idx="4">
                  <c:v>2019</c:v>
                </c:pt>
              </c:numCache>
            </c:numRef>
          </c:cat>
          <c:val>
            <c:numRef>
              <c:f>'For Report'!$F$144:$J$144</c:f>
              <c:numCache>
                <c:formatCode>#,##0_);\(#,##0\)</c:formatCode>
                <c:ptCount val="5"/>
                <c:pt idx="0">
                  <c:v>0</c:v>
                </c:pt>
                <c:pt idx="1">
                  <c:v>1762.0106800000001</c:v>
                </c:pt>
                <c:pt idx="2">
                  <c:v>0</c:v>
                </c:pt>
                <c:pt idx="3">
                  <c:v>0</c:v>
                </c:pt>
                <c:pt idx="4">
                  <c:v>0</c:v>
                </c:pt>
              </c:numCache>
            </c:numRef>
          </c:val>
          <c:extLst>
            <c:ext xmlns:c16="http://schemas.microsoft.com/office/drawing/2014/chart" uri="{C3380CC4-5D6E-409C-BE32-E72D297353CC}">
              <c16:uniqueId val="{00000000-8657-4C1A-9781-B66971AC3F6C}"/>
            </c:ext>
          </c:extLst>
        </c:ser>
        <c:dLbls>
          <c:showLegendKey val="0"/>
          <c:showVal val="0"/>
          <c:showCatName val="0"/>
          <c:showSerName val="0"/>
          <c:showPercent val="0"/>
          <c:showBubbleSize val="0"/>
        </c:dLbls>
        <c:gapWidth val="150"/>
        <c:axId val="1941540512"/>
        <c:axId val="1941524736"/>
      </c:barChart>
      <c:catAx>
        <c:axId val="1941540512"/>
        <c:scaling>
          <c:orientation val="minMax"/>
        </c:scaling>
        <c:delete val="0"/>
        <c:axPos val="b"/>
        <c:numFmt formatCode="General" sourceLinked="1"/>
        <c:majorTickMark val="out"/>
        <c:minorTickMark val="none"/>
        <c:tickLblPos val="nextTo"/>
        <c:crossAx val="1941524736"/>
        <c:crosses val="autoZero"/>
        <c:auto val="1"/>
        <c:lblAlgn val="ctr"/>
        <c:lblOffset val="100"/>
        <c:noMultiLvlLbl val="0"/>
      </c:catAx>
      <c:valAx>
        <c:axId val="1941524736"/>
        <c:scaling>
          <c:orientation val="minMax"/>
        </c:scaling>
        <c:delete val="1"/>
        <c:axPos val="l"/>
        <c:numFmt formatCode="#,##0_);\(#,##0\)" sourceLinked="1"/>
        <c:majorTickMark val="out"/>
        <c:minorTickMark val="none"/>
        <c:tickLblPos val="none"/>
        <c:crossAx val="1941540512"/>
        <c:crosses val="autoZero"/>
        <c:crossBetween val="between"/>
      </c:valAx>
    </c:plotArea>
    <c:plotVisOnly val="1"/>
    <c:dispBlanksAs val="gap"/>
    <c:showDLblsOverMax val="0"/>
  </c:chart>
  <c:txPr>
    <a:bodyPr/>
    <a:lstStyle/>
    <a:p>
      <a:pPr>
        <a:defRPr sz="800"/>
      </a:pPr>
      <a:endParaRPr lang="en-US"/>
    </a:p>
  </c:txPr>
  <c:printSettings>
    <c:headerFooter/>
    <c:pageMargins b="0.75000000000000155" l="0.70000000000000062" r="0.70000000000000062" t="0.7500000000000015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Units sold</a:t>
            </a:r>
          </a:p>
        </c:rich>
      </c:tx>
      <c:overlay val="0"/>
    </c:title>
    <c:autoTitleDeleted val="0"/>
    <c:plotArea>
      <c:layout/>
      <c:barChart>
        <c:barDir val="col"/>
        <c:grouping val="clustered"/>
        <c:varyColors val="0"/>
        <c:ser>
          <c:idx val="1"/>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'For Report'!$D$143:$I$143</c:f>
              <c:numCache>
                <c:formatCode>General</c:formatCode>
                <c:ptCount val="6"/>
                <c:pt idx="0">
                  <c:v>2013</c:v>
                </c:pt>
                <c:pt idx="1">
                  <c:v>2014</c:v>
                </c:pt>
                <c:pt idx="2">
                  <c:v>2015</c:v>
                </c:pt>
                <c:pt idx="3">
                  <c:v>2016</c:v>
                </c:pt>
                <c:pt idx="4">
                  <c:v>2017</c:v>
                </c:pt>
                <c:pt idx="5">
                  <c:v>2018</c:v>
                </c:pt>
              </c:numCache>
            </c:numRef>
          </c:cat>
          <c:val>
            <c:numRef>
              <c:f>'For Report'!$D$145:$I$145</c:f>
              <c:numCache>
                <c:formatCode>#,##0_);\(#,##0\)</c:formatCode>
                <c:ptCount val="6"/>
                <c:pt idx="0">
                  <c:v>0</c:v>
                </c:pt>
                <c:pt idx="1">
                  <c:v>0</c:v>
                </c:pt>
                <c:pt idx="2">
                  <c:v>0</c:v>
                </c:pt>
                <c:pt idx="3">
                  <c:v>1054</c:v>
                </c:pt>
                <c:pt idx="4">
                  <c:v>0</c:v>
                </c:pt>
                <c:pt idx="5">
                  <c:v>0</c:v>
                </c:pt>
              </c:numCache>
            </c:numRef>
          </c:val>
          <c:extLst>
            <c:ext xmlns:c16="http://schemas.microsoft.com/office/drawing/2014/chart" uri="{C3380CC4-5D6E-409C-BE32-E72D297353CC}">
              <c16:uniqueId val="{00000000-1035-4C90-85F9-4A07A260241C}"/>
            </c:ext>
          </c:extLst>
        </c:ser>
        <c:dLbls>
          <c:showLegendKey val="0"/>
          <c:showVal val="0"/>
          <c:showCatName val="0"/>
          <c:showSerName val="0"/>
          <c:showPercent val="0"/>
          <c:showBubbleSize val="0"/>
        </c:dLbls>
        <c:gapWidth val="150"/>
        <c:axId val="1941524192"/>
        <c:axId val="1941525280"/>
      </c:barChart>
      <c:catAx>
        <c:axId val="1941524192"/>
        <c:scaling>
          <c:orientation val="minMax"/>
        </c:scaling>
        <c:delete val="0"/>
        <c:axPos val="b"/>
        <c:numFmt formatCode="General" sourceLinked="1"/>
        <c:majorTickMark val="out"/>
        <c:minorTickMark val="none"/>
        <c:tickLblPos val="nextTo"/>
        <c:crossAx val="1941525280"/>
        <c:crosses val="autoZero"/>
        <c:auto val="1"/>
        <c:lblAlgn val="ctr"/>
        <c:lblOffset val="100"/>
        <c:noMultiLvlLbl val="0"/>
      </c:catAx>
      <c:valAx>
        <c:axId val="1941525280"/>
        <c:scaling>
          <c:orientation val="minMax"/>
        </c:scaling>
        <c:delete val="1"/>
        <c:axPos val="l"/>
        <c:numFmt formatCode="#,##0_);\(#,##0\)" sourceLinked="1"/>
        <c:majorTickMark val="out"/>
        <c:minorTickMark val="none"/>
        <c:tickLblPos val="none"/>
        <c:crossAx val="1941524192"/>
        <c:crosses val="autoZero"/>
        <c:crossBetween val="between"/>
      </c:valAx>
    </c:plotArea>
    <c:plotVisOnly val="1"/>
    <c:dispBlanksAs val="gap"/>
    <c:showDLblsOverMax val="0"/>
  </c:chart>
  <c:txPr>
    <a:bodyPr/>
    <a:lstStyle/>
    <a:p>
      <a:pPr>
        <a:defRPr sz="800"/>
      </a:pPr>
      <a:endParaRPr lang="en-US"/>
    </a:p>
  </c:txPr>
  <c:printSettings>
    <c:headerFooter/>
    <c:pageMargins b="0.75000000000000178" l="0.70000000000000062" r="0.70000000000000062" t="0.75000000000000178"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Brokerage revenue</a:t>
            </a:r>
          </a:p>
        </c:rich>
      </c:tx>
      <c:overlay val="0"/>
    </c:title>
    <c:autoTitleDeleted val="0"/>
    <c:plotArea>
      <c:layout/>
      <c:barChart>
        <c:barDir val="col"/>
        <c:grouping val="clustered"/>
        <c:varyColors val="0"/>
        <c:ser>
          <c:idx val="1"/>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'For Report'!$G$124:$P$124</c:f>
              <c:strCache>
                <c:ptCount val="10"/>
                <c:pt idx="0">
                  <c:v>2010</c:v>
                </c:pt>
                <c:pt idx="1">
                  <c:v>2011</c:v>
                </c:pt>
                <c:pt idx="2">
                  <c:v>2012</c:v>
                </c:pt>
                <c:pt idx="3">
                  <c:v>2013</c:v>
                </c:pt>
                <c:pt idx="4">
                  <c:v>2014</c:v>
                </c:pt>
                <c:pt idx="5">
                  <c:v>2015</c:v>
                </c:pt>
                <c:pt idx="6">
                  <c:v>2016</c:v>
                </c:pt>
                <c:pt idx="7">
                  <c:v>2017</c:v>
                </c:pt>
                <c:pt idx="8">
                  <c:v>2018</c:v>
                </c:pt>
                <c:pt idx="9">
                  <c:v>2019F</c:v>
                </c:pt>
              </c:strCache>
            </c:strRef>
          </c:cat>
          <c:val>
            <c:numRef>
              <c:f>'For Report'!$G$125:$P$125</c:f>
              <c:numCache>
                <c:formatCode>#,##0_);\(#,##0\)</c:formatCode>
                <c:ptCount val="10"/>
                <c:pt idx="0">
                  <c:v>104</c:v>
                </c:pt>
                <c:pt idx="1">
                  <c:v>181</c:v>
                </c:pt>
                <c:pt idx="2">
                  <c:v>163</c:v>
                </c:pt>
                <c:pt idx="3">
                  <c:v>178</c:v>
                </c:pt>
                <c:pt idx="4">
                  <c:v>314</c:v>
                </c:pt>
                <c:pt idx="5">
                  <c:v>753</c:v>
                </c:pt>
                <c:pt idx="6">
                  <c:v>811</c:v>
                </c:pt>
                <c:pt idx="7">
                  <c:v>1616</c:v>
                </c:pt>
                <c:pt idx="8">
                  <c:v>2420</c:v>
                </c:pt>
                <c:pt idx="9">
                  <c:v>2842</c:v>
                </c:pt>
              </c:numCache>
            </c:numRef>
          </c:val>
          <c:extLst>
            <c:ext xmlns:c16="http://schemas.microsoft.com/office/drawing/2014/chart" uri="{C3380CC4-5D6E-409C-BE32-E72D297353CC}">
              <c16:uniqueId val="{00000000-66C2-4C6A-83A6-5C95A3D9B675}"/>
            </c:ext>
          </c:extLst>
        </c:ser>
        <c:dLbls>
          <c:showLegendKey val="0"/>
          <c:showVal val="0"/>
          <c:showCatName val="0"/>
          <c:showSerName val="0"/>
          <c:showPercent val="0"/>
          <c:showBubbleSize val="0"/>
        </c:dLbls>
        <c:gapWidth val="150"/>
        <c:axId val="1941543232"/>
        <c:axId val="1941542144"/>
      </c:barChart>
      <c:catAx>
        <c:axId val="1941543232"/>
        <c:scaling>
          <c:orientation val="minMax"/>
        </c:scaling>
        <c:delete val="0"/>
        <c:axPos val="b"/>
        <c:numFmt formatCode="General" sourceLinked="1"/>
        <c:majorTickMark val="out"/>
        <c:minorTickMark val="none"/>
        <c:tickLblPos val="nextTo"/>
        <c:crossAx val="1941542144"/>
        <c:crosses val="autoZero"/>
        <c:auto val="1"/>
        <c:lblAlgn val="ctr"/>
        <c:lblOffset val="100"/>
        <c:noMultiLvlLbl val="0"/>
      </c:catAx>
      <c:valAx>
        <c:axId val="1941542144"/>
        <c:scaling>
          <c:orientation val="minMax"/>
        </c:scaling>
        <c:delete val="1"/>
        <c:axPos val="l"/>
        <c:numFmt formatCode="#,##0_);\(#,##0\)" sourceLinked="1"/>
        <c:majorTickMark val="out"/>
        <c:minorTickMark val="none"/>
        <c:tickLblPos val="none"/>
        <c:crossAx val="1941543232"/>
        <c:crosses val="autoZero"/>
        <c:crossBetween val="between"/>
      </c:valAx>
    </c:plotArea>
    <c:plotVisOnly val="1"/>
    <c:dispBlanksAs val="gap"/>
    <c:showDLblsOverMax val="0"/>
  </c:chart>
  <c:txPr>
    <a:bodyPr/>
    <a:lstStyle/>
    <a:p>
      <a:pPr>
        <a:defRPr sz="800"/>
      </a:pPr>
      <a:endParaRPr lang="en-US"/>
    </a:p>
  </c:txPr>
  <c:printSettings>
    <c:headerFooter/>
    <c:pageMargins b="0.75000000000000044" l="0.7000000000000004" r="0.7000000000000004" t="0.75000000000000044" header="0.30000000000000021" footer="0.30000000000000021"/>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2018 Earnings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83-46A2-B877-21011678C8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83-46A2-B877-21011678C8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83-46A2-B877-21011678C8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83-46A2-B877-21011678C808}"/>
              </c:ext>
            </c:extLst>
          </c:dPt>
          <c:cat>
            <c:strRef>
              <c:f>'For Report'!$C$57:$F$57</c:f>
              <c:strCache>
                <c:ptCount val="4"/>
                <c:pt idx="0">
                  <c:v>Development</c:v>
                </c:pt>
                <c:pt idx="1">
                  <c:v>Brokerage</c:v>
                </c:pt>
                <c:pt idx="2">
                  <c:v>LDG</c:v>
                </c:pt>
                <c:pt idx="3">
                  <c:v>Project Transfer</c:v>
                </c:pt>
              </c:strCache>
            </c:strRef>
          </c:cat>
          <c:val>
            <c:numRef>
              <c:f>'For Report'!$C$58:$F$58</c:f>
              <c:numCache>
                <c:formatCode>General</c:formatCode>
                <c:ptCount val="4"/>
                <c:pt idx="0">
                  <c:v>300</c:v>
                </c:pt>
                <c:pt idx="1">
                  <c:v>500</c:v>
                </c:pt>
                <c:pt idx="2">
                  <c:v>250</c:v>
                </c:pt>
                <c:pt idx="3" formatCode="#,##0_);\(#,##0\)">
                  <c:v>100</c:v>
                </c:pt>
              </c:numCache>
            </c:numRef>
          </c:val>
          <c:extLst>
            <c:ext xmlns:c16="http://schemas.microsoft.com/office/drawing/2014/chart" uri="{C3380CC4-5D6E-409C-BE32-E72D297353CC}">
              <c16:uniqueId val="{00000000-AB8E-41DB-A46A-F0FF75660920}"/>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2020 Earnings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AC-438E-9398-65A23346F7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AC-438E-9398-65A23346F7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AC-438E-9398-65A23346F7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AC-438E-9398-65A23346F7DD}"/>
              </c:ext>
            </c:extLst>
          </c:dPt>
          <c:cat>
            <c:strRef>
              <c:f>'For Report'!$C$57:$F$57</c:f>
              <c:strCache>
                <c:ptCount val="4"/>
                <c:pt idx="0">
                  <c:v>Development</c:v>
                </c:pt>
                <c:pt idx="1">
                  <c:v>Brokerage</c:v>
                </c:pt>
                <c:pt idx="2">
                  <c:v>LDG</c:v>
                </c:pt>
                <c:pt idx="3">
                  <c:v>Project Transfer</c:v>
                </c:pt>
              </c:strCache>
            </c:strRef>
          </c:cat>
          <c:val>
            <c:numRef>
              <c:f>'For Report'!$C$60:$F$60</c:f>
              <c:numCache>
                <c:formatCode>General</c:formatCode>
                <c:ptCount val="4"/>
                <c:pt idx="0">
                  <c:v>730</c:v>
                </c:pt>
                <c:pt idx="1">
                  <c:v>650</c:v>
                </c:pt>
                <c:pt idx="2">
                  <c:v>300</c:v>
                </c:pt>
                <c:pt idx="3" formatCode="#,##0_);\(#,##0\)">
                  <c:v>0</c:v>
                </c:pt>
              </c:numCache>
            </c:numRef>
          </c:val>
          <c:extLst>
            <c:ext xmlns:c16="http://schemas.microsoft.com/office/drawing/2014/chart" uri="{C3380CC4-5D6E-409C-BE32-E72D297353CC}">
              <c16:uniqueId val="{00000008-BCAC-438E-9398-65A23346F7DD}"/>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2021 Earnings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43-4CBD-9D88-EA3A4624AD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43-4CBD-9D88-EA3A4624AD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43-4CBD-9D88-EA3A4624AD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43-4CBD-9D88-EA3A4624AD31}"/>
              </c:ext>
            </c:extLst>
          </c:dPt>
          <c:cat>
            <c:strRef>
              <c:f>'For Report'!$C$57:$F$57</c:f>
              <c:strCache>
                <c:ptCount val="4"/>
                <c:pt idx="0">
                  <c:v>Development</c:v>
                </c:pt>
                <c:pt idx="1">
                  <c:v>Brokerage</c:v>
                </c:pt>
                <c:pt idx="2">
                  <c:v>LDG</c:v>
                </c:pt>
                <c:pt idx="3">
                  <c:v>Project Transfer</c:v>
                </c:pt>
              </c:strCache>
            </c:strRef>
          </c:cat>
          <c:val>
            <c:numRef>
              <c:f>'For Report'!$C$61:$F$61</c:f>
              <c:numCache>
                <c:formatCode>General</c:formatCode>
                <c:ptCount val="4"/>
                <c:pt idx="0" formatCode="#,##0_);\(#,##0\)">
                  <c:v>1500</c:v>
                </c:pt>
                <c:pt idx="1">
                  <c:v>600</c:v>
                </c:pt>
                <c:pt idx="2">
                  <c:v>300</c:v>
                </c:pt>
                <c:pt idx="3" formatCode="#,##0_);\(#,##0\)">
                  <c:v>0</c:v>
                </c:pt>
              </c:numCache>
            </c:numRef>
          </c:val>
          <c:extLst>
            <c:ext xmlns:c16="http://schemas.microsoft.com/office/drawing/2014/chart" uri="{C3380CC4-5D6E-409C-BE32-E72D297353CC}">
              <c16:uniqueId val="{00000008-8843-4CBD-9D88-EA3A4624AD31}"/>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2019 Earnings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7A-450D-A30A-38BB89DA99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7A-450D-A30A-38BB89DA99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7A-450D-A30A-38BB89DA99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7A-450D-A30A-38BB89DA99E2}"/>
              </c:ext>
            </c:extLst>
          </c:dPt>
          <c:cat>
            <c:strRef>
              <c:f>'For Report'!$C$57:$F$57</c:f>
              <c:strCache>
                <c:ptCount val="4"/>
                <c:pt idx="0">
                  <c:v>Development</c:v>
                </c:pt>
                <c:pt idx="1">
                  <c:v>Brokerage</c:v>
                </c:pt>
                <c:pt idx="2">
                  <c:v>LDG</c:v>
                </c:pt>
                <c:pt idx="3">
                  <c:v>Project Transfer</c:v>
                </c:pt>
              </c:strCache>
            </c:strRef>
          </c:cat>
          <c:val>
            <c:numRef>
              <c:f>'For Report'!$C$59:$F$59</c:f>
              <c:numCache>
                <c:formatCode>General</c:formatCode>
                <c:ptCount val="4"/>
                <c:pt idx="0">
                  <c:v>300</c:v>
                </c:pt>
                <c:pt idx="1">
                  <c:v>600</c:v>
                </c:pt>
                <c:pt idx="2">
                  <c:v>250</c:v>
                </c:pt>
                <c:pt idx="3" formatCode="#,##0_);\(#,##0\)">
                  <c:v>200</c:v>
                </c:pt>
              </c:numCache>
            </c:numRef>
          </c:val>
          <c:extLst>
            <c:ext xmlns:c16="http://schemas.microsoft.com/office/drawing/2014/chart" uri="{C3380CC4-5D6E-409C-BE32-E72D297353CC}">
              <c16:uniqueId val="{00000008-A77A-450D-A30A-38BB89DA99E2}"/>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US"/>
              <a:t>ROE</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3"/>
              <c:layout>
                <c:manualLayout>
                  <c:x val="-1.1111111111111112E-2"/>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F1-4837-AC4C-D9B5792DBC58}"/>
                </c:ext>
              </c:extLst>
            </c:dLbl>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BS!$G$5:$O$5</c:f>
              <c:numCache>
                <c:formatCode>0_);\(0\)</c:formatCode>
                <c:ptCount val="9"/>
                <c:pt idx="0">
                  <c:v>2013</c:v>
                </c:pt>
                <c:pt idx="1">
                  <c:v>2014</c:v>
                </c:pt>
                <c:pt idx="2">
                  <c:v>2015</c:v>
                </c:pt>
                <c:pt idx="3">
                  <c:v>2016</c:v>
                </c:pt>
                <c:pt idx="4">
                  <c:v>2017</c:v>
                </c:pt>
                <c:pt idx="5">
                  <c:v>2018</c:v>
                </c:pt>
                <c:pt idx="6">
                  <c:v>2019</c:v>
                </c:pt>
                <c:pt idx="7">
                  <c:v>2020</c:v>
                </c:pt>
                <c:pt idx="8">
                  <c:v>2021</c:v>
                </c:pt>
              </c:numCache>
            </c:numRef>
          </c:cat>
          <c:val>
            <c:numRef>
              <c:f>BS!$G$56:$O$56</c:f>
              <c:numCache>
                <c:formatCode>#,##0.0%_);\(#,##0.0%\)</c:formatCode>
                <c:ptCount val="9"/>
                <c:pt idx="0">
                  <c:v>0.13961312026913372</c:v>
                </c:pt>
                <c:pt idx="1">
                  <c:v>0.20660146699266504</c:v>
                </c:pt>
                <c:pt idx="2">
                  <c:v>0.26063418406805877</c:v>
                </c:pt>
                <c:pt idx="3">
                  <c:v>0.22205165807913357</c:v>
                </c:pt>
                <c:pt idx="4">
                  <c:v>0.21211747773680109</c:v>
                </c:pt>
                <c:pt idx="5">
                  <c:v>0.26676518193006821</c:v>
                </c:pt>
                <c:pt idx="6">
                  <c:v>0.20258108366355068</c:v>
                </c:pt>
                <c:pt idx="7">
                  <c:v>-7.531560400772358E-2</c:v>
                </c:pt>
                <c:pt idx="8">
                  <c:v>0.15486900992914288</c:v>
                </c:pt>
              </c:numCache>
            </c:numRef>
          </c:val>
          <c:smooth val="0"/>
          <c:extLst>
            <c:ext xmlns:c16="http://schemas.microsoft.com/office/drawing/2014/chart" uri="{C3380CC4-5D6E-409C-BE32-E72D297353CC}">
              <c16:uniqueId val="{00000000-EBF1-4837-AC4C-D9B5792DBC58}"/>
            </c:ext>
          </c:extLst>
        </c:ser>
        <c:dLbls>
          <c:showLegendKey val="0"/>
          <c:showVal val="0"/>
          <c:showCatName val="0"/>
          <c:showSerName val="0"/>
          <c:showPercent val="0"/>
          <c:showBubbleSize val="0"/>
        </c:dLbls>
        <c:smooth val="0"/>
        <c:axId val="1941530176"/>
        <c:axId val="1941522560"/>
      </c:lineChart>
      <c:catAx>
        <c:axId val="1941530176"/>
        <c:scaling>
          <c:orientation val="minMax"/>
        </c:scaling>
        <c:delete val="0"/>
        <c:axPos val="b"/>
        <c:numFmt formatCode="0_);\(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41522560"/>
        <c:crosses val="autoZero"/>
        <c:auto val="1"/>
        <c:lblAlgn val="ctr"/>
        <c:lblOffset val="100"/>
        <c:noMultiLvlLbl val="0"/>
      </c:catAx>
      <c:valAx>
        <c:axId val="1941522560"/>
        <c:scaling>
          <c:orientation val="minMax"/>
        </c:scaling>
        <c:delete val="1"/>
        <c:axPos val="l"/>
        <c:numFmt formatCode="#,##0.0%_);\(#,##0.0%\)" sourceLinked="1"/>
        <c:majorTickMark val="none"/>
        <c:minorTickMark val="none"/>
        <c:tickLblPos val="nextTo"/>
        <c:crossAx val="194153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'Key Chart'!$B$5</c:f>
              <c:strCache>
                <c:ptCount val="1"/>
                <c:pt idx="0">
                  <c:v>Revenue</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Chart'!$F$4:$L$4</c:f>
              <c:strCache>
                <c:ptCount val="7"/>
                <c:pt idx="0">
                  <c:v>2015</c:v>
                </c:pt>
                <c:pt idx="1">
                  <c:v>2016</c:v>
                </c:pt>
                <c:pt idx="2">
                  <c:v>2017</c:v>
                </c:pt>
                <c:pt idx="3">
                  <c:v>2018</c:v>
                </c:pt>
                <c:pt idx="4">
                  <c:v>2019</c:v>
                </c:pt>
                <c:pt idx="5">
                  <c:v>2020</c:v>
                </c:pt>
                <c:pt idx="6">
                  <c:v>2021F</c:v>
                </c:pt>
              </c:strCache>
            </c:strRef>
          </c:cat>
          <c:val>
            <c:numRef>
              <c:f>'Key Chart'!$F$5:$L$5</c:f>
              <c:numCache>
                <c:formatCode>#,##0_);\(#,##0\)</c:formatCode>
                <c:ptCount val="7"/>
                <c:pt idx="0">
                  <c:v>1395</c:v>
                </c:pt>
                <c:pt idx="1">
                  <c:v>2506.5168574600002</c:v>
                </c:pt>
                <c:pt idx="2">
                  <c:v>2879.2413899469998</c:v>
                </c:pt>
                <c:pt idx="3">
                  <c:v>4645.3185625320002</c:v>
                </c:pt>
                <c:pt idx="4">
                  <c:v>5813.5777320179996</c:v>
                </c:pt>
                <c:pt idx="5">
                  <c:v>2890.653883727</c:v>
                </c:pt>
                <c:pt idx="6">
                  <c:v>10089.384737838</c:v>
                </c:pt>
              </c:numCache>
            </c:numRef>
          </c:val>
          <c:extLst>
            <c:ext xmlns:c16="http://schemas.microsoft.com/office/drawing/2014/chart" uri="{C3380CC4-5D6E-409C-BE32-E72D297353CC}">
              <c16:uniqueId val="{00000000-0A01-41D8-BF51-27F077D4997A}"/>
            </c:ext>
          </c:extLst>
        </c:ser>
        <c:ser>
          <c:idx val="0"/>
          <c:order val="1"/>
          <c:tx>
            <c:strRef>
              <c:f>'Key Chart'!$B$9</c:f>
              <c:strCache>
                <c:ptCount val="1"/>
                <c:pt idx="0">
                  <c:v>NPATMI</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Chart'!$F$4:$L$4</c:f>
              <c:strCache>
                <c:ptCount val="7"/>
                <c:pt idx="0">
                  <c:v>2015</c:v>
                </c:pt>
                <c:pt idx="1">
                  <c:v>2016</c:v>
                </c:pt>
                <c:pt idx="2">
                  <c:v>2017</c:v>
                </c:pt>
                <c:pt idx="3">
                  <c:v>2018</c:v>
                </c:pt>
                <c:pt idx="4">
                  <c:v>2019</c:v>
                </c:pt>
                <c:pt idx="5">
                  <c:v>2020</c:v>
                </c:pt>
                <c:pt idx="6">
                  <c:v>2021F</c:v>
                </c:pt>
              </c:strCache>
            </c:strRef>
          </c:cat>
          <c:val>
            <c:numRef>
              <c:f>'Key Chart'!$F$9:$L$9</c:f>
              <c:numCache>
                <c:formatCode>#,##0_);\(#,##0\)</c:formatCode>
                <c:ptCount val="7"/>
                <c:pt idx="0">
                  <c:v>337</c:v>
                </c:pt>
                <c:pt idx="1">
                  <c:v>537.20353105000027</c:v>
                </c:pt>
                <c:pt idx="2">
                  <c:v>750.89074550899977</c:v>
                </c:pt>
                <c:pt idx="3">
                  <c:v>1178.4269852630005</c:v>
                </c:pt>
                <c:pt idx="4">
                  <c:v>1216.5147559219997</c:v>
                </c:pt>
                <c:pt idx="5">
                  <c:v>-495.74539222399989</c:v>
                </c:pt>
                <c:pt idx="6">
                  <c:v>1157.2603283309995</c:v>
                </c:pt>
              </c:numCache>
            </c:numRef>
          </c:val>
          <c:extLst>
            <c:ext xmlns:c16="http://schemas.microsoft.com/office/drawing/2014/chart" uri="{C3380CC4-5D6E-409C-BE32-E72D297353CC}">
              <c16:uniqueId val="{00000001-0A01-41D8-BF51-27F077D4997A}"/>
            </c:ext>
          </c:extLst>
        </c:ser>
        <c:dLbls>
          <c:showLegendKey val="0"/>
          <c:showVal val="0"/>
          <c:showCatName val="0"/>
          <c:showSerName val="0"/>
          <c:showPercent val="0"/>
          <c:showBubbleSize val="0"/>
        </c:dLbls>
        <c:gapWidth val="150"/>
        <c:axId val="1941539968"/>
        <c:axId val="1941515488"/>
      </c:barChart>
      <c:catAx>
        <c:axId val="1941539968"/>
        <c:scaling>
          <c:orientation val="minMax"/>
        </c:scaling>
        <c:delete val="0"/>
        <c:axPos val="b"/>
        <c:numFmt formatCode="General" sourceLinked="1"/>
        <c:majorTickMark val="out"/>
        <c:minorTickMark val="none"/>
        <c:tickLblPos val="nextTo"/>
        <c:crossAx val="1941515488"/>
        <c:crosses val="autoZero"/>
        <c:auto val="1"/>
        <c:lblAlgn val="ctr"/>
        <c:lblOffset val="100"/>
        <c:noMultiLvlLbl val="0"/>
      </c:catAx>
      <c:valAx>
        <c:axId val="1941515488"/>
        <c:scaling>
          <c:orientation val="minMax"/>
        </c:scaling>
        <c:delete val="1"/>
        <c:axPos val="l"/>
        <c:numFmt formatCode="#,##0_);\(#,##0\)" sourceLinked="1"/>
        <c:majorTickMark val="out"/>
        <c:minorTickMark val="none"/>
        <c:tickLblPos val="none"/>
        <c:crossAx val="1941539968"/>
        <c:crosses val="autoZero"/>
        <c:crossBetween val="between"/>
      </c:valAx>
    </c:plotArea>
    <c:legend>
      <c:legendPos val="t"/>
      <c:overlay val="0"/>
    </c:legend>
    <c:plotVisOnly val="1"/>
    <c:dispBlanksAs val="gap"/>
    <c:showDLblsOverMax val="0"/>
  </c:chart>
  <c:txPr>
    <a:bodyPr/>
    <a:lstStyle/>
    <a:p>
      <a:pPr>
        <a:defRPr sz="900"/>
      </a:pPr>
      <a:endParaRPr lang="en-US"/>
    </a:p>
  </c:txPr>
  <c:printSettings>
    <c:headerFooter/>
    <c:pageMargins b="0.75000000000000855" l="0.70000000000000062" r="0.70000000000000062" t="0.7500000000000085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'Key Chart'!$B$9</c:f>
              <c:strCache>
                <c:ptCount val="1"/>
                <c:pt idx="0">
                  <c:v>NPATMI</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'Key Chart'!$C$4:$J$4</c:f>
              <c:numCache>
                <c:formatCode>General</c:formatCode>
                <c:ptCount val="8"/>
                <c:pt idx="0">
                  <c:v>2012</c:v>
                </c:pt>
                <c:pt idx="1">
                  <c:v>2013</c:v>
                </c:pt>
                <c:pt idx="2">
                  <c:v>2014</c:v>
                </c:pt>
                <c:pt idx="3">
                  <c:v>2015</c:v>
                </c:pt>
                <c:pt idx="4">
                  <c:v>2016</c:v>
                </c:pt>
                <c:pt idx="5">
                  <c:v>2017</c:v>
                </c:pt>
                <c:pt idx="6">
                  <c:v>2018</c:v>
                </c:pt>
                <c:pt idx="7">
                  <c:v>2019</c:v>
                </c:pt>
              </c:numCache>
            </c:numRef>
          </c:cat>
          <c:val>
            <c:numRef>
              <c:f>'Key Chart'!$C$9:$J$9</c:f>
              <c:numCache>
                <c:formatCode>#,##0_);\(#,##0\)</c:formatCode>
                <c:ptCount val="8"/>
                <c:pt idx="0">
                  <c:v>57</c:v>
                </c:pt>
                <c:pt idx="1">
                  <c:v>83</c:v>
                </c:pt>
                <c:pt idx="2">
                  <c:v>169</c:v>
                </c:pt>
                <c:pt idx="3">
                  <c:v>337</c:v>
                </c:pt>
                <c:pt idx="4">
                  <c:v>537.20353105000027</c:v>
                </c:pt>
                <c:pt idx="5">
                  <c:v>750.89074550899977</c:v>
                </c:pt>
                <c:pt idx="6">
                  <c:v>1178.4269852630005</c:v>
                </c:pt>
                <c:pt idx="7">
                  <c:v>1216.5147559219997</c:v>
                </c:pt>
              </c:numCache>
            </c:numRef>
          </c:val>
          <c:extLst>
            <c:ext xmlns:c16="http://schemas.microsoft.com/office/drawing/2014/chart" uri="{C3380CC4-5D6E-409C-BE32-E72D297353CC}">
              <c16:uniqueId val="{00000000-FAE1-452A-A18B-7E4BADFAEC66}"/>
            </c:ext>
          </c:extLst>
        </c:ser>
        <c:ser>
          <c:idx val="0"/>
          <c:order val="1"/>
          <c:tx>
            <c:strRef>
              <c:f>'Key Chart'!$B$6</c:f>
              <c:strCache>
                <c:ptCount val="1"/>
                <c:pt idx="0">
                  <c:v>Gross profit</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'Key Chart'!$C$6:$J$6</c:f>
              <c:numCache>
                <c:formatCode>#,##0</c:formatCode>
                <c:ptCount val="8"/>
                <c:pt idx="0">
                  <c:v>193</c:v>
                </c:pt>
                <c:pt idx="1">
                  <c:v>206</c:v>
                </c:pt>
                <c:pt idx="2">
                  <c:v>302</c:v>
                </c:pt>
                <c:pt idx="3">
                  <c:v>660</c:v>
                </c:pt>
                <c:pt idx="4">
                  <c:v>1051.6372654250001</c:v>
                </c:pt>
                <c:pt idx="5">
                  <c:v>1729.8013688239998</c:v>
                </c:pt>
                <c:pt idx="6">
                  <c:v>2614.7741839420005</c:v>
                </c:pt>
                <c:pt idx="7">
                  <c:v>3083.6022234209995</c:v>
                </c:pt>
              </c:numCache>
            </c:numRef>
          </c:val>
          <c:extLst>
            <c:ext xmlns:c16="http://schemas.microsoft.com/office/drawing/2014/chart" uri="{C3380CC4-5D6E-409C-BE32-E72D297353CC}">
              <c16:uniqueId val="{00000001-FAE1-452A-A18B-7E4BADFAEC66}"/>
            </c:ext>
          </c:extLst>
        </c:ser>
        <c:dLbls>
          <c:showLegendKey val="0"/>
          <c:showVal val="0"/>
          <c:showCatName val="0"/>
          <c:showSerName val="0"/>
          <c:showPercent val="0"/>
          <c:showBubbleSize val="0"/>
        </c:dLbls>
        <c:gapWidth val="150"/>
        <c:axId val="1941516576"/>
        <c:axId val="1941517120"/>
      </c:barChart>
      <c:catAx>
        <c:axId val="1941516576"/>
        <c:scaling>
          <c:orientation val="minMax"/>
        </c:scaling>
        <c:delete val="0"/>
        <c:axPos val="b"/>
        <c:numFmt formatCode="General" sourceLinked="1"/>
        <c:majorTickMark val="out"/>
        <c:minorTickMark val="none"/>
        <c:tickLblPos val="nextTo"/>
        <c:crossAx val="1941517120"/>
        <c:crosses val="autoZero"/>
        <c:auto val="1"/>
        <c:lblAlgn val="ctr"/>
        <c:lblOffset val="100"/>
        <c:noMultiLvlLbl val="0"/>
      </c:catAx>
      <c:valAx>
        <c:axId val="1941517120"/>
        <c:scaling>
          <c:orientation val="minMax"/>
        </c:scaling>
        <c:delete val="1"/>
        <c:axPos val="l"/>
        <c:numFmt formatCode="#,##0_);\(#,##0\)" sourceLinked="1"/>
        <c:majorTickMark val="out"/>
        <c:minorTickMark val="none"/>
        <c:tickLblPos val="none"/>
        <c:crossAx val="1941516576"/>
        <c:crosses val="autoZero"/>
        <c:crossBetween val="between"/>
      </c:valAx>
    </c:plotArea>
    <c:legend>
      <c:legendPos val="t"/>
      <c:overlay val="0"/>
    </c:legend>
    <c:plotVisOnly val="1"/>
    <c:dispBlanksAs val="gap"/>
    <c:showDLblsOverMax val="0"/>
  </c:chart>
  <c:txPr>
    <a:bodyPr/>
    <a:lstStyle/>
    <a:p>
      <a:pPr>
        <a:defRPr sz="900"/>
      </a:pPr>
      <a:endParaRPr lang="en-US"/>
    </a:p>
  </c:txPr>
  <c:printSettings>
    <c:headerFooter/>
    <c:pageMargins b="0.75000000000000877" l="0.70000000000000062" r="0.70000000000000062" t="0.75000000000000877"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'Key Chart'!$B$26</c:f>
              <c:strCache>
                <c:ptCount val="1"/>
                <c:pt idx="0">
                  <c:v>Inventory</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'Key Chart'!$C$4:$J$4</c:f>
              <c:numCache>
                <c:formatCode>General</c:formatCode>
                <c:ptCount val="8"/>
                <c:pt idx="0">
                  <c:v>2012</c:v>
                </c:pt>
                <c:pt idx="1">
                  <c:v>2013</c:v>
                </c:pt>
                <c:pt idx="2">
                  <c:v>2014</c:v>
                </c:pt>
                <c:pt idx="3">
                  <c:v>2015</c:v>
                </c:pt>
                <c:pt idx="4">
                  <c:v>2016</c:v>
                </c:pt>
                <c:pt idx="5">
                  <c:v>2017</c:v>
                </c:pt>
                <c:pt idx="6">
                  <c:v>2018</c:v>
                </c:pt>
                <c:pt idx="7">
                  <c:v>2019</c:v>
                </c:pt>
              </c:numCache>
            </c:numRef>
          </c:cat>
          <c:val>
            <c:numRef>
              <c:f>'Key Chart'!$C$26:$J$26</c:f>
              <c:numCache>
                <c:formatCode>#,##0_);\(#,##0\)</c:formatCode>
                <c:ptCount val="8"/>
                <c:pt idx="0">
                  <c:v>129</c:v>
                </c:pt>
                <c:pt idx="1">
                  <c:v>433</c:v>
                </c:pt>
                <c:pt idx="2">
                  <c:v>499</c:v>
                </c:pt>
                <c:pt idx="3">
                  <c:v>1122</c:v>
                </c:pt>
                <c:pt idx="4">
                  <c:v>915.502618676</c:v>
                </c:pt>
                <c:pt idx="5">
                  <c:v>3400.5832179409999</c:v>
                </c:pt>
                <c:pt idx="6">
                  <c:v>4605.1510868169999</c:v>
                </c:pt>
                <c:pt idx="7">
                  <c:v>6791.4641813839999</c:v>
                </c:pt>
              </c:numCache>
            </c:numRef>
          </c:val>
          <c:extLst>
            <c:ext xmlns:c16="http://schemas.microsoft.com/office/drawing/2014/chart" uri="{C3380CC4-5D6E-409C-BE32-E72D297353CC}">
              <c16:uniqueId val="{00000000-7267-450D-9BD4-A06D4FE30016}"/>
            </c:ext>
          </c:extLst>
        </c:ser>
        <c:ser>
          <c:idx val="0"/>
          <c:order val="1"/>
          <c:tx>
            <c:strRef>
              <c:f>'Key Chart'!$B$27</c:f>
              <c:strCache>
                <c:ptCount val="1"/>
                <c:pt idx="0">
                  <c:v>Customer advancement</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'Key Chart'!$C$27:$J$27</c:f>
              <c:numCache>
                <c:formatCode>#,##0_);\(#,##0\)</c:formatCode>
                <c:ptCount val="8"/>
                <c:pt idx="0">
                  <c:v>65</c:v>
                </c:pt>
                <c:pt idx="1">
                  <c:v>158</c:v>
                </c:pt>
                <c:pt idx="2">
                  <c:v>234</c:v>
                </c:pt>
                <c:pt idx="3">
                  <c:v>832</c:v>
                </c:pt>
                <c:pt idx="4">
                  <c:v>440.98335732300001</c:v>
                </c:pt>
                <c:pt idx="5">
                  <c:v>1408.4873947369999</c:v>
                </c:pt>
                <c:pt idx="6">
                  <c:v>1048.3442675429999</c:v>
                </c:pt>
                <c:pt idx="7">
                  <c:v>943.84253429199998</c:v>
                </c:pt>
              </c:numCache>
            </c:numRef>
          </c:val>
          <c:extLst>
            <c:ext xmlns:c16="http://schemas.microsoft.com/office/drawing/2014/chart" uri="{C3380CC4-5D6E-409C-BE32-E72D297353CC}">
              <c16:uniqueId val="{00000001-7267-450D-9BD4-A06D4FE30016}"/>
            </c:ext>
          </c:extLst>
        </c:ser>
        <c:dLbls>
          <c:showLegendKey val="0"/>
          <c:showVal val="0"/>
          <c:showCatName val="0"/>
          <c:showSerName val="0"/>
          <c:showPercent val="0"/>
          <c:showBubbleSize val="0"/>
        </c:dLbls>
        <c:gapWidth val="150"/>
        <c:axId val="1755589936"/>
        <c:axId val="1755604080"/>
      </c:barChart>
      <c:catAx>
        <c:axId val="1755589936"/>
        <c:scaling>
          <c:orientation val="minMax"/>
        </c:scaling>
        <c:delete val="0"/>
        <c:axPos val="b"/>
        <c:numFmt formatCode="General" sourceLinked="1"/>
        <c:majorTickMark val="out"/>
        <c:minorTickMark val="none"/>
        <c:tickLblPos val="nextTo"/>
        <c:crossAx val="1755604080"/>
        <c:crosses val="autoZero"/>
        <c:auto val="1"/>
        <c:lblAlgn val="ctr"/>
        <c:lblOffset val="100"/>
        <c:noMultiLvlLbl val="0"/>
      </c:catAx>
      <c:valAx>
        <c:axId val="1755604080"/>
        <c:scaling>
          <c:orientation val="minMax"/>
        </c:scaling>
        <c:delete val="1"/>
        <c:axPos val="l"/>
        <c:numFmt formatCode="#,##0_);\(#,##0\)" sourceLinked="1"/>
        <c:majorTickMark val="out"/>
        <c:minorTickMark val="none"/>
        <c:tickLblPos val="none"/>
        <c:crossAx val="1755589936"/>
        <c:crosses val="autoZero"/>
        <c:crossBetween val="between"/>
      </c:valAx>
    </c:plotArea>
    <c:legend>
      <c:legendPos val="t"/>
      <c:overlay val="0"/>
    </c:legend>
    <c:plotVisOnly val="1"/>
    <c:dispBlanksAs val="gap"/>
    <c:showDLblsOverMax val="0"/>
  </c:chart>
  <c:txPr>
    <a:bodyPr/>
    <a:lstStyle/>
    <a:p>
      <a:pPr>
        <a:defRPr sz="900"/>
      </a:pPr>
      <a:endParaRPr lang="en-US"/>
    </a:p>
  </c:txPr>
  <c:printSettings>
    <c:headerFooter/>
    <c:pageMargins b="0.75000000000000899" l="0.70000000000000062" r="0.70000000000000062" t="0.75000000000000899"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'Key Chart'!$B$11</c:f>
              <c:strCache>
                <c:ptCount val="1"/>
                <c:pt idx="0">
                  <c:v>Gross margin</c:v>
                </c:pt>
              </c:strCache>
            </c:strRef>
          </c:tx>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'Key Chart'!$C$4:$J$4</c:f>
              <c:numCache>
                <c:formatCode>General</c:formatCode>
                <c:ptCount val="8"/>
                <c:pt idx="0">
                  <c:v>2012</c:v>
                </c:pt>
                <c:pt idx="1">
                  <c:v>2013</c:v>
                </c:pt>
                <c:pt idx="2">
                  <c:v>2014</c:v>
                </c:pt>
                <c:pt idx="3">
                  <c:v>2015</c:v>
                </c:pt>
                <c:pt idx="4">
                  <c:v>2016</c:v>
                </c:pt>
                <c:pt idx="5">
                  <c:v>2017</c:v>
                </c:pt>
                <c:pt idx="6">
                  <c:v>2018</c:v>
                </c:pt>
                <c:pt idx="7">
                  <c:v>2019</c:v>
                </c:pt>
              </c:numCache>
            </c:numRef>
          </c:cat>
          <c:val>
            <c:numRef>
              <c:f>'Key Chart'!$C$11:$J$11</c:f>
              <c:numCache>
                <c:formatCode>#,##0%_);\(#,##0%\)</c:formatCode>
                <c:ptCount val="8"/>
                <c:pt idx="0">
                  <c:v>0.4777227722772277</c:v>
                </c:pt>
                <c:pt idx="1">
                  <c:v>0.6005830903790087</c:v>
                </c:pt>
                <c:pt idx="2">
                  <c:v>0.59683794466403162</c:v>
                </c:pt>
                <c:pt idx="3">
                  <c:v>0.4731182795698925</c:v>
                </c:pt>
                <c:pt idx="4">
                  <c:v>0.41956121790885759</c:v>
                </c:pt>
                <c:pt idx="5">
                  <c:v>0.6007837254853583</c:v>
                </c:pt>
                <c:pt idx="6">
                  <c:v>0.56288371803650405</c:v>
                </c:pt>
                <c:pt idx="7">
                  <c:v>0.5304138631256633</c:v>
                </c:pt>
              </c:numCache>
            </c:numRef>
          </c:val>
          <c:smooth val="0"/>
          <c:extLst>
            <c:ext xmlns:c16="http://schemas.microsoft.com/office/drawing/2014/chart" uri="{C3380CC4-5D6E-409C-BE32-E72D297353CC}">
              <c16:uniqueId val="{00000000-D2C7-4CFA-91E6-FAC0F18A7368}"/>
            </c:ext>
          </c:extLst>
        </c:ser>
        <c:ser>
          <c:idx val="2"/>
          <c:order val="1"/>
          <c:tx>
            <c:strRef>
              <c:f>'Key Chart'!$B$13</c:f>
              <c:strCache>
                <c:ptCount val="1"/>
                <c:pt idx="0">
                  <c:v>NPAT margin</c:v>
                </c:pt>
              </c:strCache>
            </c:strRef>
          </c:tx>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'Key Chart'!$C$4:$J$4</c:f>
              <c:numCache>
                <c:formatCode>General</c:formatCode>
                <c:ptCount val="8"/>
                <c:pt idx="0">
                  <c:v>2012</c:v>
                </c:pt>
                <c:pt idx="1">
                  <c:v>2013</c:v>
                </c:pt>
                <c:pt idx="2">
                  <c:v>2014</c:v>
                </c:pt>
                <c:pt idx="3">
                  <c:v>2015</c:v>
                </c:pt>
                <c:pt idx="4">
                  <c:v>2016</c:v>
                </c:pt>
                <c:pt idx="5">
                  <c:v>2017</c:v>
                </c:pt>
                <c:pt idx="6">
                  <c:v>2018</c:v>
                </c:pt>
                <c:pt idx="7">
                  <c:v>2019</c:v>
                </c:pt>
              </c:numCache>
            </c:numRef>
          </c:cat>
          <c:val>
            <c:numRef>
              <c:f>'Key Chart'!$C$13:$J$13</c:f>
              <c:numCache>
                <c:formatCode>#,##0%_);\(#,##0%\)</c:formatCode>
                <c:ptCount val="8"/>
                <c:pt idx="0">
                  <c:v>0.14356435643564355</c:v>
                </c:pt>
                <c:pt idx="1">
                  <c:v>0.26239067055393583</c:v>
                </c:pt>
                <c:pt idx="2">
                  <c:v>0.42292490118577075</c:v>
                </c:pt>
                <c:pt idx="3">
                  <c:v>0.31971326164874553</c:v>
                </c:pt>
                <c:pt idx="4">
                  <c:v>0.2650783333814476</c:v>
                </c:pt>
                <c:pt idx="5">
                  <c:v>0.37698133131344708</c:v>
                </c:pt>
                <c:pt idx="6">
                  <c:v>0.37086686722470236</c:v>
                </c:pt>
                <c:pt idx="7">
                  <c:v>0.32445057833040419</c:v>
                </c:pt>
              </c:numCache>
            </c:numRef>
          </c:val>
          <c:smooth val="0"/>
          <c:extLst>
            <c:ext xmlns:c16="http://schemas.microsoft.com/office/drawing/2014/chart" uri="{C3380CC4-5D6E-409C-BE32-E72D297353CC}">
              <c16:uniqueId val="{00000001-D2C7-4CFA-91E6-FAC0F18A7368}"/>
            </c:ext>
          </c:extLst>
        </c:ser>
        <c:ser>
          <c:idx val="3"/>
          <c:order val="2"/>
          <c:tx>
            <c:strRef>
              <c:f>'Key Chart'!$B$14</c:f>
              <c:strCache>
                <c:ptCount val="1"/>
                <c:pt idx="0">
                  <c:v>NPATMI margin</c:v>
                </c:pt>
              </c:strCache>
            </c:strRef>
          </c:tx>
          <c:marker>
            <c:symbol val="none"/>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'Key Chart'!$C$4:$J$4</c:f>
              <c:numCache>
                <c:formatCode>General</c:formatCode>
                <c:ptCount val="8"/>
                <c:pt idx="0">
                  <c:v>2012</c:v>
                </c:pt>
                <c:pt idx="1">
                  <c:v>2013</c:v>
                </c:pt>
                <c:pt idx="2">
                  <c:v>2014</c:v>
                </c:pt>
                <c:pt idx="3">
                  <c:v>2015</c:v>
                </c:pt>
                <c:pt idx="4">
                  <c:v>2016</c:v>
                </c:pt>
                <c:pt idx="5">
                  <c:v>2017</c:v>
                </c:pt>
                <c:pt idx="6">
                  <c:v>2018</c:v>
                </c:pt>
                <c:pt idx="7">
                  <c:v>2019</c:v>
                </c:pt>
              </c:numCache>
            </c:numRef>
          </c:cat>
          <c:val>
            <c:numRef>
              <c:f>'Key Chart'!$C$14:$J$14</c:f>
              <c:numCache>
                <c:formatCode>#,##0%_);\(#,##0%\)</c:formatCode>
                <c:ptCount val="8"/>
                <c:pt idx="0">
                  <c:v>0.14108910891089108</c:v>
                </c:pt>
                <c:pt idx="1">
                  <c:v>0.24198250728862974</c:v>
                </c:pt>
                <c:pt idx="2">
                  <c:v>0.33399209486166009</c:v>
                </c:pt>
                <c:pt idx="3">
                  <c:v>0.24157706093189965</c:v>
                </c:pt>
                <c:pt idx="4">
                  <c:v>0.21432272815207792</c:v>
                </c:pt>
                <c:pt idx="5">
                  <c:v>0.26079464824685017</c:v>
                </c:pt>
                <c:pt idx="6">
                  <c:v>0.25368055374455983</c:v>
                </c:pt>
                <c:pt idx="7">
                  <c:v>0.20925406212805983</c:v>
                </c:pt>
              </c:numCache>
            </c:numRef>
          </c:val>
          <c:smooth val="0"/>
          <c:extLst>
            <c:ext xmlns:c16="http://schemas.microsoft.com/office/drawing/2014/chart" uri="{C3380CC4-5D6E-409C-BE32-E72D297353CC}">
              <c16:uniqueId val="{00000002-D2C7-4CFA-91E6-FAC0F18A7368}"/>
            </c:ext>
          </c:extLst>
        </c:ser>
        <c:dLbls>
          <c:showLegendKey val="0"/>
          <c:showVal val="0"/>
          <c:showCatName val="0"/>
          <c:showSerName val="0"/>
          <c:showPercent val="0"/>
          <c:showBubbleSize val="0"/>
        </c:dLbls>
        <c:smooth val="0"/>
        <c:axId val="1755619312"/>
        <c:axId val="1755621488"/>
      </c:lineChart>
      <c:catAx>
        <c:axId val="1755619312"/>
        <c:scaling>
          <c:orientation val="minMax"/>
        </c:scaling>
        <c:delete val="0"/>
        <c:axPos val="b"/>
        <c:numFmt formatCode="General" sourceLinked="0"/>
        <c:majorTickMark val="out"/>
        <c:minorTickMark val="none"/>
        <c:tickLblPos val="nextTo"/>
        <c:crossAx val="1755621488"/>
        <c:crosses val="autoZero"/>
        <c:auto val="1"/>
        <c:lblAlgn val="ctr"/>
        <c:lblOffset val="100"/>
        <c:noMultiLvlLbl val="0"/>
      </c:catAx>
      <c:valAx>
        <c:axId val="1755621488"/>
        <c:scaling>
          <c:orientation val="minMax"/>
        </c:scaling>
        <c:delete val="1"/>
        <c:axPos val="l"/>
        <c:numFmt formatCode="#,##0%_);\(#,##0%\)" sourceLinked="1"/>
        <c:majorTickMark val="out"/>
        <c:minorTickMark val="none"/>
        <c:tickLblPos val="none"/>
        <c:crossAx val="1755619312"/>
        <c:crosses val="autoZero"/>
        <c:crossBetween val="between"/>
      </c:valAx>
    </c:plotArea>
    <c:legend>
      <c:legendPos val="t"/>
      <c:layout>
        <c:manualLayout>
          <c:xMode val="edge"/>
          <c:yMode val="edge"/>
          <c:x val="0.15244444444444843"/>
          <c:y val="2.3041474654377881E-2"/>
          <c:w val="0.64233333333333364"/>
          <c:h val="0.12529361249198689"/>
        </c:manualLayout>
      </c:layout>
      <c:overlay val="0"/>
    </c:legend>
    <c:plotVisOnly val="1"/>
    <c:dispBlanksAs val="gap"/>
    <c:showDLblsOverMax val="0"/>
  </c:chart>
  <c:printSettings>
    <c:headerFooter/>
    <c:pageMargins b="0.75000000000000611" l="0.70000000000000062" r="0.70000000000000062" t="0.75000000000000611"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'Key Chart'!$B$23</c:f>
              <c:strCache>
                <c:ptCount val="1"/>
                <c:pt idx="0">
                  <c:v>Total debt</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'Key Chart'!$C$4:$J$4</c:f>
              <c:numCache>
                <c:formatCode>General</c:formatCode>
                <c:ptCount val="8"/>
                <c:pt idx="0">
                  <c:v>2012</c:v>
                </c:pt>
                <c:pt idx="1">
                  <c:v>2013</c:v>
                </c:pt>
                <c:pt idx="2">
                  <c:v>2014</c:v>
                </c:pt>
                <c:pt idx="3">
                  <c:v>2015</c:v>
                </c:pt>
                <c:pt idx="4">
                  <c:v>2016</c:v>
                </c:pt>
                <c:pt idx="5">
                  <c:v>2017</c:v>
                </c:pt>
                <c:pt idx="6">
                  <c:v>2018</c:v>
                </c:pt>
                <c:pt idx="7">
                  <c:v>2019</c:v>
                </c:pt>
              </c:numCache>
            </c:numRef>
          </c:cat>
          <c:val>
            <c:numRef>
              <c:f>'Key Chart'!$C$23:$J$23</c:f>
              <c:numCache>
                <c:formatCode>#,##0_);\(#,##0\)</c:formatCode>
                <c:ptCount val="8"/>
                <c:pt idx="0">
                  <c:v>0</c:v>
                </c:pt>
                <c:pt idx="1">
                  <c:v>70</c:v>
                </c:pt>
                <c:pt idx="2">
                  <c:v>120</c:v>
                </c:pt>
                <c:pt idx="3">
                  <c:v>439</c:v>
                </c:pt>
                <c:pt idx="4">
                  <c:v>684.06242798100004</c:v>
                </c:pt>
                <c:pt idx="5">
                  <c:v>2529.4046539680003</c:v>
                </c:pt>
                <c:pt idx="6">
                  <c:v>2865.8205387260004</c:v>
                </c:pt>
                <c:pt idx="7">
                  <c:v>4399.7310068309998</c:v>
                </c:pt>
              </c:numCache>
            </c:numRef>
          </c:val>
          <c:extLst>
            <c:ext xmlns:c16="http://schemas.microsoft.com/office/drawing/2014/chart" uri="{C3380CC4-5D6E-409C-BE32-E72D297353CC}">
              <c16:uniqueId val="{00000000-4B98-46CB-901F-9F6B1CEF04EC}"/>
            </c:ext>
          </c:extLst>
        </c:ser>
        <c:ser>
          <c:idx val="0"/>
          <c:order val="1"/>
          <c:tx>
            <c:strRef>
              <c:f>'Key Chart'!$B$24</c:f>
              <c:strCache>
                <c:ptCount val="1"/>
                <c:pt idx="0">
                  <c:v>Shareholder equity</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'Key Chart'!$C$24:$J$24</c:f>
              <c:numCache>
                <c:formatCode>#,##0_);\(#,##0\)</c:formatCode>
                <c:ptCount val="8"/>
                <c:pt idx="0">
                  <c:v>580</c:v>
                </c:pt>
                <c:pt idx="1">
                  <c:v>664</c:v>
                </c:pt>
                <c:pt idx="2">
                  <c:v>1072</c:v>
                </c:pt>
                <c:pt idx="3">
                  <c:v>1771</c:v>
                </c:pt>
                <c:pt idx="4">
                  <c:v>3548.2230539000002</c:v>
                </c:pt>
                <c:pt idx="5">
                  <c:v>4664.7131583710006</c:v>
                </c:pt>
                <c:pt idx="6">
                  <c:v>6209.9620667889994</c:v>
                </c:pt>
                <c:pt idx="7">
                  <c:v>9238.49934889</c:v>
                </c:pt>
              </c:numCache>
            </c:numRef>
          </c:val>
          <c:extLst>
            <c:ext xmlns:c16="http://schemas.microsoft.com/office/drawing/2014/chart" uri="{C3380CC4-5D6E-409C-BE32-E72D297353CC}">
              <c16:uniqueId val="{00000001-4B98-46CB-901F-9F6B1CEF04EC}"/>
            </c:ext>
          </c:extLst>
        </c:ser>
        <c:dLbls>
          <c:showLegendKey val="0"/>
          <c:showVal val="0"/>
          <c:showCatName val="0"/>
          <c:showSerName val="0"/>
          <c:showPercent val="0"/>
          <c:showBubbleSize val="0"/>
        </c:dLbls>
        <c:gapWidth val="150"/>
        <c:axId val="1755630736"/>
        <c:axId val="1755632912"/>
      </c:barChart>
      <c:catAx>
        <c:axId val="1755630736"/>
        <c:scaling>
          <c:orientation val="minMax"/>
        </c:scaling>
        <c:delete val="0"/>
        <c:axPos val="b"/>
        <c:numFmt formatCode="General" sourceLinked="1"/>
        <c:majorTickMark val="out"/>
        <c:minorTickMark val="none"/>
        <c:tickLblPos val="nextTo"/>
        <c:crossAx val="1755632912"/>
        <c:crosses val="autoZero"/>
        <c:auto val="1"/>
        <c:lblAlgn val="ctr"/>
        <c:lblOffset val="100"/>
        <c:noMultiLvlLbl val="0"/>
      </c:catAx>
      <c:valAx>
        <c:axId val="1755632912"/>
        <c:scaling>
          <c:orientation val="minMax"/>
        </c:scaling>
        <c:delete val="1"/>
        <c:axPos val="l"/>
        <c:numFmt formatCode="#,##0_);\(#,##0\)" sourceLinked="1"/>
        <c:majorTickMark val="out"/>
        <c:minorTickMark val="none"/>
        <c:tickLblPos val="none"/>
        <c:crossAx val="1755630736"/>
        <c:crosses val="autoZero"/>
        <c:crossBetween val="between"/>
      </c:valAx>
    </c:plotArea>
    <c:legend>
      <c:legendPos val="t"/>
      <c:overlay val="0"/>
    </c:legend>
    <c:plotVisOnly val="1"/>
    <c:dispBlanksAs val="gap"/>
    <c:showDLblsOverMax val="0"/>
  </c:chart>
  <c:txPr>
    <a:bodyPr/>
    <a:lstStyle/>
    <a:p>
      <a:pPr>
        <a:defRPr sz="900"/>
      </a:pPr>
      <a:endParaRPr lang="en-US"/>
    </a:p>
  </c:txPr>
  <c:printSettings>
    <c:headerFooter/>
    <c:pageMargins b="0.75000000000000921" l="0.70000000000000062" r="0.70000000000000062" t="0.75000000000000921"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'Key Chart'!$B$5</c:f>
              <c:strCache>
                <c:ptCount val="1"/>
                <c:pt idx="0">
                  <c:v>Revenue</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'Key Chart'!$C$4:$J$4</c:f>
              <c:numCache>
                <c:formatCode>General</c:formatCode>
                <c:ptCount val="8"/>
                <c:pt idx="0">
                  <c:v>2012</c:v>
                </c:pt>
                <c:pt idx="1">
                  <c:v>2013</c:v>
                </c:pt>
                <c:pt idx="2">
                  <c:v>2014</c:v>
                </c:pt>
                <c:pt idx="3">
                  <c:v>2015</c:v>
                </c:pt>
                <c:pt idx="4">
                  <c:v>2016</c:v>
                </c:pt>
                <c:pt idx="5">
                  <c:v>2017</c:v>
                </c:pt>
                <c:pt idx="6">
                  <c:v>2018</c:v>
                </c:pt>
                <c:pt idx="7">
                  <c:v>2019</c:v>
                </c:pt>
              </c:numCache>
            </c:numRef>
          </c:cat>
          <c:val>
            <c:numRef>
              <c:f>'Key Chart'!$C$5:$J$5</c:f>
              <c:numCache>
                <c:formatCode>#,##0_);\(#,##0\)</c:formatCode>
                <c:ptCount val="8"/>
                <c:pt idx="0">
                  <c:v>404</c:v>
                </c:pt>
                <c:pt idx="1">
                  <c:v>343</c:v>
                </c:pt>
                <c:pt idx="2">
                  <c:v>506</c:v>
                </c:pt>
                <c:pt idx="3">
                  <c:v>1395</c:v>
                </c:pt>
                <c:pt idx="4">
                  <c:v>2506.5168574600002</c:v>
                </c:pt>
                <c:pt idx="5">
                  <c:v>2879.2413899469998</c:v>
                </c:pt>
                <c:pt idx="6">
                  <c:v>4645.3185625320002</c:v>
                </c:pt>
                <c:pt idx="7">
                  <c:v>5813.5777320179996</c:v>
                </c:pt>
              </c:numCache>
            </c:numRef>
          </c:val>
          <c:extLst>
            <c:ext xmlns:c16="http://schemas.microsoft.com/office/drawing/2014/chart" uri="{C3380CC4-5D6E-409C-BE32-E72D297353CC}">
              <c16:uniqueId val="{00000000-2B03-4EB8-BA9F-9DEE9F896E23}"/>
            </c:ext>
          </c:extLst>
        </c:ser>
        <c:ser>
          <c:idx val="1"/>
          <c:order val="1"/>
          <c:tx>
            <c:strRef>
              <c:f>'Key Chart'!$B$9</c:f>
              <c:strCache>
                <c:ptCount val="1"/>
                <c:pt idx="0">
                  <c:v>NPATMI</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'Key Chart'!$C$4:$J$4</c:f>
              <c:numCache>
                <c:formatCode>General</c:formatCode>
                <c:ptCount val="8"/>
                <c:pt idx="0">
                  <c:v>2012</c:v>
                </c:pt>
                <c:pt idx="1">
                  <c:v>2013</c:v>
                </c:pt>
                <c:pt idx="2">
                  <c:v>2014</c:v>
                </c:pt>
                <c:pt idx="3">
                  <c:v>2015</c:v>
                </c:pt>
                <c:pt idx="4">
                  <c:v>2016</c:v>
                </c:pt>
                <c:pt idx="5">
                  <c:v>2017</c:v>
                </c:pt>
                <c:pt idx="6">
                  <c:v>2018</c:v>
                </c:pt>
                <c:pt idx="7">
                  <c:v>2019</c:v>
                </c:pt>
              </c:numCache>
            </c:numRef>
          </c:cat>
          <c:val>
            <c:numRef>
              <c:f>'Key Chart'!$C$9:$J$9</c:f>
              <c:numCache>
                <c:formatCode>#,##0_);\(#,##0\)</c:formatCode>
                <c:ptCount val="8"/>
                <c:pt idx="0">
                  <c:v>57</c:v>
                </c:pt>
                <c:pt idx="1">
                  <c:v>83</c:v>
                </c:pt>
                <c:pt idx="2">
                  <c:v>169</c:v>
                </c:pt>
                <c:pt idx="3">
                  <c:v>337</c:v>
                </c:pt>
                <c:pt idx="4">
                  <c:v>537.20353105000027</c:v>
                </c:pt>
                <c:pt idx="5">
                  <c:v>750.89074550899977</c:v>
                </c:pt>
                <c:pt idx="6">
                  <c:v>1178.4269852630005</c:v>
                </c:pt>
                <c:pt idx="7">
                  <c:v>1216.5147559219997</c:v>
                </c:pt>
              </c:numCache>
            </c:numRef>
          </c:val>
          <c:extLst>
            <c:ext xmlns:c16="http://schemas.microsoft.com/office/drawing/2014/chart" uri="{C3380CC4-5D6E-409C-BE32-E72D297353CC}">
              <c16:uniqueId val="{00000001-2B03-4EB8-BA9F-9DEE9F896E23}"/>
            </c:ext>
          </c:extLst>
        </c:ser>
        <c:dLbls>
          <c:showLegendKey val="0"/>
          <c:showVal val="0"/>
          <c:showCatName val="0"/>
          <c:showSerName val="0"/>
          <c:showPercent val="0"/>
          <c:showBubbleSize val="0"/>
        </c:dLbls>
        <c:gapWidth val="150"/>
        <c:axId val="1755625840"/>
        <c:axId val="1755633456"/>
      </c:barChart>
      <c:catAx>
        <c:axId val="1755625840"/>
        <c:scaling>
          <c:orientation val="minMax"/>
        </c:scaling>
        <c:delete val="0"/>
        <c:axPos val="b"/>
        <c:numFmt formatCode="General" sourceLinked="0"/>
        <c:majorTickMark val="out"/>
        <c:minorTickMark val="none"/>
        <c:tickLblPos val="nextTo"/>
        <c:crossAx val="1755633456"/>
        <c:crosses val="autoZero"/>
        <c:auto val="1"/>
        <c:lblAlgn val="ctr"/>
        <c:lblOffset val="100"/>
        <c:noMultiLvlLbl val="0"/>
      </c:catAx>
      <c:valAx>
        <c:axId val="1755633456"/>
        <c:scaling>
          <c:orientation val="minMax"/>
        </c:scaling>
        <c:delete val="1"/>
        <c:axPos val="l"/>
        <c:numFmt formatCode="#,##0_);\(#,##0\)" sourceLinked="1"/>
        <c:majorTickMark val="out"/>
        <c:minorTickMark val="none"/>
        <c:tickLblPos val="none"/>
        <c:crossAx val="1755625840"/>
        <c:crosses val="autoZero"/>
        <c:crossBetween val="between"/>
      </c:valAx>
    </c:plotArea>
    <c:legend>
      <c:legendPos val="t"/>
      <c:overlay val="0"/>
    </c:legend>
    <c:plotVisOnly val="1"/>
    <c:dispBlanksAs val="gap"/>
    <c:showDLblsOverMax val="0"/>
  </c:chart>
  <c:printSettings>
    <c:headerFooter/>
    <c:pageMargins b="0.75000000000000344" l="0.70000000000000062" r="0.70000000000000062" t="0.750000000000003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Chart'!$B$78:$B$83</c:f>
              <c:strCache>
                <c:ptCount val="6"/>
                <c:pt idx="0">
                  <c:v>Sunview Town</c:v>
                </c:pt>
                <c:pt idx="1">
                  <c:v>Lux City</c:v>
                </c:pt>
                <c:pt idx="2">
                  <c:v>Opal Riverside</c:v>
                </c:pt>
                <c:pt idx="3">
                  <c:v>Opal Garden</c:v>
                </c:pt>
                <c:pt idx="4">
                  <c:v>Opal Skyview</c:v>
                </c:pt>
                <c:pt idx="5">
                  <c:v>Lux Garden</c:v>
                </c:pt>
              </c:strCache>
            </c:strRef>
          </c:cat>
          <c:val>
            <c:numRef>
              <c:f>'Key Chart'!$D$78:$D$83</c:f>
              <c:numCache>
                <c:formatCode>#,##0_);\(#,##0\)</c:formatCode>
                <c:ptCount val="6"/>
                <c:pt idx="0">
                  <c:v>1600</c:v>
                </c:pt>
                <c:pt idx="1">
                  <c:v>500</c:v>
                </c:pt>
                <c:pt idx="2">
                  <c:v>600</c:v>
                </c:pt>
                <c:pt idx="3">
                  <c:v>400</c:v>
                </c:pt>
                <c:pt idx="4">
                  <c:v>200</c:v>
                </c:pt>
                <c:pt idx="5">
                  <c:v>500</c:v>
                </c:pt>
              </c:numCache>
            </c:numRef>
          </c:val>
          <c:extLst>
            <c:ext xmlns:c16="http://schemas.microsoft.com/office/drawing/2014/chart" uri="{C3380CC4-5D6E-409C-BE32-E72D297353CC}">
              <c16:uniqueId val="{00000000-09B2-439D-86D3-EC475AFB0F1D}"/>
            </c:ext>
          </c:extLst>
        </c:ser>
        <c:dLbls>
          <c:showLegendKey val="0"/>
          <c:showVal val="0"/>
          <c:showCatName val="0"/>
          <c:showSerName val="0"/>
          <c:showPercent val="0"/>
          <c:showBubbleSize val="0"/>
        </c:dLbls>
        <c:gapWidth val="150"/>
        <c:axId val="1755626384"/>
        <c:axId val="1689820080"/>
      </c:barChart>
      <c:catAx>
        <c:axId val="1755626384"/>
        <c:scaling>
          <c:orientation val="minMax"/>
        </c:scaling>
        <c:delete val="0"/>
        <c:axPos val="b"/>
        <c:numFmt formatCode="General" sourceLinked="0"/>
        <c:majorTickMark val="out"/>
        <c:minorTickMark val="none"/>
        <c:tickLblPos val="nextTo"/>
        <c:crossAx val="1689820080"/>
        <c:crosses val="autoZero"/>
        <c:auto val="1"/>
        <c:lblAlgn val="ctr"/>
        <c:lblOffset val="100"/>
        <c:noMultiLvlLbl val="0"/>
      </c:catAx>
      <c:valAx>
        <c:axId val="1689820080"/>
        <c:scaling>
          <c:orientation val="minMax"/>
        </c:scaling>
        <c:delete val="1"/>
        <c:axPos val="l"/>
        <c:numFmt formatCode="#,##0_);\(#,##0\)" sourceLinked="1"/>
        <c:majorTickMark val="out"/>
        <c:minorTickMark val="none"/>
        <c:tickLblPos val="none"/>
        <c:crossAx val="1755626384"/>
        <c:crosses val="autoZero"/>
        <c:crossBetween val="between"/>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Pre-sales - VND</a:t>
            </a:r>
            <a:r>
              <a:rPr lang="en-US" baseline="0"/>
              <a:t> bn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Chart'!$G$4:$M$4</c:f>
              <c:strCache>
                <c:ptCount val="7"/>
                <c:pt idx="0">
                  <c:v>2016</c:v>
                </c:pt>
                <c:pt idx="1">
                  <c:v>2017</c:v>
                </c:pt>
                <c:pt idx="2">
                  <c:v>2018</c:v>
                </c:pt>
                <c:pt idx="3">
                  <c:v>2019</c:v>
                </c:pt>
                <c:pt idx="4">
                  <c:v>2020</c:v>
                </c:pt>
                <c:pt idx="5">
                  <c:v>2021F</c:v>
                </c:pt>
                <c:pt idx="6">
                  <c:v>2022F</c:v>
                </c:pt>
              </c:strCache>
            </c:strRef>
          </c:cat>
          <c:val>
            <c:numRef>
              <c:f>'Key Chart'!$G$30:$M$30</c:f>
              <c:numCache>
                <c:formatCode>#,##0_);\(#,##0\)</c:formatCode>
                <c:ptCount val="7"/>
                <c:pt idx="0">
                  <c:v>1800</c:v>
                </c:pt>
                <c:pt idx="1">
                  <c:v>900</c:v>
                </c:pt>
                <c:pt idx="2">
                  <c:v>0</c:v>
                </c:pt>
                <c:pt idx="3">
                  <c:v>3000</c:v>
                </c:pt>
                <c:pt idx="4">
                  <c:v>6000</c:v>
                </c:pt>
                <c:pt idx="5">
                  <c:v>6000</c:v>
                </c:pt>
                <c:pt idx="6">
                  <c:v>10000</c:v>
                </c:pt>
              </c:numCache>
            </c:numRef>
          </c:val>
          <c:extLst>
            <c:ext xmlns:c16="http://schemas.microsoft.com/office/drawing/2014/chart" uri="{C3380CC4-5D6E-409C-BE32-E72D297353CC}">
              <c16:uniqueId val="{00000000-BE85-4953-AC28-BA9A2645D641}"/>
            </c:ext>
          </c:extLst>
        </c:ser>
        <c:dLbls>
          <c:showLegendKey val="0"/>
          <c:showVal val="0"/>
          <c:showCatName val="0"/>
          <c:showSerName val="0"/>
          <c:showPercent val="0"/>
          <c:showBubbleSize val="0"/>
        </c:dLbls>
        <c:gapWidth val="219"/>
        <c:overlap val="-27"/>
        <c:axId val="1689815728"/>
        <c:axId val="1689809744"/>
      </c:barChart>
      <c:catAx>
        <c:axId val="168981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09744"/>
        <c:crosses val="autoZero"/>
        <c:auto val="1"/>
        <c:lblAlgn val="ctr"/>
        <c:lblOffset val="100"/>
        <c:noMultiLvlLbl val="0"/>
      </c:catAx>
      <c:valAx>
        <c:axId val="1689809744"/>
        <c:scaling>
          <c:orientation val="minMax"/>
        </c:scaling>
        <c:delete val="0"/>
        <c:axPos val="l"/>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1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US"/>
              <a:t>2019 Earnings - VND bn</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A2-4491-8DB4-FB43BCD988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A2-4491-8DB4-FB43BCD988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A2-4491-8DB4-FB43BCD988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A2-4491-8DB4-FB43BCD9883E}"/>
              </c:ext>
            </c:extLst>
          </c:dPt>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Chart'!$B$98:$B$101</c:f>
              <c:strCache>
                <c:ptCount val="4"/>
                <c:pt idx="0">
                  <c:v>Development</c:v>
                </c:pt>
                <c:pt idx="1">
                  <c:v>Brokerage</c:v>
                </c:pt>
                <c:pt idx="2">
                  <c:v>LDG</c:v>
                </c:pt>
                <c:pt idx="3">
                  <c:v>Project Transfer</c:v>
                </c:pt>
              </c:strCache>
            </c:strRef>
          </c:cat>
          <c:val>
            <c:numRef>
              <c:f>'Key Chart'!$C$98:$C$101</c:f>
              <c:numCache>
                <c:formatCode>General</c:formatCode>
                <c:ptCount val="4"/>
                <c:pt idx="0">
                  <c:v>230</c:v>
                </c:pt>
                <c:pt idx="1">
                  <c:v>670</c:v>
                </c:pt>
                <c:pt idx="2">
                  <c:v>120</c:v>
                </c:pt>
                <c:pt idx="3">
                  <c:v>180</c:v>
                </c:pt>
              </c:numCache>
            </c:numRef>
          </c:val>
          <c:extLst>
            <c:ext xmlns:c16="http://schemas.microsoft.com/office/drawing/2014/chart" uri="{C3380CC4-5D6E-409C-BE32-E72D297353CC}">
              <c16:uniqueId val="{00000000-96A0-4E87-B750-274DF1B1CB24}"/>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US"/>
              <a:t>2020 Earnings - VND bn</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8E-4FFA-9247-8F282B9346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8E-4FFA-9247-8F282B9346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8E-4FFA-9247-8F282B9346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8E-4FFA-9247-8F282B934629}"/>
              </c:ext>
            </c:extLst>
          </c:dPt>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Chart'!$B$98:$B$100</c:f>
              <c:strCache>
                <c:ptCount val="3"/>
                <c:pt idx="0">
                  <c:v>Development</c:v>
                </c:pt>
                <c:pt idx="1">
                  <c:v>Brokerage</c:v>
                </c:pt>
                <c:pt idx="2">
                  <c:v>LDG</c:v>
                </c:pt>
              </c:strCache>
            </c:strRef>
          </c:cat>
          <c:val>
            <c:numRef>
              <c:f>'Key Chart'!$D$98:$D$100</c:f>
              <c:numCache>
                <c:formatCode>General</c:formatCode>
                <c:ptCount val="3"/>
                <c:pt idx="0">
                  <c:v>500</c:v>
                </c:pt>
                <c:pt idx="1">
                  <c:v>780</c:v>
                </c:pt>
                <c:pt idx="2">
                  <c:v>260</c:v>
                </c:pt>
              </c:numCache>
            </c:numRef>
          </c:val>
          <c:extLst>
            <c:ext xmlns:c16="http://schemas.microsoft.com/office/drawing/2014/chart" uri="{C3380CC4-5D6E-409C-BE32-E72D297353CC}">
              <c16:uniqueId val="{00000008-F48E-4FFA-9247-8F282B93462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Contract sales value</a:t>
            </a:r>
          </a:p>
        </c:rich>
      </c:tx>
      <c:overlay val="0"/>
    </c:title>
    <c:autoTitleDeleted val="0"/>
    <c:plotArea>
      <c:layout/>
      <c:barChart>
        <c:barDir val="col"/>
        <c:grouping val="clustered"/>
        <c:varyColors val="0"/>
        <c:ser>
          <c:idx val="1"/>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Project'!$B$4:$G$4</c:f>
              <c:strCache>
                <c:ptCount val="6"/>
                <c:pt idx="0">
                  <c:v>2013</c:v>
                </c:pt>
                <c:pt idx="1">
                  <c:v>2014</c:v>
                </c:pt>
                <c:pt idx="2">
                  <c:v>2015</c:v>
                </c:pt>
                <c:pt idx="3">
                  <c:v>2016</c:v>
                </c:pt>
                <c:pt idx="4">
                  <c:v>2017F</c:v>
                </c:pt>
                <c:pt idx="5">
                  <c:v>2018F</c:v>
                </c:pt>
              </c:strCache>
            </c:strRef>
          </c:cat>
          <c:val>
            <c:numRef>
              <c:f>'Key Charts - Project'!$B$5:$G$5</c:f>
              <c:numCache>
                <c:formatCode>#,##0_);\(#,##0\)</c:formatCode>
                <c:ptCount val="6"/>
                <c:pt idx="0">
                  <c:v>0</c:v>
                </c:pt>
                <c:pt idx="1">
                  <c:v>0</c:v>
                </c:pt>
                <c:pt idx="2">
                  <c:v>0</c:v>
                </c:pt>
                <c:pt idx="3">
                  <c:v>1762.0106800000001</c:v>
                </c:pt>
                <c:pt idx="4">
                  <c:v>0</c:v>
                </c:pt>
                <c:pt idx="5">
                  <c:v>0</c:v>
                </c:pt>
              </c:numCache>
            </c:numRef>
          </c:val>
          <c:extLst>
            <c:ext xmlns:c16="http://schemas.microsoft.com/office/drawing/2014/chart" uri="{C3380CC4-5D6E-409C-BE32-E72D297353CC}">
              <c16:uniqueId val="{00000000-4CCC-4CBE-9726-DDA5A696ABE9}"/>
            </c:ext>
          </c:extLst>
        </c:ser>
        <c:dLbls>
          <c:showLegendKey val="0"/>
          <c:showVal val="0"/>
          <c:showCatName val="0"/>
          <c:showSerName val="0"/>
          <c:showPercent val="0"/>
          <c:showBubbleSize val="0"/>
        </c:dLbls>
        <c:gapWidth val="150"/>
        <c:axId val="1754152288"/>
        <c:axId val="1754178400"/>
      </c:barChart>
      <c:catAx>
        <c:axId val="1754152288"/>
        <c:scaling>
          <c:orientation val="minMax"/>
        </c:scaling>
        <c:delete val="0"/>
        <c:axPos val="b"/>
        <c:numFmt formatCode="General" sourceLinked="1"/>
        <c:majorTickMark val="out"/>
        <c:minorTickMark val="none"/>
        <c:tickLblPos val="nextTo"/>
        <c:txPr>
          <a:bodyPr/>
          <a:lstStyle/>
          <a:p>
            <a:pPr>
              <a:defRPr sz="800"/>
            </a:pPr>
            <a:endParaRPr lang="en-US"/>
          </a:p>
        </c:txPr>
        <c:crossAx val="1754178400"/>
        <c:crosses val="autoZero"/>
        <c:auto val="1"/>
        <c:lblAlgn val="ctr"/>
        <c:lblOffset val="100"/>
        <c:noMultiLvlLbl val="0"/>
      </c:catAx>
      <c:valAx>
        <c:axId val="1754178400"/>
        <c:scaling>
          <c:orientation val="minMax"/>
        </c:scaling>
        <c:delete val="1"/>
        <c:axPos val="l"/>
        <c:numFmt formatCode="#,##0_);\(#,##0\)" sourceLinked="1"/>
        <c:majorTickMark val="out"/>
        <c:minorTickMark val="none"/>
        <c:tickLblPos val="none"/>
        <c:crossAx val="1754152288"/>
        <c:crosses val="autoZero"/>
        <c:crossBetween val="between"/>
      </c:valAx>
    </c:plotArea>
    <c:plotVisOnly val="1"/>
    <c:dispBlanksAs val="gap"/>
    <c:showDLblsOverMax val="0"/>
  </c:chart>
  <c:txPr>
    <a:bodyPr/>
    <a:lstStyle/>
    <a:p>
      <a:pPr>
        <a:defRPr sz="900"/>
      </a:pPr>
      <a:endParaRPr lang="en-US"/>
    </a:p>
  </c:txPr>
  <c:printSettings>
    <c:headerFooter/>
    <c:pageMargins b="0.7500000000000081" l="0.70000000000000062" r="0.70000000000000062" t="0.7500000000000081"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a:t>
            </a:r>
          </a:p>
        </c:rich>
      </c:tx>
      <c:overlay val="0"/>
    </c:title>
    <c:autoTitleDeleted val="0"/>
    <c:plotArea>
      <c:layout/>
      <c:barChart>
        <c:barDir val="col"/>
        <c:grouping val="clustered"/>
        <c:varyColors val="0"/>
        <c:ser>
          <c:idx val="1"/>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Project'!$B$4:$H$4</c:f>
              <c:strCache>
                <c:ptCount val="7"/>
                <c:pt idx="0">
                  <c:v>2013</c:v>
                </c:pt>
                <c:pt idx="1">
                  <c:v>2014</c:v>
                </c:pt>
                <c:pt idx="2">
                  <c:v>2015</c:v>
                </c:pt>
                <c:pt idx="3">
                  <c:v>2016</c:v>
                </c:pt>
                <c:pt idx="4">
                  <c:v>2017F</c:v>
                </c:pt>
                <c:pt idx="5">
                  <c:v>2018F</c:v>
                </c:pt>
                <c:pt idx="6">
                  <c:v>2019F</c:v>
                </c:pt>
              </c:strCache>
            </c:strRef>
          </c:cat>
          <c:val>
            <c:numRef>
              <c:f>'Key Charts - Project'!$B$8:$H$8</c:f>
              <c:numCache>
                <c:formatCode>#,##0_);\(#,##0\)</c:formatCode>
                <c:ptCount val="7"/>
                <c:pt idx="0">
                  <c:v>0</c:v>
                </c:pt>
                <c:pt idx="1">
                  <c:v>0</c:v>
                </c:pt>
                <c:pt idx="2">
                  <c:v>0</c:v>
                </c:pt>
                <c:pt idx="3">
                  <c:v>0</c:v>
                </c:pt>
                <c:pt idx="4">
                  <c:v>321.45830400000006</c:v>
                </c:pt>
                <c:pt idx="5">
                  <c:v>750.06937600000003</c:v>
                </c:pt>
                <c:pt idx="6">
                  <c:v>690.48299999999995</c:v>
                </c:pt>
              </c:numCache>
            </c:numRef>
          </c:val>
          <c:extLst>
            <c:ext xmlns:c16="http://schemas.microsoft.com/office/drawing/2014/chart" uri="{C3380CC4-5D6E-409C-BE32-E72D297353CC}">
              <c16:uniqueId val="{00000000-9634-4349-B02F-6031E8FC0500}"/>
            </c:ext>
          </c:extLst>
        </c:ser>
        <c:dLbls>
          <c:showLegendKey val="0"/>
          <c:showVal val="0"/>
          <c:showCatName val="0"/>
          <c:showSerName val="0"/>
          <c:showPercent val="0"/>
          <c:showBubbleSize val="0"/>
        </c:dLbls>
        <c:gapWidth val="150"/>
        <c:axId val="1754174592"/>
        <c:axId val="1756971696"/>
      </c:barChart>
      <c:catAx>
        <c:axId val="1754174592"/>
        <c:scaling>
          <c:orientation val="minMax"/>
        </c:scaling>
        <c:delete val="0"/>
        <c:axPos val="b"/>
        <c:numFmt formatCode="General" sourceLinked="1"/>
        <c:majorTickMark val="out"/>
        <c:minorTickMark val="none"/>
        <c:tickLblPos val="nextTo"/>
        <c:crossAx val="1756971696"/>
        <c:crosses val="autoZero"/>
        <c:auto val="1"/>
        <c:lblAlgn val="ctr"/>
        <c:lblOffset val="100"/>
        <c:noMultiLvlLbl val="0"/>
      </c:catAx>
      <c:valAx>
        <c:axId val="1756971696"/>
        <c:scaling>
          <c:orientation val="minMax"/>
        </c:scaling>
        <c:delete val="1"/>
        <c:axPos val="l"/>
        <c:numFmt formatCode="#,##0_);\(#,##0\)" sourceLinked="1"/>
        <c:majorTickMark val="out"/>
        <c:minorTickMark val="none"/>
        <c:tickLblPos val="none"/>
        <c:crossAx val="1754174592"/>
        <c:crosses val="autoZero"/>
        <c:crossBetween val="between"/>
      </c:valAx>
    </c:plotArea>
    <c:plotVisOnly val="1"/>
    <c:dispBlanksAs val="gap"/>
    <c:showDLblsOverMax val="0"/>
  </c:chart>
  <c:txPr>
    <a:bodyPr/>
    <a:lstStyle/>
    <a:p>
      <a:pPr>
        <a:defRPr sz="900"/>
      </a:pPr>
      <a:endParaRPr lang="en-US"/>
    </a:p>
  </c:txPr>
  <c:printSettings>
    <c:headerFooter/>
    <c:pageMargins b="0.75000000000000833" l="0.70000000000000062" r="0.70000000000000062" t="0.75000000000000833"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'Key Charts - Project'!$A$10</c:f>
              <c:strCache>
                <c:ptCount val="1"/>
                <c:pt idx="0">
                  <c:v>NPATMI</c:v>
                </c:pt>
              </c:strCache>
            </c:strRef>
          </c:tx>
          <c:invertIfNegative val="0"/>
          <c:dLbls>
            <c:spPr>
              <a:noFill/>
              <a:ln>
                <a:noFill/>
              </a:ln>
              <a:effectLst/>
            </c:spPr>
            <c:txPr>
              <a:bodyPr/>
              <a:lstStyle/>
              <a:p>
                <a:pPr>
                  <a:defRPr sz="7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Project'!$B$4:$H$4</c:f>
              <c:strCache>
                <c:ptCount val="7"/>
                <c:pt idx="0">
                  <c:v>2013</c:v>
                </c:pt>
                <c:pt idx="1">
                  <c:v>2014</c:v>
                </c:pt>
                <c:pt idx="2">
                  <c:v>2015</c:v>
                </c:pt>
                <c:pt idx="3">
                  <c:v>2016</c:v>
                </c:pt>
                <c:pt idx="4">
                  <c:v>2017F</c:v>
                </c:pt>
                <c:pt idx="5">
                  <c:v>2018F</c:v>
                </c:pt>
                <c:pt idx="6">
                  <c:v>2019F</c:v>
                </c:pt>
              </c:strCache>
            </c:strRef>
          </c:cat>
          <c:val>
            <c:numRef>
              <c:f>'Key Charts - Project'!$B$10:$H$10</c:f>
              <c:numCache>
                <c:formatCode>#,##0_);\(#,##0\)</c:formatCode>
                <c:ptCount val="7"/>
                <c:pt idx="0">
                  <c:v>0</c:v>
                </c:pt>
                <c:pt idx="1">
                  <c:v>0</c:v>
                </c:pt>
                <c:pt idx="2">
                  <c:v>0</c:v>
                </c:pt>
                <c:pt idx="3">
                  <c:v>0</c:v>
                </c:pt>
                <c:pt idx="4">
                  <c:v>54.417001743360046</c:v>
                </c:pt>
                <c:pt idx="5">
                  <c:v>126.97300406784007</c:v>
                </c:pt>
                <c:pt idx="6">
                  <c:v>123.41616671999995</c:v>
                </c:pt>
              </c:numCache>
            </c:numRef>
          </c:val>
          <c:extLst>
            <c:ext xmlns:c16="http://schemas.microsoft.com/office/drawing/2014/chart" uri="{C3380CC4-5D6E-409C-BE32-E72D297353CC}">
              <c16:uniqueId val="{00000000-1C17-4E74-9219-AECC29F4F9A9}"/>
            </c:ext>
          </c:extLst>
        </c:ser>
        <c:ser>
          <c:idx val="0"/>
          <c:order val="1"/>
          <c:tx>
            <c:strRef>
              <c:f>'Key Charts - Project'!$A$9</c:f>
              <c:strCache>
                <c:ptCount val="1"/>
                <c:pt idx="0">
                  <c:v>Gross profit</c:v>
                </c:pt>
              </c:strCache>
            </c:strRef>
          </c:tx>
          <c:invertIfNegative val="0"/>
          <c:dLbls>
            <c:spPr>
              <a:noFill/>
              <a:ln>
                <a:noFill/>
              </a:ln>
              <a:effectLst/>
            </c:spPr>
            <c:txPr>
              <a:bodyPr/>
              <a:lstStyle/>
              <a:p>
                <a:pPr>
                  <a:defRPr sz="7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'Key Charts - Project'!$B$9:$H$9</c:f>
              <c:numCache>
                <c:formatCode>#,##0_);\(#,##0\)</c:formatCode>
                <c:ptCount val="7"/>
                <c:pt idx="0">
                  <c:v>0</c:v>
                </c:pt>
                <c:pt idx="1">
                  <c:v>0</c:v>
                </c:pt>
                <c:pt idx="2">
                  <c:v>0</c:v>
                </c:pt>
                <c:pt idx="3">
                  <c:v>0</c:v>
                </c:pt>
                <c:pt idx="4">
                  <c:v>113.02541473920007</c:v>
                </c:pt>
                <c:pt idx="5">
                  <c:v>263.72596772480011</c:v>
                </c:pt>
                <c:pt idx="6">
                  <c:v>250.93782839999994</c:v>
                </c:pt>
              </c:numCache>
            </c:numRef>
          </c:val>
          <c:extLst>
            <c:ext xmlns:c16="http://schemas.microsoft.com/office/drawing/2014/chart" uri="{C3380CC4-5D6E-409C-BE32-E72D297353CC}">
              <c16:uniqueId val="{00000001-1C17-4E74-9219-AECC29F4F9A9}"/>
            </c:ext>
          </c:extLst>
        </c:ser>
        <c:dLbls>
          <c:showLegendKey val="0"/>
          <c:showVal val="0"/>
          <c:showCatName val="0"/>
          <c:showSerName val="0"/>
          <c:showPercent val="0"/>
          <c:showBubbleSize val="0"/>
        </c:dLbls>
        <c:gapWidth val="150"/>
        <c:axId val="1756959184"/>
        <c:axId val="1754844352"/>
      </c:barChart>
      <c:catAx>
        <c:axId val="1756959184"/>
        <c:scaling>
          <c:orientation val="minMax"/>
        </c:scaling>
        <c:delete val="0"/>
        <c:axPos val="b"/>
        <c:numFmt formatCode="General" sourceLinked="1"/>
        <c:majorTickMark val="out"/>
        <c:minorTickMark val="none"/>
        <c:tickLblPos val="nextTo"/>
        <c:crossAx val="1754844352"/>
        <c:crosses val="autoZero"/>
        <c:auto val="1"/>
        <c:lblAlgn val="ctr"/>
        <c:lblOffset val="100"/>
        <c:noMultiLvlLbl val="0"/>
      </c:catAx>
      <c:valAx>
        <c:axId val="1754844352"/>
        <c:scaling>
          <c:orientation val="minMax"/>
        </c:scaling>
        <c:delete val="1"/>
        <c:axPos val="l"/>
        <c:numFmt formatCode="#,##0_);\(#,##0\)" sourceLinked="1"/>
        <c:majorTickMark val="out"/>
        <c:minorTickMark val="none"/>
        <c:tickLblPos val="none"/>
        <c:crossAx val="1756959184"/>
        <c:crosses val="autoZero"/>
        <c:crossBetween val="between"/>
      </c:valAx>
    </c:plotArea>
    <c:legend>
      <c:legendPos val="t"/>
      <c:overlay val="0"/>
    </c:legend>
    <c:plotVisOnly val="1"/>
    <c:dispBlanksAs val="gap"/>
    <c:showDLblsOverMax val="0"/>
  </c:chart>
  <c:txPr>
    <a:bodyPr/>
    <a:lstStyle/>
    <a:p>
      <a:pPr>
        <a:defRPr sz="900"/>
      </a:pPr>
      <a:endParaRPr lang="en-US"/>
    </a:p>
  </c:txPr>
  <c:printSettings>
    <c:headerFooter/>
    <c:pageMargins b="0.75000000000000833" l="0.70000000000000062" r="0.70000000000000062" t="0.75000000000000833"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'Key Charts - Project'!$A$11</c:f>
              <c:strCache>
                <c:ptCount val="1"/>
                <c:pt idx="0">
                  <c:v>Gross margin</c:v>
                </c:pt>
              </c:strCache>
            </c:strRef>
          </c:tx>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Project'!$D$4:$H$4</c:f>
              <c:strCache>
                <c:ptCount val="5"/>
                <c:pt idx="0">
                  <c:v>2015</c:v>
                </c:pt>
                <c:pt idx="1">
                  <c:v>2016</c:v>
                </c:pt>
                <c:pt idx="2">
                  <c:v>2017F</c:v>
                </c:pt>
                <c:pt idx="3">
                  <c:v>2018F</c:v>
                </c:pt>
                <c:pt idx="4">
                  <c:v>2019F</c:v>
                </c:pt>
              </c:strCache>
            </c:strRef>
          </c:cat>
          <c:val>
            <c:numRef>
              <c:f>'Key Charts - Project'!$D$11:$H$11</c:f>
              <c:numCache>
                <c:formatCode>#,##0.0%_);\(#,##0.0%\)</c:formatCode>
                <c:ptCount val="5"/>
                <c:pt idx="0">
                  <c:v>0</c:v>
                </c:pt>
                <c:pt idx="1">
                  <c:v>0</c:v>
                </c:pt>
                <c:pt idx="2">
                  <c:v>0.35160209997001679</c:v>
                </c:pt>
                <c:pt idx="3">
                  <c:v>0.35160209997001679</c:v>
                </c:pt>
                <c:pt idx="4">
                  <c:v>0.36342361564296294</c:v>
                </c:pt>
              </c:numCache>
            </c:numRef>
          </c:val>
          <c:smooth val="0"/>
          <c:extLst>
            <c:ext xmlns:c16="http://schemas.microsoft.com/office/drawing/2014/chart" uri="{C3380CC4-5D6E-409C-BE32-E72D297353CC}">
              <c16:uniqueId val="{00000000-F95D-44DC-99D2-DFD864DC7C46}"/>
            </c:ext>
          </c:extLst>
        </c:ser>
        <c:ser>
          <c:idx val="1"/>
          <c:order val="1"/>
          <c:tx>
            <c:strRef>
              <c:f>'Key Charts - Project'!$A$12</c:f>
              <c:strCache>
                <c:ptCount val="1"/>
                <c:pt idx="0">
                  <c:v>EBIT margin</c:v>
                </c:pt>
              </c:strCache>
            </c:strRef>
          </c:tx>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Project'!$D$4:$H$4</c:f>
              <c:strCache>
                <c:ptCount val="5"/>
                <c:pt idx="0">
                  <c:v>2015</c:v>
                </c:pt>
                <c:pt idx="1">
                  <c:v>2016</c:v>
                </c:pt>
                <c:pt idx="2">
                  <c:v>2017F</c:v>
                </c:pt>
                <c:pt idx="3">
                  <c:v>2018F</c:v>
                </c:pt>
                <c:pt idx="4">
                  <c:v>2019F</c:v>
                </c:pt>
              </c:strCache>
            </c:strRef>
          </c:cat>
          <c:val>
            <c:numRef>
              <c:f>'Key Charts - Project'!$D$12:$H$12</c:f>
              <c:numCache>
                <c:formatCode>#,##0%_);\(#,##0%\)</c:formatCode>
                <c:ptCount val="5"/>
                <c:pt idx="0">
                  <c:v>0</c:v>
                </c:pt>
                <c:pt idx="1">
                  <c:v>0</c:v>
                </c:pt>
                <c:pt idx="2">
                  <c:v>0.13160209997001679</c:v>
                </c:pt>
                <c:pt idx="3">
                  <c:v>0.13160209997001676</c:v>
                </c:pt>
                <c:pt idx="4">
                  <c:v>0</c:v>
                </c:pt>
              </c:numCache>
            </c:numRef>
          </c:val>
          <c:smooth val="0"/>
          <c:extLst>
            <c:ext xmlns:c16="http://schemas.microsoft.com/office/drawing/2014/chart" uri="{C3380CC4-5D6E-409C-BE32-E72D297353CC}">
              <c16:uniqueId val="{00000001-F95D-44DC-99D2-DFD864DC7C46}"/>
            </c:ext>
          </c:extLst>
        </c:ser>
        <c:ser>
          <c:idx val="2"/>
          <c:order val="2"/>
          <c:tx>
            <c:strRef>
              <c:f>'Key Charts - Project'!$A$13</c:f>
              <c:strCache>
                <c:ptCount val="1"/>
                <c:pt idx="0">
                  <c:v>NPATMI margin</c:v>
                </c:pt>
              </c:strCache>
            </c:strRef>
          </c:tx>
          <c:marker>
            <c:symbol val="none"/>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Project'!$D$4:$H$4</c:f>
              <c:strCache>
                <c:ptCount val="5"/>
                <c:pt idx="0">
                  <c:v>2015</c:v>
                </c:pt>
                <c:pt idx="1">
                  <c:v>2016</c:v>
                </c:pt>
                <c:pt idx="2">
                  <c:v>2017F</c:v>
                </c:pt>
                <c:pt idx="3">
                  <c:v>2018F</c:v>
                </c:pt>
                <c:pt idx="4">
                  <c:v>2019F</c:v>
                </c:pt>
              </c:strCache>
            </c:strRef>
          </c:cat>
          <c:val>
            <c:numRef>
              <c:f>'Key Charts - Project'!$D$13:$H$13</c:f>
              <c:numCache>
                <c:formatCode>#,##0%_);\(#,##0%\)</c:formatCode>
                <c:ptCount val="5"/>
                <c:pt idx="0">
                  <c:v>0.24157706093189965</c:v>
                </c:pt>
                <c:pt idx="1">
                  <c:v>0.21432272815207792</c:v>
                </c:pt>
                <c:pt idx="2">
                  <c:v>0.26079464824685017</c:v>
                </c:pt>
                <c:pt idx="3">
                  <c:v>0.25368055374455983</c:v>
                </c:pt>
                <c:pt idx="4">
                  <c:v>0.20925406212805983</c:v>
                </c:pt>
              </c:numCache>
            </c:numRef>
          </c:val>
          <c:smooth val="0"/>
          <c:extLst>
            <c:ext xmlns:c16="http://schemas.microsoft.com/office/drawing/2014/chart" uri="{C3380CC4-5D6E-409C-BE32-E72D297353CC}">
              <c16:uniqueId val="{00000002-F95D-44DC-99D2-DFD864DC7C46}"/>
            </c:ext>
          </c:extLst>
        </c:ser>
        <c:dLbls>
          <c:showLegendKey val="0"/>
          <c:showVal val="0"/>
          <c:showCatName val="0"/>
          <c:showSerName val="0"/>
          <c:showPercent val="0"/>
          <c:showBubbleSize val="0"/>
        </c:dLbls>
        <c:smooth val="0"/>
        <c:axId val="1754268096"/>
        <c:axId val="1754257760"/>
      </c:lineChart>
      <c:catAx>
        <c:axId val="1754268096"/>
        <c:scaling>
          <c:orientation val="minMax"/>
        </c:scaling>
        <c:delete val="0"/>
        <c:axPos val="b"/>
        <c:numFmt formatCode="General" sourceLinked="1"/>
        <c:majorTickMark val="out"/>
        <c:minorTickMark val="none"/>
        <c:tickLblPos val="nextTo"/>
        <c:crossAx val="1754257760"/>
        <c:crosses val="autoZero"/>
        <c:auto val="1"/>
        <c:lblAlgn val="ctr"/>
        <c:lblOffset val="100"/>
        <c:noMultiLvlLbl val="0"/>
      </c:catAx>
      <c:valAx>
        <c:axId val="1754257760"/>
        <c:scaling>
          <c:orientation val="minMax"/>
        </c:scaling>
        <c:delete val="1"/>
        <c:axPos val="l"/>
        <c:numFmt formatCode="#,##0.0%_);\(#,##0.0%\)" sourceLinked="1"/>
        <c:majorTickMark val="out"/>
        <c:minorTickMark val="none"/>
        <c:tickLblPos val="none"/>
        <c:crossAx val="1754268096"/>
        <c:crosses val="autoZero"/>
        <c:crossBetween val="between"/>
      </c:valAx>
    </c:plotArea>
    <c:legend>
      <c:legendPos val="t"/>
      <c:overlay val="0"/>
    </c:legend>
    <c:plotVisOnly val="1"/>
    <c:dispBlanksAs val="gap"/>
    <c:showDLblsOverMax val="0"/>
  </c:chart>
  <c:txPr>
    <a:bodyPr/>
    <a:lstStyle/>
    <a:p>
      <a:pPr>
        <a:defRPr sz="900"/>
      </a:pPr>
      <a:endParaRPr lang="en-US"/>
    </a:p>
  </c:txPr>
  <c:printSettings>
    <c:headerFooter/>
    <c:pageMargins b="0.7500000000000081" l="0.70000000000000062" r="0.70000000000000062" t="0.7500000000000081"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'Key Charts - Project'!$A$14</c:f>
              <c:strCache>
                <c:ptCount val="1"/>
                <c:pt idx="0">
                  <c:v>Total debt</c:v>
                </c:pt>
              </c:strCache>
            </c:strRef>
          </c:tx>
          <c:invertIfNegative val="0"/>
          <c:dLbls>
            <c:spPr>
              <a:noFill/>
              <a:ln>
                <a:noFill/>
              </a:ln>
              <a:effectLst/>
            </c:spPr>
            <c:txPr>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Project'!$B$4:$H$4</c:f>
              <c:strCache>
                <c:ptCount val="7"/>
                <c:pt idx="0">
                  <c:v>2013</c:v>
                </c:pt>
                <c:pt idx="1">
                  <c:v>2014</c:v>
                </c:pt>
                <c:pt idx="2">
                  <c:v>2015</c:v>
                </c:pt>
                <c:pt idx="3">
                  <c:v>2016</c:v>
                </c:pt>
                <c:pt idx="4">
                  <c:v>2017F</c:v>
                </c:pt>
                <c:pt idx="5">
                  <c:v>2018F</c:v>
                </c:pt>
                <c:pt idx="6">
                  <c:v>2019F</c:v>
                </c:pt>
              </c:strCache>
            </c:strRef>
          </c:cat>
          <c:val>
            <c:numRef>
              <c:f>'Key Charts - Project'!$B$14:$H$14</c:f>
              <c:numCache>
                <c:formatCode>#,##0_);\(#,##0\)</c:formatCode>
                <c:ptCount val="7"/>
                <c:pt idx="1">
                  <c:v>120</c:v>
                </c:pt>
                <c:pt idx="2">
                  <c:v>439</c:v>
                </c:pt>
                <c:pt idx="3">
                  <c:v>684.06242798100004</c:v>
                </c:pt>
                <c:pt idx="4">
                  <c:v>2529.4046539680003</c:v>
                </c:pt>
                <c:pt idx="5">
                  <c:v>2865.8205387260004</c:v>
                </c:pt>
                <c:pt idx="6">
                  <c:v>4399.7310068309998</c:v>
                </c:pt>
              </c:numCache>
            </c:numRef>
          </c:val>
          <c:extLst>
            <c:ext xmlns:c16="http://schemas.microsoft.com/office/drawing/2014/chart" uri="{C3380CC4-5D6E-409C-BE32-E72D297353CC}">
              <c16:uniqueId val="{00000000-6718-498F-A798-9BAEDCCE157A}"/>
            </c:ext>
          </c:extLst>
        </c:ser>
        <c:ser>
          <c:idx val="1"/>
          <c:order val="1"/>
          <c:tx>
            <c:strRef>
              <c:f>'Key Charts - Project'!$A$15</c:f>
              <c:strCache>
                <c:ptCount val="1"/>
                <c:pt idx="0">
                  <c:v>Total equity</c:v>
                </c:pt>
              </c:strCache>
            </c:strRef>
          </c:tx>
          <c:invertIfNegative val="0"/>
          <c:dLbls>
            <c:spPr>
              <a:noFill/>
              <a:ln>
                <a:noFill/>
              </a:ln>
              <a:effectLst/>
            </c:spPr>
            <c:txPr>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Project'!$B$4:$H$4</c:f>
              <c:strCache>
                <c:ptCount val="7"/>
                <c:pt idx="0">
                  <c:v>2013</c:v>
                </c:pt>
                <c:pt idx="1">
                  <c:v>2014</c:v>
                </c:pt>
                <c:pt idx="2">
                  <c:v>2015</c:v>
                </c:pt>
                <c:pt idx="3">
                  <c:v>2016</c:v>
                </c:pt>
                <c:pt idx="4">
                  <c:v>2017F</c:v>
                </c:pt>
                <c:pt idx="5">
                  <c:v>2018F</c:v>
                </c:pt>
                <c:pt idx="6">
                  <c:v>2019F</c:v>
                </c:pt>
              </c:strCache>
            </c:strRef>
          </c:cat>
          <c:val>
            <c:numRef>
              <c:f>'Key Charts - Project'!$B$15:$H$15</c:f>
              <c:numCache>
                <c:formatCode>#,##0_);\(#,##0\)</c:formatCode>
                <c:ptCount val="7"/>
                <c:pt idx="1">
                  <c:v>1072</c:v>
                </c:pt>
                <c:pt idx="2">
                  <c:v>1771</c:v>
                </c:pt>
                <c:pt idx="3">
                  <c:v>3548.2230539000002</c:v>
                </c:pt>
                <c:pt idx="4">
                  <c:v>4664.7131583710006</c:v>
                </c:pt>
                <c:pt idx="5">
                  <c:v>6209.9620667889994</c:v>
                </c:pt>
                <c:pt idx="6">
                  <c:v>9238.49934889</c:v>
                </c:pt>
              </c:numCache>
            </c:numRef>
          </c:val>
          <c:extLst>
            <c:ext xmlns:c16="http://schemas.microsoft.com/office/drawing/2014/chart" uri="{C3380CC4-5D6E-409C-BE32-E72D297353CC}">
              <c16:uniqueId val="{00000001-6718-498F-A798-9BAEDCCE157A}"/>
            </c:ext>
          </c:extLst>
        </c:ser>
        <c:dLbls>
          <c:showLegendKey val="0"/>
          <c:showVal val="0"/>
          <c:showCatName val="0"/>
          <c:showSerName val="0"/>
          <c:showPercent val="0"/>
          <c:showBubbleSize val="0"/>
        </c:dLbls>
        <c:gapWidth val="150"/>
        <c:axId val="1614807088"/>
        <c:axId val="1925419776"/>
      </c:barChart>
      <c:catAx>
        <c:axId val="1614807088"/>
        <c:scaling>
          <c:orientation val="minMax"/>
        </c:scaling>
        <c:delete val="0"/>
        <c:axPos val="b"/>
        <c:numFmt formatCode="General" sourceLinked="0"/>
        <c:majorTickMark val="out"/>
        <c:minorTickMark val="none"/>
        <c:tickLblPos val="nextTo"/>
        <c:crossAx val="1925419776"/>
        <c:crosses val="autoZero"/>
        <c:auto val="1"/>
        <c:lblAlgn val="ctr"/>
        <c:lblOffset val="100"/>
        <c:noMultiLvlLbl val="0"/>
      </c:catAx>
      <c:valAx>
        <c:axId val="1925419776"/>
        <c:scaling>
          <c:orientation val="minMax"/>
        </c:scaling>
        <c:delete val="1"/>
        <c:axPos val="l"/>
        <c:numFmt formatCode="General" sourceLinked="1"/>
        <c:majorTickMark val="out"/>
        <c:minorTickMark val="none"/>
        <c:tickLblPos val="none"/>
        <c:crossAx val="1614807088"/>
        <c:crosses val="autoZero"/>
        <c:crossBetween val="between"/>
      </c:valAx>
    </c:plotArea>
    <c:legend>
      <c:legendPos val="t"/>
      <c:overlay val="0"/>
    </c:legend>
    <c:plotVisOnly val="1"/>
    <c:dispBlanksAs val="gap"/>
    <c:showDLblsOverMax val="0"/>
  </c:chart>
  <c:txPr>
    <a:bodyPr/>
    <a:lstStyle/>
    <a:p>
      <a:pPr>
        <a:defRPr sz="900"/>
      </a:pPr>
      <a:endParaRPr lang="en-US"/>
    </a:p>
  </c:txPr>
  <c:printSettings>
    <c:headerFooter/>
    <c:pageMargins b="0.7500000000000081" l="0.70000000000000062" r="0.70000000000000062" t="0.7500000000000081"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14735749437716703"/>
          <c:w val="0.97531171827436514"/>
          <c:h val="0.75768369360905385"/>
        </c:manualLayout>
      </c:layout>
      <c:barChart>
        <c:barDir val="col"/>
        <c:grouping val="clustered"/>
        <c:varyColors val="0"/>
        <c:ser>
          <c:idx val="0"/>
          <c:order val="0"/>
          <c:tx>
            <c:strRef>
              <c:f>'Key Charts - Project'!$A$17</c:f>
              <c:strCache>
                <c:ptCount val="1"/>
                <c:pt idx="0">
                  <c:v>Inventory</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Project'!$B$4:$H$4</c:f>
              <c:strCache>
                <c:ptCount val="7"/>
                <c:pt idx="0">
                  <c:v>2013</c:v>
                </c:pt>
                <c:pt idx="1">
                  <c:v>2014</c:v>
                </c:pt>
                <c:pt idx="2">
                  <c:v>2015</c:v>
                </c:pt>
                <c:pt idx="3">
                  <c:v>2016</c:v>
                </c:pt>
                <c:pt idx="4">
                  <c:v>2017F</c:v>
                </c:pt>
                <c:pt idx="5">
                  <c:v>2018F</c:v>
                </c:pt>
                <c:pt idx="6">
                  <c:v>2019F</c:v>
                </c:pt>
              </c:strCache>
            </c:strRef>
          </c:cat>
          <c:val>
            <c:numRef>
              <c:f>'Key Charts - Project'!$B$17:$H$17</c:f>
              <c:numCache>
                <c:formatCode>#,##0_);\(#,##0\)</c:formatCode>
                <c:ptCount val="7"/>
                <c:pt idx="1">
                  <c:v>499</c:v>
                </c:pt>
                <c:pt idx="2">
                  <c:v>1122</c:v>
                </c:pt>
                <c:pt idx="3">
                  <c:v>915.502618676</c:v>
                </c:pt>
                <c:pt idx="4">
                  <c:v>3400.5832179409999</c:v>
                </c:pt>
                <c:pt idx="5">
                  <c:v>4605.1510868169999</c:v>
                </c:pt>
                <c:pt idx="6">
                  <c:v>6791.4641813839999</c:v>
                </c:pt>
              </c:numCache>
            </c:numRef>
          </c:val>
          <c:extLst>
            <c:ext xmlns:c16="http://schemas.microsoft.com/office/drawing/2014/chart" uri="{C3380CC4-5D6E-409C-BE32-E72D297353CC}">
              <c16:uniqueId val="{00000000-9DF2-4217-A105-8998E0F57A7A}"/>
            </c:ext>
          </c:extLst>
        </c:ser>
        <c:ser>
          <c:idx val="1"/>
          <c:order val="1"/>
          <c:tx>
            <c:strRef>
              <c:f>'Key Charts - Project'!$A$18</c:f>
              <c:strCache>
                <c:ptCount val="1"/>
                <c:pt idx="0">
                  <c:v>Customer advancement</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Project'!$B$4:$H$4</c:f>
              <c:strCache>
                <c:ptCount val="7"/>
                <c:pt idx="0">
                  <c:v>2013</c:v>
                </c:pt>
                <c:pt idx="1">
                  <c:v>2014</c:v>
                </c:pt>
                <c:pt idx="2">
                  <c:v>2015</c:v>
                </c:pt>
                <c:pt idx="3">
                  <c:v>2016</c:v>
                </c:pt>
                <c:pt idx="4">
                  <c:v>2017F</c:v>
                </c:pt>
                <c:pt idx="5">
                  <c:v>2018F</c:v>
                </c:pt>
                <c:pt idx="6">
                  <c:v>2019F</c:v>
                </c:pt>
              </c:strCache>
            </c:strRef>
          </c:cat>
          <c:val>
            <c:numRef>
              <c:f>'Key Charts - Project'!$B$18:$H$18</c:f>
              <c:numCache>
                <c:formatCode>#,##0_);\(#,##0\)</c:formatCode>
                <c:ptCount val="7"/>
                <c:pt idx="1">
                  <c:v>234</c:v>
                </c:pt>
                <c:pt idx="2">
                  <c:v>832</c:v>
                </c:pt>
                <c:pt idx="3">
                  <c:v>440.98335732300001</c:v>
                </c:pt>
                <c:pt idx="4">
                  <c:v>1408.4873947369999</c:v>
                </c:pt>
                <c:pt idx="5">
                  <c:v>1048.3442675429999</c:v>
                </c:pt>
                <c:pt idx="6">
                  <c:v>943.84253429199998</c:v>
                </c:pt>
              </c:numCache>
            </c:numRef>
          </c:val>
          <c:extLst>
            <c:ext xmlns:c16="http://schemas.microsoft.com/office/drawing/2014/chart" uri="{C3380CC4-5D6E-409C-BE32-E72D297353CC}">
              <c16:uniqueId val="{00000001-9DF2-4217-A105-8998E0F57A7A}"/>
            </c:ext>
          </c:extLst>
        </c:ser>
        <c:dLbls>
          <c:showLegendKey val="0"/>
          <c:showVal val="0"/>
          <c:showCatName val="0"/>
          <c:showSerName val="0"/>
          <c:showPercent val="0"/>
          <c:showBubbleSize val="0"/>
        </c:dLbls>
        <c:gapWidth val="150"/>
        <c:axId val="1925412160"/>
        <c:axId val="1925419232"/>
      </c:barChart>
      <c:catAx>
        <c:axId val="1925412160"/>
        <c:scaling>
          <c:orientation val="minMax"/>
        </c:scaling>
        <c:delete val="0"/>
        <c:axPos val="b"/>
        <c:numFmt formatCode="General" sourceLinked="0"/>
        <c:majorTickMark val="out"/>
        <c:minorTickMark val="none"/>
        <c:tickLblPos val="nextTo"/>
        <c:crossAx val="1925419232"/>
        <c:crosses val="autoZero"/>
        <c:auto val="1"/>
        <c:lblAlgn val="ctr"/>
        <c:lblOffset val="100"/>
        <c:noMultiLvlLbl val="0"/>
      </c:catAx>
      <c:valAx>
        <c:axId val="1925419232"/>
        <c:scaling>
          <c:orientation val="minMax"/>
        </c:scaling>
        <c:delete val="1"/>
        <c:axPos val="l"/>
        <c:numFmt formatCode="#,##0_);\(#,##0\)" sourceLinked="1"/>
        <c:majorTickMark val="out"/>
        <c:minorTickMark val="none"/>
        <c:tickLblPos val="none"/>
        <c:crossAx val="1925412160"/>
        <c:crosses val="autoZero"/>
        <c:crossBetween val="between"/>
      </c:valAx>
    </c:plotArea>
    <c:legend>
      <c:legendPos val="t"/>
      <c:overlay val="0"/>
    </c:legend>
    <c:plotVisOnly val="1"/>
    <c:dispBlanksAs val="gap"/>
    <c:showDLblsOverMax val="0"/>
  </c:chart>
  <c:txPr>
    <a:bodyPr/>
    <a:lstStyle/>
    <a:p>
      <a:pPr>
        <a:defRPr sz="800"/>
      </a:pPr>
      <a:endParaRPr lang="en-US"/>
    </a:p>
  </c:txPr>
  <c:printSettings>
    <c:headerFooter/>
    <c:pageMargins b="0.7500000000000081" l="0.70000000000000062" r="0.70000000000000062" t="0.7500000000000081"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'Key Charts - Project'!$A$5</c:f>
              <c:strCache>
                <c:ptCount val="1"/>
                <c:pt idx="0">
                  <c:v>Contract sales value</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Project'!$B$4:$H$4</c:f>
              <c:strCache>
                <c:ptCount val="7"/>
                <c:pt idx="0">
                  <c:v>2013</c:v>
                </c:pt>
                <c:pt idx="1">
                  <c:v>2014</c:v>
                </c:pt>
                <c:pt idx="2">
                  <c:v>2015</c:v>
                </c:pt>
                <c:pt idx="3">
                  <c:v>2016</c:v>
                </c:pt>
                <c:pt idx="4">
                  <c:v>2017F</c:v>
                </c:pt>
                <c:pt idx="5">
                  <c:v>2018F</c:v>
                </c:pt>
                <c:pt idx="6">
                  <c:v>2019F</c:v>
                </c:pt>
              </c:strCache>
            </c:strRef>
          </c:cat>
          <c:val>
            <c:numRef>
              <c:f>'Key Charts - Project'!$B$5:$H$5</c:f>
              <c:numCache>
                <c:formatCode>#,##0_);\(#,##0\)</c:formatCode>
                <c:ptCount val="7"/>
                <c:pt idx="0">
                  <c:v>0</c:v>
                </c:pt>
                <c:pt idx="1">
                  <c:v>0</c:v>
                </c:pt>
                <c:pt idx="2">
                  <c:v>0</c:v>
                </c:pt>
                <c:pt idx="3">
                  <c:v>1762.0106800000001</c:v>
                </c:pt>
                <c:pt idx="4">
                  <c:v>0</c:v>
                </c:pt>
                <c:pt idx="5">
                  <c:v>0</c:v>
                </c:pt>
                <c:pt idx="6">
                  <c:v>0</c:v>
                </c:pt>
              </c:numCache>
            </c:numRef>
          </c:val>
          <c:extLst>
            <c:ext xmlns:c16="http://schemas.microsoft.com/office/drawing/2014/chart" uri="{C3380CC4-5D6E-409C-BE32-E72D297353CC}">
              <c16:uniqueId val="{00000000-EA4F-495E-A01E-A18F8D87E53A}"/>
            </c:ext>
          </c:extLst>
        </c:ser>
        <c:ser>
          <c:idx val="1"/>
          <c:order val="1"/>
          <c:tx>
            <c:strRef>
              <c:f>'Key Charts - Project'!$A$18</c:f>
              <c:strCache>
                <c:ptCount val="1"/>
                <c:pt idx="0">
                  <c:v>Customer advancement</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Project'!$B$4:$H$4</c:f>
              <c:strCache>
                <c:ptCount val="7"/>
                <c:pt idx="0">
                  <c:v>2013</c:v>
                </c:pt>
                <c:pt idx="1">
                  <c:v>2014</c:v>
                </c:pt>
                <c:pt idx="2">
                  <c:v>2015</c:v>
                </c:pt>
                <c:pt idx="3">
                  <c:v>2016</c:v>
                </c:pt>
                <c:pt idx="4">
                  <c:v>2017F</c:v>
                </c:pt>
                <c:pt idx="5">
                  <c:v>2018F</c:v>
                </c:pt>
                <c:pt idx="6">
                  <c:v>2019F</c:v>
                </c:pt>
              </c:strCache>
            </c:strRef>
          </c:cat>
          <c:val>
            <c:numRef>
              <c:f>'Key Charts - Project'!$B$18:$H$18</c:f>
              <c:numCache>
                <c:formatCode>#,##0_);\(#,##0\)</c:formatCode>
                <c:ptCount val="7"/>
                <c:pt idx="1">
                  <c:v>234</c:v>
                </c:pt>
                <c:pt idx="2">
                  <c:v>832</c:v>
                </c:pt>
                <c:pt idx="3">
                  <c:v>440.98335732300001</c:v>
                </c:pt>
                <c:pt idx="4">
                  <c:v>1408.4873947369999</c:v>
                </c:pt>
                <c:pt idx="5">
                  <c:v>1048.3442675429999</c:v>
                </c:pt>
                <c:pt idx="6">
                  <c:v>943.84253429199998</c:v>
                </c:pt>
              </c:numCache>
            </c:numRef>
          </c:val>
          <c:extLst>
            <c:ext xmlns:c16="http://schemas.microsoft.com/office/drawing/2014/chart" uri="{C3380CC4-5D6E-409C-BE32-E72D297353CC}">
              <c16:uniqueId val="{00000001-EA4F-495E-A01E-A18F8D87E53A}"/>
            </c:ext>
          </c:extLst>
        </c:ser>
        <c:dLbls>
          <c:showLegendKey val="0"/>
          <c:showVal val="0"/>
          <c:showCatName val="0"/>
          <c:showSerName val="0"/>
          <c:showPercent val="0"/>
          <c:showBubbleSize val="0"/>
        </c:dLbls>
        <c:gapWidth val="150"/>
        <c:axId val="1925404000"/>
        <c:axId val="1925401280"/>
      </c:barChart>
      <c:catAx>
        <c:axId val="1925404000"/>
        <c:scaling>
          <c:orientation val="minMax"/>
        </c:scaling>
        <c:delete val="0"/>
        <c:axPos val="b"/>
        <c:numFmt formatCode="General" sourceLinked="0"/>
        <c:majorTickMark val="out"/>
        <c:minorTickMark val="none"/>
        <c:tickLblPos val="nextTo"/>
        <c:crossAx val="1925401280"/>
        <c:crosses val="autoZero"/>
        <c:auto val="1"/>
        <c:lblAlgn val="ctr"/>
        <c:lblOffset val="100"/>
        <c:noMultiLvlLbl val="0"/>
      </c:catAx>
      <c:valAx>
        <c:axId val="1925401280"/>
        <c:scaling>
          <c:orientation val="minMax"/>
        </c:scaling>
        <c:delete val="1"/>
        <c:axPos val="l"/>
        <c:numFmt formatCode="#,##0_);\(#,##0\)" sourceLinked="1"/>
        <c:majorTickMark val="out"/>
        <c:minorTickMark val="none"/>
        <c:tickLblPos val="none"/>
        <c:crossAx val="1925404000"/>
        <c:crosses val="autoZero"/>
        <c:crossBetween val="between"/>
      </c:valAx>
    </c:plotArea>
    <c:legend>
      <c:legendPos val="t"/>
      <c:overlay val="0"/>
    </c:legend>
    <c:plotVisOnly val="1"/>
    <c:dispBlanksAs val="gap"/>
    <c:showDLblsOverMax val="0"/>
  </c:chart>
  <c:txPr>
    <a:bodyPr/>
    <a:lstStyle/>
    <a:p>
      <a:pPr>
        <a:defRPr sz="800"/>
      </a:pPr>
      <a:endParaRPr lang="en-US"/>
    </a:p>
  </c:txPr>
  <c:printSettings>
    <c:headerFooter/>
    <c:pageMargins b="0.7500000000000081" l="0.70000000000000062" r="0.70000000000000062" t="0.7500000000000081"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vi-VN"/>
              <a:t>Units sold</a:t>
            </a:r>
            <a:endParaRPr lang="en-US"/>
          </a:p>
        </c:rich>
      </c:tx>
      <c:overlay val="0"/>
    </c:title>
    <c:autoTitleDeleted val="0"/>
    <c:plotArea>
      <c:layout/>
      <c:barChart>
        <c:barDir val="col"/>
        <c:grouping val="clustered"/>
        <c:varyColors val="0"/>
        <c:ser>
          <c:idx val="1"/>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Charts - Project'!$B$4:$G$4</c:f>
              <c:strCache>
                <c:ptCount val="6"/>
                <c:pt idx="0">
                  <c:v>2013</c:v>
                </c:pt>
                <c:pt idx="1">
                  <c:v>2014</c:v>
                </c:pt>
                <c:pt idx="2">
                  <c:v>2015</c:v>
                </c:pt>
                <c:pt idx="3">
                  <c:v>2016</c:v>
                </c:pt>
                <c:pt idx="4">
                  <c:v>2017F</c:v>
                </c:pt>
                <c:pt idx="5">
                  <c:v>2018F</c:v>
                </c:pt>
              </c:strCache>
            </c:strRef>
          </c:cat>
          <c:val>
            <c:numRef>
              <c:f>'Key Charts - Project'!$B$7:$G$7</c:f>
              <c:numCache>
                <c:formatCode>#,##0_);\(#,##0\)</c:formatCode>
                <c:ptCount val="6"/>
                <c:pt idx="0">
                  <c:v>0</c:v>
                </c:pt>
                <c:pt idx="1">
                  <c:v>0</c:v>
                </c:pt>
                <c:pt idx="2">
                  <c:v>0</c:v>
                </c:pt>
                <c:pt idx="3">
                  <c:v>1054</c:v>
                </c:pt>
                <c:pt idx="4">
                  <c:v>0</c:v>
                </c:pt>
                <c:pt idx="5">
                  <c:v>0</c:v>
                </c:pt>
              </c:numCache>
            </c:numRef>
          </c:val>
          <c:extLst>
            <c:ext xmlns:c16="http://schemas.microsoft.com/office/drawing/2014/chart" uri="{C3380CC4-5D6E-409C-BE32-E72D297353CC}">
              <c16:uniqueId val="{00000000-7BA7-43B4-94A2-FED02F53512F}"/>
            </c:ext>
          </c:extLst>
        </c:ser>
        <c:dLbls>
          <c:showLegendKey val="0"/>
          <c:showVal val="0"/>
          <c:showCatName val="0"/>
          <c:showSerName val="0"/>
          <c:showPercent val="0"/>
          <c:showBubbleSize val="0"/>
        </c:dLbls>
        <c:gapWidth val="150"/>
        <c:axId val="1925428480"/>
        <c:axId val="1925413248"/>
      </c:barChart>
      <c:catAx>
        <c:axId val="1925428480"/>
        <c:scaling>
          <c:orientation val="minMax"/>
        </c:scaling>
        <c:delete val="0"/>
        <c:axPos val="b"/>
        <c:numFmt formatCode="General" sourceLinked="1"/>
        <c:majorTickMark val="out"/>
        <c:minorTickMark val="none"/>
        <c:tickLblPos val="nextTo"/>
        <c:crossAx val="1925413248"/>
        <c:crosses val="autoZero"/>
        <c:auto val="1"/>
        <c:lblAlgn val="ctr"/>
        <c:lblOffset val="100"/>
        <c:noMultiLvlLbl val="0"/>
      </c:catAx>
      <c:valAx>
        <c:axId val="1925413248"/>
        <c:scaling>
          <c:orientation val="minMax"/>
        </c:scaling>
        <c:delete val="1"/>
        <c:axPos val="l"/>
        <c:numFmt formatCode="#,##0_);\(#,##0\)" sourceLinked="1"/>
        <c:majorTickMark val="out"/>
        <c:minorTickMark val="none"/>
        <c:tickLblPos val="none"/>
        <c:crossAx val="1925428480"/>
        <c:crosses val="autoZero"/>
        <c:crossBetween val="between"/>
      </c:valAx>
    </c:plotArea>
    <c:plotVisOnly val="1"/>
    <c:dispBlanksAs val="gap"/>
    <c:showDLblsOverMax val="0"/>
  </c:chart>
  <c:txPr>
    <a:bodyPr/>
    <a:lstStyle/>
    <a:p>
      <a:pPr>
        <a:defRPr sz="900"/>
      </a:pPr>
      <a:endParaRPr lang="en-US"/>
    </a:p>
  </c:txPr>
  <c:printSettings>
    <c:headerFooter/>
    <c:pageMargins b="0.75000000000000855" l="0.70000000000000062" r="0.70000000000000062" t="0.75000000000000855"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r>
              <a:rPr lang="en-US"/>
              <a:t>Pre-sales</a:t>
            </a:r>
          </a:p>
        </c:rich>
      </c:tx>
      <c:overlay val="0"/>
      <c:spPr>
        <a:noFill/>
        <a:ln>
          <a:noFill/>
        </a:ln>
        <a:effectLst/>
      </c:spPr>
      <c:txPr>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Projects!$F$35:$J$35</c:f>
              <c:numCache>
                <c:formatCode>General</c:formatCode>
                <c:ptCount val="5"/>
                <c:pt idx="0">
                  <c:v>2015</c:v>
                </c:pt>
                <c:pt idx="1">
                  <c:v>2016</c:v>
                </c:pt>
                <c:pt idx="2">
                  <c:v>2017</c:v>
                </c:pt>
                <c:pt idx="3">
                  <c:v>2018</c:v>
                </c:pt>
                <c:pt idx="4">
                  <c:v>2019</c:v>
                </c:pt>
              </c:numCache>
            </c:numRef>
          </c:cat>
          <c:val>
            <c:numRef>
              <c:f>Projects!$F$50:$J$50</c:f>
              <c:numCache>
                <c:formatCode>#,##0_);\(#,##0\)</c:formatCode>
                <c:ptCount val="5"/>
                <c:pt idx="0">
                  <c:v>0</c:v>
                </c:pt>
                <c:pt idx="1">
                  <c:v>1762.0106800000001</c:v>
                </c:pt>
                <c:pt idx="2">
                  <c:v>0</c:v>
                </c:pt>
                <c:pt idx="3">
                  <c:v>0</c:v>
                </c:pt>
                <c:pt idx="4">
                  <c:v>0</c:v>
                </c:pt>
              </c:numCache>
            </c:numRef>
          </c:val>
          <c:extLst>
            <c:ext xmlns:c16="http://schemas.microsoft.com/office/drawing/2014/chart" uri="{C3380CC4-5D6E-409C-BE32-E72D297353CC}">
              <c16:uniqueId val="{00000000-8B30-454D-9564-B140E776AF72}"/>
            </c:ext>
          </c:extLst>
        </c:ser>
        <c:dLbls>
          <c:showLegendKey val="0"/>
          <c:showVal val="0"/>
          <c:showCatName val="0"/>
          <c:showSerName val="0"/>
          <c:showPercent val="0"/>
          <c:showBubbleSize val="0"/>
        </c:dLbls>
        <c:gapWidth val="219"/>
        <c:overlap val="-27"/>
        <c:axId val="1925418688"/>
        <c:axId val="1925415424"/>
      </c:barChart>
      <c:catAx>
        <c:axId val="192541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25415424"/>
        <c:crosses val="autoZero"/>
        <c:auto val="1"/>
        <c:lblAlgn val="ctr"/>
        <c:lblOffset val="100"/>
        <c:noMultiLvlLbl val="0"/>
      </c:catAx>
      <c:valAx>
        <c:axId val="1925415424"/>
        <c:scaling>
          <c:orientation val="minMax"/>
        </c:scaling>
        <c:delete val="1"/>
        <c:axPos val="l"/>
        <c:numFmt formatCode="#,##0_);\(#,##0\)" sourceLinked="1"/>
        <c:majorTickMark val="none"/>
        <c:minorTickMark val="none"/>
        <c:tickLblPos val="nextTo"/>
        <c:crossAx val="192541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096062992125983"/>
          <c:y val="5.0925925925925923E-2"/>
          <c:w val="0.55166763985602607"/>
          <c:h val="0.83779308836395461"/>
        </c:manualLayout>
      </c:layout>
      <c:barChart>
        <c:barDir val="col"/>
        <c:grouping val="stacked"/>
        <c:varyColors val="0"/>
        <c:ser>
          <c:idx val="0"/>
          <c:order val="0"/>
          <c:tx>
            <c:strRef>
              <c:f>Chart!$B$4</c:f>
              <c:strCache>
                <c:ptCount val="1"/>
                <c:pt idx="0">
                  <c:v>Gold Hill</c:v>
                </c:pt>
              </c:strCache>
            </c:strRef>
          </c:tx>
          <c:invertIfNegative val="0"/>
          <c:cat>
            <c:strRef>
              <c:f>Chart!$C$2:$E$3</c:f>
              <c:strCache>
                <c:ptCount val="3"/>
                <c:pt idx="0">
                  <c:v>2014</c:v>
                </c:pt>
                <c:pt idx="1">
                  <c:v>2015</c:v>
                </c:pt>
                <c:pt idx="2">
                  <c:v>2016</c:v>
                </c:pt>
              </c:strCache>
            </c:strRef>
          </c:cat>
          <c:val>
            <c:numRef>
              <c:f>Chart!$C$4:$E$4</c:f>
              <c:numCache>
                <c:formatCode>_(* #,##0_);_(* \(#,##0\);_(* "-"??_);_(@_)</c:formatCode>
                <c:ptCount val="3"/>
                <c:pt idx="0">
                  <c:v>0</c:v>
                </c:pt>
                <c:pt idx="1">
                  <c:v>0</c:v>
                </c:pt>
                <c:pt idx="2">
                  <c:v>0</c:v>
                </c:pt>
              </c:numCache>
            </c:numRef>
          </c:val>
          <c:extLst>
            <c:ext xmlns:c16="http://schemas.microsoft.com/office/drawing/2014/chart" uri="{C3380CC4-5D6E-409C-BE32-E72D297353CC}">
              <c16:uniqueId val="{00000000-B656-4C57-96EA-AA8BC6686B65}"/>
            </c:ext>
          </c:extLst>
        </c:ser>
        <c:ser>
          <c:idx val="1"/>
          <c:order val="1"/>
          <c:tx>
            <c:strRef>
              <c:f>Chart!$B$5</c:f>
              <c:strCache>
                <c:ptCount val="1"/>
                <c:pt idx="0">
                  <c:v>Sunview Town</c:v>
                </c:pt>
              </c:strCache>
            </c:strRef>
          </c:tx>
          <c:invertIfNegative val="0"/>
          <c:cat>
            <c:strRef>
              <c:f>Chart!$C$2:$E$3</c:f>
              <c:strCache>
                <c:ptCount val="3"/>
                <c:pt idx="0">
                  <c:v>2014</c:v>
                </c:pt>
                <c:pt idx="1">
                  <c:v>2015</c:v>
                </c:pt>
                <c:pt idx="2">
                  <c:v>2016</c:v>
                </c:pt>
              </c:strCache>
            </c:strRef>
          </c:cat>
          <c:val>
            <c:numRef>
              <c:f>Chart!$C$5:$E$5</c:f>
              <c:numCache>
                <c:formatCode>_(* #,##0_);_(* \(#,##0\);_(* "-"??_);_(@_)</c:formatCode>
                <c:ptCount val="3"/>
                <c:pt idx="0">
                  <c:v>0</c:v>
                </c:pt>
                <c:pt idx="1">
                  <c:v>0</c:v>
                </c:pt>
                <c:pt idx="2">
                  <c:v>0</c:v>
                </c:pt>
              </c:numCache>
            </c:numRef>
          </c:val>
          <c:extLst>
            <c:ext xmlns:c16="http://schemas.microsoft.com/office/drawing/2014/chart" uri="{C3380CC4-5D6E-409C-BE32-E72D297353CC}">
              <c16:uniqueId val="{00000001-B656-4C57-96EA-AA8BC6686B65}"/>
            </c:ext>
          </c:extLst>
        </c:ser>
        <c:ser>
          <c:idx val="2"/>
          <c:order val="2"/>
          <c:tx>
            <c:strRef>
              <c:f>Chart!$B$6</c:f>
              <c:strCache>
                <c:ptCount val="1"/>
                <c:pt idx="0">
                  <c:v>Riverside Garden</c:v>
                </c:pt>
              </c:strCache>
            </c:strRef>
          </c:tx>
          <c:invertIfNegative val="0"/>
          <c:cat>
            <c:strRef>
              <c:f>Chart!$C$2:$E$3</c:f>
              <c:strCache>
                <c:ptCount val="3"/>
                <c:pt idx="0">
                  <c:v>2014</c:v>
                </c:pt>
                <c:pt idx="1">
                  <c:v>2015</c:v>
                </c:pt>
                <c:pt idx="2">
                  <c:v>2016</c:v>
                </c:pt>
              </c:strCache>
            </c:strRef>
          </c:cat>
          <c:val>
            <c:numRef>
              <c:f>Chart!$C$6:$E$6</c:f>
              <c:numCache>
                <c:formatCode>_(* #,##0_);_(* \(#,##0\);_(* "-"??_);_(@_)</c:formatCode>
                <c:ptCount val="3"/>
                <c:pt idx="0">
                  <c:v>0</c:v>
                </c:pt>
                <c:pt idx="1">
                  <c:v>0</c:v>
                </c:pt>
                <c:pt idx="2">
                  <c:v>0</c:v>
                </c:pt>
              </c:numCache>
            </c:numRef>
          </c:val>
          <c:extLst>
            <c:ext xmlns:c16="http://schemas.microsoft.com/office/drawing/2014/chart" uri="{C3380CC4-5D6E-409C-BE32-E72D297353CC}">
              <c16:uniqueId val="{00000002-B656-4C57-96EA-AA8BC6686B65}"/>
            </c:ext>
          </c:extLst>
        </c:ser>
        <c:ser>
          <c:idx val="3"/>
          <c:order val="3"/>
          <c:tx>
            <c:strRef>
              <c:f>Chart!$B$7</c:f>
              <c:strCache>
                <c:ptCount val="1"/>
                <c:pt idx="0">
                  <c:v>Green City</c:v>
                </c:pt>
              </c:strCache>
            </c:strRef>
          </c:tx>
          <c:invertIfNegative val="0"/>
          <c:cat>
            <c:strRef>
              <c:f>Chart!$C$2:$E$3</c:f>
              <c:strCache>
                <c:ptCount val="3"/>
                <c:pt idx="0">
                  <c:v>2014</c:v>
                </c:pt>
                <c:pt idx="1">
                  <c:v>2015</c:v>
                </c:pt>
                <c:pt idx="2">
                  <c:v>2016</c:v>
                </c:pt>
              </c:strCache>
            </c:strRef>
          </c:cat>
          <c:val>
            <c:numRef>
              <c:f>Chart!$C$7:$E$7</c:f>
              <c:numCache>
                <c:formatCode>_(* #,##0_);_(* \(#,##0\);_(* "-"??_);_(@_)</c:formatCode>
                <c:ptCount val="3"/>
                <c:pt idx="0">
                  <c:v>0</c:v>
                </c:pt>
                <c:pt idx="1">
                  <c:v>0</c:v>
                </c:pt>
                <c:pt idx="2">
                  <c:v>0</c:v>
                </c:pt>
              </c:numCache>
            </c:numRef>
          </c:val>
          <c:extLst>
            <c:ext xmlns:c16="http://schemas.microsoft.com/office/drawing/2014/chart" uri="{C3380CC4-5D6E-409C-BE32-E72D297353CC}">
              <c16:uniqueId val="{00000003-B656-4C57-96EA-AA8BC6686B65}"/>
            </c:ext>
          </c:extLst>
        </c:ser>
        <c:ser>
          <c:idx val="4"/>
          <c:order val="4"/>
          <c:tx>
            <c:strRef>
              <c:f>Chart!$B$8</c:f>
              <c:strCache>
                <c:ptCount val="1"/>
                <c:pt idx="0">
                  <c:v>Viet Hung</c:v>
                </c:pt>
              </c:strCache>
            </c:strRef>
          </c:tx>
          <c:invertIfNegative val="0"/>
          <c:cat>
            <c:strRef>
              <c:f>Chart!$C$2:$E$3</c:f>
              <c:strCache>
                <c:ptCount val="3"/>
                <c:pt idx="0">
                  <c:v>2014</c:v>
                </c:pt>
                <c:pt idx="1">
                  <c:v>2015</c:v>
                </c:pt>
                <c:pt idx="2">
                  <c:v>2016</c:v>
                </c:pt>
              </c:strCache>
            </c:strRef>
          </c:cat>
          <c:val>
            <c:numRef>
              <c:f>Chart!$C$8:$E$8</c:f>
              <c:numCache>
                <c:formatCode>_(* #,##0_);_(* \(#,##0\);_(* "-"??_);_(@_)</c:formatCode>
                <c:ptCount val="3"/>
                <c:pt idx="0">
                  <c:v>0</c:v>
                </c:pt>
                <c:pt idx="1">
                  <c:v>0</c:v>
                </c:pt>
                <c:pt idx="2">
                  <c:v>645.12</c:v>
                </c:pt>
              </c:numCache>
            </c:numRef>
          </c:val>
          <c:extLst>
            <c:ext xmlns:c16="http://schemas.microsoft.com/office/drawing/2014/chart" uri="{C3380CC4-5D6E-409C-BE32-E72D297353CC}">
              <c16:uniqueId val="{00000004-B656-4C57-96EA-AA8BC6686B65}"/>
            </c:ext>
          </c:extLst>
        </c:ser>
        <c:ser>
          <c:idx val="5"/>
          <c:order val="5"/>
          <c:tx>
            <c:strRef>
              <c:f>Chart!$B$9</c:f>
              <c:strCache>
                <c:ptCount val="1"/>
                <c:pt idx="0">
                  <c:v>Tan Thuan</c:v>
                </c:pt>
              </c:strCache>
            </c:strRef>
          </c:tx>
          <c:invertIfNegative val="0"/>
          <c:cat>
            <c:strRef>
              <c:f>Chart!$C$2:$E$3</c:f>
              <c:strCache>
                <c:ptCount val="3"/>
                <c:pt idx="0">
                  <c:v>2014</c:v>
                </c:pt>
                <c:pt idx="1">
                  <c:v>2015</c:v>
                </c:pt>
                <c:pt idx="2">
                  <c:v>2016</c:v>
                </c:pt>
              </c:strCache>
            </c:strRef>
          </c:cat>
          <c:val>
            <c:numRef>
              <c:f>Chart!$C$9:$E$9</c:f>
              <c:numCache>
                <c:formatCode>_(* #,##0_);_(* \(#,##0\);_(* "-"??_);_(@_)</c:formatCode>
                <c:ptCount val="3"/>
                <c:pt idx="0">
                  <c:v>0</c:v>
                </c:pt>
                <c:pt idx="1">
                  <c:v>0</c:v>
                </c:pt>
                <c:pt idx="2">
                  <c:v>723.16800000000001</c:v>
                </c:pt>
              </c:numCache>
            </c:numRef>
          </c:val>
          <c:extLst>
            <c:ext xmlns:c16="http://schemas.microsoft.com/office/drawing/2014/chart" uri="{C3380CC4-5D6E-409C-BE32-E72D297353CC}">
              <c16:uniqueId val="{00000005-B656-4C57-96EA-AA8BC6686B65}"/>
            </c:ext>
          </c:extLst>
        </c:ser>
        <c:dLbls>
          <c:showLegendKey val="0"/>
          <c:showVal val="0"/>
          <c:showCatName val="0"/>
          <c:showSerName val="0"/>
          <c:showPercent val="0"/>
          <c:showBubbleSize val="0"/>
        </c:dLbls>
        <c:gapWidth val="150"/>
        <c:overlap val="100"/>
        <c:axId val="1925424128"/>
        <c:axId val="1925425216"/>
      </c:barChart>
      <c:catAx>
        <c:axId val="1925424128"/>
        <c:scaling>
          <c:orientation val="minMax"/>
        </c:scaling>
        <c:delete val="0"/>
        <c:axPos val="b"/>
        <c:numFmt formatCode="General" sourceLinked="1"/>
        <c:majorTickMark val="out"/>
        <c:minorTickMark val="none"/>
        <c:tickLblPos val="nextTo"/>
        <c:crossAx val="1925425216"/>
        <c:crosses val="autoZero"/>
        <c:auto val="1"/>
        <c:lblAlgn val="ctr"/>
        <c:lblOffset val="100"/>
        <c:noMultiLvlLbl val="0"/>
      </c:catAx>
      <c:valAx>
        <c:axId val="1925425216"/>
        <c:scaling>
          <c:orientation val="minMax"/>
        </c:scaling>
        <c:delete val="0"/>
        <c:axPos val="l"/>
        <c:numFmt formatCode="_(* #,##0_);_(* \(#,##0\);_(* &quot;-&quot;??_);_(@_)" sourceLinked="1"/>
        <c:majorTickMark val="out"/>
        <c:minorTickMark val="none"/>
        <c:tickLblPos val="nextTo"/>
        <c:crossAx val="1925424128"/>
        <c:crosses val="autoZero"/>
        <c:crossBetween val="between"/>
      </c:valAx>
    </c:plotArea>
    <c:legend>
      <c:legendPos val="r"/>
      <c:layout>
        <c:manualLayout>
          <c:xMode val="edge"/>
          <c:yMode val="edge"/>
          <c:x val="0.73364722659276871"/>
          <c:y val="0.3166903616214789"/>
          <c:w val="0.14493061996294998"/>
          <c:h val="0.46043637800729637"/>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Chart!$H$3</c:f>
              <c:strCache>
                <c:ptCount val="1"/>
                <c:pt idx="0">
                  <c:v>NPAT</c:v>
                </c:pt>
              </c:strCache>
            </c:strRef>
          </c:tx>
          <c:invertIfNegative val="0"/>
          <c:cat>
            <c:numRef>
              <c:f>Chart!$I$2:$K$2</c:f>
              <c:numCache>
                <c:formatCode>General</c:formatCode>
                <c:ptCount val="3"/>
                <c:pt idx="0">
                  <c:v>2014</c:v>
                </c:pt>
                <c:pt idx="1">
                  <c:v>2015</c:v>
                </c:pt>
                <c:pt idx="2">
                  <c:v>2016</c:v>
                </c:pt>
              </c:numCache>
            </c:numRef>
          </c:cat>
          <c:val>
            <c:numRef>
              <c:f>Chart!$I$3:$K$3</c:f>
              <c:numCache>
                <c:formatCode>#,##0</c:formatCode>
                <c:ptCount val="3"/>
                <c:pt idx="0">
                  <c:v>0</c:v>
                </c:pt>
                <c:pt idx="1">
                  <c:v>0.33699999999999997</c:v>
                </c:pt>
                <c:pt idx="2">
                  <c:v>0.50305051029700021</c:v>
                </c:pt>
              </c:numCache>
            </c:numRef>
          </c:val>
          <c:extLst>
            <c:ext xmlns:c16="http://schemas.microsoft.com/office/drawing/2014/chart" uri="{C3380CC4-5D6E-409C-BE32-E72D297353CC}">
              <c16:uniqueId val="{00000000-1AC1-40EE-95BB-A3F3F5756C2F}"/>
            </c:ext>
          </c:extLst>
        </c:ser>
        <c:dLbls>
          <c:showLegendKey val="0"/>
          <c:showVal val="0"/>
          <c:showCatName val="0"/>
          <c:showSerName val="0"/>
          <c:showPercent val="0"/>
          <c:showBubbleSize val="0"/>
        </c:dLbls>
        <c:gapWidth val="150"/>
        <c:axId val="1925402368"/>
        <c:axId val="1925418144"/>
      </c:barChart>
      <c:catAx>
        <c:axId val="1925402368"/>
        <c:scaling>
          <c:orientation val="minMax"/>
        </c:scaling>
        <c:delete val="0"/>
        <c:axPos val="b"/>
        <c:numFmt formatCode="General" sourceLinked="1"/>
        <c:majorTickMark val="out"/>
        <c:minorTickMark val="none"/>
        <c:tickLblPos val="nextTo"/>
        <c:crossAx val="1925418144"/>
        <c:crosses val="autoZero"/>
        <c:auto val="1"/>
        <c:lblAlgn val="ctr"/>
        <c:lblOffset val="100"/>
        <c:noMultiLvlLbl val="0"/>
      </c:catAx>
      <c:valAx>
        <c:axId val="1925418144"/>
        <c:scaling>
          <c:orientation val="minMax"/>
        </c:scaling>
        <c:delete val="0"/>
        <c:axPos val="l"/>
        <c:numFmt formatCode="#,##0" sourceLinked="1"/>
        <c:majorTickMark val="out"/>
        <c:minorTickMark val="none"/>
        <c:tickLblPos val="nextTo"/>
        <c:crossAx val="1925402368"/>
        <c:crosses val="autoZero"/>
        <c:crossBetween val="between"/>
      </c:valAx>
      <c:spPr>
        <a:noFill/>
        <a:ln w="25400">
          <a:noFill/>
        </a:ln>
      </c:spPr>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Chart!$B$33</c:f>
              <c:strCache>
                <c:ptCount val="1"/>
                <c:pt idx="0">
                  <c:v>Cash and cash equivalent</c:v>
                </c:pt>
              </c:strCache>
            </c:strRef>
          </c:tx>
          <c:invertIfNegative val="0"/>
          <c:cat>
            <c:numRef>
              <c:f>Chart!$C$32:$E$32</c:f>
              <c:numCache>
                <c:formatCode>General</c:formatCode>
                <c:ptCount val="3"/>
                <c:pt idx="0">
                  <c:v>2014</c:v>
                </c:pt>
                <c:pt idx="1">
                  <c:v>2015</c:v>
                </c:pt>
                <c:pt idx="2">
                  <c:v>2016</c:v>
                </c:pt>
              </c:numCache>
            </c:numRef>
          </c:cat>
          <c:val>
            <c:numRef>
              <c:f>Chart!$C$33:$E$33</c:f>
              <c:numCache>
                <c:formatCode>#,##0</c:formatCode>
                <c:ptCount val="3"/>
                <c:pt idx="0">
                  <c:v>764389.64731179446</c:v>
                </c:pt>
                <c:pt idx="1">
                  <c:v>2140921.9910797188</c:v>
                </c:pt>
                <c:pt idx="2">
                  <c:v>3444182.7727768989</c:v>
                </c:pt>
              </c:numCache>
            </c:numRef>
          </c:val>
          <c:extLst>
            <c:ext xmlns:c16="http://schemas.microsoft.com/office/drawing/2014/chart" uri="{C3380CC4-5D6E-409C-BE32-E72D297353CC}">
              <c16:uniqueId val="{00000000-6D78-446D-8BD8-B93F206E56F5}"/>
            </c:ext>
          </c:extLst>
        </c:ser>
        <c:dLbls>
          <c:showLegendKey val="0"/>
          <c:showVal val="0"/>
          <c:showCatName val="0"/>
          <c:showSerName val="0"/>
          <c:showPercent val="0"/>
          <c:showBubbleSize val="0"/>
        </c:dLbls>
        <c:gapWidth val="150"/>
        <c:axId val="1925423040"/>
        <c:axId val="1925409440"/>
      </c:barChart>
      <c:catAx>
        <c:axId val="1925423040"/>
        <c:scaling>
          <c:orientation val="minMax"/>
        </c:scaling>
        <c:delete val="0"/>
        <c:axPos val="b"/>
        <c:numFmt formatCode="General" sourceLinked="1"/>
        <c:majorTickMark val="out"/>
        <c:minorTickMark val="none"/>
        <c:tickLblPos val="nextTo"/>
        <c:crossAx val="1925409440"/>
        <c:crosses val="autoZero"/>
        <c:auto val="1"/>
        <c:lblAlgn val="ctr"/>
        <c:lblOffset val="100"/>
        <c:noMultiLvlLbl val="0"/>
      </c:catAx>
      <c:valAx>
        <c:axId val="1925409440"/>
        <c:scaling>
          <c:orientation val="minMax"/>
        </c:scaling>
        <c:delete val="0"/>
        <c:axPos val="l"/>
        <c:numFmt formatCode="#,##0" sourceLinked="1"/>
        <c:majorTickMark val="out"/>
        <c:minorTickMark val="none"/>
        <c:tickLblPos val="nextTo"/>
        <c:crossAx val="1925423040"/>
        <c:crosses val="autoZero"/>
        <c:crossBetween val="between"/>
      </c:valAx>
      <c:spPr>
        <a:noFill/>
        <a:ln w="25400">
          <a:noFill/>
        </a:ln>
      </c:spPr>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Chart!$K$33</c:f>
              <c:strCache>
                <c:ptCount val="1"/>
                <c:pt idx="0">
                  <c:v>Current ratio</c:v>
                </c:pt>
              </c:strCache>
            </c:strRef>
          </c:tx>
          <c:marker>
            <c:symbol val="none"/>
          </c:marker>
          <c:cat>
            <c:numRef>
              <c:f>Chart!$L$32:$N$32</c:f>
              <c:numCache>
                <c:formatCode>General</c:formatCode>
                <c:ptCount val="3"/>
                <c:pt idx="0">
                  <c:v>2014</c:v>
                </c:pt>
                <c:pt idx="1">
                  <c:v>2015</c:v>
                </c:pt>
                <c:pt idx="2">
                  <c:v>2016</c:v>
                </c:pt>
              </c:numCache>
            </c:numRef>
          </c:cat>
          <c:val>
            <c:numRef>
              <c:f>Chart!$L$33:$N$33</c:f>
              <c:numCache>
                <c:formatCode>#,##0.0</c:formatCode>
                <c:ptCount val="3"/>
                <c:pt idx="0">
                  <c:v>2.8389544244546823</c:v>
                </c:pt>
                <c:pt idx="1">
                  <c:v>2.0747409227873277</c:v>
                </c:pt>
                <c:pt idx="2">
                  <c:v>2.2236618412293945</c:v>
                </c:pt>
              </c:numCache>
            </c:numRef>
          </c:val>
          <c:smooth val="0"/>
          <c:extLst>
            <c:ext xmlns:c16="http://schemas.microsoft.com/office/drawing/2014/chart" uri="{C3380CC4-5D6E-409C-BE32-E72D297353CC}">
              <c16:uniqueId val="{00000000-4893-4054-A686-67692916C532}"/>
            </c:ext>
          </c:extLst>
        </c:ser>
        <c:ser>
          <c:idx val="1"/>
          <c:order val="1"/>
          <c:tx>
            <c:strRef>
              <c:f>Chart!$K$34</c:f>
              <c:strCache>
                <c:ptCount val="1"/>
                <c:pt idx="0">
                  <c:v>Quick ratio</c:v>
                </c:pt>
              </c:strCache>
            </c:strRef>
          </c:tx>
          <c:marker>
            <c:symbol val="none"/>
          </c:marker>
          <c:cat>
            <c:numRef>
              <c:f>Chart!$L$32:$N$32</c:f>
              <c:numCache>
                <c:formatCode>General</c:formatCode>
                <c:ptCount val="3"/>
                <c:pt idx="0">
                  <c:v>2014</c:v>
                </c:pt>
                <c:pt idx="1">
                  <c:v>2015</c:v>
                </c:pt>
                <c:pt idx="2">
                  <c:v>2016</c:v>
                </c:pt>
              </c:numCache>
            </c:numRef>
          </c:cat>
          <c:val>
            <c:numRef>
              <c:f>Chart!$L$34:$N$34</c:f>
              <c:numCache>
                <c:formatCode>#,##0.0</c:formatCode>
                <c:ptCount val="3"/>
                <c:pt idx="0">
                  <c:v>1.6577650506453796</c:v>
                </c:pt>
                <c:pt idx="1">
                  <c:v>1.4802358479525344</c:v>
                </c:pt>
                <c:pt idx="2">
                  <c:v>1.7241195112818435</c:v>
                </c:pt>
              </c:numCache>
            </c:numRef>
          </c:val>
          <c:smooth val="0"/>
          <c:extLst>
            <c:ext xmlns:c16="http://schemas.microsoft.com/office/drawing/2014/chart" uri="{C3380CC4-5D6E-409C-BE32-E72D297353CC}">
              <c16:uniqueId val="{00000001-4893-4054-A686-67692916C532}"/>
            </c:ext>
          </c:extLst>
        </c:ser>
        <c:ser>
          <c:idx val="2"/>
          <c:order val="2"/>
          <c:tx>
            <c:strRef>
              <c:f>Chart!$K$35</c:f>
              <c:strCache>
                <c:ptCount val="1"/>
                <c:pt idx="0">
                  <c:v>D/E</c:v>
                </c:pt>
              </c:strCache>
            </c:strRef>
          </c:tx>
          <c:marker>
            <c:symbol val="none"/>
          </c:marker>
          <c:cat>
            <c:numRef>
              <c:f>Chart!$L$32:$N$32</c:f>
              <c:numCache>
                <c:formatCode>General</c:formatCode>
                <c:ptCount val="3"/>
                <c:pt idx="0">
                  <c:v>2014</c:v>
                </c:pt>
                <c:pt idx="1">
                  <c:v>2015</c:v>
                </c:pt>
                <c:pt idx="2">
                  <c:v>2016</c:v>
                </c:pt>
              </c:numCache>
            </c:numRef>
          </c:cat>
          <c:val>
            <c:numRef>
              <c:f>Chart!$L$35:$N$35</c:f>
              <c:numCache>
                <c:formatCode>#,##0.0</c:formatCode>
                <c:ptCount val="3"/>
                <c:pt idx="0">
                  <c:v>0.2</c:v>
                </c:pt>
                <c:pt idx="1">
                  <c:v>0.4</c:v>
                </c:pt>
                <c:pt idx="2">
                  <c:v>0.6</c:v>
                </c:pt>
              </c:numCache>
            </c:numRef>
          </c:val>
          <c:smooth val="0"/>
          <c:extLst>
            <c:ext xmlns:c16="http://schemas.microsoft.com/office/drawing/2014/chart" uri="{C3380CC4-5D6E-409C-BE32-E72D297353CC}">
              <c16:uniqueId val="{00000002-4893-4054-A686-67692916C532}"/>
            </c:ext>
          </c:extLst>
        </c:ser>
        <c:dLbls>
          <c:showLegendKey val="0"/>
          <c:showVal val="0"/>
          <c:showCatName val="0"/>
          <c:showSerName val="0"/>
          <c:showPercent val="0"/>
          <c:showBubbleSize val="0"/>
        </c:dLbls>
        <c:smooth val="0"/>
        <c:axId val="1925402912"/>
        <c:axId val="1925427936"/>
      </c:lineChart>
      <c:catAx>
        <c:axId val="1925402912"/>
        <c:scaling>
          <c:orientation val="minMax"/>
        </c:scaling>
        <c:delete val="0"/>
        <c:axPos val="b"/>
        <c:numFmt formatCode="General" sourceLinked="1"/>
        <c:majorTickMark val="out"/>
        <c:minorTickMark val="none"/>
        <c:tickLblPos val="nextTo"/>
        <c:crossAx val="1925427936"/>
        <c:crosses val="autoZero"/>
        <c:auto val="1"/>
        <c:lblAlgn val="ctr"/>
        <c:lblOffset val="100"/>
        <c:noMultiLvlLbl val="0"/>
      </c:catAx>
      <c:valAx>
        <c:axId val="1925427936"/>
        <c:scaling>
          <c:orientation val="minMax"/>
        </c:scaling>
        <c:delete val="0"/>
        <c:axPos val="l"/>
        <c:numFmt formatCode="#,##0.0" sourceLinked="1"/>
        <c:majorTickMark val="out"/>
        <c:minorTickMark val="none"/>
        <c:tickLblPos val="nextTo"/>
        <c:crossAx val="1925402912"/>
        <c:crosses val="autoZero"/>
        <c:crossBetween val="between"/>
      </c:valAx>
    </c:plotArea>
    <c:legend>
      <c:legendPos val="r"/>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Chart!$B$57</c:f>
              <c:strCache>
                <c:ptCount val="1"/>
                <c:pt idx="0">
                  <c:v>ROE</c:v>
                </c:pt>
              </c:strCache>
            </c:strRef>
          </c:tx>
          <c:marker>
            <c:symbol val="none"/>
          </c:marker>
          <c:cat>
            <c:numRef>
              <c:f>Chart!$C$56:$E$56</c:f>
              <c:numCache>
                <c:formatCode>General</c:formatCode>
                <c:ptCount val="3"/>
                <c:pt idx="0">
                  <c:v>2014</c:v>
                </c:pt>
                <c:pt idx="1">
                  <c:v>2015</c:v>
                </c:pt>
                <c:pt idx="2">
                  <c:v>2016</c:v>
                </c:pt>
              </c:numCache>
            </c:numRef>
          </c:cat>
          <c:val>
            <c:numRef>
              <c:f>Chart!$C$57:$E$57</c:f>
              <c:numCache>
                <c:formatCode>0.0%</c:formatCode>
                <c:ptCount val="3"/>
                <c:pt idx="0">
                  <c:v>0.11028936536687292</c:v>
                </c:pt>
                <c:pt idx="1">
                  <c:v>0.14069339999939456</c:v>
                </c:pt>
                <c:pt idx="2">
                  <c:v>0.18218618672703563</c:v>
                </c:pt>
              </c:numCache>
            </c:numRef>
          </c:val>
          <c:smooth val="0"/>
          <c:extLst>
            <c:ext xmlns:c16="http://schemas.microsoft.com/office/drawing/2014/chart" uri="{C3380CC4-5D6E-409C-BE32-E72D297353CC}">
              <c16:uniqueId val="{00000000-FC24-48D9-B91F-0E06AE1E5AD7}"/>
            </c:ext>
          </c:extLst>
        </c:ser>
        <c:ser>
          <c:idx val="1"/>
          <c:order val="1"/>
          <c:tx>
            <c:strRef>
              <c:f>Chart!$B$58</c:f>
              <c:strCache>
                <c:ptCount val="1"/>
                <c:pt idx="0">
                  <c:v>ROA</c:v>
                </c:pt>
              </c:strCache>
            </c:strRef>
          </c:tx>
          <c:marker>
            <c:symbol val="none"/>
          </c:marker>
          <c:cat>
            <c:numRef>
              <c:f>Chart!$C$56:$E$56</c:f>
              <c:numCache>
                <c:formatCode>General</c:formatCode>
                <c:ptCount val="3"/>
                <c:pt idx="0">
                  <c:v>2014</c:v>
                </c:pt>
                <c:pt idx="1">
                  <c:v>2015</c:v>
                </c:pt>
                <c:pt idx="2">
                  <c:v>2016</c:v>
                </c:pt>
              </c:numCache>
            </c:numRef>
          </c:cat>
          <c:val>
            <c:numRef>
              <c:f>Chart!$C$58:$E$58</c:f>
              <c:numCache>
                <c:formatCode>0.0%</c:formatCode>
                <c:ptCount val="3"/>
                <c:pt idx="0">
                  <c:v>6.3729947172125934E-2</c:v>
                </c:pt>
                <c:pt idx="1">
                  <c:v>6.7805658616847814E-2</c:v>
                </c:pt>
                <c:pt idx="2">
                  <c:v>6.9739265441220763E-2</c:v>
                </c:pt>
              </c:numCache>
            </c:numRef>
          </c:val>
          <c:smooth val="0"/>
          <c:extLst>
            <c:ext xmlns:c16="http://schemas.microsoft.com/office/drawing/2014/chart" uri="{C3380CC4-5D6E-409C-BE32-E72D297353CC}">
              <c16:uniqueId val="{00000001-FC24-48D9-B91F-0E06AE1E5AD7}"/>
            </c:ext>
          </c:extLst>
        </c:ser>
        <c:dLbls>
          <c:showLegendKey val="0"/>
          <c:showVal val="0"/>
          <c:showCatName val="0"/>
          <c:showSerName val="0"/>
          <c:showPercent val="0"/>
          <c:showBubbleSize val="0"/>
        </c:dLbls>
        <c:smooth val="0"/>
        <c:axId val="1925413792"/>
        <c:axId val="1925417056"/>
      </c:lineChart>
      <c:catAx>
        <c:axId val="1925413792"/>
        <c:scaling>
          <c:orientation val="minMax"/>
        </c:scaling>
        <c:delete val="0"/>
        <c:axPos val="b"/>
        <c:numFmt formatCode="General" sourceLinked="1"/>
        <c:majorTickMark val="out"/>
        <c:minorTickMark val="none"/>
        <c:tickLblPos val="nextTo"/>
        <c:crossAx val="1925417056"/>
        <c:crosses val="autoZero"/>
        <c:auto val="1"/>
        <c:lblAlgn val="ctr"/>
        <c:lblOffset val="100"/>
        <c:noMultiLvlLbl val="0"/>
      </c:catAx>
      <c:valAx>
        <c:axId val="1925417056"/>
        <c:scaling>
          <c:orientation val="minMax"/>
        </c:scaling>
        <c:delete val="0"/>
        <c:axPos val="l"/>
        <c:numFmt formatCode="0.0%" sourceLinked="1"/>
        <c:majorTickMark val="out"/>
        <c:minorTickMark val="none"/>
        <c:tickLblPos val="nextTo"/>
        <c:crossAx val="1925413792"/>
        <c:crosses val="autoZero"/>
        <c:crossBetween val="between"/>
      </c:valAx>
    </c:plotArea>
    <c:legend>
      <c:legendPos val="r"/>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282656975570402E-2"/>
          <c:y val="0"/>
          <c:w val="0.92875906245989337"/>
          <c:h val="0.99485053132403389"/>
        </c:manualLayout>
      </c:layout>
      <c:pieChart>
        <c:varyColors val="1"/>
        <c:ser>
          <c:idx val="0"/>
          <c:order val="0"/>
          <c:dLbls>
            <c:spPr>
              <a:noFill/>
              <a:ln>
                <a:noFill/>
              </a:ln>
              <a:effectLst/>
            </c:spPr>
            <c:txPr>
              <a:bodyPr/>
              <a:lstStyle/>
              <a:p>
                <a:pPr>
                  <a:defRPr>
                    <a:solidFill>
                      <a:schemeClr val="bg1"/>
                    </a:solidFil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Chart!$B$77:$B$78</c:f>
              <c:strCache>
                <c:ptCount val="2"/>
                <c:pt idx="0">
                  <c:v>Debt</c:v>
                </c:pt>
                <c:pt idx="1">
                  <c:v>Equity</c:v>
                </c:pt>
              </c:strCache>
            </c:strRef>
          </c:cat>
          <c:val>
            <c:numRef>
              <c:f>Chart!$D$77:$D$78</c:f>
              <c:numCache>
                <c:formatCode>0%</c:formatCode>
                <c:ptCount val="2"/>
                <c:pt idx="0">
                  <c:v>9.9188016737639911E-2</c:v>
                </c:pt>
                <c:pt idx="1">
                  <c:v>0.90081198326236012</c:v>
                </c:pt>
              </c:numCache>
            </c:numRef>
          </c:val>
          <c:extLst>
            <c:ext xmlns:c16="http://schemas.microsoft.com/office/drawing/2014/chart" uri="{C3380CC4-5D6E-409C-BE32-E72D297353CC}">
              <c16:uniqueId val="{00000000-2E3A-4365-84EB-98B67A2513EE}"/>
            </c:ext>
          </c:extLst>
        </c:ser>
        <c:dLbls>
          <c:showLegendKey val="0"/>
          <c:showVal val="1"/>
          <c:showCatName val="1"/>
          <c:showSerName val="0"/>
          <c:showPercent val="0"/>
          <c:showBubbleSize val="0"/>
          <c:showLeaderLines val="1"/>
        </c:dLbls>
        <c:firstSliceAng val="0"/>
      </c:pieChart>
    </c:plotArea>
    <c:plotVisOnly val="1"/>
    <c:dispBlanksAs val="zero"/>
    <c:showDLblsOverMax val="0"/>
  </c:chart>
  <c:printSettings>
    <c:headerFooter/>
    <c:pageMargins b="0.75000000000001465" l="0.70000000000000062" r="0.70000000000000062" t="0.75000000000001465" header="0.30000000000000032" footer="0.3000000000000003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Chart!$B$92</c:f>
              <c:strCache>
                <c:ptCount val="1"/>
                <c:pt idx="0">
                  <c:v>1st layer</c:v>
                </c:pt>
              </c:strCache>
            </c:strRef>
          </c:tx>
          <c:invertIfNegative val="0"/>
          <c:cat>
            <c:strRef>
              <c:f>Chart!$C$91:$F$91</c:f>
              <c:strCache>
                <c:ptCount val="4"/>
                <c:pt idx="0">
                  <c:v>Selling price</c:v>
                </c:pt>
                <c:pt idx="1">
                  <c:v>Land cost</c:v>
                </c:pt>
                <c:pt idx="2">
                  <c:v>Construction cost</c:v>
                </c:pt>
                <c:pt idx="3">
                  <c:v>Gross profit</c:v>
                </c:pt>
              </c:strCache>
            </c:strRef>
          </c:cat>
          <c:val>
            <c:numRef>
              <c:f>Chart!$C$92:$F$92</c:f>
              <c:numCache>
                <c:formatCode>0%</c:formatCode>
                <c:ptCount val="4"/>
                <c:pt idx="0">
                  <c:v>1</c:v>
                </c:pt>
                <c:pt idx="1">
                  <c:v>0.7</c:v>
                </c:pt>
                <c:pt idx="2">
                  <c:v>0.2</c:v>
                </c:pt>
              </c:numCache>
            </c:numRef>
          </c:val>
          <c:extLst>
            <c:ext xmlns:c16="http://schemas.microsoft.com/office/drawing/2014/chart" uri="{C3380CC4-5D6E-409C-BE32-E72D297353CC}">
              <c16:uniqueId val="{00000000-408E-4CC9-AB4A-15E4D7ADD684}"/>
            </c:ext>
          </c:extLst>
        </c:ser>
        <c:ser>
          <c:idx val="1"/>
          <c:order val="1"/>
          <c:tx>
            <c:strRef>
              <c:f>Chart!$B$93</c:f>
              <c:strCache>
                <c:ptCount val="1"/>
                <c:pt idx="0">
                  <c:v>2nd layer</c:v>
                </c:pt>
              </c:strCache>
            </c:strRef>
          </c:tx>
          <c:invertIfNegative val="0"/>
          <c:cat>
            <c:strRef>
              <c:f>Chart!$C$91:$F$91</c:f>
              <c:strCache>
                <c:ptCount val="4"/>
                <c:pt idx="0">
                  <c:v>Selling price</c:v>
                </c:pt>
                <c:pt idx="1">
                  <c:v>Land cost</c:v>
                </c:pt>
                <c:pt idx="2">
                  <c:v>Construction cost</c:v>
                </c:pt>
                <c:pt idx="3">
                  <c:v>Gross profit</c:v>
                </c:pt>
              </c:strCache>
            </c:strRef>
          </c:cat>
          <c:val>
            <c:numRef>
              <c:f>Chart!$C$93:$F$93</c:f>
              <c:numCache>
                <c:formatCode>0%</c:formatCode>
                <c:ptCount val="4"/>
                <c:pt idx="1">
                  <c:v>0.3</c:v>
                </c:pt>
                <c:pt idx="2">
                  <c:v>0.5</c:v>
                </c:pt>
                <c:pt idx="3">
                  <c:v>0.2</c:v>
                </c:pt>
              </c:numCache>
            </c:numRef>
          </c:val>
          <c:extLst>
            <c:ext xmlns:c16="http://schemas.microsoft.com/office/drawing/2014/chart" uri="{C3380CC4-5D6E-409C-BE32-E72D297353CC}">
              <c16:uniqueId val="{00000001-408E-4CC9-AB4A-15E4D7ADD684}"/>
            </c:ext>
          </c:extLst>
        </c:ser>
        <c:ser>
          <c:idx val="2"/>
          <c:order val="2"/>
          <c:tx>
            <c:strRef>
              <c:f>Chart!$B$94</c:f>
              <c:strCache>
                <c:ptCount val="1"/>
              </c:strCache>
            </c:strRef>
          </c:tx>
          <c:invertIfNegative val="0"/>
          <c:cat>
            <c:strRef>
              <c:f>Chart!$C$91:$F$91</c:f>
              <c:strCache>
                <c:ptCount val="4"/>
                <c:pt idx="0">
                  <c:v>Selling price</c:v>
                </c:pt>
                <c:pt idx="1">
                  <c:v>Land cost</c:v>
                </c:pt>
                <c:pt idx="2">
                  <c:v>Construction cost</c:v>
                </c:pt>
                <c:pt idx="3">
                  <c:v>Gross profit</c:v>
                </c:pt>
              </c:strCache>
            </c:strRef>
          </c:cat>
          <c:val>
            <c:numRef>
              <c:f>Chart!$C$94:$F$94</c:f>
              <c:numCache>
                <c:formatCode>General</c:formatCode>
                <c:ptCount val="4"/>
                <c:pt idx="2" formatCode="0%">
                  <c:v>0.3</c:v>
                </c:pt>
                <c:pt idx="3" formatCode="0%">
                  <c:v>0.8</c:v>
                </c:pt>
              </c:numCache>
            </c:numRef>
          </c:val>
          <c:extLst>
            <c:ext xmlns:c16="http://schemas.microsoft.com/office/drawing/2014/chart" uri="{C3380CC4-5D6E-409C-BE32-E72D297353CC}">
              <c16:uniqueId val="{00000002-408E-4CC9-AB4A-15E4D7ADD684}"/>
            </c:ext>
          </c:extLst>
        </c:ser>
        <c:dLbls>
          <c:showLegendKey val="0"/>
          <c:showVal val="0"/>
          <c:showCatName val="0"/>
          <c:showSerName val="0"/>
          <c:showPercent val="0"/>
          <c:showBubbleSize val="0"/>
        </c:dLbls>
        <c:gapWidth val="150"/>
        <c:overlap val="100"/>
        <c:axId val="1925416512"/>
        <c:axId val="1925403456"/>
      </c:barChart>
      <c:catAx>
        <c:axId val="1925416512"/>
        <c:scaling>
          <c:orientation val="minMax"/>
        </c:scaling>
        <c:delete val="0"/>
        <c:axPos val="b"/>
        <c:numFmt formatCode="General" sourceLinked="0"/>
        <c:majorTickMark val="out"/>
        <c:minorTickMark val="none"/>
        <c:tickLblPos val="nextTo"/>
        <c:crossAx val="1925403456"/>
        <c:crosses val="autoZero"/>
        <c:auto val="1"/>
        <c:lblAlgn val="ctr"/>
        <c:lblOffset val="100"/>
        <c:noMultiLvlLbl val="0"/>
      </c:catAx>
      <c:valAx>
        <c:axId val="1925403456"/>
        <c:scaling>
          <c:orientation val="minMax"/>
        </c:scaling>
        <c:delete val="0"/>
        <c:axPos val="l"/>
        <c:majorGridlines/>
        <c:numFmt formatCode="0%" sourceLinked="1"/>
        <c:majorTickMark val="out"/>
        <c:minorTickMark val="none"/>
        <c:tickLblPos val="nextTo"/>
        <c:crossAx val="1925416512"/>
        <c:crosses val="autoZero"/>
        <c:crossBetween val="between"/>
      </c:valAx>
    </c:plotArea>
    <c:legend>
      <c:legendPos val="r"/>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Lbls>
            <c:spPr>
              <a:noFill/>
              <a:ln>
                <a:noFill/>
              </a:ln>
              <a:effectLst/>
            </c:spPr>
            <c:txPr>
              <a:bodyPr/>
              <a:lstStyle/>
              <a:p>
                <a:pPr>
                  <a:defRPr>
                    <a:solidFill>
                      <a:schemeClr val="bg1"/>
                    </a:solidFill>
                    <a:latin typeface="+mj-lt"/>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Chart!$B$155:$B$157</c:f>
              <c:strCache>
                <c:ptCount val="3"/>
                <c:pt idx="0">
                  <c:v>Dong Nai</c:v>
                </c:pt>
                <c:pt idx="1">
                  <c:v>Phu Quoc</c:v>
                </c:pt>
                <c:pt idx="2">
                  <c:v>HCMC</c:v>
                </c:pt>
              </c:strCache>
            </c:strRef>
          </c:cat>
          <c:val>
            <c:numRef>
              <c:f>Chart!$D$155:$D$157</c:f>
              <c:numCache>
                <c:formatCode>0%</c:formatCode>
                <c:ptCount val="3"/>
                <c:pt idx="0">
                  <c:v>0.63990292993029085</c:v>
                </c:pt>
                <c:pt idx="1">
                  <c:v>0.25358375305582664</c:v>
                </c:pt>
                <c:pt idx="2">
                  <c:v>0.10651331701388238</c:v>
                </c:pt>
              </c:numCache>
            </c:numRef>
          </c:val>
          <c:extLst>
            <c:ext xmlns:c16="http://schemas.microsoft.com/office/drawing/2014/chart" uri="{C3380CC4-5D6E-409C-BE32-E72D297353CC}">
              <c16:uniqueId val="{00000000-782E-427A-B144-44BC685C1D92}"/>
            </c:ext>
          </c:extLst>
        </c:ser>
        <c:dLbls>
          <c:showLegendKey val="0"/>
          <c:showVal val="1"/>
          <c:showCatName val="1"/>
          <c:showSerName val="0"/>
          <c:showPercent val="0"/>
          <c:showBubbleSize val="0"/>
          <c:showLeaderLines val="1"/>
        </c:dLbls>
        <c:firstSliceAng val="0"/>
      </c:pieChart>
    </c:plotArea>
    <c:plotVisOnly val="1"/>
    <c:dispBlanksAs val="zero"/>
    <c:showDLblsOverMax val="0"/>
  </c:chart>
  <c:printSettings>
    <c:headerFooter/>
    <c:pageMargins b="0.75000000000001465" l="0.70000000000000062" r="0.70000000000000062" t="0.75000000000001465" header="0.30000000000000032" footer="0.30000000000000032"/>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Chart!$B$174</c:f>
              <c:strCache>
                <c:ptCount val="1"/>
              </c:strCache>
            </c:strRef>
          </c:tx>
          <c:spPr>
            <a:noFill/>
          </c:spPr>
          <c:invertIfNegative val="0"/>
          <c:cat>
            <c:strRef>
              <c:f>Chart!$C$173:$E$173</c:f>
              <c:strCache>
                <c:ptCount val="3"/>
                <c:pt idx="0">
                  <c:v>Capital invested</c:v>
                </c:pt>
                <c:pt idx="1">
                  <c:v>To be injected</c:v>
                </c:pt>
                <c:pt idx="2">
                  <c:v>Expected investment</c:v>
                </c:pt>
              </c:strCache>
            </c:strRef>
          </c:cat>
          <c:val>
            <c:numRef>
              <c:f>Chart!$C$174:$E$174</c:f>
              <c:numCache>
                <c:formatCode>_(* #,##0_);_(* \(#,##0\);_(* "-"??_);_(@_)</c:formatCode>
                <c:ptCount val="3"/>
                <c:pt idx="1">
                  <c:v>181094</c:v>
                </c:pt>
              </c:numCache>
            </c:numRef>
          </c:val>
          <c:extLst>
            <c:ext xmlns:c16="http://schemas.microsoft.com/office/drawing/2014/chart" uri="{C3380CC4-5D6E-409C-BE32-E72D297353CC}">
              <c16:uniqueId val="{00000000-ED4A-4E70-8AA7-845847FECF04}"/>
            </c:ext>
          </c:extLst>
        </c:ser>
        <c:ser>
          <c:idx val="1"/>
          <c:order val="1"/>
          <c:tx>
            <c:strRef>
              <c:f>Chart!$B$175</c:f>
              <c:strCache>
                <c:ptCount val="1"/>
                <c:pt idx="0">
                  <c:v>Land costs</c:v>
                </c:pt>
              </c:strCache>
            </c:strRef>
          </c:tx>
          <c:invertIfNegative val="0"/>
          <c:cat>
            <c:strRef>
              <c:f>Chart!$C$173:$E$173</c:f>
              <c:strCache>
                <c:ptCount val="3"/>
                <c:pt idx="0">
                  <c:v>Capital invested</c:v>
                </c:pt>
                <c:pt idx="1">
                  <c:v>To be injected</c:v>
                </c:pt>
                <c:pt idx="2">
                  <c:v>Expected investment</c:v>
                </c:pt>
              </c:strCache>
            </c:strRef>
          </c:cat>
          <c:val>
            <c:numRef>
              <c:f>Chart!$C$175:$E$175</c:f>
              <c:numCache>
                <c:formatCode>#,##0</c:formatCode>
                <c:ptCount val="3"/>
                <c:pt idx="0" formatCode="_(* #,##0_);_(* \(#,##0\);_(* &quot;-&quot;??_);_(@_)">
                  <c:v>145942</c:v>
                </c:pt>
                <c:pt idx="1">
                  <c:v>853.20000000001164</c:v>
                </c:pt>
                <c:pt idx="2">
                  <c:v>146795.20000000001</c:v>
                </c:pt>
              </c:numCache>
            </c:numRef>
          </c:val>
          <c:extLst>
            <c:ext xmlns:c16="http://schemas.microsoft.com/office/drawing/2014/chart" uri="{C3380CC4-5D6E-409C-BE32-E72D297353CC}">
              <c16:uniqueId val="{00000001-ED4A-4E70-8AA7-845847FECF04}"/>
            </c:ext>
          </c:extLst>
        </c:ser>
        <c:ser>
          <c:idx val="2"/>
          <c:order val="2"/>
          <c:tx>
            <c:strRef>
              <c:f>Chart!$B$177</c:f>
              <c:strCache>
                <c:ptCount val="1"/>
                <c:pt idx="0">
                  <c:v>Construction costs</c:v>
                </c:pt>
              </c:strCache>
            </c:strRef>
          </c:tx>
          <c:invertIfNegative val="0"/>
          <c:cat>
            <c:strRef>
              <c:f>Chart!$C$173:$E$173</c:f>
              <c:strCache>
                <c:ptCount val="3"/>
                <c:pt idx="0">
                  <c:v>Capital invested</c:v>
                </c:pt>
                <c:pt idx="1">
                  <c:v>To be injected</c:v>
                </c:pt>
                <c:pt idx="2">
                  <c:v>Expected investment</c:v>
                </c:pt>
              </c:strCache>
            </c:strRef>
          </c:cat>
          <c:val>
            <c:numRef>
              <c:f>Chart!$C$177:$E$177</c:f>
              <c:numCache>
                <c:formatCode>#,##0</c:formatCode>
                <c:ptCount val="3"/>
                <c:pt idx="0" formatCode="_(* #,##0_);_(* \(#,##0\);_(* &quot;-&quot;??_);_(@_)">
                  <c:v>19059</c:v>
                </c:pt>
                <c:pt idx="1">
                  <c:v>939446</c:v>
                </c:pt>
                <c:pt idx="2">
                  <c:v>958505</c:v>
                </c:pt>
              </c:numCache>
            </c:numRef>
          </c:val>
          <c:extLst>
            <c:ext xmlns:c16="http://schemas.microsoft.com/office/drawing/2014/chart" uri="{C3380CC4-5D6E-409C-BE32-E72D297353CC}">
              <c16:uniqueId val="{00000002-ED4A-4E70-8AA7-845847FECF04}"/>
            </c:ext>
          </c:extLst>
        </c:ser>
        <c:ser>
          <c:idx val="3"/>
          <c:order val="3"/>
          <c:tx>
            <c:strRef>
              <c:f>Chart!$B$178</c:f>
              <c:strCache>
                <c:ptCount val="1"/>
                <c:pt idx="0">
                  <c:v>SG&amp;A and interest expense</c:v>
                </c:pt>
              </c:strCache>
            </c:strRef>
          </c:tx>
          <c:invertIfNegative val="0"/>
          <c:cat>
            <c:strRef>
              <c:f>Chart!$C$173:$E$173</c:f>
              <c:strCache>
                <c:ptCount val="3"/>
                <c:pt idx="0">
                  <c:v>Capital invested</c:v>
                </c:pt>
                <c:pt idx="1">
                  <c:v>To be injected</c:v>
                </c:pt>
                <c:pt idx="2">
                  <c:v>Expected investment</c:v>
                </c:pt>
              </c:strCache>
            </c:strRef>
          </c:cat>
          <c:val>
            <c:numRef>
              <c:f>Chart!$C$178:$E$178</c:f>
              <c:numCache>
                <c:formatCode>#,##0</c:formatCode>
                <c:ptCount val="3"/>
                <c:pt idx="0" formatCode="_(* #,##0_);_(* \(#,##0\);_(* &quot;-&quot;??_);_(@_)">
                  <c:v>16093</c:v>
                </c:pt>
                <c:pt idx="1">
                  <c:v>73297</c:v>
                </c:pt>
                <c:pt idx="2">
                  <c:v>89390</c:v>
                </c:pt>
              </c:numCache>
            </c:numRef>
          </c:val>
          <c:extLst>
            <c:ext xmlns:c16="http://schemas.microsoft.com/office/drawing/2014/chart" uri="{C3380CC4-5D6E-409C-BE32-E72D297353CC}">
              <c16:uniqueId val="{00000003-ED4A-4E70-8AA7-845847FECF04}"/>
            </c:ext>
          </c:extLst>
        </c:ser>
        <c:dLbls>
          <c:showLegendKey val="0"/>
          <c:showVal val="0"/>
          <c:showCatName val="0"/>
          <c:showSerName val="0"/>
          <c:showPercent val="0"/>
          <c:showBubbleSize val="0"/>
        </c:dLbls>
        <c:gapWidth val="150"/>
        <c:overlap val="100"/>
        <c:axId val="1925421952"/>
        <c:axId val="1925408896"/>
      </c:barChart>
      <c:catAx>
        <c:axId val="1925421952"/>
        <c:scaling>
          <c:orientation val="minMax"/>
        </c:scaling>
        <c:delete val="0"/>
        <c:axPos val="b"/>
        <c:numFmt formatCode="General" sourceLinked="0"/>
        <c:majorTickMark val="out"/>
        <c:minorTickMark val="none"/>
        <c:tickLblPos val="nextTo"/>
        <c:crossAx val="1925408896"/>
        <c:crosses val="autoZero"/>
        <c:auto val="1"/>
        <c:lblAlgn val="ctr"/>
        <c:lblOffset val="100"/>
        <c:noMultiLvlLbl val="0"/>
      </c:catAx>
      <c:valAx>
        <c:axId val="1925408896"/>
        <c:scaling>
          <c:orientation val="minMax"/>
        </c:scaling>
        <c:delete val="0"/>
        <c:axPos val="l"/>
        <c:majorGridlines/>
        <c:numFmt formatCode="General" sourceLinked="1"/>
        <c:majorTickMark val="out"/>
        <c:minorTickMark val="none"/>
        <c:tickLblPos val="nextTo"/>
        <c:crossAx val="1925421952"/>
        <c:crosses val="autoZero"/>
        <c:crossBetween val="between"/>
      </c:valAx>
    </c:plotArea>
    <c:legend>
      <c:legendPos val="r"/>
      <c:legendEntry>
        <c:idx val="3"/>
        <c:delete val="1"/>
      </c:legendEntry>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821391076115475"/>
          <c:y val="0.21536987916298544"/>
          <c:w val="0.46357217847769538"/>
          <c:h val="0.77308699039665241"/>
        </c:manualLayout>
      </c:layout>
      <c:pieChart>
        <c:varyColors val="1"/>
        <c:ser>
          <c:idx val="0"/>
          <c:order val="0"/>
          <c:dLbls>
            <c:dLbl>
              <c:idx val="0"/>
              <c:layout>
                <c:manualLayout>
                  <c:x val="2.9356627296587928E-2"/>
                  <c:y val="-6.910193671887082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C9-40EE-BBBB-BDC0CD967D94}"/>
                </c:ext>
              </c:extLst>
            </c:dLbl>
            <c:dLbl>
              <c:idx val="1"/>
              <c:layout>
                <c:manualLayout>
                  <c:x val="0.18070997375328091"/>
                  <c:y val="5.784696506785956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C9-40EE-BBBB-BDC0CD967D94}"/>
                </c:ext>
              </c:extLst>
            </c:dLbl>
            <c:dLbl>
              <c:idx val="4"/>
              <c:layout>
                <c:manualLayout>
                  <c:x val="-0.21404232283464594"/>
                  <c:y val="6.77782300776499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C9-40EE-BBBB-BDC0CD967D94}"/>
                </c:ext>
              </c:extLst>
            </c:dLbl>
            <c:dLbl>
              <c:idx val="5"/>
              <c:layout>
                <c:manualLayout>
                  <c:x val="-0.1658415354330709"/>
                  <c:y val="-6.450817495542983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C9-40EE-BBBB-BDC0CD967D94}"/>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Chart!$B$214:$B$219</c:f>
              <c:strCache>
                <c:ptCount val="6"/>
                <c:pt idx="0">
                  <c:v>Tools and supply</c:v>
                </c:pt>
                <c:pt idx="1">
                  <c:v>DXG Construction 's CIP</c:v>
                </c:pt>
                <c:pt idx="2">
                  <c:v>Gold Hill</c:v>
                </c:pt>
                <c:pt idx="3">
                  <c:v>Sunview Town 3</c:v>
                </c:pt>
                <c:pt idx="4">
                  <c:v>Phu Gia Hung</c:v>
                </c:pt>
                <c:pt idx="5">
                  <c:v>The Morning Star</c:v>
                </c:pt>
              </c:strCache>
            </c:strRef>
          </c:cat>
          <c:val>
            <c:numRef>
              <c:f>Chart!$D$214:$D$219</c:f>
              <c:numCache>
                <c:formatCode>0.0%</c:formatCode>
                <c:ptCount val="6"/>
                <c:pt idx="0">
                  <c:v>5.4896240800901674E-3</c:v>
                </c:pt>
                <c:pt idx="1">
                  <c:v>1.75031492408672E-2</c:v>
                </c:pt>
                <c:pt idx="2">
                  <c:v>0.56280138787597511</c:v>
                </c:pt>
                <c:pt idx="3">
                  <c:v>0.39885964330703438</c:v>
                </c:pt>
                <c:pt idx="4">
                  <c:v>8.2963159406837725E-3</c:v>
                </c:pt>
                <c:pt idx="5">
                  <c:v>7.0498795553492893E-3</c:v>
                </c:pt>
              </c:numCache>
            </c:numRef>
          </c:val>
          <c:extLst>
            <c:ext xmlns:c16="http://schemas.microsoft.com/office/drawing/2014/chart" uri="{C3380CC4-5D6E-409C-BE32-E72D297353CC}">
              <c16:uniqueId val="{00000004-FCC9-40EE-BBBB-BDC0CD967D94}"/>
            </c:ext>
          </c:extLst>
        </c:ser>
        <c:dLbls>
          <c:showLegendKey val="0"/>
          <c:showVal val="1"/>
          <c:showCatName val="1"/>
          <c:showSerName val="0"/>
          <c:showPercent val="0"/>
          <c:showBubbleSize val="0"/>
          <c:showLeaderLines val="1"/>
        </c:dLbls>
        <c:firstSliceAng val="0"/>
      </c:pieChart>
    </c:plotArea>
    <c:plotVisOnly val="1"/>
    <c:dispBlanksAs val="zero"/>
    <c:showDLblsOverMax val="0"/>
  </c:chart>
  <c:printSettings>
    <c:headerFooter/>
    <c:pageMargins b="0.75000000000001465" l="0.70000000000000062" r="0.70000000000000062" t="0.75000000000001465" header="0.30000000000000032" footer="0.30000000000000032"/>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Chart!$B$225</c:f>
              <c:strCache>
                <c:ptCount val="1"/>
                <c:pt idx="0">
                  <c:v>Viva City's income</c:v>
                </c:pt>
              </c:strCache>
            </c:strRef>
          </c:tx>
          <c:invertIfNegative val="0"/>
          <c:cat>
            <c:numRef>
              <c:f>Chart!$C$224:$E$224</c:f>
              <c:numCache>
                <c:formatCode>General</c:formatCode>
                <c:ptCount val="3"/>
                <c:pt idx="0">
                  <c:v>2014</c:v>
                </c:pt>
                <c:pt idx="1">
                  <c:v>2015</c:v>
                </c:pt>
                <c:pt idx="2">
                  <c:v>2016</c:v>
                </c:pt>
              </c:numCache>
            </c:numRef>
          </c:cat>
          <c:val>
            <c:numRef>
              <c:f>Chart!$C$225:$E$225</c:f>
              <c:numCache>
                <c:formatCode>_(* #,##0_);_(* \(#,##0\);_(* "-"??_);_(@_)</c:formatCode>
                <c:ptCount val="3"/>
                <c:pt idx="0">
                  <c:v>7343.1352792018288</c:v>
                </c:pt>
                <c:pt idx="1">
                  <c:v>43181.343427251588</c:v>
                </c:pt>
                <c:pt idx="2">
                  <c:v>63598.570025619592</c:v>
                </c:pt>
              </c:numCache>
            </c:numRef>
          </c:val>
          <c:extLst>
            <c:ext xmlns:c16="http://schemas.microsoft.com/office/drawing/2014/chart" uri="{C3380CC4-5D6E-409C-BE32-E72D297353CC}">
              <c16:uniqueId val="{00000000-9836-4733-AED6-E8B14BA3E950}"/>
            </c:ext>
          </c:extLst>
        </c:ser>
        <c:ser>
          <c:idx val="1"/>
          <c:order val="1"/>
          <c:tx>
            <c:strRef>
              <c:f>Chart!$B$226</c:f>
              <c:strCache>
                <c:ptCount val="1"/>
                <c:pt idx="0">
                  <c:v>NPAT</c:v>
                </c:pt>
              </c:strCache>
            </c:strRef>
          </c:tx>
          <c:invertIfNegative val="0"/>
          <c:cat>
            <c:numRef>
              <c:f>Chart!$C$224:$E$224</c:f>
              <c:numCache>
                <c:formatCode>General</c:formatCode>
                <c:ptCount val="3"/>
                <c:pt idx="0">
                  <c:v>2014</c:v>
                </c:pt>
                <c:pt idx="1">
                  <c:v>2015</c:v>
                </c:pt>
                <c:pt idx="2">
                  <c:v>2016</c:v>
                </c:pt>
              </c:numCache>
            </c:numRef>
          </c:cat>
          <c:val>
            <c:numRef>
              <c:f>Chart!$C$226:$E$226</c:f>
              <c:numCache>
                <c:formatCode>#,##0</c:formatCode>
                <c:ptCount val="3"/>
                <c:pt idx="0">
                  <c:v>125000</c:v>
                </c:pt>
                <c:pt idx="1">
                  <c:v>217535.24388080629</c:v>
                </c:pt>
                <c:pt idx="2">
                  <c:v>324702.80789696786</c:v>
                </c:pt>
              </c:numCache>
            </c:numRef>
          </c:val>
          <c:extLst>
            <c:ext xmlns:c16="http://schemas.microsoft.com/office/drawing/2014/chart" uri="{C3380CC4-5D6E-409C-BE32-E72D297353CC}">
              <c16:uniqueId val="{00000001-9836-4733-AED6-E8B14BA3E950}"/>
            </c:ext>
          </c:extLst>
        </c:ser>
        <c:dLbls>
          <c:showLegendKey val="0"/>
          <c:showVal val="0"/>
          <c:showCatName val="0"/>
          <c:showSerName val="0"/>
          <c:showPercent val="0"/>
          <c:showBubbleSize val="0"/>
        </c:dLbls>
        <c:gapWidth val="150"/>
        <c:axId val="1925411072"/>
        <c:axId val="1925411616"/>
      </c:barChart>
      <c:catAx>
        <c:axId val="1925411072"/>
        <c:scaling>
          <c:orientation val="minMax"/>
        </c:scaling>
        <c:delete val="0"/>
        <c:axPos val="b"/>
        <c:numFmt formatCode="General" sourceLinked="1"/>
        <c:majorTickMark val="out"/>
        <c:minorTickMark val="none"/>
        <c:tickLblPos val="nextTo"/>
        <c:crossAx val="1925411616"/>
        <c:crosses val="autoZero"/>
        <c:auto val="1"/>
        <c:lblAlgn val="ctr"/>
        <c:lblOffset val="100"/>
        <c:noMultiLvlLbl val="0"/>
      </c:catAx>
      <c:valAx>
        <c:axId val="1925411616"/>
        <c:scaling>
          <c:orientation val="minMax"/>
        </c:scaling>
        <c:delete val="0"/>
        <c:axPos val="l"/>
        <c:majorGridlines/>
        <c:numFmt formatCode="_(* #,##0_);_(* \(#,##0\);_(* &quot;-&quot;??_);_(@_)" sourceLinked="1"/>
        <c:majorTickMark val="out"/>
        <c:minorTickMark val="none"/>
        <c:tickLblPos val="nextTo"/>
        <c:crossAx val="1925411072"/>
        <c:crosses val="autoZero"/>
        <c:crossBetween val="between"/>
      </c:valAx>
    </c:plotArea>
    <c:legend>
      <c:legendPos val="r"/>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9421964902846336E-2"/>
          <c:y val="0.10628868626381729"/>
          <c:w val="0.89304659235113593"/>
          <c:h val="0.79170866409624718"/>
        </c:manualLayout>
      </c:layout>
      <c:pieChart>
        <c:varyColors val="1"/>
        <c:ser>
          <c:idx val="0"/>
          <c:order val="0"/>
          <c:dLbls>
            <c:dLbl>
              <c:idx val="3"/>
              <c:layout>
                <c:manualLayout>
                  <c:x val="-0.11539738856570345"/>
                  <c:y val="-0.139520968253249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CE-45EC-94C3-43200BD9BF16}"/>
                </c:ext>
              </c:extLst>
            </c:dLbl>
            <c:spPr>
              <a:noFill/>
              <a:ln>
                <a:noFill/>
              </a:ln>
              <a:effectLst/>
            </c:spPr>
            <c:txPr>
              <a:bodyPr/>
              <a:lstStyle/>
              <a:p>
                <a:pPr>
                  <a:defRPr sz="800" b="1"/>
                </a:pPr>
                <a:endParaRPr lang="en-US"/>
              </a:p>
            </c:txPr>
            <c:dLblPos val="inEnd"/>
            <c:showLegendKey val="0"/>
            <c:showVal val="1"/>
            <c:showCatName val="1"/>
            <c:showSerName val="0"/>
            <c:showPercent val="0"/>
            <c:showBubbleSize val="0"/>
            <c:showLeaderLines val="1"/>
            <c:extLst>
              <c:ext xmlns:c15="http://schemas.microsoft.com/office/drawing/2012/chart" uri="{CE6537A1-D6FC-4f65-9D91-7224C49458BB}"/>
            </c:extLst>
          </c:dLbls>
          <c:cat>
            <c:strRef>
              <c:f>Chart!$B$241:$B$250</c:f>
              <c:strCache>
                <c:ptCount val="10"/>
                <c:pt idx="0">
                  <c:v>Sunview Town</c:v>
                </c:pt>
                <c:pt idx="1">
                  <c:v>Riverside Garden</c:v>
                </c:pt>
                <c:pt idx="2">
                  <c:v>Green City</c:v>
                </c:pt>
                <c:pt idx="3">
                  <c:v>Gold Hill City</c:v>
                </c:pt>
                <c:pt idx="4">
                  <c:v>BIVI</c:v>
                </c:pt>
                <c:pt idx="5">
                  <c:v>Tam Da</c:v>
                </c:pt>
                <c:pt idx="6">
                  <c:v>CT15</c:v>
                </c:pt>
                <c:pt idx="7">
                  <c:v>Luxcity</c:v>
                </c:pt>
                <c:pt idx="8">
                  <c:v>Tam Thong</c:v>
                </c:pt>
                <c:pt idx="9">
                  <c:v>Tan Kieng</c:v>
                </c:pt>
              </c:strCache>
            </c:strRef>
          </c:cat>
          <c:val>
            <c:numRef>
              <c:f>Chart!$C$241:$C$250</c:f>
              <c:numCache>
                <c:formatCode>0</c:formatCode>
                <c:ptCount val="10"/>
                <c:pt idx="0">
                  <c:v>66.468707172224768</c:v>
                </c:pt>
                <c:pt idx="1">
                  <c:v>44.90634993147556</c:v>
                </c:pt>
                <c:pt idx="2">
                  <c:v>73.960712654179986</c:v>
                </c:pt>
                <c:pt idx="3">
                  <c:v>21.333942439470075</c:v>
                </c:pt>
                <c:pt idx="4">
                  <c:v>26.267702147099133</c:v>
                </c:pt>
                <c:pt idx="5">
                  <c:v>48.972133394243947</c:v>
                </c:pt>
                <c:pt idx="6">
                  <c:v>35.861123800822291</c:v>
                </c:pt>
                <c:pt idx="7">
                  <c:v>31.110095934216538</c:v>
                </c:pt>
                <c:pt idx="8">
                  <c:v>44.403837368661492</c:v>
                </c:pt>
                <c:pt idx="9">
                  <c:v>43.76427592507995</c:v>
                </c:pt>
              </c:numCache>
            </c:numRef>
          </c:val>
          <c:extLst>
            <c:ext xmlns:c16="http://schemas.microsoft.com/office/drawing/2014/chart" uri="{C3380CC4-5D6E-409C-BE32-E72D297353CC}">
              <c16:uniqueId val="{00000001-B3CE-45EC-94C3-43200BD9BF16}"/>
            </c:ext>
          </c:extLst>
        </c:ser>
        <c:dLbls>
          <c:showLegendKey val="0"/>
          <c:showVal val="1"/>
          <c:showCatName val="1"/>
          <c:showSerName val="0"/>
          <c:showPercent val="0"/>
          <c:showBubbleSize val="0"/>
          <c:showLeaderLines val="1"/>
        </c:dLbls>
        <c:firstSliceAng val="0"/>
      </c:pieChart>
    </c:plotArea>
    <c:plotVisOnly val="1"/>
    <c:dispBlanksAs val="zero"/>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DXG RNAV</a:t>
            </a:r>
            <a:r>
              <a:rPr lang="en-US" baseline="0"/>
              <a:t> breakdown</a:t>
            </a:r>
            <a:endParaRPr lang="en-US"/>
          </a:p>
        </c:rich>
      </c:tx>
      <c:overlay val="0"/>
    </c:title>
    <c:autoTitleDeleted val="0"/>
    <c:plotArea>
      <c:layout>
        <c:manualLayout>
          <c:layoutTarget val="inner"/>
          <c:xMode val="edge"/>
          <c:yMode val="edge"/>
          <c:x val="0.22366852580927385"/>
          <c:y val="0.24218513528427674"/>
          <c:w val="0.56655211067366551"/>
          <c:h val="0.75478620738892654"/>
        </c:manualLayout>
      </c:layout>
      <c:pieChart>
        <c:varyColors val="1"/>
        <c:ser>
          <c:idx val="0"/>
          <c:order val="0"/>
          <c:dLbls>
            <c:dLbl>
              <c:idx val="0"/>
              <c:layout>
                <c:manualLayout>
                  <c:x val="-0.22110400262467167"/>
                  <c:y val="-9.9900525999291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842E-425E-9DBD-BB9EC7192B24}"/>
                </c:ext>
              </c:extLst>
            </c:dLbl>
            <c:dLbl>
              <c:idx val="1"/>
              <c:layout>
                <c:manualLayout>
                  <c:x val="0.16719761592300617"/>
                  <c:y val="-0.104646575905296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2E-425E-9DBD-BB9EC7192B24}"/>
                </c:ext>
              </c:extLst>
            </c:dLbl>
            <c:dLbl>
              <c:idx val="2"/>
              <c:layout>
                <c:manualLayout>
                  <c:x val="1.8268263342082241E-2"/>
                  <c:y val="3.33964561613234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42E-425E-9DBD-BB9EC7192B24}"/>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strRef>
              <c:f>Chart!$E$301:$E$304</c:f>
              <c:strCache>
                <c:ptCount val="4"/>
                <c:pt idx="0">
                  <c:v>Residential projects</c:v>
                </c:pt>
                <c:pt idx="1">
                  <c:v>Brokerage value</c:v>
                </c:pt>
                <c:pt idx="2">
                  <c:v>Secondary investment value</c:v>
                </c:pt>
                <c:pt idx="3">
                  <c:v>Net liquid asset</c:v>
                </c:pt>
              </c:strCache>
            </c:strRef>
          </c:cat>
          <c:val>
            <c:numRef>
              <c:f>Chart!$G$301:$G$304</c:f>
              <c:numCache>
                <c:formatCode>0%</c:formatCode>
                <c:ptCount val="4"/>
                <c:pt idx="0">
                  <c:v>0</c:v>
                </c:pt>
                <c:pt idx="1">
                  <c:v>0</c:v>
                </c:pt>
                <c:pt idx="2">
                  <c:v>0</c:v>
                </c:pt>
                <c:pt idx="3">
                  <c:v>0</c:v>
                </c:pt>
              </c:numCache>
            </c:numRef>
          </c:val>
          <c:extLst>
            <c:ext xmlns:c16="http://schemas.microsoft.com/office/drawing/2014/chart" uri="{C3380CC4-5D6E-409C-BE32-E72D297353CC}">
              <c16:uniqueId val="{00000003-842E-425E-9DBD-BB9EC7192B24}"/>
            </c:ext>
          </c:extLst>
        </c:ser>
        <c:dLbls>
          <c:showLegendKey val="0"/>
          <c:showVal val="0"/>
          <c:showCatName val="1"/>
          <c:showSerName val="0"/>
          <c:showPercent val="1"/>
          <c:showBubbleSize val="0"/>
          <c:showLeaderLines val="1"/>
        </c:dLbls>
        <c:firstSliceAng val="0"/>
      </c:pieChart>
    </c:plotArea>
    <c:plotVisOnly val="1"/>
    <c:dispBlanksAs val="zero"/>
    <c:showDLblsOverMax val="0"/>
  </c:chart>
  <c:printSettings>
    <c:headerFooter/>
    <c:pageMargins b="0.75000000000001465" l="0.70000000000000062" r="0.70000000000000062" t="0.75000000000001465" header="0.30000000000000032" footer="0.30000000000000032"/>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8785099839060523E-2"/>
          <c:y val="8.0677973279770068E-2"/>
          <c:w val="0.92535219908689959"/>
          <c:h val="0.82697766154881835"/>
        </c:manualLayout>
      </c:layout>
      <c:barChart>
        <c:barDir val="col"/>
        <c:grouping val="stacked"/>
        <c:varyColors val="0"/>
        <c:ser>
          <c:idx val="0"/>
          <c:order val="0"/>
          <c:tx>
            <c:strRef>
              <c:f>Chart!$E$116</c:f>
              <c:strCache>
                <c:ptCount val="1"/>
                <c:pt idx="0">
                  <c:v>Brokerage</c:v>
                </c:pt>
              </c:strCache>
            </c:strRef>
          </c:tx>
          <c:invertIfNegative val="0"/>
          <c:dPt>
            <c:idx val="1"/>
            <c:invertIfNegative val="0"/>
            <c:bubble3D val="0"/>
            <c:spPr>
              <a:noFill/>
            </c:spPr>
            <c:extLst>
              <c:ext xmlns:c16="http://schemas.microsoft.com/office/drawing/2014/chart" uri="{C3380CC4-5D6E-409C-BE32-E72D297353CC}">
                <c16:uniqueId val="{00000000-A8FE-47CB-909C-769B1F7F5E44}"/>
              </c:ext>
            </c:extLst>
          </c:dPt>
          <c:dPt>
            <c:idx val="2"/>
            <c:invertIfNegative val="0"/>
            <c:bubble3D val="0"/>
            <c:spPr>
              <a:noFill/>
            </c:spPr>
            <c:extLst>
              <c:ext xmlns:c16="http://schemas.microsoft.com/office/drawing/2014/chart" uri="{C3380CC4-5D6E-409C-BE32-E72D297353CC}">
                <c16:uniqueId val="{00000001-A8FE-47CB-909C-769B1F7F5E44}"/>
              </c:ext>
            </c:extLst>
          </c:dPt>
          <c:dPt>
            <c:idx val="3"/>
            <c:invertIfNegative val="0"/>
            <c:bubble3D val="0"/>
            <c:spPr>
              <a:noFill/>
            </c:spPr>
            <c:extLst>
              <c:ext xmlns:c16="http://schemas.microsoft.com/office/drawing/2014/chart" uri="{C3380CC4-5D6E-409C-BE32-E72D297353CC}">
                <c16:uniqueId val="{00000002-A8FE-47CB-909C-769B1F7F5E44}"/>
              </c:ext>
            </c:extLst>
          </c:dPt>
          <c:dPt>
            <c:idx val="4"/>
            <c:invertIfNegative val="0"/>
            <c:bubble3D val="0"/>
            <c:spPr>
              <a:noFill/>
            </c:spPr>
            <c:extLst>
              <c:ext xmlns:c16="http://schemas.microsoft.com/office/drawing/2014/chart" uri="{C3380CC4-5D6E-409C-BE32-E72D297353CC}">
                <c16:uniqueId val="{00000003-A8FE-47CB-909C-769B1F7F5E44}"/>
              </c:ext>
            </c:extLst>
          </c:dPt>
          <c:cat>
            <c:strRef>
              <c:f>Chart!$F$115:$K$115</c:f>
              <c:strCache>
                <c:ptCount val="6"/>
                <c:pt idx="0">
                  <c:v>Total income</c:v>
                </c:pt>
                <c:pt idx="1">
                  <c:v>SG&amp;A</c:v>
                </c:pt>
                <c:pt idx="2">
                  <c:v>Other expense</c:v>
                </c:pt>
                <c:pt idx="3">
                  <c:v>Income tax</c:v>
                </c:pt>
                <c:pt idx="4">
                  <c:v>Minority interest</c:v>
                </c:pt>
                <c:pt idx="5">
                  <c:v>NPAT</c:v>
                </c:pt>
              </c:strCache>
            </c:strRef>
          </c:cat>
          <c:val>
            <c:numRef>
              <c:f>Chart!$F$116:$K$116</c:f>
              <c:numCache>
                <c:formatCode>_(* #,##0_);_(* \(#,##0\);_(* "-"??_);_(@_)</c:formatCode>
                <c:ptCount val="6"/>
                <c:pt idx="0">
                  <c:v>230.5</c:v>
                </c:pt>
                <c:pt idx="1">
                  <c:v>267.82799999999997</c:v>
                </c:pt>
                <c:pt idx="2">
                  <c:v>266.428</c:v>
                </c:pt>
                <c:pt idx="3">
                  <c:v>213.12799999999999</c:v>
                </c:pt>
                <c:pt idx="4">
                  <c:v>167.928</c:v>
                </c:pt>
                <c:pt idx="5">
                  <c:v>167.8</c:v>
                </c:pt>
              </c:numCache>
            </c:numRef>
          </c:val>
          <c:extLst>
            <c:ext xmlns:c16="http://schemas.microsoft.com/office/drawing/2014/chart" uri="{C3380CC4-5D6E-409C-BE32-E72D297353CC}">
              <c16:uniqueId val="{00000004-A8FE-47CB-909C-769B1F7F5E44}"/>
            </c:ext>
          </c:extLst>
        </c:ser>
        <c:ser>
          <c:idx val="1"/>
          <c:order val="1"/>
          <c:tx>
            <c:strRef>
              <c:f>Chart!$E$117</c:f>
              <c:strCache>
                <c:ptCount val="1"/>
                <c:pt idx="0">
                  <c:v>Gold Hill</c:v>
                </c:pt>
              </c:strCache>
            </c:strRef>
          </c:tx>
          <c:invertIfNegative val="0"/>
          <c:cat>
            <c:strRef>
              <c:f>Chart!$F$115:$K$115</c:f>
              <c:strCache>
                <c:ptCount val="6"/>
                <c:pt idx="0">
                  <c:v>Total income</c:v>
                </c:pt>
                <c:pt idx="1">
                  <c:v>SG&amp;A</c:v>
                </c:pt>
                <c:pt idx="2">
                  <c:v>Other expense</c:v>
                </c:pt>
                <c:pt idx="3">
                  <c:v>Income tax</c:v>
                </c:pt>
                <c:pt idx="4">
                  <c:v>Minority interest</c:v>
                </c:pt>
                <c:pt idx="5">
                  <c:v>NPAT</c:v>
                </c:pt>
              </c:strCache>
            </c:strRef>
          </c:cat>
          <c:val>
            <c:numRef>
              <c:f>Chart!$F$117:$K$117</c:f>
              <c:numCache>
                <c:formatCode>_(* #,##0_);_(* \(#,##0\);_(* "-"??_);_(@_)</c:formatCode>
                <c:ptCount val="6"/>
                <c:pt idx="0">
                  <c:v>25.547999999999998</c:v>
                </c:pt>
                <c:pt idx="1">
                  <c:v>136.6</c:v>
                </c:pt>
                <c:pt idx="2">
                  <c:v>1.4</c:v>
                </c:pt>
                <c:pt idx="3">
                  <c:v>53.3</c:v>
                </c:pt>
                <c:pt idx="4">
                  <c:v>45.2</c:v>
                </c:pt>
              </c:numCache>
            </c:numRef>
          </c:val>
          <c:extLst>
            <c:ext xmlns:c16="http://schemas.microsoft.com/office/drawing/2014/chart" uri="{C3380CC4-5D6E-409C-BE32-E72D297353CC}">
              <c16:uniqueId val="{00000005-A8FE-47CB-909C-769B1F7F5E44}"/>
            </c:ext>
          </c:extLst>
        </c:ser>
        <c:ser>
          <c:idx val="2"/>
          <c:order val="2"/>
          <c:tx>
            <c:strRef>
              <c:f>Chart!$E$118</c:f>
              <c:strCache>
                <c:ptCount val="1"/>
                <c:pt idx="0">
                  <c:v>3B Riverside</c:v>
                </c:pt>
              </c:strCache>
            </c:strRef>
          </c:tx>
          <c:invertIfNegative val="0"/>
          <c:cat>
            <c:strRef>
              <c:f>Chart!$F$115:$K$115</c:f>
              <c:strCache>
                <c:ptCount val="6"/>
                <c:pt idx="0">
                  <c:v>Total income</c:v>
                </c:pt>
                <c:pt idx="1">
                  <c:v>SG&amp;A</c:v>
                </c:pt>
                <c:pt idx="2">
                  <c:v>Other expense</c:v>
                </c:pt>
                <c:pt idx="3">
                  <c:v>Income tax</c:v>
                </c:pt>
                <c:pt idx="4">
                  <c:v>Minority interest</c:v>
                </c:pt>
                <c:pt idx="5">
                  <c:v>NPAT</c:v>
                </c:pt>
              </c:strCache>
            </c:strRef>
          </c:cat>
          <c:val>
            <c:numRef>
              <c:f>Chart!$F$118:$K$118</c:f>
              <c:numCache>
                <c:formatCode>_(* #,##0_);_(* \(#,##0\);_(* "-"??_);_(@_)</c:formatCode>
                <c:ptCount val="6"/>
                <c:pt idx="0" formatCode="_(* #,##0.00_);_(* \(#,##0.00\);_(* &quot;-&quot;??_);_(@_)">
                  <c:v>33.35</c:v>
                </c:pt>
                <c:pt idx="2">
                  <c:v>0</c:v>
                </c:pt>
                <c:pt idx="3">
                  <c:v>0</c:v>
                </c:pt>
              </c:numCache>
            </c:numRef>
          </c:val>
          <c:extLst>
            <c:ext xmlns:c16="http://schemas.microsoft.com/office/drawing/2014/chart" uri="{C3380CC4-5D6E-409C-BE32-E72D297353CC}">
              <c16:uniqueId val="{00000006-A8FE-47CB-909C-769B1F7F5E44}"/>
            </c:ext>
          </c:extLst>
        </c:ser>
        <c:ser>
          <c:idx val="3"/>
          <c:order val="3"/>
          <c:tx>
            <c:strRef>
              <c:f>Chart!$E$119</c:f>
              <c:strCache>
                <c:ptCount val="1"/>
                <c:pt idx="0">
                  <c:v>Arisen</c:v>
                </c:pt>
              </c:strCache>
            </c:strRef>
          </c:tx>
          <c:invertIfNegative val="0"/>
          <c:cat>
            <c:strRef>
              <c:f>Chart!$F$115:$K$115</c:f>
              <c:strCache>
                <c:ptCount val="6"/>
                <c:pt idx="0">
                  <c:v>Total income</c:v>
                </c:pt>
                <c:pt idx="1">
                  <c:v>SG&amp;A</c:v>
                </c:pt>
                <c:pt idx="2">
                  <c:v>Other expense</c:v>
                </c:pt>
                <c:pt idx="3">
                  <c:v>Income tax</c:v>
                </c:pt>
                <c:pt idx="4">
                  <c:v>Minority interest</c:v>
                </c:pt>
                <c:pt idx="5">
                  <c:v>NPAT</c:v>
                </c:pt>
              </c:strCache>
            </c:strRef>
          </c:cat>
          <c:val>
            <c:numRef>
              <c:f>Chart!$F$119:$K$119</c:f>
              <c:numCache>
                <c:formatCode>_(* #,##0.0_);_(* \(#,##0.0\);_(* "-"??_);_(@_)</c:formatCode>
                <c:ptCount val="6"/>
                <c:pt idx="0" formatCode="General">
                  <c:v>67.400000000000006</c:v>
                </c:pt>
                <c:pt idx="2" formatCode="_(* #,##0_);_(* \(#,##0\);_(* &quot;-&quot;??_);_(@_)">
                  <c:v>0</c:v>
                </c:pt>
                <c:pt idx="3" formatCode="_(* #,##0_);_(* \(#,##0\);_(* &quot;-&quot;??_);_(@_)">
                  <c:v>0</c:v>
                </c:pt>
                <c:pt idx="5" formatCode="_(* #,##0_);_(* \(#,##0\);_(* &quot;-&quot;??_);_(@_)">
                  <c:v>0</c:v>
                </c:pt>
              </c:numCache>
            </c:numRef>
          </c:val>
          <c:extLst>
            <c:ext xmlns:c16="http://schemas.microsoft.com/office/drawing/2014/chart" uri="{C3380CC4-5D6E-409C-BE32-E72D297353CC}">
              <c16:uniqueId val="{00000007-A8FE-47CB-909C-769B1F7F5E44}"/>
            </c:ext>
          </c:extLst>
        </c:ser>
        <c:ser>
          <c:idx val="4"/>
          <c:order val="4"/>
          <c:tx>
            <c:strRef>
              <c:f>Chart!$E$120</c:f>
              <c:strCache>
                <c:ptCount val="1"/>
                <c:pt idx="0">
                  <c:v>Construction</c:v>
                </c:pt>
              </c:strCache>
            </c:strRef>
          </c:tx>
          <c:invertIfNegative val="0"/>
          <c:cat>
            <c:strRef>
              <c:f>Chart!$F$115:$K$115</c:f>
              <c:strCache>
                <c:ptCount val="6"/>
                <c:pt idx="0">
                  <c:v>Total income</c:v>
                </c:pt>
                <c:pt idx="1">
                  <c:v>SG&amp;A</c:v>
                </c:pt>
                <c:pt idx="2">
                  <c:v>Other expense</c:v>
                </c:pt>
                <c:pt idx="3">
                  <c:v>Income tax</c:v>
                </c:pt>
                <c:pt idx="4">
                  <c:v>Minority interest</c:v>
                </c:pt>
                <c:pt idx="5">
                  <c:v>NPAT</c:v>
                </c:pt>
              </c:strCache>
            </c:strRef>
          </c:cat>
          <c:val>
            <c:numRef>
              <c:f>Chart!$F$120:$K$120</c:f>
              <c:numCache>
                <c:formatCode>General</c:formatCode>
                <c:ptCount val="6"/>
                <c:pt idx="0">
                  <c:v>12.5</c:v>
                </c:pt>
                <c:pt idx="2" formatCode="_(* #,##0_);_(* \(#,##0\);_(* &quot;-&quot;??_);_(@_)">
                  <c:v>0</c:v>
                </c:pt>
              </c:numCache>
            </c:numRef>
          </c:val>
          <c:extLst>
            <c:ext xmlns:c16="http://schemas.microsoft.com/office/drawing/2014/chart" uri="{C3380CC4-5D6E-409C-BE32-E72D297353CC}">
              <c16:uniqueId val="{00000008-A8FE-47CB-909C-769B1F7F5E44}"/>
            </c:ext>
          </c:extLst>
        </c:ser>
        <c:ser>
          <c:idx val="5"/>
          <c:order val="5"/>
          <c:tx>
            <c:strRef>
              <c:f>Chart!$E$121</c:f>
              <c:strCache>
                <c:ptCount val="1"/>
                <c:pt idx="0">
                  <c:v>Other income</c:v>
                </c:pt>
              </c:strCache>
            </c:strRef>
          </c:tx>
          <c:invertIfNegative val="0"/>
          <c:cat>
            <c:strRef>
              <c:f>Chart!$F$115:$K$115</c:f>
              <c:strCache>
                <c:ptCount val="6"/>
                <c:pt idx="0">
                  <c:v>Total income</c:v>
                </c:pt>
                <c:pt idx="1">
                  <c:v>SG&amp;A</c:v>
                </c:pt>
                <c:pt idx="2">
                  <c:v>Other expense</c:v>
                </c:pt>
                <c:pt idx="3">
                  <c:v>Income tax</c:v>
                </c:pt>
                <c:pt idx="4">
                  <c:v>Minority interest</c:v>
                </c:pt>
                <c:pt idx="5">
                  <c:v>NPAT</c:v>
                </c:pt>
              </c:strCache>
            </c:strRef>
          </c:cat>
          <c:val>
            <c:numRef>
              <c:f>Chart!$F$121:$K$121</c:f>
              <c:numCache>
                <c:formatCode>General</c:formatCode>
                <c:ptCount val="6"/>
                <c:pt idx="0" formatCode="0.0">
                  <c:v>35.129999999999995</c:v>
                </c:pt>
                <c:pt idx="2" formatCode="_(* #,##0_);_(* \(#,##0\);_(* &quot;-&quot;??_);_(@_)">
                  <c:v>0</c:v>
                </c:pt>
              </c:numCache>
            </c:numRef>
          </c:val>
          <c:extLst>
            <c:ext xmlns:c16="http://schemas.microsoft.com/office/drawing/2014/chart" uri="{C3380CC4-5D6E-409C-BE32-E72D297353CC}">
              <c16:uniqueId val="{00000009-A8FE-47CB-909C-769B1F7F5E44}"/>
            </c:ext>
          </c:extLst>
        </c:ser>
        <c:dLbls>
          <c:showLegendKey val="0"/>
          <c:showVal val="0"/>
          <c:showCatName val="0"/>
          <c:showSerName val="0"/>
          <c:showPercent val="0"/>
          <c:showBubbleSize val="0"/>
        </c:dLbls>
        <c:gapWidth val="150"/>
        <c:overlap val="100"/>
        <c:axId val="1925369184"/>
        <c:axId val="1925378432"/>
      </c:barChart>
      <c:catAx>
        <c:axId val="1925369184"/>
        <c:scaling>
          <c:orientation val="minMax"/>
        </c:scaling>
        <c:delete val="0"/>
        <c:axPos val="b"/>
        <c:numFmt formatCode="General" sourceLinked="0"/>
        <c:majorTickMark val="out"/>
        <c:minorTickMark val="none"/>
        <c:tickLblPos val="nextTo"/>
        <c:crossAx val="1925378432"/>
        <c:crosses val="autoZero"/>
        <c:auto val="1"/>
        <c:lblAlgn val="ctr"/>
        <c:lblOffset val="100"/>
        <c:noMultiLvlLbl val="0"/>
      </c:catAx>
      <c:valAx>
        <c:axId val="1925378432"/>
        <c:scaling>
          <c:orientation val="minMax"/>
        </c:scaling>
        <c:delete val="0"/>
        <c:axPos val="l"/>
        <c:numFmt formatCode="_(* #,##0_);_(* \(#,##0\);_(* &quot;-&quot;??_);_(@_)" sourceLinked="1"/>
        <c:majorTickMark val="out"/>
        <c:minorTickMark val="none"/>
        <c:tickLblPos val="nextTo"/>
        <c:crossAx val="1925369184"/>
        <c:crosses val="autoZero"/>
        <c:crossBetween val="between"/>
      </c:valAx>
    </c:plotArea>
    <c:legend>
      <c:legendPos val="r"/>
      <c:layout>
        <c:manualLayout>
          <c:xMode val="edge"/>
          <c:yMode val="edge"/>
          <c:x val="6.9600228550606533E-2"/>
          <c:y val="2.2886892022501687E-2"/>
          <c:w val="0.82672829740149056"/>
          <c:h val="0.10134448163570255"/>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Chart!$B$326</c:f>
              <c:strCache>
                <c:ptCount val="1"/>
                <c:pt idx="0">
                  <c:v>Brokerage</c:v>
                </c:pt>
              </c:strCache>
            </c:strRef>
          </c:tx>
          <c:invertIfNegative val="0"/>
          <c:cat>
            <c:numRef>
              <c:f>Chart!$C$325:$F$325</c:f>
              <c:numCache>
                <c:formatCode>General</c:formatCode>
                <c:ptCount val="4"/>
                <c:pt idx="0">
                  <c:v>2015</c:v>
                </c:pt>
                <c:pt idx="1">
                  <c:v>2016</c:v>
                </c:pt>
                <c:pt idx="2">
                  <c:v>2017</c:v>
                </c:pt>
                <c:pt idx="3">
                  <c:v>2018</c:v>
                </c:pt>
              </c:numCache>
            </c:numRef>
          </c:cat>
          <c:val>
            <c:numRef>
              <c:f>Chart!$C$326:$F$326</c:f>
              <c:numCache>
                <c:formatCode>_(* #,##0_);_(* \(#,##0\);_(* "-"??_);_(@_)</c:formatCode>
                <c:ptCount val="4"/>
                <c:pt idx="0">
                  <c:v>363.42708573696001</c:v>
                </c:pt>
                <c:pt idx="1">
                  <c:v>417.94114859750397</c:v>
                </c:pt>
                <c:pt idx="2">
                  <c:v>480.63232088712954</c:v>
                </c:pt>
                <c:pt idx="3">
                  <c:v>528.69555297584247</c:v>
                </c:pt>
              </c:numCache>
            </c:numRef>
          </c:val>
          <c:extLst>
            <c:ext xmlns:c16="http://schemas.microsoft.com/office/drawing/2014/chart" uri="{C3380CC4-5D6E-409C-BE32-E72D297353CC}">
              <c16:uniqueId val="{00000000-1522-41A2-A9CA-93BDAAC4C763}"/>
            </c:ext>
          </c:extLst>
        </c:ser>
        <c:ser>
          <c:idx val="1"/>
          <c:order val="1"/>
          <c:tx>
            <c:strRef>
              <c:f>Chart!$B$327</c:f>
              <c:strCache>
                <c:ptCount val="1"/>
                <c:pt idx="0">
                  <c:v>Construction</c:v>
                </c:pt>
              </c:strCache>
            </c:strRef>
          </c:tx>
          <c:invertIfNegative val="0"/>
          <c:cat>
            <c:numRef>
              <c:f>Chart!$C$325:$F$325</c:f>
              <c:numCache>
                <c:formatCode>General</c:formatCode>
                <c:ptCount val="4"/>
                <c:pt idx="0">
                  <c:v>2015</c:v>
                </c:pt>
                <c:pt idx="1">
                  <c:v>2016</c:v>
                </c:pt>
                <c:pt idx="2">
                  <c:v>2017</c:v>
                </c:pt>
                <c:pt idx="3">
                  <c:v>2018</c:v>
                </c:pt>
              </c:numCache>
            </c:numRef>
          </c:cat>
          <c:val>
            <c:numRef>
              <c:f>Chart!$C$327:$F$327</c:f>
              <c:numCache>
                <c:formatCode>_(* #,##0_);_(* \(#,##0\);_(* "-"??_);_(@_)</c:formatCode>
                <c:ptCount val="4"/>
                <c:pt idx="0">
                  <c:v>26</c:v>
                </c:pt>
                <c:pt idx="1">
                  <c:v>33.799999999999997</c:v>
                </c:pt>
                <c:pt idx="2">
                  <c:v>43.94</c:v>
                </c:pt>
                <c:pt idx="3">
                  <c:v>57.122</c:v>
                </c:pt>
              </c:numCache>
            </c:numRef>
          </c:val>
          <c:extLst>
            <c:ext xmlns:c16="http://schemas.microsoft.com/office/drawing/2014/chart" uri="{C3380CC4-5D6E-409C-BE32-E72D297353CC}">
              <c16:uniqueId val="{00000001-1522-41A2-A9CA-93BDAAC4C763}"/>
            </c:ext>
          </c:extLst>
        </c:ser>
        <c:ser>
          <c:idx val="2"/>
          <c:order val="2"/>
          <c:tx>
            <c:strRef>
              <c:f>Chart!$B$328</c:f>
              <c:strCache>
                <c:ptCount val="1"/>
                <c:pt idx="0">
                  <c:v>Gold Hill</c:v>
                </c:pt>
              </c:strCache>
            </c:strRef>
          </c:tx>
          <c:invertIfNegative val="0"/>
          <c:cat>
            <c:numRef>
              <c:f>Chart!$C$325:$F$325</c:f>
              <c:numCache>
                <c:formatCode>General</c:formatCode>
                <c:ptCount val="4"/>
                <c:pt idx="0">
                  <c:v>2015</c:v>
                </c:pt>
                <c:pt idx="1">
                  <c:v>2016</c:v>
                </c:pt>
                <c:pt idx="2">
                  <c:v>2017</c:v>
                </c:pt>
                <c:pt idx="3">
                  <c:v>2018</c:v>
                </c:pt>
              </c:numCache>
            </c:numRef>
          </c:cat>
          <c:val>
            <c:numRef>
              <c:f>Chart!$C$328:$F$328</c:f>
              <c:numCache>
                <c:formatCode>_(* #,##0_);_(* \(#,##0\);_(* "-"??_);_(@_)</c:formatCode>
                <c:ptCount val="4"/>
                <c:pt idx="0">
                  <c:v>64.486352000000011</c:v>
                </c:pt>
                <c:pt idx="1">
                  <c:v>64.486352000000011</c:v>
                </c:pt>
                <c:pt idx="2">
                  <c:v>64.486352000000011</c:v>
                </c:pt>
                <c:pt idx="3">
                  <c:v>31.120743999999949</c:v>
                </c:pt>
              </c:numCache>
            </c:numRef>
          </c:val>
          <c:extLst>
            <c:ext xmlns:c16="http://schemas.microsoft.com/office/drawing/2014/chart" uri="{C3380CC4-5D6E-409C-BE32-E72D297353CC}">
              <c16:uniqueId val="{00000002-1522-41A2-A9CA-93BDAAC4C763}"/>
            </c:ext>
          </c:extLst>
        </c:ser>
        <c:ser>
          <c:idx val="3"/>
          <c:order val="3"/>
          <c:tx>
            <c:strRef>
              <c:f>Chart!$B$329</c:f>
              <c:strCache>
                <c:ptCount val="1"/>
                <c:pt idx="0">
                  <c:v>Sunview Town</c:v>
                </c:pt>
              </c:strCache>
            </c:strRef>
          </c:tx>
          <c:invertIfNegative val="0"/>
          <c:cat>
            <c:numRef>
              <c:f>Chart!$C$325:$F$325</c:f>
              <c:numCache>
                <c:formatCode>General</c:formatCode>
                <c:ptCount val="4"/>
                <c:pt idx="0">
                  <c:v>2015</c:v>
                </c:pt>
                <c:pt idx="1">
                  <c:v>2016</c:v>
                </c:pt>
                <c:pt idx="2">
                  <c:v>2017</c:v>
                </c:pt>
                <c:pt idx="3">
                  <c:v>2018</c:v>
                </c:pt>
              </c:numCache>
            </c:numRef>
          </c:cat>
          <c:val>
            <c:numRef>
              <c:f>Chart!$C$329:$F$329</c:f>
              <c:numCache>
                <c:formatCode>_(* #,##0_);_(* \(#,##0\);_(* "-"??_);_(@_)</c:formatCode>
                <c:ptCount val="4"/>
                <c:pt idx="0">
                  <c:v>905.557725</c:v>
                </c:pt>
                <c:pt idx="1">
                  <c:v>603.70515</c:v>
                </c:pt>
                <c:pt idx="2">
                  <c:v>0</c:v>
                </c:pt>
                <c:pt idx="3">
                  <c:v>0</c:v>
                </c:pt>
              </c:numCache>
            </c:numRef>
          </c:val>
          <c:extLst>
            <c:ext xmlns:c16="http://schemas.microsoft.com/office/drawing/2014/chart" uri="{C3380CC4-5D6E-409C-BE32-E72D297353CC}">
              <c16:uniqueId val="{00000003-1522-41A2-A9CA-93BDAAC4C763}"/>
            </c:ext>
          </c:extLst>
        </c:ser>
        <c:ser>
          <c:idx val="4"/>
          <c:order val="4"/>
          <c:tx>
            <c:strRef>
              <c:f>Chart!$B$330</c:f>
              <c:strCache>
                <c:ptCount val="1"/>
                <c:pt idx="0">
                  <c:v>Riverside Garden</c:v>
                </c:pt>
              </c:strCache>
            </c:strRef>
          </c:tx>
          <c:invertIfNegative val="0"/>
          <c:cat>
            <c:numRef>
              <c:f>Chart!$C$325:$F$325</c:f>
              <c:numCache>
                <c:formatCode>General</c:formatCode>
                <c:ptCount val="4"/>
                <c:pt idx="0">
                  <c:v>2015</c:v>
                </c:pt>
                <c:pt idx="1">
                  <c:v>2016</c:v>
                </c:pt>
                <c:pt idx="2">
                  <c:v>2017</c:v>
                </c:pt>
                <c:pt idx="3">
                  <c:v>2018</c:v>
                </c:pt>
              </c:numCache>
            </c:numRef>
          </c:cat>
          <c:val>
            <c:numRef>
              <c:f>Chart!$C$330:$F$330</c:f>
              <c:numCache>
                <c:formatCode>_(* #,##0_);_(* \(#,##0\);_(* "-"??_);_(@_)</c:formatCode>
                <c:ptCount val="4"/>
                <c:pt idx="0">
                  <c:v>0</c:v>
                </c:pt>
                <c:pt idx="1">
                  <c:v>0</c:v>
                </c:pt>
                <c:pt idx="2">
                  <c:v>419.42808000000002</c:v>
                </c:pt>
                <c:pt idx="3">
                  <c:v>419.42808000000002</c:v>
                </c:pt>
              </c:numCache>
            </c:numRef>
          </c:val>
          <c:extLst>
            <c:ext xmlns:c16="http://schemas.microsoft.com/office/drawing/2014/chart" uri="{C3380CC4-5D6E-409C-BE32-E72D297353CC}">
              <c16:uniqueId val="{00000004-1522-41A2-A9CA-93BDAAC4C763}"/>
            </c:ext>
          </c:extLst>
        </c:ser>
        <c:ser>
          <c:idx val="5"/>
          <c:order val="5"/>
          <c:tx>
            <c:strRef>
              <c:f>Chart!$B$331</c:f>
              <c:strCache>
                <c:ptCount val="1"/>
                <c:pt idx="0">
                  <c:v>Green City</c:v>
                </c:pt>
              </c:strCache>
            </c:strRef>
          </c:tx>
          <c:invertIfNegative val="0"/>
          <c:cat>
            <c:numRef>
              <c:f>Chart!$C$325:$F$325</c:f>
              <c:numCache>
                <c:formatCode>General</c:formatCode>
                <c:ptCount val="4"/>
                <c:pt idx="0">
                  <c:v>2015</c:v>
                </c:pt>
                <c:pt idx="1">
                  <c:v>2016</c:v>
                </c:pt>
                <c:pt idx="2">
                  <c:v>2017</c:v>
                </c:pt>
                <c:pt idx="3">
                  <c:v>2018</c:v>
                </c:pt>
              </c:numCache>
            </c:numRef>
          </c:cat>
          <c:val>
            <c:numRef>
              <c:f>Chart!$C$331:$F$331</c:f>
              <c:numCache>
                <c:formatCode>_(* #,##0_);_(* \(#,##0\);_(* "-"??_);_(@_)</c:formatCode>
                <c:ptCount val="4"/>
                <c:pt idx="0">
                  <c:v>299.26511999999997</c:v>
                </c:pt>
                <c:pt idx="1">
                  <c:v>607.59888000000001</c:v>
                </c:pt>
                <c:pt idx="2">
                  <c:v>361.62629999999996</c:v>
                </c:pt>
                <c:pt idx="3">
                  <c:v>361.62629999999996</c:v>
                </c:pt>
              </c:numCache>
            </c:numRef>
          </c:val>
          <c:extLst>
            <c:ext xmlns:c16="http://schemas.microsoft.com/office/drawing/2014/chart" uri="{C3380CC4-5D6E-409C-BE32-E72D297353CC}">
              <c16:uniqueId val="{00000005-1522-41A2-A9CA-93BDAAC4C763}"/>
            </c:ext>
          </c:extLst>
        </c:ser>
        <c:dLbls>
          <c:showLegendKey val="0"/>
          <c:showVal val="0"/>
          <c:showCatName val="0"/>
          <c:showSerName val="0"/>
          <c:showPercent val="0"/>
          <c:showBubbleSize val="0"/>
        </c:dLbls>
        <c:gapWidth val="150"/>
        <c:overlap val="100"/>
        <c:axId val="1925396384"/>
        <c:axId val="1925383328"/>
      </c:barChart>
      <c:catAx>
        <c:axId val="1925396384"/>
        <c:scaling>
          <c:orientation val="minMax"/>
        </c:scaling>
        <c:delete val="0"/>
        <c:axPos val="b"/>
        <c:numFmt formatCode="General" sourceLinked="1"/>
        <c:majorTickMark val="out"/>
        <c:minorTickMark val="none"/>
        <c:tickLblPos val="nextTo"/>
        <c:crossAx val="1925383328"/>
        <c:crosses val="autoZero"/>
        <c:auto val="1"/>
        <c:lblAlgn val="ctr"/>
        <c:lblOffset val="100"/>
        <c:noMultiLvlLbl val="0"/>
      </c:catAx>
      <c:valAx>
        <c:axId val="1925383328"/>
        <c:scaling>
          <c:orientation val="minMax"/>
        </c:scaling>
        <c:delete val="0"/>
        <c:axPos val="l"/>
        <c:numFmt formatCode="_(* #,##0_);_(* \(#,##0\);_(* &quot;-&quot;??_);_(@_)" sourceLinked="1"/>
        <c:majorTickMark val="out"/>
        <c:minorTickMark val="none"/>
        <c:tickLblPos val="nextTo"/>
        <c:crossAx val="1925396384"/>
        <c:crosses val="autoZero"/>
        <c:crossBetween val="between"/>
      </c:valAx>
    </c:plotArea>
    <c:legend>
      <c:legendPos val="r"/>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244305624931671"/>
          <c:y val="0.13884981843023425"/>
          <c:w val="0.79302518546664458"/>
          <c:h val="0.80872541617231908"/>
        </c:manualLayout>
      </c:layout>
      <c:barChart>
        <c:barDir val="col"/>
        <c:grouping val="stacked"/>
        <c:varyColors val="0"/>
        <c:ser>
          <c:idx val="0"/>
          <c:order val="0"/>
          <c:tx>
            <c:strRef>
              <c:f>Chart!$B$273</c:f>
              <c:strCache>
                <c:ptCount val="1"/>
                <c:pt idx="0">
                  <c:v>Brokerage</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C4A1-4641-A66A-5C65220EF5F1}"/>
                </c:ext>
              </c:extLst>
            </c:dLbl>
            <c:dLbl>
              <c:idx val="1"/>
              <c:delete val="1"/>
              <c:extLst>
                <c:ext xmlns:c15="http://schemas.microsoft.com/office/drawing/2012/chart" uri="{CE6537A1-D6FC-4f65-9D91-7224C49458BB}"/>
                <c:ext xmlns:c16="http://schemas.microsoft.com/office/drawing/2014/chart" uri="{C3380CC4-5D6E-409C-BE32-E72D297353CC}">
                  <c16:uniqueId val="{00000001-C4A1-4641-A66A-5C65220EF5F1}"/>
                </c:ext>
              </c:extLst>
            </c:dLbl>
            <c:spPr>
              <a:noFill/>
              <a:ln>
                <a:noFill/>
              </a:ln>
              <a:effectLst/>
            </c:spPr>
            <c:txPr>
              <a:bodyPr/>
              <a:lstStyle/>
              <a:p>
                <a:pPr>
                  <a:defRPr sz="800" b="1"/>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Chart!$E$272:$G$272</c:f>
              <c:numCache>
                <c:formatCode>General</c:formatCode>
                <c:ptCount val="3"/>
                <c:pt idx="0">
                  <c:v>2012</c:v>
                </c:pt>
                <c:pt idx="1">
                  <c:v>2013</c:v>
                </c:pt>
                <c:pt idx="2">
                  <c:v>2014</c:v>
                </c:pt>
              </c:numCache>
            </c:numRef>
          </c:cat>
          <c:val>
            <c:numRef>
              <c:f>Chart!$E$273:$G$273</c:f>
              <c:numCache>
                <c:formatCode>_(* #,##0.0_);_(* \(#,##0.0\);_(* "-"??_);_(@_)</c:formatCode>
                <c:ptCount val="3"/>
                <c:pt idx="0">
                  <c:v>6.0809523809523807</c:v>
                </c:pt>
                <c:pt idx="1">
                  <c:v>6.2738095238095246</c:v>
                </c:pt>
                <c:pt idx="2" formatCode="0.0">
                  <c:v>10.872641509433963</c:v>
                </c:pt>
              </c:numCache>
            </c:numRef>
          </c:val>
          <c:extLst>
            <c:ext xmlns:c16="http://schemas.microsoft.com/office/drawing/2014/chart" uri="{C3380CC4-5D6E-409C-BE32-E72D297353CC}">
              <c16:uniqueId val="{00000002-C4A1-4641-A66A-5C65220EF5F1}"/>
            </c:ext>
          </c:extLst>
        </c:ser>
        <c:ser>
          <c:idx val="1"/>
          <c:order val="1"/>
          <c:tx>
            <c:strRef>
              <c:f>Chart!$B$274</c:f>
              <c:strCache>
                <c:ptCount val="1"/>
                <c:pt idx="0">
                  <c:v>Real estate</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C4A1-4641-A66A-5C65220EF5F1}"/>
                </c:ext>
              </c:extLst>
            </c:dLbl>
            <c:dLbl>
              <c:idx val="1"/>
              <c:delete val="1"/>
              <c:extLst>
                <c:ext xmlns:c15="http://schemas.microsoft.com/office/drawing/2012/chart" uri="{CE6537A1-D6FC-4f65-9D91-7224C49458BB}"/>
                <c:ext xmlns:c16="http://schemas.microsoft.com/office/drawing/2014/chart" uri="{C3380CC4-5D6E-409C-BE32-E72D297353CC}">
                  <c16:uniqueId val="{00000004-C4A1-4641-A66A-5C65220EF5F1}"/>
                </c:ext>
              </c:extLst>
            </c:dLbl>
            <c:spPr>
              <a:noFill/>
              <a:ln>
                <a:noFill/>
              </a:ln>
              <a:effectLst/>
            </c:spPr>
            <c:txPr>
              <a:bodyPr/>
              <a:lstStyle/>
              <a:p>
                <a:pPr>
                  <a:defRPr sz="800" b="1"/>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Chart!$E$272:$G$272</c:f>
              <c:numCache>
                <c:formatCode>General</c:formatCode>
                <c:ptCount val="3"/>
                <c:pt idx="0">
                  <c:v>2012</c:v>
                </c:pt>
                <c:pt idx="1">
                  <c:v>2013</c:v>
                </c:pt>
                <c:pt idx="2">
                  <c:v>2014</c:v>
                </c:pt>
              </c:numCache>
            </c:numRef>
          </c:cat>
          <c:val>
            <c:numRef>
              <c:f>Chart!$E$274:$G$274</c:f>
              <c:numCache>
                <c:formatCode>_(* #,##0.0_);_(* \(#,##0.0\);_(* "-"??_);_(@_)</c:formatCode>
                <c:ptCount val="3"/>
                <c:pt idx="0">
                  <c:v>3.3095238095238102</c:v>
                </c:pt>
                <c:pt idx="1">
                  <c:v>3.6000000000000005</c:v>
                </c:pt>
                <c:pt idx="2" formatCode="0.0">
                  <c:v>3.5566037735849059</c:v>
                </c:pt>
              </c:numCache>
            </c:numRef>
          </c:val>
          <c:extLst>
            <c:ext xmlns:c16="http://schemas.microsoft.com/office/drawing/2014/chart" uri="{C3380CC4-5D6E-409C-BE32-E72D297353CC}">
              <c16:uniqueId val="{00000005-C4A1-4641-A66A-5C65220EF5F1}"/>
            </c:ext>
          </c:extLst>
        </c:ser>
        <c:ser>
          <c:idx val="2"/>
          <c:order val="2"/>
          <c:tx>
            <c:strRef>
              <c:f>Chart!$B$275</c:f>
              <c:strCache>
                <c:ptCount val="1"/>
                <c:pt idx="0">
                  <c:v>Construction</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6-C4A1-4641-A66A-5C65220EF5F1}"/>
                </c:ext>
              </c:extLst>
            </c:dLbl>
            <c:dLbl>
              <c:idx val="1"/>
              <c:delete val="1"/>
              <c:extLst>
                <c:ext xmlns:c15="http://schemas.microsoft.com/office/drawing/2012/chart" uri="{CE6537A1-D6FC-4f65-9D91-7224C49458BB}"/>
                <c:ext xmlns:c16="http://schemas.microsoft.com/office/drawing/2014/chart" uri="{C3380CC4-5D6E-409C-BE32-E72D297353CC}">
                  <c16:uniqueId val="{00000007-C4A1-4641-A66A-5C65220EF5F1}"/>
                </c:ext>
              </c:extLst>
            </c:dLbl>
            <c:dLbl>
              <c:idx val="2"/>
              <c:layout>
                <c:manualLayout>
                  <c:x val="-8.4823645652101896E-17"/>
                  <c:y val="-4.437484232954642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C4A1-4641-A66A-5C65220EF5F1}"/>
                </c:ext>
              </c:extLst>
            </c:dLbl>
            <c:spPr>
              <a:noFill/>
              <a:ln>
                <a:noFill/>
              </a:ln>
              <a:effectLst/>
            </c:spPr>
            <c:txPr>
              <a:bodyPr/>
              <a:lstStyle/>
              <a:p>
                <a:pPr>
                  <a:defRPr sz="800" b="1"/>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Chart!$E$272:$G$272</c:f>
              <c:numCache>
                <c:formatCode>General</c:formatCode>
                <c:ptCount val="3"/>
                <c:pt idx="0">
                  <c:v>2012</c:v>
                </c:pt>
                <c:pt idx="1">
                  <c:v>2013</c:v>
                </c:pt>
                <c:pt idx="2">
                  <c:v>2014</c:v>
                </c:pt>
              </c:numCache>
            </c:numRef>
          </c:cat>
          <c:val>
            <c:numRef>
              <c:f>Chart!$E$275:$G$275</c:f>
              <c:numCache>
                <c:formatCode>_(* #,##0.0_);_(* \(#,##0.0\);_(* "-"??_);_(@_)</c:formatCode>
                <c:ptCount val="3"/>
                <c:pt idx="0">
                  <c:v>0</c:v>
                </c:pt>
                <c:pt idx="1">
                  <c:v>-6.1904761904761907E-2</c:v>
                </c:pt>
                <c:pt idx="2" formatCode="0.0">
                  <c:v>0.58726415094339623</c:v>
                </c:pt>
              </c:numCache>
            </c:numRef>
          </c:val>
          <c:extLst>
            <c:ext xmlns:c16="http://schemas.microsoft.com/office/drawing/2014/chart" uri="{C3380CC4-5D6E-409C-BE32-E72D297353CC}">
              <c16:uniqueId val="{00000009-C4A1-4641-A66A-5C65220EF5F1}"/>
            </c:ext>
          </c:extLst>
        </c:ser>
        <c:dLbls>
          <c:showLegendKey val="0"/>
          <c:showVal val="0"/>
          <c:showCatName val="0"/>
          <c:showSerName val="0"/>
          <c:showPercent val="0"/>
          <c:showBubbleSize val="0"/>
        </c:dLbls>
        <c:gapWidth val="60"/>
        <c:overlap val="100"/>
        <c:axId val="1925392576"/>
        <c:axId val="1925392032"/>
      </c:barChart>
      <c:catAx>
        <c:axId val="1925392576"/>
        <c:scaling>
          <c:orientation val="minMax"/>
        </c:scaling>
        <c:delete val="0"/>
        <c:axPos val="b"/>
        <c:title>
          <c:tx>
            <c:rich>
              <a:bodyPr/>
              <a:lstStyle/>
              <a:p>
                <a:pPr>
                  <a:defRPr sz="800"/>
                </a:pPr>
                <a:r>
                  <a:rPr lang="en-US" sz="800"/>
                  <a:t>USDm</a:t>
                </a:r>
              </a:p>
            </c:rich>
          </c:tx>
          <c:layout>
            <c:manualLayout>
              <c:xMode val="edge"/>
              <c:yMode val="edge"/>
              <c:x val="3.173995493271304E-2"/>
              <c:y val="4.4435162804591422E-2"/>
            </c:manualLayout>
          </c:layout>
          <c:overlay val="0"/>
        </c:title>
        <c:numFmt formatCode="General" sourceLinked="1"/>
        <c:majorTickMark val="out"/>
        <c:minorTickMark val="none"/>
        <c:tickLblPos val="nextTo"/>
        <c:txPr>
          <a:bodyPr/>
          <a:lstStyle/>
          <a:p>
            <a:pPr>
              <a:defRPr sz="800"/>
            </a:pPr>
            <a:endParaRPr lang="en-US"/>
          </a:p>
        </c:txPr>
        <c:crossAx val="1925392032"/>
        <c:crosses val="autoZero"/>
        <c:auto val="1"/>
        <c:lblAlgn val="ctr"/>
        <c:lblOffset val="100"/>
        <c:noMultiLvlLbl val="0"/>
      </c:catAx>
      <c:valAx>
        <c:axId val="1925392032"/>
        <c:scaling>
          <c:orientation val="minMax"/>
          <c:max val="25"/>
        </c:scaling>
        <c:delete val="0"/>
        <c:axPos val="l"/>
        <c:numFmt formatCode="_(* #,##0.0_);_(* \(#,##0.0\);_(* &quot;-&quot;??_);_(@_)" sourceLinked="1"/>
        <c:majorTickMark val="out"/>
        <c:minorTickMark val="none"/>
        <c:tickLblPos val="nextTo"/>
        <c:txPr>
          <a:bodyPr/>
          <a:lstStyle/>
          <a:p>
            <a:pPr>
              <a:defRPr sz="800"/>
            </a:pPr>
            <a:endParaRPr lang="en-US"/>
          </a:p>
        </c:txPr>
        <c:crossAx val="1925392576"/>
        <c:crosses val="autoZero"/>
        <c:crossBetween val="between"/>
      </c:valAx>
      <c:spPr>
        <a:noFill/>
        <a:ln>
          <a:noFill/>
        </a:ln>
      </c:spPr>
    </c:plotArea>
    <c:plotVisOnly val="1"/>
    <c:dispBlanksAs val="gap"/>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Chart!$B$278</c:f>
              <c:strCache>
                <c:ptCount val="1"/>
                <c:pt idx="0">
                  <c:v>Total
equity</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7EA4-47A1-A069-6DD487F693CD}"/>
                </c:ext>
              </c:extLst>
            </c:dLbl>
            <c:dLbl>
              <c:idx val="1"/>
              <c:delete val="1"/>
              <c:extLst>
                <c:ext xmlns:c15="http://schemas.microsoft.com/office/drawing/2012/chart" uri="{CE6537A1-D6FC-4f65-9D91-7224C49458BB}"/>
                <c:ext xmlns:c16="http://schemas.microsoft.com/office/drawing/2014/chart" uri="{C3380CC4-5D6E-409C-BE32-E72D297353CC}">
                  <c16:uniqueId val="{00000001-7EA4-47A1-A069-6DD487F693CD}"/>
                </c:ext>
              </c:extLst>
            </c:dLbl>
            <c:spPr>
              <a:noFill/>
              <a:ln>
                <a:noFill/>
              </a:ln>
              <a:effectLst/>
            </c:spPr>
            <c:txPr>
              <a:bodyPr/>
              <a:lstStyle/>
              <a:p>
                <a:pPr>
                  <a:defRPr sz="800" b="1"/>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Chart!$E$277:$G$277</c:f>
              <c:numCache>
                <c:formatCode>General</c:formatCode>
                <c:ptCount val="3"/>
                <c:pt idx="0">
                  <c:v>2012</c:v>
                </c:pt>
                <c:pt idx="1">
                  <c:v>2013</c:v>
                </c:pt>
                <c:pt idx="2">
                  <c:v>2014</c:v>
                </c:pt>
              </c:numCache>
            </c:numRef>
          </c:cat>
          <c:val>
            <c:numRef>
              <c:f>Chart!$E$278:$G$278</c:f>
              <c:numCache>
                <c:formatCode>0.0</c:formatCode>
                <c:ptCount val="3"/>
                <c:pt idx="0">
                  <c:v>26.461904761904766</c:v>
                </c:pt>
                <c:pt idx="1">
                  <c:v>30.147619047619049</c:v>
                </c:pt>
                <c:pt idx="2">
                  <c:v>50.566037735849058</c:v>
                </c:pt>
              </c:numCache>
            </c:numRef>
          </c:val>
          <c:extLst>
            <c:ext xmlns:c16="http://schemas.microsoft.com/office/drawing/2014/chart" uri="{C3380CC4-5D6E-409C-BE32-E72D297353CC}">
              <c16:uniqueId val="{00000002-7EA4-47A1-A069-6DD487F693CD}"/>
            </c:ext>
          </c:extLst>
        </c:ser>
        <c:ser>
          <c:idx val="1"/>
          <c:order val="1"/>
          <c:tx>
            <c:strRef>
              <c:f>Chart!$B$279</c:f>
              <c:strCache>
                <c:ptCount val="1"/>
                <c:pt idx="0">
                  <c:v>Total liabilties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7EA4-47A1-A069-6DD487F693CD}"/>
                </c:ext>
              </c:extLst>
            </c:dLbl>
            <c:dLbl>
              <c:idx val="1"/>
              <c:delete val="1"/>
              <c:extLst>
                <c:ext xmlns:c15="http://schemas.microsoft.com/office/drawing/2012/chart" uri="{CE6537A1-D6FC-4f65-9D91-7224C49458BB}"/>
                <c:ext xmlns:c16="http://schemas.microsoft.com/office/drawing/2014/chart" uri="{C3380CC4-5D6E-409C-BE32-E72D297353CC}">
                  <c16:uniqueId val="{00000004-7EA4-47A1-A069-6DD487F693CD}"/>
                </c:ext>
              </c:extLst>
            </c:dLbl>
            <c:spPr>
              <a:noFill/>
              <a:ln>
                <a:noFill/>
              </a:ln>
              <a:effectLst/>
            </c:spPr>
            <c:txPr>
              <a:bodyPr/>
              <a:lstStyle/>
              <a:p>
                <a:pPr>
                  <a:defRPr sz="800" b="1"/>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Chart!$E$277:$G$277</c:f>
              <c:numCache>
                <c:formatCode>General</c:formatCode>
                <c:ptCount val="3"/>
                <c:pt idx="0">
                  <c:v>2012</c:v>
                </c:pt>
                <c:pt idx="1">
                  <c:v>2013</c:v>
                </c:pt>
                <c:pt idx="2">
                  <c:v>2014</c:v>
                </c:pt>
              </c:numCache>
            </c:numRef>
          </c:cat>
          <c:val>
            <c:numRef>
              <c:f>Chart!$E$279:$G$279</c:f>
              <c:numCache>
                <c:formatCode>0.0</c:formatCode>
                <c:ptCount val="3"/>
                <c:pt idx="0">
                  <c:v>11.276190476190477</c:v>
                </c:pt>
                <c:pt idx="1">
                  <c:v>28.790476190476191</c:v>
                </c:pt>
                <c:pt idx="2">
                  <c:v>51.320754716981135</c:v>
                </c:pt>
              </c:numCache>
            </c:numRef>
          </c:val>
          <c:extLst>
            <c:ext xmlns:c16="http://schemas.microsoft.com/office/drawing/2014/chart" uri="{C3380CC4-5D6E-409C-BE32-E72D297353CC}">
              <c16:uniqueId val="{00000005-7EA4-47A1-A069-6DD487F693CD}"/>
            </c:ext>
          </c:extLst>
        </c:ser>
        <c:dLbls>
          <c:showLegendKey val="0"/>
          <c:showVal val="0"/>
          <c:showCatName val="0"/>
          <c:showSerName val="0"/>
          <c:showPercent val="0"/>
          <c:showBubbleSize val="0"/>
        </c:dLbls>
        <c:gapWidth val="60"/>
        <c:overlap val="100"/>
        <c:axId val="1925391488"/>
        <c:axId val="1925365920"/>
      </c:barChart>
      <c:catAx>
        <c:axId val="1925391488"/>
        <c:scaling>
          <c:orientation val="minMax"/>
        </c:scaling>
        <c:delete val="0"/>
        <c:axPos val="b"/>
        <c:numFmt formatCode="General" sourceLinked="1"/>
        <c:majorTickMark val="out"/>
        <c:minorTickMark val="none"/>
        <c:tickLblPos val="nextTo"/>
        <c:txPr>
          <a:bodyPr/>
          <a:lstStyle/>
          <a:p>
            <a:pPr>
              <a:defRPr sz="800"/>
            </a:pPr>
            <a:endParaRPr lang="en-US"/>
          </a:p>
        </c:txPr>
        <c:crossAx val="1925365920"/>
        <c:crosses val="autoZero"/>
        <c:auto val="1"/>
        <c:lblAlgn val="ctr"/>
        <c:lblOffset val="100"/>
        <c:noMultiLvlLbl val="0"/>
      </c:catAx>
      <c:valAx>
        <c:axId val="1925365920"/>
        <c:scaling>
          <c:orientation val="minMax"/>
        </c:scaling>
        <c:delete val="0"/>
        <c:axPos val="l"/>
        <c:numFmt formatCode="0%" sourceLinked="1"/>
        <c:majorTickMark val="out"/>
        <c:minorTickMark val="none"/>
        <c:tickLblPos val="nextTo"/>
        <c:txPr>
          <a:bodyPr/>
          <a:lstStyle/>
          <a:p>
            <a:pPr>
              <a:defRPr sz="800"/>
            </a:pPr>
            <a:endParaRPr lang="en-US"/>
          </a:p>
        </c:txPr>
        <c:crossAx val="1925391488"/>
        <c:crosses val="autoZero"/>
        <c:crossBetween val="between"/>
        <c:majorUnit val="0.25"/>
      </c:valAx>
      <c:spPr>
        <a:noFill/>
        <a:ln>
          <a:noFill/>
        </a:ln>
      </c:spPr>
    </c:plotArea>
    <c:plotVisOnly val="1"/>
    <c:dispBlanksAs val="gap"/>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19906169008208"/>
          <c:y val="0.1572788643868675"/>
          <c:w val="0.82743557733562034"/>
          <c:h val="0.7315310248768685"/>
        </c:manualLayout>
      </c:layout>
      <c:barChart>
        <c:barDir val="col"/>
        <c:grouping val="stacked"/>
        <c:varyColors val="0"/>
        <c:ser>
          <c:idx val="0"/>
          <c:order val="0"/>
          <c:tx>
            <c:strRef>
              <c:f>Chart!$B$267</c:f>
              <c:strCache>
                <c:ptCount val="1"/>
                <c:pt idx="0">
                  <c:v>Brokerage</c:v>
                </c:pt>
              </c:strCache>
            </c:strRef>
          </c:tx>
          <c:invertIfNegative val="0"/>
          <c:dLbls>
            <c:dLbl>
              <c:idx val="2"/>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0CCF-4C57-BE5E-80738A131CAC}"/>
                </c:ext>
              </c:extLst>
            </c:dLbl>
            <c:spPr>
              <a:noFill/>
              <a:ln>
                <a:noFill/>
              </a:ln>
              <a:effectLst/>
            </c:spPr>
            <c:txPr>
              <a:bodyPr/>
              <a:lstStyle/>
              <a:p>
                <a:pPr>
                  <a:defRPr sz="800" b="1"/>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Chart!$E$266:$G$266</c:f>
              <c:numCache>
                <c:formatCode>General</c:formatCode>
                <c:ptCount val="3"/>
                <c:pt idx="0">
                  <c:v>2012</c:v>
                </c:pt>
                <c:pt idx="1">
                  <c:v>2013</c:v>
                </c:pt>
                <c:pt idx="2">
                  <c:v>2014</c:v>
                </c:pt>
              </c:numCache>
            </c:numRef>
          </c:cat>
          <c:val>
            <c:numRef>
              <c:f>Chart!$E$267:$G$267</c:f>
              <c:numCache>
                <c:formatCode>_(* #,##0_);_(* \(#,##0\);_(* "-"??_);_(@_)</c:formatCode>
                <c:ptCount val="3"/>
                <c:pt idx="0">
                  <c:v>7.7428571428571429</c:v>
                </c:pt>
                <c:pt idx="1">
                  <c:v>8.4833333333333343</c:v>
                </c:pt>
                <c:pt idx="2">
                  <c:v>14.764150943396228</c:v>
                </c:pt>
              </c:numCache>
            </c:numRef>
          </c:val>
          <c:extLst>
            <c:ext xmlns:c16="http://schemas.microsoft.com/office/drawing/2014/chart" uri="{C3380CC4-5D6E-409C-BE32-E72D297353CC}">
              <c16:uniqueId val="{00000001-0CCF-4C57-BE5E-80738A131CAC}"/>
            </c:ext>
          </c:extLst>
        </c:ser>
        <c:ser>
          <c:idx val="1"/>
          <c:order val="1"/>
          <c:tx>
            <c:strRef>
              <c:f>Chart!$B$268</c:f>
              <c:strCache>
                <c:ptCount val="1"/>
                <c:pt idx="0">
                  <c:v>Real estate</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0CCF-4C57-BE5E-80738A131CAC}"/>
                </c:ext>
              </c:extLst>
            </c:dLbl>
            <c:dLbl>
              <c:idx val="1"/>
              <c:delete val="1"/>
              <c:extLst>
                <c:ext xmlns:c15="http://schemas.microsoft.com/office/drawing/2012/chart" uri="{CE6537A1-D6FC-4f65-9D91-7224C49458BB}"/>
                <c:ext xmlns:c16="http://schemas.microsoft.com/office/drawing/2014/chart" uri="{C3380CC4-5D6E-409C-BE32-E72D297353CC}">
                  <c16:uniqueId val="{00000003-0CCF-4C57-BE5E-80738A131CAC}"/>
                </c:ext>
              </c:extLst>
            </c:dLbl>
            <c:dLbl>
              <c:idx val="2"/>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0CCF-4C57-BE5E-80738A131CAC}"/>
                </c:ext>
              </c:extLst>
            </c:dLbl>
            <c:spPr>
              <a:noFill/>
              <a:ln>
                <a:noFill/>
              </a:ln>
              <a:effectLst/>
            </c:spPr>
            <c:txPr>
              <a:bodyPr/>
              <a:lstStyle/>
              <a:p>
                <a:pPr>
                  <a:defRPr sz="800" b="1"/>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numRef>
              <c:f>Chart!$E$266:$G$266</c:f>
              <c:numCache>
                <c:formatCode>General</c:formatCode>
                <c:ptCount val="3"/>
                <c:pt idx="0">
                  <c:v>2012</c:v>
                </c:pt>
                <c:pt idx="1">
                  <c:v>2013</c:v>
                </c:pt>
                <c:pt idx="2">
                  <c:v>2014</c:v>
                </c:pt>
              </c:numCache>
            </c:numRef>
          </c:cat>
          <c:val>
            <c:numRef>
              <c:f>Chart!$E$268:$G$268</c:f>
              <c:numCache>
                <c:formatCode>_(* #,##0_);_(* \(#,##0\);_(* "-"??_);_(@_)</c:formatCode>
                <c:ptCount val="3"/>
                <c:pt idx="0">
                  <c:v>11.676190476190476</c:v>
                </c:pt>
                <c:pt idx="1">
                  <c:v>7.6428571428571432</c:v>
                </c:pt>
                <c:pt idx="2">
                  <c:v>7.7580188679245285</c:v>
                </c:pt>
              </c:numCache>
            </c:numRef>
          </c:val>
          <c:extLst>
            <c:ext xmlns:c16="http://schemas.microsoft.com/office/drawing/2014/chart" uri="{C3380CC4-5D6E-409C-BE32-E72D297353CC}">
              <c16:uniqueId val="{00000005-0CCF-4C57-BE5E-80738A131CAC}"/>
            </c:ext>
          </c:extLst>
        </c:ser>
        <c:ser>
          <c:idx val="2"/>
          <c:order val="2"/>
          <c:tx>
            <c:strRef>
              <c:f>Chart!$B$269</c:f>
              <c:strCache>
                <c:ptCount val="1"/>
                <c:pt idx="0">
                  <c:v>Construction</c:v>
                </c:pt>
              </c:strCache>
            </c:strRef>
          </c:tx>
          <c:invertIfNegative val="0"/>
          <c:dLbls>
            <c:dLbl>
              <c:idx val="2"/>
              <c:tx>
                <c:rich>
                  <a:bodyPr/>
                  <a:lstStyle/>
                  <a:p>
                    <a:r>
                      <a:rPr lang="en-US" sz="800" b="1"/>
                      <a:t> </a:t>
                    </a:r>
                    <a:r>
                      <a:rPr lang="en-US"/>
                      <a:t>Construction</a:t>
                    </a:r>
                  </a:p>
                </c:rich>
              </c:tx>
              <c:dLblPos val="inBase"/>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CCF-4C57-BE5E-80738A131CAC}"/>
                </c:ext>
              </c:extLst>
            </c:dLbl>
            <c:spPr>
              <a:noFill/>
              <a:ln>
                <a:noFill/>
              </a:ln>
              <a:effectLst/>
            </c:spPr>
            <c:txPr>
              <a:bodyPr/>
              <a:lstStyle/>
              <a:p>
                <a:pPr>
                  <a:defRPr sz="800" b="1"/>
                </a:pPr>
                <a:endParaRPr lang="en-US"/>
              </a:p>
            </c:txPr>
            <c:dLblPos val="inBase"/>
            <c:showLegendKey val="0"/>
            <c:showVal val="0"/>
            <c:showCatName val="0"/>
            <c:showSerName val="0"/>
            <c:showPercent val="0"/>
            <c:showBubbleSize val="0"/>
            <c:extLst>
              <c:ext xmlns:c15="http://schemas.microsoft.com/office/drawing/2012/chart" uri="{CE6537A1-D6FC-4f65-9D91-7224C49458BB}">
                <c15:showLeaderLines val="0"/>
              </c:ext>
            </c:extLst>
          </c:dLbls>
          <c:cat>
            <c:numRef>
              <c:f>Chart!$E$266:$G$266</c:f>
              <c:numCache>
                <c:formatCode>General</c:formatCode>
                <c:ptCount val="3"/>
                <c:pt idx="0">
                  <c:v>2012</c:v>
                </c:pt>
                <c:pt idx="1">
                  <c:v>2013</c:v>
                </c:pt>
                <c:pt idx="2">
                  <c:v>2014</c:v>
                </c:pt>
              </c:numCache>
            </c:numRef>
          </c:cat>
          <c:val>
            <c:numRef>
              <c:f>Chart!$E$269:$G$269</c:f>
              <c:numCache>
                <c:formatCode>_(* #,##0_);_(* \(#,##0\);_(* "-"??_);_(@_)</c:formatCode>
                <c:ptCount val="3"/>
                <c:pt idx="0">
                  <c:v>0</c:v>
                </c:pt>
                <c:pt idx="1">
                  <c:v>0.19047619047619047</c:v>
                </c:pt>
                <c:pt idx="2">
                  <c:v>2.1037735849056607</c:v>
                </c:pt>
              </c:numCache>
            </c:numRef>
          </c:val>
          <c:extLst>
            <c:ext xmlns:c16="http://schemas.microsoft.com/office/drawing/2014/chart" uri="{C3380CC4-5D6E-409C-BE32-E72D297353CC}">
              <c16:uniqueId val="{00000007-0CCF-4C57-BE5E-80738A131CAC}"/>
            </c:ext>
          </c:extLst>
        </c:ser>
        <c:dLbls>
          <c:showLegendKey val="0"/>
          <c:showVal val="0"/>
          <c:showCatName val="0"/>
          <c:showSerName val="0"/>
          <c:showPercent val="0"/>
          <c:showBubbleSize val="0"/>
        </c:dLbls>
        <c:gapWidth val="60"/>
        <c:overlap val="100"/>
        <c:axId val="1925399104"/>
        <c:axId val="1925366464"/>
      </c:barChart>
      <c:catAx>
        <c:axId val="1925399104"/>
        <c:scaling>
          <c:orientation val="minMax"/>
        </c:scaling>
        <c:delete val="0"/>
        <c:axPos val="b"/>
        <c:title>
          <c:tx>
            <c:rich>
              <a:bodyPr/>
              <a:lstStyle/>
              <a:p>
                <a:pPr>
                  <a:defRPr sz="800"/>
                </a:pPr>
                <a:r>
                  <a:rPr lang="en-US" sz="800"/>
                  <a:t>USDm</a:t>
                </a:r>
              </a:p>
            </c:rich>
          </c:tx>
          <c:layout>
            <c:manualLayout>
              <c:xMode val="edge"/>
              <c:yMode val="edge"/>
              <c:x val="1.6671149780570903E-2"/>
              <c:y val="6.7239757699760788E-2"/>
            </c:manualLayout>
          </c:layout>
          <c:overlay val="0"/>
        </c:title>
        <c:numFmt formatCode="General" sourceLinked="1"/>
        <c:majorTickMark val="out"/>
        <c:minorTickMark val="none"/>
        <c:tickLblPos val="nextTo"/>
        <c:txPr>
          <a:bodyPr/>
          <a:lstStyle/>
          <a:p>
            <a:pPr>
              <a:defRPr sz="800"/>
            </a:pPr>
            <a:endParaRPr lang="en-US"/>
          </a:p>
        </c:txPr>
        <c:crossAx val="1925366464"/>
        <c:crosses val="autoZero"/>
        <c:auto val="1"/>
        <c:lblAlgn val="ctr"/>
        <c:lblOffset val="100"/>
        <c:noMultiLvlLbl val="0"/>
      </c:catAx>
      <c:valAx>
        <c:axId val="1925366464"/>
        <c:scaling>
          <c:orientation val="minMax"/>
          <c:max val="25"/>
        </c:scaling>
        <c:delete val="0"/>
        <c:axPos val="l"/>
        <c:numFmt formatCode="_(* #,##0_);_(* \(#,##0\);_(* &quot;-&quot;??_);_(@_)" sourceLinked="1"/>
        <c:majorTickMark val="out"/>
        <c:minorTickMark val="none"/>
        <c:tickLblPos val="nextTo"/>
        <c:txPr>
          <a:bodyPr/>
          <a:lstStyle/>
          <a:p>
            <a:pPr>
              <a:defRPr sz="800"/>
            </a:pPr>
            <a:endParaRPr lang="en-US"/>
          </a:p>
        </c:txPr>
        <c:crossAx val="1925399104"/>
        <c:crosses val="autoZero"/>
        <c:crossBetween val="between"/>
      </c:valAx>
      <c:spPr>
        <a:noFill/>
      </c:spPr>
    </c:plotArea>
    <c:plotVisOnly val="1"/>
    <c:dispBlanksAs val="zero"/>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096062992125983"/>
          <c:y val="6.0185185185185147E-2"/>
          <c:w val="0.6160463692038497"/>
          <c:h val="0.83779308836395461"/>
        </c:manualLayout>
      </c:layout>
      <c:barChart>
        <c:barDir val="col"/>
        <c:grouping val="clustered"/>
        <c:varyColors val="0"/>
        <c:ser>
          <c:idx val="0"/>
          <c:order val="0"/>
          <c:tx>
            <c:strRef>
              <c:f>'Chart 2'!$K$4</c:f>
              <c:strCache>
                <c:ptCount val="1"/>
                <c:pt idx="0">
                  <c:v>Revenue</c:v>
                </c:pt>
              </c:strCache>
            </c:strRef>
          </c:tx>
          <c:invertIfNegative val="0"/>
          <c:cat>
            <c:strRef>
              <c:f>'Chart 2'!$L$3:$O$3</c:f>
              <c:strCache>
                <c:ptCount val="4"/>
                <c:pt idx="0">
                  <c:v>2015</c:v>
                </c:pt>
                <c:pt idx="1">
                  <c:v>2016</c:v>
                </c:pt>
                <c:pt idx="2">
                  <c:v>2017</c:v>
                </c:pt>
                <c:pt idx="3">
                  <c:v>Total</c:v>
                </c:pt>
              </c:strCache>
            </c:strRef>
          </c:cat>
          <c:val>
            <c:numRef>
              <c:f>'Chart 2'!$L$4:$O$4</c:f>
              <c:numCache>
                <c:formatCode>_(* #,##0_);_(* \(#,##0\);_(* "-"??_);_(@_)</c:formatCode>
                <c:ptCount val="4"/>
                <c:pt idx="0">
                  <c:v>707000</c:v>
                </c:pt>
                <c:pt idx="1">
                  <c:v>401131.4375</c:v>
                </c:pt>
                <c:pt idx="2">
                  <c:v>401131.4375</c:v>
                </c:pt>
                <c:pt idx="3">
                  <c:v>1509262.875</c:v>
                </c:pt>
              </c:numCache>
            </c:numRef>
          </c:val>
          <c:extLst>
            <c:ext xmlns:c16="http://schemas.microsoft.com/office/drawing/2014/chart" uri="{C3380CC4-5D6E-409C-BE32-E72D297353CC}">
              <c16:uniqueId val="{00000000-E17F-4958-8F2A-DCFCCBEA7B45}"/>
            </c:ext>
          </c:extLst>
        </c:ser>
        <c:ser>
          <c:idx val="1"/>
          <c:order val="1"/>
          <c:tx>
            <c:strRef>
              <c:f>'Chart 2'!$K$5</c:f>
              <c:strCache>
                <c:ptCount val="1"/>
                <c:pt idx="0">
                  <c:v>NPAT</c:v>
                </c:pt>
              </c:strCache>
            </c:strRef>
          </c:tx>
          <c:invertIfNegative val="0"/>
          <c:cat>
            <c:strRef>
              <c:f>'Chart 2'!$L$3:$O$3</c:f>
              <c:strCache>
                <c:ptCount val="4"/>
                <c:pt idx="0">
                  <c:v>2015</c:v>
                </c:pt>
                <c:pt idx="1">
                  <c:v>2016</c:v>
                </c:pt>
                <c:pt idx="2">
                  <c:v>2017</c:v>
                </c:pt>
                <c:pt idx="3">
                  <c:v>Total</c:v>
                </c:pt>
              </c:strCache>
            </c:strRef>
          </c:cat>
          <c:val>
            <c:numRef>
              <c:f>'Chart 2'!$L$5:$O$5</c:f>
              <c:numCache>
                <c:formatCode>_(* #,##0_);_(* \(#,##0\);_(* "-"??_);_(@_)</c:formatCode>
                <c:ptCount val="4"/>
                <c:pt idx="0">
                  <c:v>126477.17280812666</c:v>
                </c:pt>
                <c:pt idx="1">
                  <c:v>58310.6510371279</c:v>
                </c:pt>
                <c:pt idx="2">
                  <c:v>70534.337035927907</c:v>
                </c:pt>
                <c:pt idx="3">
                  <c:v>255322.16088118247</c:v>
                </c:pt>
              </c:numCache>
            </c:numRef>
          </c:val>
          <c:extLst>
            <c:ext xmlns:c16="http://schemas.microsoft.com/office/drawing/2014/chart" uri="{C3380CC4-5D6E-409C-BE32-E72D297353CC}">
              <c16:uniqueId val="{00000001-E17F-4958-8F2A-DCFCCBEA7B45}"/>
            </c:ext>
          </c:extLst>
        </c:ser>
        <c:dLbls>
          <c:showLegendKey val="0"/>
          <c:showVal val="0"/>
          <c:showCatName val="0"/>
          <c:showSerName val="0"/>
          <c:showPercent val="0"/>
          <c:showBubbleSize val="0"/>
        </c:dLbls>
        <c:gapWidth val="150"/>
        <c:axId val="1925386592"/>
        <c:axId val="1925377344"/>
      </c:barChart>
      <c:catAx>
        <c:axId val="1925386592"/>
        <c:scaling>
          <c:orientation val="minMax"/>
        </c:scaling>
        <c:delete val="0"/>
        <c:axPos val="b"/>
        <c:numFmt formatCode="General" sourceLinked="0"/>
        <c:majorTickMark val="out"/>
        <c:minorTickMark val="none"/>
        <c:tickLblPos val="nextTo"/>
        <c:crossAx val="1925377344"/>
        <c:crosses val="autoZero"/>
        <c:auto val="1"/>
        <c:lblAlgn val="ctr"/>
        <c:lblOffset val="100"/>
        <c:noMultiLvlLbl val="0"/>
      </c:catAx>
      <c:valAx>
        <c:axId val="1925377344"/>
        <c:scaling>
          <c:orientation val="minMax"/>
        </c:scaling>
        <c:delete val="0"/>
        <c:axPos val="l"/>
        <c:numFmt formatCode="_(* #,##0_);_(* \(#,##0\);_(* &quot;-&quot;??_);_(@_)" sourceLinked="1"/>
        <c:majorTickMark val="out"/>
        <c:minorTickMark val="none"/>
        <c:tickLblPos val="nextTo"/>
        <c:crossAx val="1925386592"/>
        <c:crosses val="autoZero"/>
        <c:crossBetween val="between"/>
      </c:valAx>
    </c:plotArea>
    <c:legend>
      <c:legendPos val="r"/>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'Chart 2'!$B$31</c:f>
              <c:strCache>
                <c:ptCount val="1"/>
                <c:pt idx="0">
                  <c:v>Revenue</c:v>
                </c:pt>
              </c:strCache>
            </c:strRef>
          </c:tx>
          <c:invertIfNegative val="0"/>
          <c:cat>
            <c:strRef>
              <c:f>'Chart 2'!$C$30:$E$30</c:f>
              <c:strCache>
                <c:ptCount val="3"/>
                <c:pt idx="0">
                  <c:v>2017</c:v>
                </c:pt>
                <c:pt idx="1">
                  <c:v>2018</c:v>
                </c:pt>
                <c:pt idx="2">
                  <c:v>Total</c:v>
                </c:pt>
              </c:strCache>
            </c:strRef>
          </c:cat>
          <c:val>
            <c:numRef>
              <c:f>'Chart 2'!$C$31:$E$31</c:f>
              <c:numCache>
                <c:formatCode>_(* #,##0_);_(* \(#,##0\);_(* "-"??_);_(@_)</c:formatCode>
                <c:ptCount val="3"/>
                <c:pt idx="0">
                  <c:v>442729.64</c:v>
                </c:pt>
                <c:pt idx="1">
                  <c:v>442729.64</c:v>
                </c:pt>
                <c:pt idx="2">
                  <c:v>885459.28</c:v>
                </c:pt>
              </c:numCache>
            </c:numRef>
          </c:val>
          <c:extLst>
            <c:ext xmlns:c16="http://schemas.microsoft.com/office/drawing/2014/chart" uri="{C3380CC4-5D6E-409C-BE32-E72D297353CC}">
              <c16:uniqueId val="{00000000-74DE-44FC-B827-0E60A490818F}"/>
            </c:ext>
          </c:extLst>
        </c:ser>
        <c:ser>
          <c:idx val="1"/>
          <c:order val="1"/>
          <c:tx>
            <c:strRef>
              <c:f>'Chart 2'!$B$32</c:f>
              <c:strCache>
                <c:ptCount val="1"/>
                <c:pt idx="0">
                  <c:v>NPAT</c:v>
                </c:pt>
              </c:strCache>
            </c:strRef>
          </c:tx>
          <c:invertIfNegative val="0"/>
          <c:cat>
            <c:strRef>
              <c:f>'Chart 2'!$C$30:$E$30</c:f>
              <c:strCache>
                <c:ptCount val="3"/>
                <c:pt idx="0">
                  <c:v>2017</c:v>
                </c:pt>
                <c:pt idx="1">
                  <c:v>2018</c:v>
                </c:pt>
                <c:pt idx="2">
                  <c:v>Total</c:v>
                </c:pt>
              </c:strCache>
            </c:strRef>
          </c:cat>
          <c:val>
            <c:numRef>
              <c:f>'Chart 2'!$C$32:$E$32</c:f>
              <c:numCache>
                <c:formatCode>_(* #,##0_);_(* \(#,##0\);_(* "-"??_);_(@_)</c:formatCode>
                <c:ptCount val="3"/>
                <c:pt idx="0">
                  <c:v>19589</c:v>
                </c:pt>
                <c:pt idx="1">
                  <c:v>57116</c:v>
                </c:pt>
                <c:pt idx="2">
                  <c:v>76705</c:v>
                </c:pt>
              </c:numCache>
            </c:numRef>
          </c:val>
          <c:extLst>
            <c:ext xmlns:c16="http://schemas.microsoft.com/office/drawing/2014/chart" uri="{C3380CC4-5D6E-409C-BE32-E72D297353CC}">
              <c16:uniqueId val="{00000001-74DE-44FC-B827-0E60A490818F}"/>
            </c:ext>
          </c:extLst>
        </c:ser>
        <c:dLbls>
          <c:showLegendKey val="0"/>
          <c:showVal val="0"/>
          <c:showCatName val="0"/>
          <c:showSerName val="0"/>
          <c:showPercent val="0"/>
          <c:showBubbleSize val="0"/>
        </c:dLbls>
        <c:gapWidth val="150"/>
        <c:axId val="1925399648"/>
        <c:axId val="1925387136"/>
      </c:barChart>
      <c:catAx>
        <c:axId val="1925399648"/>
        <c:scaling>
          <c:orientation val="minMax"/>
        </c:scaling>
        <c:delete val="0"/>
        <c:axPos val="b"/>
        <c:numFmt formatCode="General" sourceLinked="0"/>
        <c:majorTickMark val="out"/>
        <c:minorTickMark val="none"/>
        <c:tickLblPos val="nextTo"/>
        <c:crossAx val="1925387136"/>
        <c:crosses val="autoZero"/>
        <c:auto val="1"/>
        <c:lblAlgn val="ctr"/>
        <c:lblOffset val="100"/>
        <c:noMultiLvlLbl val="0"/>
      </c:catAx>
      <c:valAx>
        <c:axId val="1925387136"/>
        <c:scaling>
          <c:orientation val="minMax"/>
        </c:scaling>
        <c:delete val="0"/>
        <c:axPos val="l"/>
        <c:numFmt formatCode="_(* #,##0_);_(* \(#,##0\);_(* &quot;-&quot;??_);_(@_)" sourceLinked="1"/>
        <c:majorTickMark val="out"/>
        <c:minorTickMark val="none"/>
        <c:tickLblPos val="nextTo"/>
        <c:crossAx val="1925399648"/>
        <c:crosses val="autoZero"/>
        <c:crossBetween val="between"/>
      </c:valAx>
    </c:plotArea>
    <c:legend>
      <c:legendPos val="r"/>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'Chart 2'!$B$50</c:f>
              <c:strCache>
                <c:ptCount val="1"/>
                <c:pt idx="0">
                  <c:v>Revenue</c:v>
                </c:pt>
              </c:strCache>
            </c:strRef>
          </c:tx>
          <c:invertIfNegative val="0"/>
          <c:cat>
            <c:strRef>
              <c:f>'Chart 2'!$C$49:$G$49</c:f>
              <c:strCache>
                <c:ptCount val="5"/>
                <c:pt idx="0">
                  <c:v>2015</c:v>
                </c:pt>
                <c:pt idx="1">
                  <c:v>2016</c:v>
                </c:pt>
                <c:pt idx="2">
                  <c:v>2017</c:v>
                </c:pt>
                <c:pt idx="3">
                  <c:v>2018</c:v>
                </c:pt>
                <c:pt idx="4">
                  <c:v>Total</c:v>
                </c:pt>
              </c:strCache>
            </c:strRef>
          </c:cat>
          <c:val>
            <c:numRef>
              <c:f>'Chart 2'!$C$50:$G$50</c:f>
              <c:numCache>
                <c:formatCode>_(* #,##0_);_(* \(#,##0\);_(* "-"??_);_(@_)</c:formatCode>
                <c:ptCount val="5"/>
                <c:pt idx="0">
                  <c:v>136029.6</c:v>
                </c:pt>
                <c:pt idx="1">
                  <c:v>770834.4</c:v>
                </c:pt>
                <c:pt idx="2">
                  <c:v>361626.29999999993</c:v>
                </c:pt>
                <c:pt idx="3">
                  <c:v>361626.29999999993</c:v>
                </c:pt>
                <c:pt idx="4">
                  <c:v>1630116.5999999996</c:v>
                </c:pt>
              </c:numCache>
            </c:numRef>
          </c:val>
          <c:extLst>
            <c:ext xmlns:c16="http://schemas.microsoft.com/office/drawing/2014/chart" uri="{C3380CC4-5D6E-409C-BE32-E72D297353CC}">
              <c16:uniqueId val="{00000000-5518-4370-A3AD-0268853B7D0E}"/>
            </c:ext>
          </c:extLst>
        </c:ser>
        <c:ser>
          <c:idx val="1"/>
          <c:order val="1"/>
          <c:tx>
            <c:strRef>
              <c:f>'Chart 2'!$B$51</c:f>
              <c:strCache>
                <c:ptCount val="1"/>
                <c:pt idx="0">
                  <c:v>NPAT</c:v>
                </c:pt>
              </c:strCache>
            </c:strRef>
          </c:tx>
          <c:invertIfNegative val="0"/>
          <c:cat>
            <c:strRef>
              <c:f>'Chart 2'!$C$49:$G$49</c:f>
              <c:strCache>
                <c:ptCount val="5"/>
                <c:pt idx="0">
                  <c:v>2015</c:v>
                </c:pt>
                <c:pt idx="1">
                  <c:v>2016</c:v>
                </c:pt>
                <c:pt idx="2">
                  <c:v>2017</c:v>
                </c:pt>
                <c:pt idx="3">
                  <c:v>2018</c:v>
                </c:pt>
                <c:pt idx="4">
                  <c:v>Total</c:v>
                </c:pt>
              </c:strCache>
            </c:strRef>
          </c:cat>
          <c:val>
            <c:numRef>
              <c:f>'Chart 2'!$C$51:$G$51</c:f>
              <c:numCache>
                <c:formatCode>_(* #,##0_);_(* \(#,##0\);_(* "-"??_);_(@_)</c:formatCode>
                <c:ptCount val="5"/>
                <c:pt idx="0">
                  <c:v>29937.198393842144</c:v>
                </c:pt>
                <c:pt idx="1">
                  <c:v>252466.60487104833</c:v>
                </c:pt>
                <c:pt idx="2">
                  <c:v>15136.406885736214</c:v>
                </c:pt>
                <c:pt idx="3">
                  <c:v>31574.135477736221</c:v>
                </c:pt>
                <c:pt idx="4">
                  <c:v>303051.57397086296</c:v>
                </c:pt>
              </c:numCache>
            </c:numRef>
          </c:val>
          <c:extLst>
            <c:ext xmlns:c16="http://schemas.microsoft.com/office/drawing/2014/chart" uri="{C3380CC4-5D6E-409C-BE32-E72D297353CC}">
              <c16:uniqueId val="{00000001-5518-4370-A3AD-0268853B7D0E}"/>
            </c:ext>
          </c:extLst>
        </c:ser>
        <c:dLbls>
          <c:showLegendKey val="0"/>
          <c:showVal val="0"/>
          <c:showCatName val="0"/>
          <c:showSerName val="0"/>
          <c:showPercent val="0"/>
          <c:showBubbleSize val="0"/>
        </c:dLbls>
        <c:gapWidth val="150"/>
        <c:axId val="1925393120"/>
        <c:axId val="1925367552"/>
      </c:barChart>
      <c:catAx>
        <c:axId val="1925393120"/>
        <c:scaling>
          <c:orientation val="minMax"/>
        </c:scaling>
        <c:delete val="0"/>
        <c:axPos val="b"/>
        <c:numFmt formatCode="General" sourceLinked="0"/>
        <c:majorTickMark val="out"/>
        <c:minorTickMark val="none"/>
        <c:tickLblPos val="nextTo"/>
        <c:crossAx val="1925367552"/>
        <c:crosses val="autoZero"/>
        <c:auto val="1"/>
        <c:lblAlgn val="ctr"/>
        <c:lblOffset val="100"/>
        <c:noMultiLvlLbl val="0"/>
      </c:catAx>
      <c:valAx>
        <c:axId val="1925367552"/>
        <c:scaling>
          <c:orientation val="minMax"/>
        </c:scaling>
        <c:delete val="0"/>
        <c:axPos val="l"/>
        <c:numFmt formatCode="_(* #,##0_);_(* \(#,##0\);_(* &quot;-&quot;??_);_(@_)" sourceLinked="1"/>
        <c:majorTickMark val="out"/>
        <c:minorTickMark val="none"/>
        <c:tickLblPos val="nextTo"/>
        <c:crossAx val="1925393120"/>
        <c:crosses val="autoZero"/>
        <c:crossBetween val="between"/>
      </c:valAx>
    </c:plotArea>
    <c:legend>
      <c:legendPos val="r"/>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3.xml"/><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5.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0.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chart" Target="../charts/chart29.xml"/><Relationship Id="rId7" Type="http://schemas.openxmlformats.org/officeDocument/2006/relationships/chart" Target="../charts/chart33.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5" Type="http://schemas.openxmlformats.org/officeDocument/2006/relationships/chart" Target="../charts/chart3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s>
</file>

<file path=xl/drawings/_rels/drawing21.xml.rels><?xml version="1.0" encoding="UTF-8" standalone="yes"?>
<Relationships xmlns="http://schemas.openxmlformats.org/package/2006/relationships"><Relationship Id="rId8" Type="http://schemas.openxmlformats.org/officeDocument/2006/relationships/chart" Target="../charts/chart44.xml"/><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5.xml"/><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8" Type="http://schemas.openxmlformats.org/officeDocument/2006/relationships/chart" Target="../charts/chart53.xml"/><Relationship Id="rId13" Type="http://schemas.openxmlformats.org/officeDocument/2006/relationships/chart" Target="../charts/chart58.xml"/><Relationship Id="rId18" Type="http://schemas.openxmlformats.org/officeDocument/2006/relationships/chart" Target="../charts/chart63.xml"/><Relationship Id="rId3" Type="http://schemas.openxmlformats.org/officeDocument/2006/relationships/chart" Target="../charts/chart48.xml"/><Relationship Id="rId7" Type="http://schemas.openxmlformats.org/officeDocument/2006/relationships/chart" Target="../charts/chart52.xml"/><Relationship Id="rId12" Type="http://schemas.openxmlformats.org/officeDocument/2006/relationships/chart" Target="../charts/chart57.xml"/><Relationship Id="rId17" Type="http://schemas.openxmlformats.org/officeDocument/2006/relationships/chart" Target="../charts/chart62.xml"/><Relationship Id="rId2" Type="http://schemas.openxmlformats.org/officeDocument/2006/relationships/chart" Target="../charts/chart47.xml"/><Relationship Id="rId16" Type="http://schemas.openxmlformats.org/officeDocument/2006/relationships/chart" Target="../charts/chart61.xml"/><Relationship Id="rId1" Type="http://schemas.openxmlformats.org/officeDocument/2006/relationships/chart" Target="../charts/chart46.xml"/><Relationship Id="rId6" Type="http://schemas.openxmlformats.org/officeDocument/2006/relationships/chart" Target="../charts/chart51.xml"/><Relationship Id="rId11" Type="http://schemas.openxmlformats.org/officeDocument/2006/relationships/chart" Target="../charts/chart56.xml"/><Relationship Id="rId5" Type="http://schemas.openxmlformats.org/officeDocument/2006/relationships/chart" Target="../charts/chart50.xml"/><Relationship Id="rId15" Type="http://schemas.openxmlformats.org/officeDocument/2006/relationships/chart" Target="../charts/chart60.xml"/><Relationship Id="rId10" Type="http://schemas.openxmlformats.org/officeDocument/2006/relationships/chart" Target="../charts/chart55.xml"/><Relationship Id="rId4" Type="http://schemas.openxmlformats.org/officeDocument/2006/relationships/chart" Target="../charts/chart49.xml"/><Relationship Id="rId9" Type="http://schemas.openxmlformats.org/officeDocument/2006/relationships/chart" Target="../charts/chart54.xml"/><Relationship Id="rId14" Type="http://schemas.openxmlformats.org/officeDocument/2006/relationships/chart" Target="../charts/chart59.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1504950</xdr:colOff>
      <xdr:row>4</xdr:row>
      <xdr:rowOff>53193</xdr:rowOff>
    </xdr:to>
    <xdr:pic>
      <xdr:nvPicPr>
        <xdr:cNvPr id="2" name="Picture 1" descr="VCSC HD LOGO.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247650" y="161925"/>
          <a:ext cx="1504950" cy="5389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xdr:colOff>
      <xdr:row>1</xdr:row>
      <xdr:rowOff>0</xdr:rowOff>
    </xdr:from>
    <xdr:to>
      <xdr:col>3</xdr:col>
      <xdr:colOff>276220</xdr:colOff>
      <xdr:row>3</xdr:row>
      <xdr:rowOff>117231</xdr:rowOff>
    </xdr:to>
    <xdr:pic>
      <xdr:nvPicPr>
        <xdr:cNvPr id="2" name="Picture 1" descr="VCSC HD LOGO.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337039" y="153865"/>
          <a:ext cx="1345950" cy="424962"/>
        </a:xfrm>
        <a:prstGeom prst="rect">
          <a:avLst/>
        </a:prstGeom>
      </xdr:spPr>
    </xdr:pic>
    <xdr:clientData/>
  </xdr:twoCellAnchor>
  <xdr:twoCellAnchor>
    <xdr:from>
      <xdr:col>2</xdr:col>
      <xdr:colOff>38100</xdr:colOff>
      <xdr:row>46</xdr:row>
      <xdr:rowOff>66675</xdr:rowOff>
    </xdr:from>
    <xdr:to>
      <xdr:col>4</xdr:col>
      <xdr:colOff>426720</xdr:colOff>
      <xdr:row>56</xdr:row>
      <xdr:rowOff>5715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19049</xdr:colOff>
      <xdr:row>0</xdr:row>
      <xdr:rowOff>38100</xdr:rowOff>
    </xdr:from>
    <xdr:ext cx="7924801" cy="1743170"/>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3695699" y="38100"/>
          <a:ext cx="7924801" cy="1743170"/>
        </a:xfrm>
        <a:prstGeom prst="rect">
          <a:avLst/>
        </a:prstGeom>
        <a:ln w="12700">
          <a:noFill/>
        </a:ln>
      </xdr:spPr>
      <xdr:style>
        <a:lnRef idx="2">
          <a:schemeClr val="dk1"/>
        </a:lnRef>
        <a:fillRef idx="1">
          <a:schemeClr val="lt1"/>
        </a:fillRef>
        <a:effectRef idx="0">
          <a:schemeClr val="dk1"/>
        </a:effectRef>
        <a:fontRef idx="minor">
          <a:schemeClr val="dk1"/>
        </a:fontRef>
      </xdr:style>
      <xdr:txBody>
        <a:bodyPr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800">
              <a:solidFill>
                <a:schemeClr val="accent1"/>
              </a:solidFill>
              <a:latin typeface="Arial" pitchFamily="34" charset="0"/>
              <a:cs typeface="Arial" pitchFamily="34" charset="0"/>
            </a:rPr>
            <a:t>Mr/Ms.</a:t>
          </a:r>
          <a:r>
            <a:rPr lang="en-US" sz="800" baseline="0">
              <a:solidFill>
                <a:schemeClr val="accent1"/>
              </a:solidFill>
              <a:latin typeface="Arial" pitchFamily="34" charset="0"/>
              <a:cs typeface="Arial" pitchFamily="34" charset="0"/>
            </a:rPr>
            <a:t> First Last Name</a:t>
          </a:r>
        </a:p>
        <a:p>
          <a:pPr marL="0" marR="0" indent="0" defTabSz="914400" eaLnBrk="1" fontAlgn="auto" latinLnBrk="0" hangingPunct="1">
            <a:lnSpc>
              <a:spcPct val="100000"/>
            </a:lnSpc>
            <a:spcBef>
              <a:spcPts val="0"/>
            </a:spcBef>
            <a:spcAft>
              <a:spcPts val="0"/>
            </a:spcAft>
            <a:buClrTx/>
            <a:buSzTx/>
            <a:buFontTx/>
            <a:buNone/>
            <a:tabLst/>
            <a:defRPr/>
          </a:pPr>
          <a:r>
            <a:rPr lang="en-US" sz="800" baseline="0">
              <a:solidFill>
                <a:schemeClr val="accent1"/>
              </a:solidFill>
              <a:latin typeface="Arial" pitchFamily="34" charset="0"/>
              <a:ea typeface="+mn-ea"/>
              <a:cs typeface="Arial" pitchFamily="34" charset="0"/>
            </a:rPr>
            <a:t>Research and Analysis</a:t>
          </a:r>
          <a:r>
            <a:rPr lang="en-US" sz="800" baseline="0">
              <a:solidFill>
                <a:schemeClr val="accent1"/>
              </a:solidFill>
              <a:latin typeface="Arial" pitchFamily="34" charset="0"/>
              <a:cs typeface="Arial" pitchFamily="34" charset="0"/>
            </a:rPr>
            <a:t>		</a:t>
          </a:r>
        </a:p>
        <a:p>
          <a:r>
            <a:rPr lang="en-US" sz="800" baseline="0">
              <a:solidFill>
                <a:schemeClr val="accent1"/>
              </a:solidFill>
              <a:latin typeface="Arial" pitchFamily="34" charset="0"/>
              <a:cs typeface="Arial" pitchFamily="34" charset="0"/>
            </a:rPr>
            <a:t>first.last@vcsc.com.vn </a:t>
          </a:r>
        </a:p>
        <a:p>
          <a:r>
            <a:rPr lang="en-US" sz="800" baseline="0">
              <a:solidFill>
                <a:schemeClr val="accent1"/>
              </a:solidFill>
              <a:latin typeface="Arial" pitchFamily="34" charset="0"/>
              <a:cs typeface="Arial" pitchFamily="34" charset="0"/>
            </a:rPr>
            <a:t>el: + 84 8 3914 3588 ext. 000	</a:t>
          </a:r>
        </a:p>
        <a:p>
          <a:r>
            <a:rPr lang="en-US" sz="800" baseline="0">
              <a:solidFill>
                <a:schemeClr val="accent1"/>
              </a:solidFill>
              <a:latin typeface="Arial" pitchFamily="34" charset="0"/>
              <a:cs typeface="Arial" pitchFamily="34" charset="0"/>
            </a:rPr>
            <a:t>67 Ham Nghi St., District 1 HCMC</a:t>
          </a:r>
        </a:p>
        <a:p>
          <a:r>
            <a:rPr lang="en-US" sz="800" b="1" baseline="0">
              <a:solidFill>
                <a:schemeClr val="tx1"/>
              </a:solidFill>
              <a:latin typeface="Arial" pitchFamily="34" charset="0"/>
              <a:ea typeface="+mn-ea"/>
              <a:cs typeface="Arial" pitchFamily="34" charset="0"/>
            </a:rPr>
            <a:t> </a:t>
          </a:r>
          <a:endParaRPr lang="en-GB" sz="800" b="1">
            <a:solidFill>
              <a:schemeClr val="tx1"/>
            </a:solidFill>
            <a:latin typeface="Arial" pitchFamily="34" charset="0"/>
            <a:ea typeface="+mn-ea"/>
            <a:cs typeface="Arial" pitchFamily="34" charset="0"/>
          </a:endParaRPr>
        </a:p>
        <a:p>
          <a:r>
            <a:rPr lang="en-US" sz="800" b="1">
              <a:solidFill>
                <a:schemeClr val="tx1">
                  <a:lumMod val="50000"/>
                  <a:lumOff val="50000"/>
                </a:schemeClr>
              </a:solidFill>
              <a:latin typeface="Arial" pitchFamily="34" charset="0"/>
              <a:ea typeface="+mn-ea"/>
              <a:cs typeface="Arial" pitchFamily="34" charset="0"/>
            </a:rPr>
            <a:t>Disclaimer</a:t>
          </a:r>
          <a:endParaRPr lang="en-GB" sz="800">
            <a:solidFill>
              <a:schemeClr val="tx1">
                <a:lumMod val="50000"/>
                <a:lumOff val="50000"/>
              </a:schemeClr>
            </a:solidFill>
            <a:latin typeface="Arial" pitchFamily="34" charset="0"/>
            <a:ea typeface="+mn-ea"/>
            <a:cs typeface="Arial" pitchFamily="34" charset="0"/>
          </a:endParaRPr>
        </a:p>
        <a:p>
          <a:pPr algn="just" fontAlgn="auto"/>
          <a:r>
            <a:rPr lang="en-GB" sz="800">
              <a:solidFill>
                <a:schemeClr val="tx1">
                  <a:lumMod val="50000"/>
                  <a:lumOff val="50000"/>
                </a:schemeClr>
              </a:solidFill>
              <a:latin typeface="Arial" pitchFamily="34" charset="0"/>
              <a:ea typeface="+mn-ea"/>
              <a:cs typeface="Arial" pitchFamily="34" charset="0"/>
            </a:rPr>
            <a:t>Copyright 2011 Viet Capital Securities Company. All rights reserved. This report has been prepared on the basis of information believed to be reliable at the time of publication. VCSC makes no representation or warranty regarding the completeness and accuracy of such information. Opinions, estimates and projection expressed in this report represent the current views of the author at the date of publication only. They do not necessarily reflect the opinions of VCSC and are subject to change without notice. This report is provided, for information purposes only, to institutional investor and retail clients of VCSC, and does not constitute an offer or solicitation to buy or sell any securities discussed herein in any jurisdiction. Investors must make their investment decisions based upon independent advice subject to their particular financial situation and investment objectives. This report may not be copied, reproduced, published or redistributed by any person for any purpose without the written permission of an authorized representative of  VCSC. Please cite sources when quoting.</a:t>
          </a:r>
          <a:endParaRPr lang="en-US" sz="800">
            <a:solidFill>
              <a:schemeClr val="tx1">
                <a:lumMod val="50000"/>
                <a:lumOff val="50000"/>
              </a:schemeClr>
            </a:solidFill>
            <a:latin typeface="Arial" pitchFamily="34" charset="0"/>
            <a:cs typeface="Arial" pitchFamily="34"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1504950</xdr:colOff>
      <xdr:row>4</xdr:row>
      <xdr:rowOff>53193</xdr:rowOff>
    </xdr:to>
    <xdr:pic>
      <xdr:nvPicPr>
        <xdr:cNvPr id="2" name="Picture 1" descr="VCSC HD LOGO.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247650" y="161925"/>
          <a:ext cx="1504950" cy="5389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1504950</xdr:colOff>
      <xdr:row>4</xdr:row>
      <xdr:rowOff>53193</xdr:rowOff>
    </xdr:to>
    <xdr:pic>
      <xdr:nvPicPr>
        <xdr:cNvPr id="2" name="Picture 1" descr="VCSC HD LOGO.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247650" y="0"/>
          <a:ext cx="1504950" cy="5389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209550</xdr:colOff>
      <xdr:row>4</xdr:row>
      <xdr:rowOff>81768</xdr:rowOff>
    </xdr:to>
    <xdr:pic>
      <xdr:nvPicPr>
        <xdr:cNvPr id="3" name="Picture 2" descr="VCSC HD LOGO.jp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stretch>
          <a:fillRect/>
        </a:stretch>
      </xdr:blipFill>
      <xdr:spPr>
        <a:xfrm>
          <a:off x="247650" y="0"/>
          <a:ext cx="1504950" cy="5389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1504950</xdr:colOff>
      <xdr:row>4</xdr:row>
      <xdr:rowOff>81768</xdr:rowOff>
    </xdr:to>
    <xdr:pic>
      <xdr:nvPicPr>
        <xdr:cNvPr id="2" name="Picture 1" descr="VCSC HD LOGO.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247650" y="0"/>
          <a:ext cx="1504950" cy="5389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95251</xdr:colOff>
      <xdr:row>41</xdr:row>
      <xdr:rowOff>76200</xdr:rowOff>
    </xdr:from>
    <xdr:to>
      <xdr:col>6</xdr:col>
      <xdr:colOff>190501</xdr:colOff>
      <xdr:row>53</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628650</xdr:colOff>
      <xdr:row>41</xdr:row>
      <xdr:rowOff>38100</xdr:rowOff>
    </xdr:from>
    <xdr:to>
      <xdr:col>11</xdr:col>
      <xdr:colOff>47625</xdr:colOff>
      <xdr:row>53</xdr:row>
      <xdr:rowOff>9524</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1</xdr:row>
      <xdr:rowOff>0</xdr:rowOff>
    </xdr:from>
    <xdr:to>
      <xdr:col>1</xdr:col>
      <xdr:colOff>1514475</xdr:colOff>
      <xdr:row>4</xdr:row>
      <xdr:rowOff>81768</xdr:rowOff>
    </xdr:to>
    <xdr:pic>
      <xdr:nvPicPr>
        <xdr:cNvPr id="6" name="Picture 5" descr="VCSC HD LOGO.jpg">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 cstate="print"/>
        <a:stretch>
          <a:fillRect/>
        </a:stretch>
      </xdr:blipFill>
      <xdr:spPr>
        <a:xfrm>
          <a:off x="257175" y="0"/>
          <a:ext cx="1504950" cy="53896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66675</xdr:rowOff>
    </xdr:from>
    <xdr:to>
      <xdr:col>1</xdr:col>
      <xdr:colOff>1504950</xdr:colOff>
      <xdr:row>4</xdr:row>
      <xdr:rowOff>148443</xdr:rowOff>
    </xdr:to>
    <xdr:pic>
      <xdr:nvPicPr>
        <xdr:cNvPr id="2" name="Picture 1" descr="VCSC HD LOGO.jp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247650" y="219075"/>
          <a:ext cx="1504950" cy="53896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21</xdr:col>
      <xdr:colOff>369793</xdr:colOff>
      <xdr:row>1</xdr:row>
      <xdr:rowOff>56029</xdr:rowOff>
    </xdr:from>
    <xdr:to>
      <xdr:col>28</xdr:col>
      <xdr:colOff>224117</xdr:colOff>
      <xdr:row>39</xdr:row>
      <xdr:rowOff>112058</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1176619</xdr:colOff>
      <xdr:row>54</xdr:row>
      <xdr:rowOff>145676</xdr:rowOff>
    </xdr:from>
    <xdr:to>
      <xdr:col>9</xdr:col>
      <xdr:colOff>403412</xdr:colOff>
      <xdr:row>72</xdr:row>
      <xdr:rowOff>67235</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299357</xdr:colOff>
      <xdr:row>27</xdr:row>
      <xdr:rowOff>163286</xdr:rowOff>
    </xdr:from>
    <xdr:to>
      <xdr:col>15</xdr:col>
      <xdr:colOff>1224643</xdr:colOff>
      <xdr:row>43</xdr:row>
      <xdr:rowOff>95249</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21</xdr:col>
      <xdr:colOff>347380</xdr:colOff>
      <xdr:row>12</xdr:row>
      <xdr:rowOff>100854</xdr:rowOff>
    </xdr:from>
    <xdr:to>
      <xdr:col>28</xdr:col>
      <xdr:colOff>201704</xdr:colOff>
      <xdr:row>49</xdr:row>
      <xdr:rowOff>100854</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268941</xdr:colOff>
      <xdr:row>242</xdr:row>
      <xdr:rowOff>112059</xdr:rowOff>
    </xdr:from>
    <xdr:to>
      <xdr:col>12</xdr:col>
      <xdr:colOff>381000</xdr:colOff>
      <xdr:row>260</xdr:row>
      <xdr:rowOff>33617</xdr:rowOff>
    </xdr:to>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171449</xdr:colOff>
      <xdr:row>3</xdr:row>
      <xdr:rowOff>114300</xdr:rowOff>
    </xdr:from>
    <xdr:to>
      <xdr:col>12</xdr:col>
      <xdr:colOff>371475</xdr:colOff>
      <xdr:row>21</xdr:row>
      <xdr:rowOff>114300</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18</xdr:col>
      <xdr:colOff>47625</xdr:colOff>
      <xdr:row>38</xdr:row>
      <xdr:rowOff>142875</xdr:rowOff>
    </xdr:from>
    <xdr:to>
      <xdr:col>19</xdr:col>
      <xdr:colOff>3048000</xdr:colOff>
      <xdr:row>56</xdr:row>
      <xdr:rowOff>142875</xdr:rowOff>
    </xdr:to>
    <xdr:graphicFrame macro="">
      <xdr:nvGraphicFramePr>
        <xdr:cNvPr id="2" name="Chart 2">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1504950</xdr:colOff>
      <xdr:row>4</xdr:row>
      <xdr:rowOff>81768</xdr:rowOff>
    </xdr:to>
    <xdr:pic>
      <xdr:nvPicPr>
        <xdr:cNvPr id="2" name="Picture 1" descr="VCSC HD LOGO.jpg">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stretch>
          <a:fillRect/>
        </a:stretch>
      </xdr:blipFill>
      <xdr:spPr>
        <a:xfrm>
          <a:off x="247650" y="0"/>
          <a:ext cx="1504950" cy="53896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8</xdr:col>
      <xdr:colOff>1298221</xdr:colOff>
      <xdr:row>4</xdr:row>
      <xdr:rowOff>70555</xdr:rowOff>
    </xdr:from>
    <xdr:to>
      <xdr:col>12</xdr:col>
      <xdr:colOff>331610</xdr:colOff>
      <xdr:row>15</xdr:row>
      <xdr:rowOff>48683</xdr:rowOff>
    </xdr:to>
    <xdr:graphicFrame macro="">
      <xdr:nvGraphicFramePr>
        <xdr:cNvPr id="3" name="Chart 2">
          <a:extLst>
            <a:ext uri="{FF2B5EF4-FFF2-40B4-BE49-F238E27FC236}">
              <a16:creationId xmlns:a16="http://schemas.microsoft.com/office/drawing/2014/main" id="{00000000-0008-0000-1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268111</xdr:colOff>
      <xdr:row>7</xdr:row>
      <xdr:rowOff>141111</xdr:rowOff>
    </xdr:from>
    <xdr:to>
      <xdr:col>8</xdr:col>
      <xdr:colOff>1488720</xdr:colOff>
      <xdr:row>20</xdr:row>
      <xdr:rowOff>69848</xdr:rowOff>
    </xdr:to>
    <xdr:graphicFrame macro="">
      <xdr:nvGraphicFramePr>
        <xdr:cNvPr id="4" name="Chart 3">
          <a:extLst>
            <a:ext uri="{FF2B5EF4-FFF2-40B4-BE49-F238E27FC236}">
              <a16:creationId xmlns:a16="http://schemas.microsoft.com/office/drawing/2014/main" id="{00000000-0008-0000-1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388326</xdr:colOff>
      <xdr:row>21</xdr:row>
      <xdr:rowOff>31505</xdr:rowOff>
    </xdr:from>
    <xdr:to>
      <xdr:col>15</xdr:col>
      <xdr:colOff>95250</xdr:colOff>
      <xdr:row>39</xdr:row>
      <xdr:rowOff>5128</xdr:rowOff>
    </xdr:to>
    <xdr:graphicFrame macro="">
      <xdr:nvGraphicFramePr>
        <xdr:cNvPr id="2" name="Chart 1">
          <a:extLst>
            <a:ext uri="{FF2B5EF4-FFF2-40B4-BE49-F238E27FC236}">
              <a16:creationId xmlns:a16="http://schemas.microsoft.com/office/drawing/2014/main" id="{7CBD8E33-F0CF-6C90-8AA3-FDB3ABCA7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28</xdr:col>
      <xdr:colOff>204306</xdr:colOff>
      <xdr:row>35</xdr:row>
      <xdr:rowOff>27609</xdr:rowOff>
    </xdr:from>
    <xdr:to>
      <xdr:col>34</xdr:col>
      <xdr:colOff>408609</xdr:colOff>
      <xdr:row>47</xdr:row>
      <xdr:rowOff>15461</xdr:rowOff>
    </xdr:to>
    <xdr:graphicFrame macro="">
      <xdr:nvGraphicFramePr>
        <xdr:cNvPr id="3" name="Chart 2">
          <a:extLst>
            <a:ext uri="{FF2B5EF4-FFF2-40B4-BE49-F238E27FC236}">
              <a16:creationId xmlns:a16="http://schemas.microsoft.com/office/drawing/2014/main" id="{4414B29A-2D9A-41CA-844D-8112BC1DC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198784</xdr:colOff>
      <xdr:row>47</xdr:row>
      <xdr:rowOff>108226</xdr:rowOff>
    </xdr:from>
    <xdr:to>
      <xdr:col>34</xdr:col>
      <xdr:colOff>430696</xdr:colOff>
      <xdr:row>65</xdr:row>
      <xdr:rowOff>24296</xdr:rowOff>
    </xdr:to>
    <xdr:graphicFrame macro="">
      <xdr:nvGraphicFramePr>
        <xdr:cNvPr id="2" name="Chart 1">
          <a:extLst>
            <a:ext uri="{FF2B5EF4-FFF2-40B4-BE49-F238E27FC236}">
              <a16:creationId xmlns:a16="http://schemas.microsoft.com/office/drawing/2014/main" id="{84F02612-FDED-46D9-BCE1-A9961EF6E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463550</xdr:colOff>
      <xdr:row>73</xdr:row>
      <xdr:rowOff>133350</xdr:rowOff>
    </xdr:from>
    <xdr:to>
      <xdr:col>36</xdr:col>
      <xdr:colOff>117612</xdr:colOff>
      <xdr:row>91</xdr:row>
      <xdr:rowOff>4970</xdr:rowOff>
    </xdr:to>
    <xdr:graphicFrame macro="">
      <xdr:nvGraphicFramePr>
        <xdr:cNvPr id="4" name="Chart 3">
          <a:extLst>
            <a:ext uri="{FF2B5EF4-FFF2-40B4-BE49-F238E27FC236}">
              <a16:creationId xmlns:a16="http://schemas.microsoft.com/office/drawing/2014/main" id="{8BB35BD3-D4C9-4CBF-ADE8-FE1EFDE55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1163781</xdr:colOff>
      <xdr:row>107</xdr:row>
      <xdr:rowOff>144895</xdr:rowOff>
    </xdr:from>
    <xdr:to>
      <xdr:col>8</xdr:col>
      <xdr:colOff>120650</xdr:colOff>
      <xdr:row>121</xdr:row>
      <xdr:rowOff>38100</xdr:rowOff>
    </xdr:to>
    <xdr:graphicFrame macro="">
      <xdr:nvGraphicFramePr>
        <xdr:cNvPr id="2" name="Chart 1">
          <a:extLst>
            <a:ext uri="{FF2B5EF4-FFF2-40B4-BE49-F238E27FC236}">
              <a16:creationId xmlns:a16="http://schemas.microsoft.com/office/drawing/2014/main" id="{00000000-0008-0000-2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1530350</xdr:colOff>
      <xdr:row>128</xdr:row>
      <xdr:rowOff>88900</xdr:rowOff>
    </xdr:from>
    <xdr:to>
      <xdr:col>6</xdr:col>
      <xdr:colOff>457200</xdr:colOff>
      <xdr:row>140</xdr:row>
      <xdr:rowOff>82550</xdr:rowOff>
    </xdr:to>
    <xdr:graphicFrame macro="">
      <xdr:nvGraphicFramePr>
        <xdr:cNvPr id="3" name="Chart 2">
          <a:extLst>
            <a:ext uri="{FF2B5EF4-FFF2-40B4-BE49-F238E27FC236}">
              <a16:creationId xmlns:a16="http://schemas.microsoft.com/office/drawing/2014/main" id="{00000000-0008-0000-2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1524000</xdr:colOff>
      <xdr:row>145</xdr:row>
      <xdr:rowOff>50800</xdr:rowOff>
    </xdr:from>
    <xdr:to>
      <xdr:col>6</xdr:col>
      <xdr:colOff>368300</xdr:colOff>
      <xdr:row>158</xdr:row>
      <xdr:rowOff>69850</xdr:rowOff>
    </xdr:to>
    <xdr:graphicFrame macro="">
      <xdr:nvGraphicFramePr>
        <xdr:cNvPr id="4" name="Chart 3">
          <a:extLst>
            <a:ext uri="{FF2B5EF4-FFF2-40B4-BE49-F238E27FC236}">
              <a16:creationId xmlns:a16="http://schemas.microsoft.com/office/drawing/2014/main" id="{00000000-0008-0000-2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546100</xdr:colOff>
      <xdr:row>145</xdr:row>
      <xdr:rowOff>57150</xdr:rowOff>
    </xdr:from>
    <xdr:to>
      <xdr:col>10</xdr:col>
      <xdr:colOff>711200</xdr:colOff>
      <xdr:row>158</xdr:row>
      <xdr:rowOff>76200</xdr:rowOff>
    </xdr:to>
    <xdr:graphicFrame macro="">
      <xdr:nvGraphicFramePr>
        <xdr:cNvPr id="5" name="Chart 4">
          <a:extLst>
            <a:ext uri="{FF2B5EF4-FFF2-40B4-BE49-F238E27FC236}">
              <a16:creationId xmlns:a16="http://schemas.microsoft.com/office/drawing/2014/main" id="{00000000-0008-0000-2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565150</xdr:colOff>
      <xdr:row>128</xdr:row>
      <xdr:rowOff>95250</xdr:rowOff>
    </xdr:from>
    <xdr:to>
      <xdr:col>12</xdr:col>
      <xdr:colOff>241300</xdr:colOff>
      <xdr:row>140</xdr:row>
      <xdr:rowOff>114300</xdr:rowOff>
    </xdr:to>
    <xdr:graphicFrame macro="">
      <xdr:nvGraphicFramePr>
        <xdr:cNvPr id="6" name="Chart 5">
          <a:extLst>
            <a:ext uri="{FF2B5EF4-FFF2-40B4-BE49-F238E27FC236}">
              <a16:creationId xmlns:a16="http://schemas.microsoft.com/office/drawing/2014/main" id="{00000000-0008-0000-2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224116</xdr:colOff>
      <xdr:row>61</xdr:row>
      <xdr:rowOff>48558</xdr:rowOff>
    </xdr:from>
    <xdr:to>
      <xdr:col>11</xdr:col>
      <xdr:colOff>321233</xdr:colOff>
      <xdr:row>76</xdr:row>
      <xdr:rowOff>117607</xdr:rowOff>
    </xdr:to>
    <xdr:graphicFrame macro="">
      <xdr:nvGraphicFramePr>
        <xdr:cNvPr id="7" name="Chart 6">
          <a:extLst>
            <a:ext uri="{FF2B5EF4-FFF2-40B4-BE49-F238E27FC236}">
              <a16:creationId xmlns:a16="http://schemas.microsoft.com/office/drawing/2014/main" id="{6B29130C-1960-43AA-979D-F8C763D41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208110</xdr:colOff>
      <xdr:row>77</xdr:row>
      <xdr:rowOff>93915</xdr:rowOff>
    </xdr:from>
    <xdr:to>
      <xdr:col>11</xdr:col>
      <xdr:colOff>338844</xdr:colOff>
      <xdr:row>93</xdr:row>
      <xdr:rowOff>8751</xdr:rowOff>
    </xdr:to>
    <xdr:graphicFrame macro="">
      <xdr:nvGraphicFramePr>
        <xdr:cNvPr id="8" name="Chart 7">
          <a:extLst>
            <a:ext uri="{FF2B5EF4-FFF2-40B4-BE49-F238E27FC236}">
              <a16:creationId xmlns:a16="http://schemas.microsoft.com/office/drawing/2014/main" id="{0FC428BD-7DA2-402D-AAF8-429D41476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426358</xdr:colOff>
      <xdr:row>77</xdr:row>
      <xdr:rowOff>81642</xdr:rowOff>
    </xdr:from>
    <xdr:to>
      <xdr:col>16</xdr:col>
      <xdr:colOff>239592</xdr:colOff>
      <xdr:row>92</xdr:row>
      <xdr:rowOff>150692</xdr:rowOff>
    </xdr:to>
    <xdr:graphicFrame macro="">
      <xdr:nvGraphicFramePr>
        <xdr:cNvPr id="9" name="Chart 8">
          <a:extLst>
            <a:ext uri="{FF2B5EF4-FFF2-40B4-BE49-F238E27FC236}">
              <a16:creationId xmlns:a16="http://schemas.microsoft.com/office/drawing/2014/main" id="{0E4171C3-5542-4622-836C-1746261BD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426356</xdr:colOff>
      <xdr:row>61</xdr:row>
      <xdr:rowOff>36286</xdr:rowOff>
    </xdr:from>
    <xdr:to>
      <xdr:col>16</xdr:col>
      <xdr:colOff>205973</xdr:colOff>
      <xdr:row>76</xdr:row>
      <xdr:rowOff>105335</xdr:rowOff>
    </xdr:to>
    <xdr:graphicFrame macro="">
      <xdr:nvGraphicFramePr>
        <xdr:cNvPr id="10" name="Chart 9">
          <a:extLst>
            <a:ext uri="{FF2B5EF4-FFF2-40B4-BE49-F238E27FC236}">
              <a16:creationId xmlns:a16="http://schemas.microsoft.com/office/drawing/2014/main" id="{372FDB48-3AF2-4056-AA0B-E35A0E42F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7</xdr:col>
      <xdr:colOff>69850</xdr:colOff>
      <xdr:row>83</xdr:row>
      <xdr:rowOff>111125</xdr:rowOff>
    </xdr:from>
    <xdr:to>
      <xdr:col>13</xdr:col>
      <xdr:colOff>565150</xdr:colOff>
      <xdr:row>100</xdr:row>
      <xdr:rowOff>155575</xdr:rowOff>
    </xdr:to>
    <xdr:graphicFrame macro="">
      <xdr:nvGraphicFramePr>
        <xdr:cNvPr id="2" name="Chart 1">
          <a:extLst>
            <a:ext uri="{FF2B5EF4-FFF2-40B4-BE49-F238E27FC236}">
              <a16:creationId xmlns:a16="http://schemas.microsoft.com/office/drawing/2014/main" id="{8DAC4D55-A7DD-483F-A78E-9B79D9251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13</xdr:col>
      <xdr:colOff>0</xdr:colOff>
      <xdr:row>3</xdr:row>
      <xdr:rowOff>6627</xdr:rowOff>
    </xdr:from>
    <xdr:to>
      <xdr:col>21</xdr:col>
      <xdr:colOff>165652</xdr:colOff>
      <xdr:row>29</xdr:row>
      <xdr:rowOff>99392</xdr:rowOff>
    </xdr:to>
    <xdr:graphicFrame macro="">
      <xdr:nvGraphicFramePr>
        <xdr:cNvPr id="3" name="Chart 2">
          <a:extLst>
            <a:ext uri="{FF2B5EF4-FFF2-40B4-BE49-F238E27FC236}">
              <a16:creationId xmlns:a16="http://schemas.microsoft.com/office/drawing/2014/main" id="{00000000-0008-0000-2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244812</xdr:colOff>
      <xdr:row>3</xdr:row>
      <xdr:rowOff>16155</xdr:rowOff>
    </xdr:from>
    <xdr:to>
      <xdr:col>30</xdr:col>
      <xdr:colOff>313764</xdr:colOff>
      <xdr:row>29</xdr:row>
      <xdr:rowOff>109915</xdr:rowOff>
    </xdr:to>
    <xdr:graphicFrame macro="">
      <xdr:nvGraphicFramePr>
        <xdr:cNvPr id="10" name="Chart 9">
          <a:extLst>
            <a:ext uri="{FF2B5EF4-FFF2-40B4-BE49-F238E27FC236}">
              <a16:creationId xmlns:a16="http://schemas.microsoft.com/office/drawing/2014/main" id="{00000000-0008-0000-2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30</xdr:row>
      <xdr:rowOff>80683</xdr:rowOff>
    </xdr:from>
    <xdr:to>
      <xdr:col>10</xdr:col>
      <xdr:colOff>38100</xdr:colOff>
      <xdr:row>52</xdr:row>
      <xdr:rowOff>12103</xdr:rowOff>
    </xdr:to>
    <xdr:graphicFrame macro="">
      <xdr:nvGraphicFramePr>
        <xdr:cNvPr id="11" name="Chart 10">
          <a:extLst>
            <a:ext uri="{FF2B5EF4-FFF2-40B4-BE49-F238E27FC236}">
              <a16:creationId xmlns:a16="http://schemas.microsoft.com/office/drawing/2014/main" id="{00000000-0008-0000-2A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xdr:colOff>
      <xdr:row>30</xdr:row>
      <xdr:rowOff>99957</xdr:rowOff>
    </xdr:from>
    <xdr:to>
      <xdr:col>26</xdr:col>
      <xdr:colOff>565727</xdr:colOff>
      <xdr:row>52</xdr:row>
      <xdr:rowOff>54237</xdr:rowOff>
    </xdr:to>
    <xdr:graphicFrame macro="">
      <xdr:nvGraphicFramePr>
        <xdr:cNvPr id="12" name="Chart 11">
          <a:extLst>
            <a:ext uri="{FF2B5EF4-FFF2-40B4-BE49-F238E27FC236}">
              <a16:creationId xmlns:a16="http://schemas.microsoft.com/office/drawing/2014/main" id="{00000000-0008-0000-2A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53</xdr:row>
      <xdr:rowOff>0</xdr:rowOff>
    </xdr:from>
    <xdr:to>
      <xdr:col>10</xdr:col>
      <xdr:colOff>38100</xdr:colOff>
      <xdr:row>74</xdr:row>
      <xdr:rowOff>83820</xdr:rowOff>
    </xdr:to>
    <xdr:graphicFrame macro="">
      <xdr:nvGraphicFramePr>
        <xdr:cNvPr id="13" name="Chart 12">
          <a:extLst>
            <a:ext uri="{FF2B5EF4-FFF2-40B4-BE49-F238E27FC236}">
              <a16:creationId xmlns:a16="http://schemas.microsoft.com/office/drawing/2014/main" id="{00000000-0008-0000-2A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12700</xdr:colOff>
      <xdr:row>53</xdr:row>
      <xdr:rowOff>25400</xdr:rowOff>
    </xdr:from>
    <xdr:to>
      <xdr:col>20</xdr:col>
      <xdr:colOff>146050</xdr:colOff>
      <xdr:row>74</xdr:row>
      <xdr:rowOff>88900</xdr:rowOff>
    </xdr:to>
    <xdr:graphicFrame macro="">
      <xdr:nvGraphicFramePr>
        <xdr:cNvPr id="8" name="Chart 7">
          <a:extLst>
            <a:ext uri="{FF2B5EF4-FFF2-40B4-BE49-F238E27FC236}">
              <a16:creationId xmlns:a16="http://schemas.microsoft.com/office/drawing/2014/main" id="{00000000-0008-0000-2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114301</xdr:colOff>
      <xdr:row>75</xdr:row>
      <xdr:rowOff>57149</xdr:rowOff>
    </xdr:from>
    <xdr:to>
      <xdr:col>10</xdr:col>
      <xdr:colOff>22413</xdr:colOff>
      <xdr:row>93</xdr:row>
      <xdr:rowOff>37352</xdr:rowOff>
    </xdr:to>
    <xdr:graphicFrame macro="">
      <xdr:nvGraphicFramePr>
        <xdr:cNvPr id="9" name="Chart 8">
          <a:extLst>
            <a:ext uri="{FF2B5EF4-FFF2-40B4-BE49-F238E27FC236}">
              <a16:creationId xmlns:a16="http://schemas.microsoft.com/office/drawing/2014/main" id="{00000000-0008-0000-2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254000</xdr:colOff>
      <xdr:row>53</xdr:row>
      <xdr:rowOff>6724</xdr:rowOff>
    </xdr:from>
    <xdr:to>
      <xdr:col>27</xdr:col>
      <xdr:colOff>0</xdr:colOff>
      <xdr:row>74</xdr:row>
      <xdr:rowOff>103909</xdr:rowOff>
    </xdr:to>
    <xdr:graphicFrame macro="">
      <xdr:nvGraphicFramePr>
        <xdr:cNvPr id="2" name="Chart 1">
          <a:extLst>
            <a:ext uri="{FF2B5EF4-FFF2-40B4-BE49-F238E27FC236}">
              <a16:creationId xmlns:a16="http://schemas.microsoft.com/office/drawing/2014/main" id="{9BD9FEEB-DAFA-4A85-9A3E-7BE392DAE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410882</xdr:colOff>
      <xdr:row>94</xdr:row>
      <xdr:rowOff>96371</xdr:rowOff>
    </xdr:from>
    <xdr:to>
      <xdr:col>11</xdr:col>
      <xdr:colOff>134471</xdr:colOff>
      <xdr:row>108</xdr:row>
      <xdr:rowOff>104588</xdr:rowOff>
    </xdr:to>
    <xdr:graphicFrame macro="">
      <xdr:nvGraphicFramePr>
        <xdr:cNvPr id="4" name="Chart 3">
          <a:extLst>
            <a:ext uri="{FF2B5EF4-FFF2-40B4-BE49-F238E27FC236}">
              <a16:creationId xmlns:a16="http://schemas.microsoft.com/office/drawing/2014/main" id="{C55FD82F-D48E-4725-B682-7B95D017F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246530</xdr:colOff>
      <xdr:row>94</xdr:row>
      <xdr:rowOff>97118</xdr:rowOff>
    </xdr:from>
    <xdr:to>
      <xdr:col>17</xdr:col>
      <xdr:colOff>545353</xdr:colOff>
      <xdr:row>108</xdr:row>
      <xdr:rowOff>105335</xdr:rowOff>
    </xdr:to>
    <xdr:graphicFrame macro="">
      <xdr:nvGraphicFramePr>
        <xdr:cNvPr id="14" name="Chart 13">
          <a:extLst>
            <a:ext uri="{FF2B5EF4-FFF2-40B4-BE49-F238E27FC236}">
              <a16:creationId xmlns:a16="http://schemas.microsoft.com/office/drawing/2014/main" id="{4CEFB338-D612-4FAA-9F05-CC5EEA09C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9</xdr:col>
      <xdr:colOff>260811</xdr:colOff>
      <xdr:row>0</xdr:row>
      <xdr:rowOff>166755</xdr:rowOff>
    </xdr:from>
    <xdr:to>
      <xdr:col>14</xdr:col>
      <xdr:colOff>274922</xdr:colOff>
      <xdr:row>18</xdr:row>
      <xdr:rowOff>79514</xdr:rowOff>
    </xdr:to>
    <xdr:graphicFrame macro="">
      <xdr:nvGraphicFramePr>
        <xdr:cNvPr id="2" name="Chart 1">
          <a:extLst>
            <a:ext uri="{FF2B5EF4-FFF2-40B4-BE49-F238E27FC236}">
              <a16:creationId xmlns:a16="http://schemas.microsoft.com/office/drawing/2014/main" id="{00000000-0008-0000-2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186450</xdr:colOff>
      <xdr:row>0</xdr:row>
      <xdr:rowOff>173812</xdr:rowOff>
    </xdr:from>
    <xdr:to>
      <xdr:col>20</xdr:col>
      <xdr:colOff>292283</xdr:colOff>
      <xdr:row>18</xdr:row>
      <xdr:rowOff>118197</xdr:rowOff>
    </xdr:to>
    <xdr:graphicFrame macro="">
      <xdr:nvGraphicFramePr>
        <xdr:cNvPr id="3" name="Chart 2">
          <a:extLst>
            <a:ext uri="{FF2B5EF4-FFF2-40B4-BE49-F238E27FC236}">
              <a16:creationId xmlns:a16="http://schemas.microsoft.com/office/drawing/2014/main" id="{00000000-0008-0000-2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169333</xdr:colOff>
      <xdr:row>21</xdr:row>
      <xdr:rowOff>28222</xdr:rowOff>
    </xdr:from>
    <xdr:to>
      <xdr:col>16</xdr:col>
      <xdr:colOff>0</xdr:colOff>
      <xdr:row>36</xdr:row>
      <xdr:rowOff>105833</xdr:rowOff>
    </xdr:to>
    <xdr:graphicFrame macro="">
      <xdr:nvGraphicFramePr>
        <xdr:cNvPr id="4" name="Chart 3">
          <a:extLst>
            <a:ext uri="{FF2B5EF4-FFF2-40B4-BE49-F238E27FC236}">
              <a16:creationId xmlns:a16="http://schemas.microsoft.com/office/drawing/2014/main" id="{00000000-0008-0000-2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124239</xdr:colOff>
      <xdr:row>21</xdr:row>
      <xdr:rowOff>8281</xdr:rowOff>
    </xdr:from>
    <xdr:to>
      <xdr:col>23</xdr:col>
      <xdr:colOff>563219</xdr:colOff>
      <xdr:row>36</xdr:row>
      <xdr:rowOff>107674</xdr:rowOff>
    </xdr:to>
    <xdr:graphicFrame macro="">
      <xdr:nvGraphicFramePr>
        <xdr:cNvPr id="5" name="Chart 4">
          <a:extLst>
            <a:ext uri="{FF2B5EF4-FFF2-40B4-BE49-F238E27FC236}">
              <a16:creationId xmlns:a16="http://schemas.microsoft.com/office/drawing/2014/main" id="{00000000-0008-0000-2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169333</xdr:colOff>
      <xdr:row>37</xdr:row>
      <xdr:rowOff>42334</xdr:rowOff>
    </xdr:from>
    <xdr:to>
      <xdr:col>20</xdr:col>
      <xdr:colOff>507999</xdr:colOff>
      <xdr:row>54</xdr:row>
      <xdr:rowOff>134056</xdr:rowOff>
    </xdr:to>
    <xdr:graphicFrame macro="">
      <xdr:nvGraphicFramePr>
        <xdr:cNvPr id="6" name="Chart 5">
          <a:extLst>
            <a:ext uri="{FF2B5EF4-FFF2-40B4-BE49-F238E27FC236}">
              <a16:creationId xmlns:a16="http://schemas.microsoft.com/office/drawing/2014/main" id="{00000000-0008-0000-2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84667</xdr:colOff>
      <xdr:row>21</xdr:row>
      <xdr:rowOff>35277</xdr:rowOff>
    </xdr:from>
    <xdr:to>
      <xdr:col>8</xdr:col>
      <xdr:colOff>77611</xdr:colOff>
      <xdr:row>36</xdr:row>
      <xdr:rowOff>105833</xdr:rowOff>
    </xdr:to>
    <xdr:graphicFrame macro="">
      <xdr:nvGraphicFramePr>
        <xdr:cNvPr id="8" name="Chart 7">
          <a:extLst>
            <a:ext uri="{FF2B5EF4-FFF2-40B4-BE49-F238E27FC236}">
              <a16:creationId xmlns:a16="http://schemas.microsoft.com/office/drawing/2014/main" id="{00000000-0008-0000-2B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84667</xdr:colOff>
      <xdr:row>37</xdr:row>
      <xdr:rowOff>21167</xdr:rowOff>
    </xdr:from>
    <xdr:to>
      <xdr:col>8</xdr:col>
      <xdr:colOff>63500</xdr:colOff>
      <xdr:row>54</xdr:row>
      <xdr:rowOff>127000</xdr:rowOff>
    </xdr:to>
    <xdr:graphicFrame macro="">
      <xdr:nvGraphicFramePr>
        <xdr:cNvPr id="9" name="Chart 8">
          <a:extLst>
            <a:ext uri="{FF2B5EF4-FFF2-40B4-BE49-F238E27FC236}">
              <a16:creationId xmlns:a16="http://schemas.microsoft.com/office/drawing/2014/main" id="{00000000-0008-0000-2B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450575</xdr:colOff>
      <xdr:row>0</xdr:row>
      <xdr:rowOff>159026</xdr:rowOff>
    </xdr:from>
    <xdr:to>
      <xdr:col>25</xdr:col>
      <xdr:colOff>556410</xdr:colOff>
      <xdr:row>18</xdr:row>
      <xdr:rowOff>103411</xdr:rowOff>
    </xdr:to>
    <xdr:graphicFrame macro="">
      <xdr:nvGraphicFramePr>
        <xdr:cNvPr id="10" name="Chart 9">
          <a:extLst>
            <a:ext uri="{FF2B5EF4-FFF2-40B4-BE49-F238E27FC236}">
              <a16:creationId xmlns:a16="http://schemas.microsoft.com/office/drawing/2014/main" id="{00000000-0008-0000-2B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editAs="oneCell">
    <xdr:from>
      <xdr:col>30</xdr:col>
      <xdr:colOff>198120</xdr:colOff>
      <xdr:row>99</xdr:row>
      <xdr:rowOff>0</xdr:rowOff>
    </xdr:from>
    <xdr:to>
      <xdr:col>56</xdr:col>
      <xdr:colOff>361950</xdr:colOff>
      <xdr:row>100</xdr:row>
      <xdr:rowOff>5825</xdr:rowOff>
    </xdr:to>
    <xdr:pic>
      <xdr:nvPicPr>
        <xdr:cNvPr id="4" name="Picture 5">
          <a:extLst>
            <a:ext uri="{FF2B5EF4-FFF2-40B4-BE49-F238E27FC236}">
              <a16:creationId xmlns:a16="http://schemas.microsoft.com/office/drawing/2014/main" id="{00000000-0008-0000-2C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118080" y="6199343"/>
          <a:ext cx="16013430" cy="5499262"/>
        </a:xfrm>
        <a:prstGeom prst="rect">
          <a:avLst/>
        </a:prstGeom>
        <a:noFill/>
        <a:ln w="1">
          <a:noFill/>
          <a:miter lim="800000"/>
          <a:headEnd/>
          <a:tailEnd type="none" w="med" len="med"/>
        </a:ln>
        <a:effectLst/>
      </xdr:spPr>
    </xdr:pic>
    <xdr:clientData/>
  </xdr:twoCellAnchor>
  <xdr:twoCellAnchor>
    <xdr:from>
      <xdr:col>25</xdr:col>
      <xdr:colOff>922130</xdr:colOff>
      <xdr:row>34</xdr:row>
      <xdr:rowOff>132522</xdr:rowOff>
    </xdr:from>
    <xdr:to>
      <xdr:col>34</xdr:col>
      <xdr:colOff>121478</xdr:colOff>
      <xdr:row>49</xdr:row>
      <xdr:rowOff>33130</xdr:rowOff>
    </xdr:to>
    <xdr:graphicFrame macro="">
      <xdr:nvGraphicFramePr>
        <xdr:cNvPr id="5" name="Chart 4">
          <a:extLst>
            <a:ext uri="{FF2B5EF4-FFF2-40B4-BE49-F238E27FC236}">
              <a16:creationId xmlns:a16="http://schemas.microsoft.com/office/drawing/2014/main" id="{427E0989-C0AD-41A2-9E34-9D85303EC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3</xdr:col>
      <xdr:colOff>564173</xdr:colOff>
      <xdr:row>0</xdr:row>
      <xdr:rowOff>87923</xdr:rowOff>
    </xdr:from>
    <xdr:to>
      <xdr:col>7</xdr:col>
      <xdr:colOff>424962</xdr:colOff>
      <xdr:row>2</xdr:row>
      <xdr:rowOff>146538</xdr:rowOff>
    </xdr:to>
    <xdr:sp macro="" textlink="">
      <xdr:nvSpPr>
        <xdr:cNvPr id="2" name="TextBox 1">
          <a:extLst>
            <a:ext uri="{FF2B5EF4-FFF2-40B4-BE49-F238E27FC236}">
              <a16:creationId xmlns:a16="http://schemas.microsoft.com/office/drawing/2014/main" id="{00000000-0008-0000-3F00-000002000000}"/>
            </a:ext>
          </a:extLst>
        </xdr:cNvPr>
        <xdr:cNvSpPr txBox="1"/>
      </xdr:nvSpPr>
      <xdr:spPr>
        <a:xfrm>
          <a:off x="3553558" y="87923"/>
          <a:ext cx="2286000" cy="45426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Belong</a:t>
          </a:r>
          <a:r>
            <a:rPr lang="en-US" sz="1400" baseline="0"/>
            <a:t> to LDG</a:t>
          </a:r>
          <a:endParaRPr lang="en-US" sz="14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457200</xdr:colOff>
      <xdr:row>11</xdr:row>
      <xdr:rowOff>28575</xdr:rowOff>
    </xdr:from>
    <xdr:to>
      <xdr:col>7</xdr:col>
      <xdr:colOff>333374</xdr:colOff>
      <xdr:row>29</xdr:row>
      <xdr:rowOff>28575</xdr:rowOff>
    </xdr:to>
    <xdr:graphicFrame macro="">
      <xdr:nvGraphicFramePr>
        <xdr:cNvPr id="2" name="Chart 1">
          <a:extLst>
            <a:ext uri="{FF2B5EF4-FFF2-40B4-BE49-F238E27FC236}">
              <a16:creationId xmlns:a16="http://schemas.microsoft.com/office/drawing/2014/main" id="{00000000-0008-0000-4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609600</xdr:colOff>
      <xdr:row>11</xdr:row>
      <xdr:rowOff>9525</xdr:rowOff>
    </xdr:from>
    <xdr:to>
      <xdr:col>16</xdr:col>
      <xdr:colOff>228600</xdr:colOff>
      <xdr:row>29</xdr:row>
      <xdr:rowOff>9525</xdr:rowOff>
    </xdr:to>
    <xdr:graphicFrame macro="">
      <xdr:nvGraphicFramePr>
        <xdr:cNvPr id="3" name="Chart 2">
          <a:extLst>
            <a:ext uri="{FF2B5EF4-FFF2-40B4-BE49-F238E27FC236}">
              <a16:creationId xmlns:a16="http://schemas.microsoft.com/office/drawing/2014/main" id="{00000000-0008-0000-4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34</xdr:row>
      <xdr:rowOff>47625</xdr:rowOff>
    </xdr:from>
    <xdr:to>
      <xdr:col>7</xdr:col>
      <xdr:colOff>133350</xdr:colOff>
      <xdr:row>52</xdr:row>
      <xdr:rowOff>47625</xdr:rowOff>
    </xdr:to>
    <xdr:graphicFrame macro="">
      <xdr:nvGraphicFramePr>
        <xdr:cNvPr id="4" name="Chart 3">
          <a:extLst>
            <a:ext uri="{FF2B5EF4-FFF2-40B4-BE49-F238E27FC236}">
              <a16:creationId xmlns:a16="http://schemas.microsoft.com/office/drawing/2014/main" id="{00000000-0008-0000-4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9525</xdr:colOff>
      <xdr:row>39</xdr:row>
      <xdr:rowOff>76199</xdr:rowOff>
    </xdr:from>
    <xdr:to>
      <xdr:col>14</xdr:col>
      <xdr:colOff>561975</xdr:colOff>
      <xdr:row>54</xdr:row>
      <xdr:rowOff>66674</xdr:rowOff>
    </xdr:to>
    <xdr:graphicFrame macro="">
      <xdr:nvGraphicFramePr>
        <xdr:cNvPr id="5" name="Chart 4">
          <a:extLst>
            <a:ext uri="{FF2B5EF4-FFF2-40B4-BE49-F238E27FC236}">
              <a16:creationId xmlns:a16="http://schemas.microsoft.com/office/drawing/2014/main" id="{00000000-0008-0000-4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466725</xdr:colOff>
      <xdr:row>55</xdr:row>
      <xdr:rowOff>0</xdr:rowOff>
    </xdr:from>
    <xdr:to>
      <xdr:col>17</xdr:col>
      <xdr:colOff>9525</xdr:colOff>
      <xdr:row>73</xdr:row>
      <xdr:rowOff>0</xdr:rowOff>
    </xdr:to>
    <xdr:graphicFrame macro="">
      <xdr:nvGraphicFramePr>
        <xdr:cNvPr id="6" name="Chart 5">
          <a:extLst>
            <a:ext uri="{FF2B5EF4-FFF2-40B4-BE49-F238E27FC236}">
              <a16:creationId xmlns:a16="http://schemas.microsoft.com/office/drawing/2014/main" id="{00000000-0008-0000-4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123825</xdr:colOff>
      <xdr:row>69</xdr:row>
      <xdr:rowOff>152400</xdr:rowOff>
    </xdr:from>
    <xdr:to>
      <xdr:col>7</xdr:col>
      <xdr:colOff>552450</xdr:colOff>
      <xdr:row>84</xdr:row>
      <xdr:rowOff>133349</xdr:rowOff>
    </xdr:to>
    <xdr:graphicFrame macro="">
      <xdr:nvGraphicFramePr>
        <xdr:cNvPr id="7" name="Chart 6">
          <a:extLst>
            <a:ext uri="{FF2B5EF4-FFF2-40B4-BE49-F238E27FC236}">
              <a16:creationId xmlns:a16="http://schemas.microsoft.com/office/drawing/2014/main" id="{00000000-0008-0000-4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866775</xdr:colOff>
      <xdr:row>94</xdr:row>
      <xdr:rowOff>95250</xdr:rowOff>
    </xdr:from>
    <xdr:to>
      <xdr:col>6</xdr:col>
      <xdr:colOff>561975</xdr:colOff>
      <xdr:row>112</xdr:row>
      <xdr:rowOff>95250</xdr:rowOff>
    </xdr:to>
    <xdr:graphicFrame macro="">
      <xdr:nvGraphicFramePr>
        <xdr:cNvPr id="8" name="Chart 7">
          <a:extLst>
            <a:ext uri="{FF2B5EF4-FFF2-40B4-BE49-F238E27FC236}">
              <a16:creationId xmlns:a16="http://schemas.microsoft.com/office/drawing/2014/main" id="{00000000-0008-0000-4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581025</xdr:colOff>
      <xdr:row>149</xdr:row>
      <xdr:rowOff>238125</xdr:rowOff>
    </xdr:from>
    <xdr:to>
      <xdr:col>8</xdr:col>
      <xdr:colOff>1000125</xdr:colOff>
      <xdr:row>167</xdr:row>
      <xdr:rowOff>19050</xdr:rowOff>
    </xdr:to>
    <xdr:graphicFrame macro="">
      <xdr:nvGraphicFramePr>
        <xdr:cNvPr id="10" name="Chart 9">
          <a:extLst>
            <a:ext uri="{FF2B5EF4-FFF2-40B4-BE49-F238E27FC236}">
              <a16:creationId xmlns:a16="http://schemas.microsoft.com/office/drawing/2014/main" id="{00000000-0008-0000-48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838200</xdr:colOff>
      <xdr:row>168</xdr:row>
      <xdr:rowOff>95250</xdr:rowOff>
    </xdr:from>
    <xdr:to>
      <xdr:col>10</xdr:col>
      <xdr:colOff>495300</xdr:colOff>
      <xdr:row>188</xdr:row>
      <xdr:rowOff>95250</xdr:rowOff>
    </xdr:to>
    <xdr:graphicFrame macro="">
      <xdr:nvGraphicFramePr>
        <xdr:cNvPr id="12" name="Chart 11">
          <a:extLst>
            <a:ext uri="{FF2B5EF4-FFF2-40B4-BE49-F238E27FC236}">
              <a16:creationId xmlns:a16="http://schemas.microsoft.com/office/drawing/2014/main" id="{00000000-0008-0000-48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115957</xdr:colOff>
      <xdr:row>201</xdr:row>
      <xdr:rowOff>33130</xdr:rowOff>
    </xdr:from>
    <xdr:to>
      <xdr:col>8</xdr:col>
      <xdr:colOff>530087</xdr:colOff>
      <xdr:row>219</xdr:row>
      <xdr:rowOff>91109</xdr:rowOff>
    </xdr:to>
    <xdr:graphicFrame macro="">
      <xdr:nvGraphicFramePr>
        <xdr:cNvPr id="13" name="Chart 12">
          <a:extLst>
            <a:ext uri="{FF2B5EF4-FFF2-40B4-BE49-F238E27FC236}">
              <a16:creationId xmlns:a16="http://schemas.microsoft.com/office/drawing/2014/main" id="{00000000-0008-0000-48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488674</xdr:colOff>
      <xdr:row>218</xdr:row>
      <xdr:rowOff>41412</xdr:rowOff>
    </xdr:from>
    <xdr:to>
      <xdr:col>7</xdr:col>
      <xdr:colOff>571500</xdr:colOff>
      <xdr:row>236</xdr:row>
      <xdr:rowOff>99391</xdr:rowOff>
    </xdr:to>
    <xdr:graphicFrame macro="">
      <xdr:nvGraphicFramePr>
        <xdr:cNvPr id="14" name="Chart 13">
          <a:extLst>
            <a:ext uri="{FF2B5EF4-FFF2-40B4-BE49-F238E27FC236}">
              <a16:creationId xmlns:a16="http://schemas.microsoft.com/office/drawing/2014/main" id="{00000000-0008-0000-48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42372</xdr:colOff>
      <xdr:row>237</xdr:row>
      <xdr:rowOff>49409</xdr:rowOff>
    </xdr:from>
    <xdr:to>
      <xdr:col>11</xdr:col>
      <xdr:colOff>206923</xdr:colOff>
      <xdr:row>260</xdr:row>
      <xdr:rowOff>107386</xdr:rowOff>
    </xdr:to>
    <xdr:graphicFrame macro="">
      <xdr:nvGraphicFramePr>
        <xdr:cNvPr id="16" name="Chart 15">
          <a:extLst>
            <a:ext uri="{FF2B5EF4-FFF2-40B4-BE49-F238E27FC236}">
              <a16:creationId xmlns:a16="http://schemas.microsoft.com/office/drawing/2014/main" id="{00000000-0008-0000-48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215791</xdr:colOff>
      <xdr:row>306</xdr:row>
      <xdr:rowOff>10405</xdr:rowOff>
    </xdr:from>
    <xdr:to>
      <xdr:col>11</xdr:col>
      <xdr:colOff>412695</xdr:colOff>
      <xdr:row>322</xdr:row>
      <xdr:rowOff>92847</xdr:rowOff>
    </xdr:to>
    <xdr:graphicFrame macro="">
      <xdr:nvGraphicFramePr>
        <xdr:cNvPr id="18" name="Chart 17">
          <a:extLst>
            <a:ext uri="{FF2B5EF4-FFF2-40B4-BE49-F238E27FC236}">
              <a16:creationId xmlns:a16="http://schemas.microsoft.com/office/drawing/2014/main" id="{00000000-0008-0000-48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268941</xdr:colOff>
      <xdr:row>122</xdr:row>
      <xdr:rowOff>123265</xdr:rowOff>
    </xdr:from>
    <xdr:to>
      <xdr:col>10</xdr:col>
      <xdr:colOff>313765</xdr:colOff>
      <xdr:row>143</xdr:row>
      <xdr:rowOff>134471</xdr:rowOff>
    </xdr:to>
    <xdr:graphicFrame macro="">
      <xdr:nvGraphicFramePr>
        <xdr:cNvPr id="21" name="Chart 20">
          <a:extLst>
            <a:ext uri="{FF2B5EF4-FFF2-40B4-BE49-F238E27FC236}">
              <a16:creationId xmlns:a16="http://schemas.microsoft.com/office/drawing/2014/main" id="{00000000-0008-0000-4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425824</xdr:colOff>
      <xdr:row>334</xdr:row>
      <xdr:rowOff>100853</xdr:rowOff>
    </xdr:from>
    <xdr:to>
      <xdr:col>8</xdr:col>
      <xdr:colOff>268942</xdr:colOff>
      <xdr:row>352</xdr:row>
      <xdr:rowOff>22411</xdr:rowOff>
    </xdr:to>
    <xdr:graphicFrame macro="">
      <xdr:nvGraphicFramePr>
        <xdr:cNvPr id="22" name="Chart 21">
          <a:extLst>
            <a:ext uri="{FF2B5EF4-FFF2-40B4-BE49-F238E27FC236}">
              <a16:creationId xmlns:a16="http://schemas.microsoft.com/office/drawing/2014/main" id="{00000000-0008-0000-48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272864</xdr:colOff>
      <xdr:row>254</xdr:row>
      <xdr:rowOff>38101</xdr:rowOff>
    </xdr:from>
    <xdr:to>
      <xdr:col>20</xdr:col>
      <xdr:colOff>552449</xdr:colOff>
      <xdr:row>272</xdr:row>
      <xdr:rowOff>76201</xdr:rowOff>
    </xdr:to>
    <xdr:graphicFrame macro="">
      <xdr:nvGraphicFramePr>
        <xdr:cNvPr id="24" name="Chart 23">
          <a:extLst>
            <a:ext uri="{FF2B5EF4-FFF2-40B4-BE49-F238E27FC236}">
              <a16:creationId xmlns:a16="http://schemas.microsoft.com/office/drawing/2014/main" id="{00000000-0008-0000-48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63953</xdr:colOff>
      <xdr:row>274</xdr:row>
      <xdr:rowOff>122464</xdr:rowOff>
    </xdr:from>
    <xdr:to>
      <xdr:col>16</xdr:col>
      <xdr:colOff>326571</xdr:colOff>
      <xdr:row>289</xdr:row>
      <xdr:rowOff>74438</xdr:rowOff>
    </xdr:to>
    <xdr:graphicFrame macro="">
      <xdr:nvGraphicFramePr>
        <xdr:cNvPr id="25" name="Chart 24">
          <a:extLst>
            <a:ext uri="{FF2B5EF4-FFF2-40B4-BE49-F238E27FC236}">
              <a16:creationId xmlns:a16="http://schemas.microsoft.com/office/drawing/2014/main" id="{00000000-0008-0000-4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172571</xdr:colOff>
      <xdr:row>254</xdr:row>
      <xdr:rowOff>31937</xdr:rowOff>
    </xdr:from>
    <xdr:to>
      <xdr:col>16</xdr:col>
      <xdr:colOff>302558</xdr:colOff>
      <xdr:row>270</xdr:row>
      <xdr:rowOff>132789</xdr:rowOff>
    </xdr:to>
    <xdr:graphicFrame macro="">
      <xdr:nvGraphicFramePr>
        <xdr:cNvPr id="26" name="Chart 25">
          <a:extLst>
            <a:ext uri="{FF2B5EF4-FFF2-40B4-BE49-F238E27FC236}">
              <a16:creationId xmlns:a16="http://schemas.microsoft.com/office/drawing/2014/main" id="{00000000-0008-0000-4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7</xdr:col>
      <xdr:colOff>133350</xdr:colOff>
      <xdr:row>8</xdr:row>
      <xdr:rowOff>85725</xdr:rowOff>
    </xdr:from>
    <xdr:to>
      <xdr:col>14</xdr:col>
      <xdr:colOff>200025</xdr:colOff>
      <xdr:row>26</xdr:row>
      <xdr:rowOff>85725</xdr:rowOff>
    </xdr:to>
    <xdr:graphicFrame macro="">
      <xdr:nvGraphicFramePr>
        <xdr:cNvPr id="2" name="Chart 1">
          <a:extLst>
            <a:ext uri="{FF2B5EF4-FFF2-40B4-BE49-F238E27FC236}">
              <a16:creationId xmlns:a16="http://schemas.microsoft.com/office/drawing/2014/main" id="{00000000-0008-0000-4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27</xdr:row>
      <xdr:rowOff>104775</xdr:rowOff>
    </xdr:from>
    <xdr:to>
      <xdr:col>14</xdr:col>
      <xdr:colOff>295275</xdr:colOff>
      <xdr:row>45</xdr:row>
      <xdr:rowOff>104775</xdr:rowOff>
    </xdr:to>
    <xdr:graphicFrame macro="">
      <xdr:nvGraphicFramePr>
        <xdr:cNvPr id="3" name="Chart 2">
          <a:extLst>
            <a:ext uri="{FF2B5EF4-FFF2-40B4-BE49-F238E27FC236}">
              <a16:creationId xmlns:a16="http://schemas.microsoft.com/office/drawing/2014/main" id="{00000000-0008-0000-4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228600</xdr:colOff>
      <xdr:row>46</xdr:row>
      <xdr:rowOff>123825</xdr:rowOff>
    </xdr:from>
    <xdr:to>
      <xdr:col>14</xdr:col>
      <xdr:colOff>295275</xdr:colOff>
      <xdr:row>64</xdr:row>
      <xdr:rowOff>123825</xdr:rowOff>
    </xdr:to>
    <xdr:graphicFrame macro="">
      <xdr:nvGraphicFramePr>
        <xdr:cNvPr id="4" name="Chart 3">
          <a:extLst>
            <a:ext uri="{FF2B5EF4-FFF2-40B4-BE49-F238E27FC236}">
              <a16:creationId xmlns:a16="http://schemas.microsoft.com/office/drawing/2014/main" id="{00000000-0008-0000-4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DOCUME~1\phuongtm\LOCALS~1\Temp\notes07DB14\USERS\q_anh\TTOAN\THTOAN\T.ANH\TONNL\2002\ANLCTY01-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ragoncapitalvn.sharepoint.com/DOCUME~1/phuongtm/LOCALS~1/Temp/notes07DB14/USERS/q_anh/TTOAN/THTOAN/T.ANH/TONNL/2002/ANLCTY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MXSG\NGOC%20THANH\NKC\2000\Ln-01\Tc-01\6-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ragoncapitalvn.sharepoint.com/Documents%20and%20Settings/crratterree/My%20Documents/Mdr/Competitor%20profiles/NFS/Copy%20of%20timberlake%20model%20v7.2%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ragoncapitalvn.sharepoint.com/working/Company/DRC-20120723-REDUC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ragoncapitalvn.sharepoint.com/Users/thohoang/Desktop/KDH/2.%20Financial%20Model/KDH%20-%20Q2%20201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as9\FldRedir$\Documents%20and%20Settings\pstester\My%20Documents\Microsoft%20Excel\MOX\inv0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ragoncapitalvn.sharepoint.com/Users/thohv/Dropbox/Chicago%20Training/Day%205%20-%20Financial%20Modelling/Day%205%20-%20Homework/Homework%20Day%205%20-%20Tho%20Hoang%20%20-%20Balanc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ragoncapitalvn.sharepoint.com/An%20Pham/VIC/VIC-Comprehensive%20update%20-%20Fin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ragoncapitalvn.sharepoint.com/Phap/VIC/VIC%20comprehensive%20update/Final/VIC-Comprehensive%20update%20-%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ragoncapitalvn.sharepoint.com/Users/hainh/Dropbox/Real%20Estate/KDH/KDH%20valuation%20model%20with%20FS_guidance%20FY1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ragoncapitalvn.sharepoint.com/Working%20documents/Real%20estate/HDG/HDG%20valuation%20model%20with%20FS_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ragoncapitalvn.sharepoint.com/Users/hainh/AppData/Roaming/Microsoft/Excel/DXG_New%20mode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ragoncapitalvn.sharepoint.com/Users/hainh/AppData/Roaming/Microsoft/Excel/KDH_Update_Revised%20mod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usd"/>
      <sheetName val="Sheet4"/>
      <sheetName val="XL4Poppy"/>
      <sheetName val="Quantity"/>
      <sheetName val="Quiuoc"/>
      <sheetName val="ReportCM"/>
      <sheetName val="6-01"/>
      <sheetName val="merger"/>
      <sheetName val="Range charts"/>
      <sheetName val="Data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 Ratios"/>
      <sheetName val="Compare"/>
      <sheetName val="P&amp;L"/>
      <sheetName val="GAAP"/>
      <sheetName val="Summary"/>
      <sheetName val="Case Elements"/>
      <sheetName val="Assumptions"/>
      <sheetName val="Model"/>
      <sheetName val="Adjustments"/>
      <sheetName val="Pension"/>
      <sheetName val="Depreciation"/>
      <sheetName val="Revenue"/>
      <sheetName val="COGS"/>
      <sheetName val="OpInc"/>
      <sheetName val="SG&amp;A"/>
      <sheetName val="Other Income (Expense)"/>
      <sheetName val="Tax"/>
      <sheetName val="Charts"/>
      <sheetName val="Statistics"/>
      <sheetName val="ModLog"/>
      <sheetName val="Navy"/>
      <sheetName val="TVA"/>
      <sheetName val="RFS"/>
      <sheetName val="CASHFLOW2"/>
      <sheetName val="Deferred Analysis"/>
      <sheetName val="Fixed Assets Variance"/>
      <sheetName val="Balance Sheet"/>
      <sheetName val="Cash Flow"/>
      <sheetName val="Executive Summary"/>
      <sheetName val="Detail-ErwinOper"/>
      <sheetName val="Detail-OffsiteOper"/>
      <sheetName val="Detail-Income"/>
      <sheetName val="Detail-NFS"/>
      <sheetName val="LOC Calculations"/>
      <sheetName val="Detail All Fee %"/>
      <sheetName val="EBITDA"/>
      <sheetName val="Other Analysis"/>
      <sheetName val="Capital"/>
      <sheetName val="2008 Capital Spending by Month"/>
      <sheetName val="RPS Revised"/>
      <sheetName val="Downblending Analysis"/>
      <sheetName val="Basis"/>
      <sheetName val="synergy rackup old"/>
      <sheetName val="Change Log"/>
      <sheetName val="TVA AREVA Deferred"/>
      <sheetName val="TVA AREVA Accrued"/>
    </sheetNames>
    <sheetDataSet>
      <sheetData sheetId="0" refreshError="1"/>
      <sheetData sheetId="1" refreshError="1"/>
      <sheetData sheetId="2" refreshError="1"/>
      <sheetData sheetId="3" refreshError="1"/>
      <sheetData sheetId="4" refreshError="1"/>
      <sheetData sheetId="5" refreshError="1"/>
      <sheetData sheetId="6">
        <row r="5">
          <cell r="A5">
            <v>3</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SC"/>
      <sheetName val="Bloomberg"/>
      <sheetName val="BS"/>
      <sheetName val="FS Year"/>
      <sheetName val="FS QTR"/>
      <sheetName val="Debt"/>
      <sheetName val="Sales"/>
      <sheetName val="Assumption"/>
      <sheetName val="DCF"/>
      <sheetName val="Valuation"/>
      <sheetName val="P&amp;L"/>
      <sheetName val="CF"/>
      <sheetName val="Depreciation"/>
      <sheetName val="Comps"/>
      <sheetName val="WIP"/>
      <sheetName val="Operation"/>
      <sheetName val="table &amp; chart"/>
      <sheetName val="Price"/>
      <sheetName val="Q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4">
          <cell r="C14">
            <v>4282.4921249823665</v>
          </cell>
          <cell r="D14">
            <v>3568.0448985264434</v>
          </cell>
          <cell r="M14">
            <v>3.7357</v>
          </cell>
          <cell r="O14">
            <v>10.741899999999999</v>
          </cell>
        </row>
      </sheetData>
      <sheetData sheetId="10" refreshError="1"/>
      <sheetData sheetId="11" refreshError="1"/>
      <sheetData sheetId="12" refreshError="1"/>
      <sheetData sheetId="13" refreshError="1">
        <row r="9">
          <cell r="H9">
            <v>0</v>
          </cell>
        </row>
        <row r="10">
          <cell r="H10">
            <v>0</v>
          </cell>
        </row>
        <row r="11">
          <cell r="H11">
            <v>0</v>
          </cell>
        </row>
      </sheetData>
      <sheetData sheetId="14" refreshError="1"/>
      <sheetData sheetId="15" refreshError="1"/>
      <sheetData sheetId="16" refreshError="1"/>
      <sheetData sheetId="17" refreshError="1"/>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S,P.E, P.B"/>
      <sheetName val="Voulme"/>
      <sheetName val="First_page"/>
      <sheetName val="EPS"/>
      <sheetName val="Bloomberg"/>
      <sheetName val="FS Year"/>
      <sheetName val="VCSC"/>
      <sheetName val="FS QTR"/>
      <sheetName val="QoQ"/>
      <sheetName val="Price"/>
      <sheetName val="Sales"/>
      <sheetName val="Assumption"/>
      <sheetName val="Client"/>
      <sheetName val="1H15"/>
      <sheetName val="P&amp;L"/>
      <sheetName val="DCF"/>
      <sheetName val="Rev_NPAT"/>
      <sheetName val="SI forecast"/>
      <sheetName val="SI_Control sheet"/>
      <sheetName val="Rev_NPAT (new)"/>
      <sheetName val="Inventory"/>
      <sheetName val="Comps"/>
      <sheetName val="First page"/>
      <sheetName val="Revenue"/>
      <sheetName val="Sheet1"/>
      <sheetName val="Project Summary"/>
      <sheetName val="RNAV_No dilution"/>
      <sheetName val="RNAV Summary"/>
      <sheetName val="RNAV_11,000"/>
      <sheetName val="RNAV_12,000"/>
      <sheetName val="Land bank 2017"/>
      <sheetName val="2016-2017 Guidance"/>
      <sheetName val="Sales Progress - 2017-2020"/>
      <sheetName val="Depreciation"/>
      <sheetName val="Amortization"/>
      <sheetName val="Working Capital"/>
      <sheetName val="Debt"/>
      <sheetName val="KH BAN HANG"/>
      <sheetName val="Loi nhuan theo FS"/>
      <sheetName val="PL DU KIEN"/>
      <sheetName val="DIEU CHINH"/>
      <sheetName val="Quarterly Results"/>
      <sheetName val="Equity"/>
      <sheetName val="CF"/>
      <sheetName val="Sunview Town"/>
      <sheetName val="BS"/>
      <sheetName val="IS"/>
      <sheetName val="KDH 2021 Guidance"/>
      <sheetName val="Diamond"/>
      <sheetName val="Valuation"/>
      <sheetName val="Key Charts"/>
      <sheetName val="Projects"/>
      <sheetName val="Residence"/>
      <sheetName val="Ruby"/>
      <sheetName val="Opal Riverside"/>
      <sheetName val="Village"/>
      <sheetName val="Melosa Garden"/>
      <sheetName val="Melosa Garden 2"/>
      <sheetName val="Venica - Quoc Te"/>
      <sheetName val="Lucasta"/>
      <sheetName val="Merita - Thap Muoi"/>
      <sheetName val="Venita - Verosa"/>
      <sheetName val="New M&amp;A"/>
      <sheetName val="Gia Phuoc - Rosita"/>
      <sheetName val="Binh Trung"/>
      <sheetName val="Jamila"/>
      <sheetName val="Sapphira"/>
      <sheetName val="Phong Phu 2"/>
      <sheetName val="Tan Tao"/>
      <sheetName val="Corona City"/>
      <sheetName val="Lovera Vista"/>
      <sheetName val="Metro"/>
      <sheetName val="Project Summary - Old"/>
      <sheetName val="Green City"/>
      <sheetName val="Goldhill"/>
      <sheetName val="Viva City"/>
      <sheetName val="Tan Thuan"/>
      <sheetName val="Viet Hung"/>
      <sheetName val="Brokerage value"/>
      <sheetName val="Viva City - TH"/>
      <sheetName val="Phu Quoc project"/>
      <sheetName val="2014 forecast"/>
      <sheetName val="Update160714"/>
      <sheetName val="Valuation summary"/>
      <sheetName val="Bivi"/>
      <sheetName val="Tam Da"/>
      <sheetName val="CT15"/>
      <sheetName val="CT15 - TH"/>
      <sheetName val="Luxcity"/>
      <sheetName val="Tam Thong"/>
      <sheetName val="Tan Kieng"/>
      <sheetName val="Chart"/>
      <sheetName val="Chart 2"/>
      <sheetName val="Q3"/>
    </sheetNames>
    <sheetDataSet>
      <sheetData sheetId="0"/>
      <sheetData sheetId="1"/>
      <sheetData sheetId="2"/>
      <sheetData sheetId="3"/>
      <sheetData sheetId="4"/>
      <sheetData sheetId="5"/>
      <sheetData sheetId="6">
        <row r="8">
          <cell r="C8" t="str">
            <v>KDH VN EQUITY</v>
          </cell>
        </row>
        <row r="9">
          <cell r="E9">
            <v>1000</v>
          </cell>
        </row>
        <row r="11">
          <cell r="A11">
            <v>2028</v>
          </cell>
        </row>
        <row r="26">
          <cell r="F26">
            <v>75</v>
          </cell>
        </row>
      </sheetData>
      <sheetData sheetId="7"/>
      <sheetData sheetId="8"/>
      <sheetData sheetId="9"/>
      <sheetData sheetId="10"/>
      <sheetData sheetId="11"/>
      <sheetData sheetId="12"/>
      <sheetData sheetId="13"/>
      <sheetData sheetId="14"/>
      <sheetData sheetId="15">
        <row r="6">
          <cell r="G6">
            <v>0.03</v>
          </cell>
        </row>
        <row r="7">
          <cell r="G7">
            <v>0.25</v>
          </cell>
        </row>
      </sheetData>
      <sheetData sheetId="16"/>
      <sheetData sheetId="17"/>
      <sheetData sheetId="18"/>
      <sheetData sheetId="19"/>
      <sheetData sheetId="20"/>
      <sheetData sheetId="21">
        <row r="9">
          <cell r="H9">
            <v>0</v>
          </cell>
        </row>
        <row r="10">
          <cell r="H10">
            <v>0</v>
          </cell>
        </row>
        <row r="11">
          <cell r="H11">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
      <sheetName val="WBS"/>
      <sheetName val="AUGUST LABOR"/>
      <sheetName val="BACKUP"/>
      <sheetName val="FORM"/>
      <sheetName val="LABELS - OLD"/>
      <sheetName val="LABELS - NEW"/>
      <sheetName val="FAXCOVER"/>
      <sheetName val="Range charts"/>
      <sheetName val="Data shee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S"/>
      <sheetName val="inputs"/>
      <sheetName val="is"/>
      <sheetName val="bs"/>
      <sheetName val="cf"/>
      <sheetName val="workingcap"/>
      <sheetName val="dep"/>
      <sheetName val="amort"/>
      <sheetName val="other"/>
      <sheetName val="equity"/>
      <sheetName val="shares"/>
      <sheetName val="debt"/>
      <sheetName val="ratios"/>
    </sheetNames>
    <sheetDataSet>
      <sheetData sheetId="0"/>
      <sheetData sheetId="1">
        <row r="8">
          <cell r="F8" t="str">
            <v>Coach, Inc.</v>
          </cell>
        </row>
        <row r="10">
          <cell r="F10" t="str">
            <v>Dollars in millions, except per share data</v>
          </cell>
        </row>
        <row r="14">
          <cell r="F14">
            <v>41818</v>
          </cell>
        </row>
        <row r="16">
          <cell r="F16">
            <v>365</v>
          </cell>
        </row>
      </sheetData>
      <sheetData sheetId="2"/>
      <sheetData sheetId="3">
        <row r="23">
          <cell r="B23" t="str">
            <v>Other current liabilities</v>
          </cell>
        </row>
      </sheetData>
      <sheetData sheetId="4"/>
      <sheetData sheetId="5"/>
      <sheetData sheetId="6"/>
      <sheetData sheetId="7"/>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 to valuation"/>
      <sheetName val="Valuation table"/>
      <sheetName val="Valuation summary"/>
      <sheetName val="Convert_Buy back "/>
      <sheetName val="Convert_No buyback"/>
      <sheetName val="No Convert_Buy back"/>
      <sheetName val="No Convert_No buyback "/>
      <sheetName val="Vin CenterB"/>
      <sheetName val="Vin Towers"/>
      <sheetName val="VinTowers"/>
      <sheetName val="Royal"/>
      <sheetName val="Times"/>
      <sheetName val="Vin Village"/>
      <sheetName val="Vinmec"/>
      <sheetName val="Vin Ha Long"/>
      <sheetName val="Vin Can Tho (NA)"/>
      <sheetName val="56 NCT "/>
      <sheetName val="VinHaiPhong"/>
      <sheetName val="Village 2"/>
      <sheetName val="Vin Dan Phuong"/>
      <sheetName val="Soap&amp;Tobacco"/>
      <sheetName val="Retail valuation"/>
      <sheetName val="VPL Resorts"/>
      <sheetName val="Vincharm"/>
      <sheetName val="VPL Villas"/>
      <sheetName val="Capital "/>
      <sheetName val="Financial results"/>
      <sheetName val="P&amp;L projection"/>
      <sheetName val="Cash flows projection"/>
      <sheetName val="Residential recognition"/>
      <sheetName val="Notes"/>
      <sheetName val="VPL Resort List"/>
      <sheetName val="Subs &amp; Affiliates"/>
      <sheetName val="List of debts"/>
      <sheetName val="Project information"/>
      <sheetName val="Charts"/>
      <sheetName val="Beta calculation"/>
      <sheetName val="Vin CenterA_sold"/>
      <sheetName val="Historical DE"/>
      <sheetName val="Ownersh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5">
          <cell r="A5" t="str">
            <v>VIC VN Equity</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 to valuation"/>
      <sheetName val="Valuation table"/>
      <sheetName val="Valuation summary"/>
      <sheetName val="Convert_Buy back "/>
      <sheetName val="Convert_No buyback"/>
      <sheetName val="No Convert_Buy back"/>
      <sheetName val="No Convert_No buyback "/>
      <sheetName val="Vin CenterB"/>
      <sheetName val="Vin Towers"/>
      <sheetName val="VinTowers"/>
      <sheetName val="Royal"/>
      <sheetName val="Times"/>
      <sheetName val="Vin Village"/>
      <sheetName val="Vinmec"/>
      <sheetName val="Vin Ha Long"/>
      <sheetName val="56 NCT "/>
      <sheetName val="VinHaiPhong"/>
      <sheetName val="Village 2"/>
      <sheetName val="Vin Dan Phuong"/>
      <sheetName val="Soap&amp;Tobacco"/>
      <sheetName val="Retail valuation"/>
      <sheetName val="VPL Resorts"/>
      <sheetName val="Vincharm"/>
      <sheetName val="VPL Villas"/>
      <sheetName val="Capital "/>
      <sheetName val="Financial results"/>
      <sheetName val="P&amp;L projection"/>
      <sheetName val="Cash flows projection"/>
      <sheetName val="Residential recognition"/>
      <sheetName val="Notes"/>
      <sheetName val="VPL Resort List"/>
      <sheetName val="Subs &amp; Affiliates"/>
      <sheetName val="List of debts"/>
      <sheetName val="Project information"/>
      <sheetName val="Charts"/>
      <sheetName val="Beta calculation"/>
      <sheetName val="Vin CenterA_sold"/>
      <sheetName val="Historical DE"/>
      <sheetName val="Ownership"/>
      <sheetName val="Vin Can Tho (NA)"/>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8">
          <cell r="E8">
            <v>0.5</v>
          </cell>
        </row>
        <row r="46">
          <cell r="H46">
            <v>0.2</v>
          </cell>
          <cell r="I46">
            <v>0.2</v>
          </cell>
          <cell r="J46">
            <v>0.2</v>
          </cell>
          <cell r="K46">
            <v>0.2</v>
          </cell>
          <cell r="L46">
            <v>0.2</v>
          </cell>
          <cell r="M46">
            <v>0.2</v>
          </cell>
          <cell r="N46">
            <v>0.2</v>
          </cell>
          <cell r="O46">
            <v>0.2</v>
          </cell>
          <cell r="P46">
            <v>0.2</v>
          </cell>
          <cell r="Q46">
            <v>0.2</v>
          </cell>
          <cell r="R46">
            <v>0.2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6">
          <cell r="E16">
            <v>8.5000000000000006E-2</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5">
          <cell r="A5" t="str">
            <v>VIC VN Equity</v>
          </cell>
        </row>
      </sheetData>
      <sheetData sheetId="39">
        <row r="5">
          <cell r="A5" t="str">
            <v>VIC VN Equity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_page (2)"/>
      <sheetName val="EPS"/>
      <sheetName val="First_page"/>
      <sheetName val="EPS and P.E"/>
      <sheetName val="VCSC"/>
      <sheetName val="Blmg"/>
      <sheetName val="FS Year"/>
      <sheetName val="Debt schedule"/>
      <sheetName val="Debt"/>
      <sheetName val="Debt schedule_conso"/>
      <sheetName val="Sales"/>
      <sheetName val="Assumption"/>
      <sheetName val="Rev_NPAT"/>
      <sheetName val="Inventory"/>
      <sheetName val="P&amp;L"/>
      <sheetName val="BS"/>
      <sheetName val="CF"/>
      <sheetName val="Consolidated cash flow"/>
      <sheetName val="Consolidated BS items"/>
      <sheetName val="Depreciation"/>
      <sheetName val="Project Summary"/>
      <sheetName val="Project pipeline"/>
      <sheetName val="P&amp;L forecast"/>
      <sheetName val="Mega Residence"/>
      <sheetName val="Hao Khang"/>
      <sheetName val="Tri Minh"/>
      <sheetName val="Sapphire"/>
      <sheetName val="Song Lap 15ha"/>
      <sheetName val="Quoc Te"/>
      <sheetName val="Nha Pho"/>
      <sheetName val="Gia Phuoc"/>
      <sheetName val="MV"/>
      <sheetName val="KDH's "/>
      <sheetName val="Subsidiaries"/>
      <sheetName val="Loan"/>
      <sheetName val="Price"/>
      <sheetName val="FS QTR"/>
      <sheetName val="QoQ"/>
      <sheetName val="DCF"/>
      <sheetName val="Depr"/>
      <sheetName val="Fact sheet"/>
      <sheetName val="Comp page"/>
      <sheetName val="PPT"/>
      <sheetName val="First page"/>
      <sheetName val="Peers"/>
      <sheetName val="auto&amp;tire consumption"/>
      <sheetName val="Report table"/>
      <sheetName val="Competitors"/>
      <sheetName val="Peers beta"/>
      <sheetName val="Market value"/>
      <sheetName val="Sheet19"/>
      <sheetName val="Sheet1"/>
    </sheetNames>
    <sheetDataSet>
      <sheetData sheetId="0"/>
      <sheetData sheetId="1"/>
      <sheetData sheetId="2"/>
      <sheetData sheetId="3"/>
      <sheetData sheetId="4">
        <row r="8">
          <cell r="C8" t="str">
            <v>KDH VN EQUITY</v>
          </cell>
        </row>
        <row r="9">
          <cell r="E9">
            <v>1000</v>
          </cell>
        </row>
        <row r="10">
          <cell r="C10">
            <v>2014</v>
          </cell>
        </row>
        <row r="11">
          <cell r="A11">
            <v>2023</v>
          </cell>
        </row>
        <row r="19">
          <cell r="E19">
            <v>21600</v>
          </cell>
        </row>
        <row r="25">
          <cell r="E25" t="e">
            <v>#REF!</v>
          </cell>
        </row>
      </sheetData>
      <sheetData sheetId="5"/>
      <sheetData sheetId="6"/>
      <sheetData sheetId="7"/>
      <sheetData sheetId="8"/>
      <sheetData sheetId="9"/>
      <sheetData sheetId="10"/>
      <sheetData sheetId="11"/>
      <sheetData sheetId="12"/>
      <sheetData sheetId="13"/>
      <sheetData sheetId="14"/>
      <sheetData sheetId="15">
        <row r="38">
          <cell r="H38">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st page + QoQ"/>
      <sheetName val="First page"/>
      <sheetName val="VCSC"/>
      <sheetName val="Blmg"/>
      <sheetName val="FS Year"/>
      <sheetName val="FS QTR"/>
      <sheetName val="QoQ"/>
      <sheetName val="Price"/>
      <sheetName val="DCF"/>
      <sheetName val="Fact sheet"/>
      <sheetName val="Comp page"/>
      <sheetName val="PPT"/>
      <sheetName val="Organisational structure"/>
      <sheetName val="Completed projects"/>
      <sheetName val="Project List"/>
      <sheetName val="Assumption"/>
      <sheetName val="Depr"/>
      <sheetName val="Debt"/>
      <sheetName val="CF"/>
      <sheetName val="BS"/>
      <sheetName val="P&amp;L"/>
      <sheetName val="P&amp;L forecast"/>
      <sheetName val="Real estate"/>
      <sheetName val="Construction"/>
      <sheetName val="Hydropower"/>
      <sheetName val="Valuation Summary"/>
      <sheetName val="Z756"/>
      <sheetName val="CC1"/>
      <sheetName val="Ha Do Park View"/>
      <sheetName val="Income-producing projects"/>
      <sheetName val="Ha Do Villas"/>
      <sheetName val="Market value"/>
      <sheetName val="Noongtha"/>
      <sheetName val="Sheet1"/>
      <sheetName val="Project completed"/>
      <sheetName val="Chart"/>
      <sheetName val="Sheet2"/>
    </sheetNames>
    <sheetDataSet>
      <sheetData sheetId="0"/>
      <sheetData sheetId="1"/>
      <sheetData sheetId="2">
        <row r="8">
          <cell r="C8" t="str">
            <v>HDG VN EQUITY</v>
          </cell>
        </row>
        <row r="9">
          <cell r="E9">
            <v>1000</v>
          </cell>
        </row>
        <row r="10">
          <cell r="C10">
            <v>2014</v>
          </cell>
        </row>
        <row r="11">
          <cell r="A11">
            <v>2023</v>
          </cell>
        </row>
        <row r="19">
          <cell r="E19">
            <v>27700</v>
          </cell>
        </row>
        <row r="25">
          <cell r="E25" t="e">
            <v>#REF!</v>
          </cell>
        </row>
      </sheetData>
      <sheetData sheetId="3"/>
      <sheetData sheetId="4">
        <row r="10">
          <cell r="L10">
            <v>1117.18768</v>
          </cell>
        </row>
      </sheetData>
      <sheetData sheetId="5">
        <row r="10">
          <cell r="D10">
            <v>24.9397646</v>
          </cell>
        </row>
      </sheetData>
      <sheetData sheetId="6"/>
      <sheetData sheetId="7"/>
      <sheetData sheetId="8">
        <row r="5">
          <cell r="G5">
            <v>0.17</v>
          </cell>
        </row>
        <row r="6">
          <cell r="G6">
            <v>0.03</v>
          </cell>
        </row>
        <row r="7">
          <cell r="G7">
            <v>0.25</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ummary"/>
      <sheetName val="VillaPark"/>
      <sheetName val="RNAV Summary"/>
      <sheetName val="RNAV_No dilution"/>
      <sheetName val="RNAV_Dilution 10%"/>
      <sheetName val="RNAV_Dilution 20%"/>
      <sheetName val="Goldhill"/>
      <sheetName val="Viva City"/>
      <sheetName val="Sunview Town"/>
      <sheetName val="Riverside Garden"/>
      <sheetName val="Green City"/>
      <sheetName val="DXG selling progress"/>
      <sheetName val="Brokerage value"/>
      <sheetName val="Phu Quoc project"/>
      <sheetName val="Revenue breakdown"/>
      <sheetName val="2014 forecast"/>
      <sheetName val="Graph"/>
      <sheetName val="TriKiet-LT"/>
      <sheetName val="Villa DN"/>
      <sheetName val="HojaVilla"/>
      <sheetName val="GiaPhuoc"/>
      <sheetName val="DoanNguyen"/>
      <sheetName val="LTKhangDien"/>
      <sheetName val="LPDienLT"/>
      <sheetName val="VillaLT"/>
      <sheetName val="Secondary"/>
      <sheetName val="Update160714"/>
      <sheetName val="Rev_NPAT"/>
      <sheetName val="Graph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6">
          <cell r="D6">
            <v>342.95114048800002</v>
          </cell>
        </row>
        <row r="36">
          <cell r="C36">
            <v>82763.993612000006</v>
          </cell>
        </row>
      </sheetData>
      <sheetData sheetId="15" refreshError="1"/>
      <sheetData sheetId="16" refreshError="1"/>
      <sheetData sheetId="17" refreshError="1"/>
      <sheetData sheetId="18" refreshError="1">
        <row r="26">
          <cell r="D26">
            <v>20</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ummary"/>
      <sheetName val="Vin CenterB"/>
      <sheetName val="Vin Towers"/>
      <sheetName val="VinTowers"/>
      <sheetName val="Royal"/>
      <sheetName val="Times"/>
      <sheetName val="Vinmec"/>
      <sheetName val="Vin Village"/>
      <sheetName val="VPL Resorts"/>
      <sheetName val="Vincharm"/>
      <sheetName val="VPL Villas"/>
      <sheetName val="VinHaiPhong"/>
      <sheetName val="Soap&amp;Tobacco"/>
      <sheetName val="56 NCT "/>
      <sheetName val="Village 2"/>
      <sheetName val="Vin Dan Phuong"/>
      <sheetName val="Retail valuation"/>
      <sheetName val="Financial results"/>
      <sheetName val="P&amp;L projection"/>
      <sheetName val="Cash flows projection"/>
      <sheetName val="Residential recognition"/>
      <sheetName val="Notes"/>
      <sheetName val="VPL Resort List"/>
      <sheetName val="Subs &amp; Affiliates"/>
      <sheetName val="Rent cal"/>
      <sheetName val="List of debts"/>
      <sheetName val="Project information"/>
      <sheetName val="Charts"/>
      <sheetName val="Beta calculation"/>
      <sheetName val="Valuation table"/>
      <sheetName val="Vin CenterA_sold"/>
      <sheetName val="Extra"/>
    </sheetNames>
    <sheetDataSet>
      <sheetData sheetId="0" refreshError="1"/>
      <sheetData sheetId="1" refreshError="1">
        <row r="7">
          <cell r="E7">
            <v>2013</v>
          </cell>
        </row>
        <row r="46">
          <cell r="G46">
            <v>0.22</v>
          </cell>
          <cell r="H46">
            <v>0.2</v>
          </cell>
          <cell r="I46">
            <v>0.2</v>
          </cell>
          <cell r="J46">
            <v>0.2</v>
          </cell>
          <cell r="K46">
            <v>0.2</v>
          </cell>
          <cell r="L46">
            <v>0.2</v>
          </cell>
          <cell r="M46">
            <v>0.2</v>
          </cell>
          <cell r="N46">
            <v>0.2</v>
          </cell>
          <cell r="O46">
            <v>0.2</v>
          </cell>
          <cell r="P46">
            <v>0.2</v>
          </cell>
          <cell r="Q46">
            <v>0.2</v>
          </cell>
          <cell r="R46">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theme/theme1.xml><?xml version="1.0" encoding="utf-8"?>
<a:theme xmlns:a="http://schemas.openxmlformats.org/drawingml/2006/main" name="VCSC">
  <a:themeElements>
    <a:clrScheme name="VCSC">
      <a:dk1>
        <a:sysClr val="windowText" lastClr="000000"/>
      </a:dk1>
      <a:lt1>
        <a:sysClr val="window" lastClr="FFFFFF"/>
      </a:lt1>
      <a:dk2>
        <a:srgbClr val="1F497D"/>
      </a:dk2>
      <a:lt2>
        <a:srgbClr val="EEECE1"/>
      </a:lt2>
      <a:accent1>
        <a:srgbClr val="285FA4"/>
      </a:accent1>
      <a:accent2>
        <a:srgbClr val="FF0000"/>
      </a:accent2>
      <a:accent3>
        <a:srgbClr val="98BAE5"/>
      </a:accent3>
      <a:accent4>
        <a:srgbClr val="595959"/>
      </a:accent4>
      <a:accent5>
        <a:srgbClr val="BFBFBF"/>
      </a:accent5>
      <a:accent6>
        <a:srgbClr val="F2F2F2"/>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accounting-simplified.com/ifrs/ias-33-eps/basic/rights-issue.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7.bin"/><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3.xml"/><Relationship Id="rId1" Type="http://schemas.openxmlformats.org/officeDocument/2006/relationships/printerSettings" Target="../printerSettings/printerSettings24.bin"/><Relationship Id="rId4" Type="http://schemas.openxmlformats.org/officeDocument/2006/relationships/comments" Target="../comments4.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4.xml"/><Relationship Id="rId1" Type="http://schemas.openxmlformats.org/officeDocument/2006/relationships/printerSettings" Target="../printerSettings/printerSettings28.bin"/><Relationship Id="rId4" Type="http://schemas.openxmlformats.org/officeDocument/2006/relationships/comments" Target="../comments7.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5.xml"/><Relationship Id="rId1" Type="http://schemas.openxmlformats.org/officeDocument/2006/relationships/printerSettings" Target="../printerSettings/printerSettings30.bin"/><Relationship Id="rId4" Type="http://schemas.openxmlformats.org/officeDocument/2006/relationships/comments" Target="../comments9.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7.xml"/><Relationship Id="rId1" Type="http://schemas.openxmlformats.org/officeDocument/2006/relationships/printerSettings" Target="../printerSettings/printerSettings37.bin"/><Relationship Id="rId4" Type="http://schemas.openxmlformats.org/officeDocument/2006/relationships/comments" Target="../comments10.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3.xml"/><Relationship Id="rId1" Type="http://schemas.openxmlformats.org/officeDocument/2006/relationships/printerSettings" Target="../printerSettings/printerSettings73.bin"/><Relationship Id="rId4" Type="http://schemas.openxmlformats.org/officeDocument/2006/relationships/comments" Target="../comments17.xml"/></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74.bin"/><Relationship Id="rId1" Type="http://schemas.openxmlformats.org/officeDocument/2006/relationships/hyperlink" Target="https://www.vcsc.com.vn/Shared/Views/Web/MessagesDetail.aspx?id=138518&amp;lang=en-us&amp;menuID=4&amp;CatID=1219" TargetMode="External"/></Relationships>
</file>

<file path=xl/worksheets/_rels/sheet7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4.xml"/><Relationship Id="rId1" Type="http://schemas.openxmlformats.org/officeDocument/2006/relationships/printerSettings" Target="../printerSettings/printerSettings82.bin"/><Relationship Id="rId4" Type="http://schemas.openxmlformats.org/officeDocument/2006/relationships/comments" Target="../comments23.xml"/></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22"/>
  <sheetViews>
    <sheetView topLeftCell="A4" zoomScale="115" zoomScaleNormal="115" workbookViewId="0">
      <selection activeCell="N11" sqref="N11"/>
    </sheetView>
  </sheetViews>
  <sheetFormatPr defaultColWidth="9.140625" defaultRowHeight="12"/>
  <cols>
    <col min="1" max="1" width="9.140625" style="1060"/>
    <col min="2" max="2" width="28.140625" style="1060" bestFit="1" customWidth="1"/>
    <col min="3" max="3" width="7.5703125" style="1060" bestFit="1" customWidth="1"/>
    <col min="4" max="6" width="6.5703125" style="1060" bestFit="1" customWidth="1"/>
    <col min="7" max="10" width="7.5703125" style="1060" bestFit="1" customWidth="1"/>
    <col min="11" max="12" width="6.5703125" style="1060" hidden="1" customWidth="1"/>
    <col min="13" max="16384" width="9.140625" style="1060"/>
  </cols>
  <sheetData>
    <row r="1" spans="2:12">
      <c r="B1" s="1059" t="s">
        <v>1321</v>
      </c>
      <c r="C1" s="1066">
        <v>18200</v>
      </c>
    </row>
    <row r="2" spans="2:12">
      <c r="B2" s="1059"/>
    </row>
    <row r="3" spans="2:12">
      <c r="C3" s="1059">
        <v>2010</v>
      </c>
      <c r="D3" s="1059">
        <v>2011</v>
      </c>
      <c r="E3" s="1059">
        <v>2012</v>
      </c>
      <c r="F3" s="1059">
        <v>2013</v>
      </c>
      <c r="G3" s="1059">
        <v>2014</v>
      </c>
      <c r="H3" s="1059">
        <v>2015</v>
      </c>
      <c r="I3" s="1059">
        <v>2016</v>
      </c>
      <c r="J3" s="1059">
        <v>2017</v>
      </c>
      <c r="K3" s="1059">
        <v>2018</v>
      </c>
      <c r="L3" s="1059">
        <v>2019</v>
      </c>
    </row>
    <row r="4" spans="2:12">
      <c r="B4" s="1059" t="s">
        <v>1322</v>
      </c>
      <c r="C4" s="1061">
        <f>'P&amp;L'!C30</f>
        <v>72.079286799999977</v>
      </c>
      <c r="D4" s="1061">
        <f>'P&amp;L'!D30</f>
        <v>24.591496200000062</v>
      </c>
      <c r="E4" s="1061">
        <f>'P&amp;L'!E30</f>
        <v>57.859951200000012</v>
      </c>
      <c r="F4" s="1061">
        <f>'P&amp;L'!F30</f>
        <v>82.763993500000012</v>
      </c>
      <c r="G4" s="1061">
        <f>'P&amp;L'!G30</f>
        <v>167.83448960000001</v>
      </c>
      <c r="H4" s="1061">
        <f>'P&amp;L'!H30</f>
        <v>0.33699999999999997</v>
      </c>
      <c r="I4" s="1061">
        <f>'P&amp;L'!I30</f>
        <v>0.50305051029700021</v>
      </c>
      <c r="J4" s="1061">
        <f>'P&amp;L'!J30</f>
        <v>0.73327003792000001</v>
      </c>
      <c r="K4" s="1061">
        <f>'P&amp;L'!K30</f>
        <v>1.1839280241429999</v>
      </c>
      <c r="L4" s="1061">
        <f>'P&amp;L'!L30</f>
        <v>1.1377904106699994</v>
      </c>
    </row>
    <row r="5" spans="2:12">
      <c r="B5" s="1059" t="s">
        <v>1323</v>
      </c>
      <c r="C5" s="1062" t="e">
        <f>#REF!/10</f>
        <v>#REF!</v>
      </c>
      <c r="D5" s="1062" t="e">
        <f>#REF!/10</f>
        <v>#REF!</v>
      </c>
      <c r="E5" s="1062" t="e">
        <f>#REF!/10</f>
        <v>#REF!</v>
      </c>
      <c r="F5" s="1062" t="e">
        <f>#REF!/10</f>
        <v>#REF!</v>
      </c>
      <c r="G5" s="1062" t="e">
        <f>#REF!/10</f>
        <v>#REF!</v>
      </c>
      <c r="H5" s="1062">
        <v>116.87</v>
      </c>
      <c r="I5" s="1062">
        <f>H5</f>
        <v>116.87</v>
      </c>
      <c r="J5" s="1062">
        <f>I5</f>
        <v>116.87</v>
      </c>
      <c r="K5" s="1062" t="e">
        <f>#REF!/10</f>
        <v>#REF!</v>
      </c>
      <c r="L5" s="1062" t="e">
        <f>#REF!/10</f>
        <v>#REF!</v>
      </c>
    </row>
    <row r="6" spans="2:12">
      <c r="B6" s="1063" t="s">
        <v>733</v>
      </c>
      <c r="C6" s="1062"/>
      <c r="D6" s="1062">
        <v>5.2</v>
      </c>
      <c r="E6" s="1062">
        <v>10</v>
      </c>
      <c r="F6" s="1062"/>
      <c r="G6" s="1062">
        <v>11.64</v>
      </c>
      <c r="H6" s="1062">
        <v>25.7</v>
      </c>
      <c r="I6" s="1062"/>
      <c r="J6" s="1062"/>
      <c r="K6" s="1062"/>
      <c r="L6" s="1062"/>
    </row>
    <row r="7" spans="2:12">
      <c r="B7" s="1065" t="s">
        <v>1325</v>
      </c>
      <c r="C7" s="1062">
        <v>0.4</v>
      </c>
      <c r="D7" s="1060">
        <v>0.8</v>
      </c>
      <c r="E7" s="1062"/>
      <c r="F7" s="1062">
        <v>0.3</v>
      </c>
      <c r="G7" s="1062"/>
      <c r="H7" s="1062">
        <v>0.3</v>
      </c>
      <c r="I7" s="1062"/>
      <c r="J7" s="1062"/>
      <c r="K7" s="1062"/>
      <c r="L7" s="1062"/>
    </row>
    <row r="8" spans="2:12">
      <c r="B8" s="1065" t="s">
        <v>1006</v>
      </c>
      <c r="C8" s="1062">
        <v>7.6</v>
      </c>
      <c r="D8" s="1060">
        <v>10</v>
      </c>
      <c r="E8" s="1062"/>
      <c r="F8" s="1062"/>
      <c r="G8" s="1062">
        <v>10.56</v>
      </c>
      <c r="H8" s="1062"/>
      <c r="I8" s="1062"/>
      <c r="J8" s="1062"/>
      <c r="K8" s="1062"/>
      <c r="L8" s="1062"/>
    </row>
    <row r="9" spans="2:12">
      <c r="B9" s="1063" t="s">
        <v>1007</v>
      </c>
      <c r="C9" s="1062"/>
      <c r="D9" s="1062"/>
      <c r="E9" s="1062"/>
      <c r="F9" s="1062">
        <v>10.499599999999999</v>
      </c>
      <c r="G9" s="1062"/>
      <c r="H9" s="1062">
        <v>5.2450000000000001</v>
      </c>
    </row>
    <row r="10" spans="2:12">
      <c r="B10" s="1065" t="s">
        <v>1326</v>
      </c>
      <c r="C10" s="1062"/>
      <c r="D10" s="1062"/>
      <c r="E10" s="1062"/>
      <c r="F10" s="1062"/>
      <c r="G10" s="1062"/>
      <c r="H10" s="1062">
        <v>10.625</v>
      </c>
    </row>
    <row r="11" spans="2:12">
      <c r="B11" s="1064" t="s">
        <v>1324</v>
      </c>
      <c r="C11" s="1062">
        <f>I11-SUM(D6:J7)</f>
        <v>62.930000000000014</v>
      </c>
      <c r="D11" s="1062">
        <f>I11-SUM(E6:J7)</f>
        <v>68.930000000000007</v>
      </c>
      <c r="E11" s="1062">
        <f>I11-SUM(F6:J7)</f>
        <v>78.930000000000007</v>
      </c>
      <c r="F11" s="1062">
        <f>I11-SUM(G6:J7)</f>
        <v>79.23</v>
      </c>
      <c r="G11" s="1062">
        <f>I11-SUM(H6:J7)</f>
        <v>90.87</v>
      </c>
      <c r="H11" s="1062">
        <f>H5-H10</f>
        <v>106.245</v>
      </c>
      <c r="I11" s="1062">
        <f>I5</f>
        <v>116.87</v>
      </c>
      <c r="J11" s="1062">
        <f>J5</f>
        <v>116.87</v>
      </c>
      <c r="K11" s="1062" t="e">
        <f>K5</f>
        <v>#REF!</v>
      </c>
      <c r="L11" s="1062" t="e">
        <f>L5</f>
        <v>#REF!</v>
      </c>
    </row>
    <row r="12" spans="2:12">
      <c r="B12" s="1064" t="s">
        <v>1187</v>
      </c>
      <c r="C12" s="1062">
        <f>C11+$H$10</f>
        <v>73.555000000000007</v>
      </c>
      <c r="D12" s="1062">
        <f>D11+$H$10</f>
        <v>79.555000000000007</v>
      </c>
      <c r="E12" s="1062">
        <f>E11+$H$10</f>
        <v>89.555000000000007</v>
      </c>
      <c r="F12" s="1062">
        <f>F11+$H$10</f>
        <v>89.855000000000004</v>
      </c>
      <c r="G12" s="1062">
        <f>G11+$H$10</f>
        <v>101.495</v>
      </c>
      <c r="H12" s="1062">
        <f>H10+H11</f>
        <v>116.87</v>
      </c>
      <c r="I12" s="1062">
        <f>H12</f>
        <v>116.87</v>
      </c>
      <c r="J12" s="1062">
        <f>I12</f>
        <v>116.87</v>
      </c>
      <c r="K12" s="1062"/>
      <c r="L12" s="1062"/>
    </row>
    <row r="13" spans="2:12">
      <c r="B13" s="1059" t="s">
        <v>523</v>
      </c>
      <c r="C13" s="1066">
        <f>C4/C11*1000</f>
        <v>1145.3883171778161</v>
      </c>
      <c r="D13" s="1057">
        <f t="shared" ref="D13:L13" si="0">D4/D11*1000</f>
        <v>356.76042651965849</v>
      </c>
      <c r="E13" s="1057">
        <f t="shared" si="0"/>
        <v>733.0539870771571</v>
      </c>
      <c r="F13" s="1057">
        <f t="shared" si="0"/>
        <v>1044.6042345071312</v>
      </c>
      <c r="G13" s="1057">
        <f t="shared" si="0"/>
        <v>1846.9735842412238</v>
      </c>
      <c r="H13" s="1057">
        <f>H4/H12*1000</f>
        <v>2.8835458201420376</v>
      </c>
      <c r="I13" s="1057">
        <f>I4/I12*1000</f>
        <v>4.3043596328998044</v>
      </c>
      <c r="J13" s="1057">
        <f>J4/J12*1000</f>
        <v>6.2742366554291094</v>
      </c>
      <c r="K13" s="1057" t="e">
        <f t="shared" si="0"/>
        <v>#REF!</v>
      </c>
      <c r="L13" s="1057" t="e">
        <f t="shared" si="0"/>
        <v>#REF!</v>
      </c>
    </row>
    <row r="15" spans="2:12">
      <c r="B15" s="1059" t="s">
        <v>5</v>
      </c>
      <c r="C15" s="1067">
        <f t="shared" ref="C15:L15" si="1">$C$1/C13</f>
        <v>15.889807611137469</v>
      </c>
      <c r="D15" s="1058">
        <f t="shared" si="1"/>
        <v>51.014626755406489</v>
      </c>
      <c r="E15" s="1058">
        <f t="shared" si="1"/>
        <v>24.827639329222244</v>
      </c>
      <c r="F15" s="1058">
        <f t="shared" si="1"/>
        <v>17.422866382106125</v>
      </c>
      <c r="G15" s="1058">
        <f t="shared" si="1"/>
        <v>9.8539579316598349</v>
      </c>
      <c r="H15" s="1058">
        <f t="shared" si="1"/>
        <v>6311.6735905044525</v>
      </c>
      <c r="I15" s="1058">
        <f t="shared" si="1"/>
        <v>4228.2712301478487</v>
      </c>
      <c r="J15" s="1058">
        <f t="shared" si="1"/>
        <v>2900.7512785242975</v>
      </c>
      <c r="K15" s="1058" t="e">
        <f t="shared" si="1"/>
        <v>#REF!</v>
      </c>
      <c r="L15" s="1058" t="e">
        <f t="shared" si="1"/>
        <v>#REF!</v>
      </c>
    </row>
    <row r="18" spans="2:10">
      <c r="B18" s="1059" t="s">
        <v>1327</v>
      </c>
      <c r="C18" s="1061" t="e">
        <f>#REF!</f>
        <v>#REF!</v>
      </c>
      <c r="D18" s="1061" t="e">
        <f>#REF!</f>
        <v>#REF!</v>
      </c>
      <c r="E18" s="1061" t="e">
        <f>#REF!</f>
        <v>#REF!</v>
      </c>
      <c r="F18" s="1061" t="e">
        <f>#REF!</f>
        <v>#REF!</v>
      </c>
      <c r="G18" s="1061" t="e">
        <f>#REF!</f>
        <v>#REF!</v>
      </c>
      <c r="H18" s="1061" t="e">
        <f>#REF!</f>
        <v>#REF!</v>
      </c>
      <c r="I18" s="1061" t="e">
        <f>#REF!</f>
        <v>#REF!</v>
      </c>
      <c r="J18" s="1061" t="e">
        <f>#REF!</f>
        <v>#REF!</v>
      </c>
    </row>
    <row r="19" spans="2:10">
      <c r="B19" s="1059" t="s">
        <v>1133</v>
      </c>
      <c r="C19" s="1061" t="e">
        <f>#REF!</f>
        <v>#REF!</v>
      </c>
      <c r="D19" s="1061" t="e">
        <f>#REF!</f>
        <v>#REF!</v>
      </c>
      <c r="E19" s="1061" t="e">
        <f>#REF!</f>
        <v>#REF!</v>
      </c>
      <c r="F19" s="1061" t="e">
        <f>#REF!</f>
        <v>#REF!</v>
      </c>
      <c r="G19" s="1061" t="e">
        <f>#REF!</f>
        <v>#REF!</v>
      </c>
      <c r="H19" s="1061" t="e">
        <f>#REF!</f>
        <v>#REF!</v>
      </c>
      <c r="I19" s="1061" t="e">
        <f>#REF!</f>
        <v>#REF!</v>
      </c>
      <c r="J19" s="1061" t="e">
        <f>#REF!</f>
        <v>#REF!</v>
      </c>
    </row>
    <row r="20" spans="2:10">
      <c r="B20" s="1059" t="s">
        <v>1328</v>
      </c>
      <c r="C20" s="1069" t="e">
        <f>(C18-C19)/C11*10^3</f>
        <v>#REF!</v>
      </c>
      <c r="D20" s="1069" t="e">
        <f>(D18-D19)/D11*10^3</f>
        <v>#REF!</v>
      </c>
      <c r="E20" s="1069" t="e">
        <f>(E18-E19)/E11*10^3</f>
        <v>#REF!</v>
      </c>
      <c r="F20" s="1069" t="e">
        <f>(F18-F19)/F11*10^3</f>
        <v>#REF!</v>
      </c>
      <c r="G20" s="1069" t="e">
        <f>(G18-G19)/G11*10^3</f>
        <v>#REF!</v>
      </c>
      <c r="H20" s="1069" t="e">
        <f>(H18-H19)/H12*10^3</f>
        <v>#REF!</v>
      </c>
      <c r="I20" s="1069" t="e">
        <f>(I18-I19)/I12*10^3</f>
        <v>#REF!</v>
      </c>
      <c r="J20" s="1069" t="e">
        <f>(J18-J19)/J12*10^3</f>
        <v>#REF!</v>
      </c>
    </row>
    <row r="22" spans="2:10">
      <c r="B22" s="1059" t="s">
        <v>6</v>
      </c>
      <c r="C22" s="1068" t="e">
        <f>$C$1/C20</f>
        <v>#REF!</v>
      </c>
      <c r="D22" s="1068" t="e">
        <f t="shared" ref="D22:J22" si="2">$C$1/D20</f>
        <v>#REF!</v>
      </c>
      <c r="E22" s="1068" t="e">
        <f t="shared" si="2"/>
        <v>#REF!</v>
      </c>
      <c r="F22" s="1068" t="e">
        <f t="shared" si="2"/>
        <v>#REF!</v>
      </c>
      <c r="G22" s="1068" t="e">
        <f t="shared" si="2"/>
        <v>#REF!</v>
      </c>
      <c r="H22" s="1068" t="e">
        <f t="shared" si="2"/>
        <v>#REF!</v>
      </c>
      <c r="I22" s="1068" t="e">
        <f t="shared" si="2"/>
        <v>#REF!</v>
      </c>
      <c r="J22" s="1068" t="e">
        <f t="shared" si="2"/>
        <v>#REF!</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38"/>
  <sheetViews>
    <sheetView workbookViewId="0">
      <selection activeCell="B3" sqref="B3"/>
    </sheetView>
  </sheetViews>
  <sheetFormatPr defaultRowHeight="12"/>
  <cols>
    <col min="1" max="1" width="9.85546875" bestFit="1" customWidth="1"/>
    <col min="2" max="3" width="5" bestFit="1" customWidth="1"/>
    <col min="4" max="4" width="10.5703125" bestFit="1" customWidth="1"/>
    <col min="5" max="5" width="1.85546875" bestFit="1" customWidth="1"/>
    <col min="6" max="6" width="14.5703125" bestFit="1" customWidth="1"/>
    <col min="7" max="7" width="14.42578125" bestFit="1" customWidth="1"/>
    <col min="8" max="8" width="7.42578125" bestFit="1" customWidth="1"/>
    <col min="9" max="9" width="12.140625" bestFit="1" customWidth="1"/>
    <col min="10" max="12" width="5" bestFit="1" customWidth="1"/>
  </cols>
  <sheetData>
    <row r="2" spans="1:12">
      <c r="A2" s="1401">
        <v>42254</v>
      </c>
      <c r="B2">
        <v>16.100000000000001</v>
      </c>
      <c r="C2">
        <v>16.100000000000001</v>
      </c>
      <c r="D2" t="s">
        <v>1512</v>
      </c>
      <c r="E2" t="s">
        <v>1511</v>
      </c>
      <c r="F2" s="812">
        <v>793220</v>
      </c>
      <c r="G2" s="812">
        <v>12791000000</v>
      </c>
      <c r="H2">
        <v>0</v>
      </c>
      <c r="I2">
        <v>0</v>
      </c>
      <c r="J2">
        <v>16.3</v>
      </c>
      <c r="K2">
        <v>16.399999999999999</v>
      </c>
      <c r="L2">
        <v>15.9</v>
      </c>
    </row>
    <row r="3" spans="1:12">
      <c r="A3" s="1401">
        <v>42251</v>
      </c>
      <c r="B3">
        <v>16.399999999999999</v>
      </c>
      <c r="C3">
        <v>16.399999999999999</v>
      </c>
      <c r="D3" t="s">
        <v>1510</v>
      </c>
      <c r="E3" t="s">
        <v>1511</v>
      </c>
      <c r="F3" s="812">
        <v>858160</v>
      </c>
      <c r="G3" s="812">
        <v>14075000000</v>
      </c>
      <c r="H3">
        <v>0</v>
      </c>
      <c r="I3">
        <v>0</v>
      </c>
      <c r="J3">
        <v>16.5</v>
      </c>
      <c r="K3">
        <v>16.600000000000001</v>
      </c>
      <c r="L3">
        <v>16.2</v>
      </c>
    </row>
    <row r="4" spans="1:12">
      <c r="A4" s="1401">
        <v>42250</v>
      </c>
      <c r="B4">
        <v>16.5</v>
      </c>
      <c r="C4">
        <v>16.5</v>
      </c>
      <c r="D4" t="s">
        <v>1512</v>
      </c>
      <c r="E4" t="s">
        <v>1511</v>
      </c>
      <c r="F4" s="812">
        <v>1521750</v>
      </c>
      <c r="G4" s="812">
        <v>25356000000</v>
      </c>
      <c r="H4">
        <v>0</v>
      </c>
      <c r="I4">
        <v>0</v>
      </c>
      <c r="J4">
        <v>16.7</v>
      </c>
      <c r="K4">
        <v>17</v>
      </c>
      <c r="L4">
        <v>16.399999999999999</v>
      </c>
    </row>
    <row r="5" spans="1:12">
      <c r="A5" s="1401">
        <v>42248</v>
      </c>
      <c r="B5">
        <v>16.8</v>
      </c>
      <c r="C5">
        <v>16.8</v>
      </c>
      <c r="D5" t="s">
        <v>1513</v>
      </c>
      <c r="E5" t="s">
        <v>1511</v>
      </c>
      <c r="F5" s="812">
        <v>1980100</v>
      </c>
      <c r="G5" s="812">
        <v>32790000000</v>
      </c>
      <c r="H5">
        <v>0</v>
      </c>
      <c r="I5">
        <v>0</v>
      </c>
      <c r="J5">
        <v>15.8</v>
      </c>
      <c r="K5">
        <v>17</v>
      </c>
      <c r="L5">
        <v>15.8</v>
      </c>
    </row>
    <row r="6" spans="1:12">
      <c r="A6" s="1401">
        <v>42247</v>
      </c>
      <c r="B6">
        <v>15.9</v>
      </c>
      <c r="C6">
        <v>15.9</v>
      </c>
      <c r="D6" t="s">
        <v>1514</v>
      </c>
      <c r="E6" t="s">
        <v>1511</v>
      </c>
      <c r="F6" s="812">
        <v>1335790</v>
      </c>
      <c r="G6" s="812">
        <v>21301000000</v>
      </c>
      <c r="H6">
        <v>0</v>
      </c>
      <c r="I6">
        <v>0</v>
      </c>
      <c r="J6">
        <v>16.100000000000001</v>
      </c>
      <c r="K6">
        <v>16.2</v>
      </c>
      <c r="L6">
        <v>15.8</v>
      </c>
    </row>
    <row r="7" spans="1:12">
      <c r="A7" s="1401">
        <v>42244</v>
      </c>
      <c r="B7">
        <v>16.3</v>
      </c>
      <c r="C7">
        <v>16.3</v>
      </c>
      <c r="D7" t="s">
        <v>1515</v>
      </c>
      <c r="E7" t="s">
        <v>1511</v>
      </c>
      <c r="F7" s="812">
        <v>1437130</v>
      </c>
      <c r="G7" s="812">
        <v>23200000000</v>
      </c>
      <c r="H7">
        <v>0</v>
      </c>
      <c r="I7">
        <v>0</v>
      </c>
      <c r="J7">
        <v>16.399999999999999</v>
      </c>
      <c r="K7">
        <v>16.399999999999999</v>
      </c>
      <c r="L7">
        <v>15.9</v>
      </c>
    </row>
    <row r="8" spans="1:12">
      <c r="A8" s="1401">
        <v>42243</v>
      </c>
      <c r="B8">
        <v>16.100000000000001</v>
      </c>
      <c r="C8">
        <v>16.100000000000001</v>
      </c>
      <c r="D8" t="s">
        <v>1516</v>
      </c>
      <c r="E8" t="s">
        <v>1511</v>
      </c>
      <c r="F8" s="812">
        <v>2543790</v>
      </c>
      <c r="G8" s="812">
        <v>40979000000</v>
      </c>
      <c r="H8" s="812">
        <v>50000</v>
      </c>
      <c r="I8" s="812">
        <v>830000000</v>
      </c>
      <c r="J8">
        <v>16</v>
      </c>
      <c r="K8">
        <v>16.3</v>
      </c>
      <c r="L8">
        <v>16</v>
      </c>
    </row>
    <row r="9" spans="1:12">
      <c r="A9" s="1401">
        <v>42242</v>
      </c>
      <c r="B9">
        <v>15.6</v>
      </c>
      <c r="C9">
        <v>15.6</v>
      </c>
      <c r="D9" t="s">
        <v>1517</v>
      </c>
      <c r="E9" t="s">
        <v>1511</v>
      </c>
      <c r="F9" s="812">
        <v>2470020</v>
      </c>
      <c r="G9" s="812">
        <v>37976000000</v>
      </c>
      <c r="H9" s="812">
        <v>70000</v>
      </c>
      <c r="I9" s="812">
        <v>1050000000</v>
      </c>
      <c r="J9">
        <v>14.8</v>
      </c>
      <c r="K9">
        <v>15.6</v>
      </c>
      <c r="L9">
        <v>14.8</v>
      </c>
    </row>
    <row r="10" spans="1:12">
      <c r="A10" s="1401">
        <v>42241</v>
      </c>
      <c r="B10">
        <v>14.6</v>
      </c>
      <c r="C10">
        <v>14.6</v>
      </c>
      <c r="D10" t="s">
        <v>1518</v>
      </c>
      <c r="E10" t="s">
        <v>1511</v>
      </c>
      <c r="F10" s="812">
        <v>2569560</v>
      </c>
      <c r="G10" s="812">
        <v>37706000000</v>
      </c>
      <c r="H10">
        <v>0</v>
      </c>
      <c r="I10">
        <v>0</v>
      </c>
      <c r="J10">
        <v>14.4</v>
      </c>
      <c r="K10">
        <v>15.3</v>
      </c>
      <c r="L10">
        <v>14.3</v>
      </c>
    </row>
    <row r="11" spans="1:12">
      <c r="A11" s="1401">
        <v>42240</v>
      </c>
      <c r="B11">
        <v>15.3</v>
      </c>
      <c r="C11">
        <v>15.3</v>
      </c>
      <c r="D11" t="s">
        <v>1519</v>
      </c>
      <c r="E11" t="s">
        <v>1511</v>
      </c>
      <c r="F11" s="812">
        <v>1865240</v>
      </c>
      <c r="G11" s="812">
        <v>28758000000</v>
      </c>
      <c r="H11">
        <v>0</v>
      </c>
      <c r="I11">
        <v>0</v>
      </c>
      <c r="J11">
        <v>15.9</v>
      </c>
      <c r="K11">
        <v>16</v>
      </c>
      <c r="L11">
        <v>15.3</v>
      </c>
    </row>
    <row r="12" spans="1:12">
      <c r="A12" s="1401">
        <v>42237</v>
      </c>
      <c r="B12">
        <v>16.399999999999999</v>
      </c>
      <c r="C12">
        <v>16.399999999999999</v>
      </c>
      <c r="D12" t="s">
        <v>1512</v>
      </c>
      <c r="E12" t="s">
        <v>1511</v>
      </c>
      <c r="F12" s="812">
        <v>2457840</v>
      </c>
      <c r="G12" s="812">
        <v>39270000000</v>
      </c>
      <c r="H12">
        <v>0</v>
      </c>
      <c r="I12">
        <v>0</v>
      </c>
      <c r="J12">
        <v>16.399999999999999</v>
      </c>
      <c r="K12">
        <v>16.399999999999999</v>
      </c>
      <c r="L12">
        <v>15.6</v>
      </c>
    </row>
    <row r="13" spans="1:12">
      <c r="A13" s="1401">
        <v>42236</v>
      </c>
      <c r="B13">
        <v>16.7</v>
      </c>
      <c r="C13">
        <v>16.7</v>
      </c>
      <c r="D13" t="s">
        <v>1520</v>
      </c>
      <c r="E13" t="s">
        <v>1511</v>
      </c>
      <c r="F13" s="812">
        <v>1381340</v>
      </c>
      <c r="G13" s="812">
        <v>23238000000</v>
      </c>
      <c r="H13">
        <v>0</v>
      </c>
      <c r="I13">
        <v>0</v>
      </c>
      <c r="J13">
        <v>16.899999999999999</v>
      </c>
      <c r="K13">
        <v>17.100000000000001</v>
      </c>
      <c r="L13">
        <v>16.600000000000001</v>
      </c>
    </row>
    <row r="14" spans="1:12">
      <c r="A14" s="1401">
        <v>42235</v>
      </c>
      <c r="B14">
        <v>16.899999999999999</v>
      </c>
      <c r="C14">
        <v>16.899999999999999</v>
      </c>
      <c r="D14" t="s">
        <v>1521</v>
      </c>
      <c r="E14" t="s">
        <v>1511</v>
      </c>
      <c r="F14" s="812">
        <v>1789600</v>
      </c>
      <c r="G14" s="812">
        <v>30310000000</v>
      </c>
      <c r="H14">
        <v>0</v>
      </c>
      <c r="I14">
        <v>0</v>
      </c>
      <c r="J14">
        <v>17.100000000000001</v>
      </c>
      <c r="K14">
        <v>17.3</v>
      </c>
      <c r="L14">
        <v>16.5</v>
      </c>
    </row>
    <row r="15" spans="1:12">
      <c r="A15" s="1401">
        <v>42234</v>
      </c>
      <c r="B15">
        <v>17.3</v>
      </c>
      <c r="C15">
        <v>17.3</v>
      </c>
      <c r="D15" t="s">
        <v>1515</v>
      </c>
      <c r="E15" t="s">
        <v>1511</v>
      </c>
      <c r="F15" s="812">
        <v>2048320</v>
      </c>
      <c r="G15" s="812">
        <v>34925000000</v>
      </c>
      <c r="H15">
        <v>0</v>
      </c>
      <c r="I15">
        <v>0</v>
      </c>
      <c r="J15">
        <v>17.100000000000001</v>
      </c>
      <c r="K15">
        <v>17.3</v>
      </c>
      <c r="L15">
        <v>16.8</v>
      </c>
    </row>
    <row r="16" spans="1:12">
      <c r="A16" s="1401">
        <v>42233</v>
      </c>
      <c r="B16">
        <v>17.100000000000001</v>
      </c>
      <c r="C16">
        <v>17.100000000000001</v>
      </c>
      <c r="D16" t="s">
        <v>1522</v>
      </c>
      <c r="E16" t="s">
        <v>1511</v>
      </c>
      <c r="F16" s="812">
        <v>1948840</v>
      </c>
      <c r="G16" s="812">
        <v>34086000000</v>
      </c>
      <c r="H16">
        <v>0</v>
      </c>
      <c r="I16">
        <v>0</v>
      </c>
      <c r="J16">
        <v>18.100000000000001</v>
      </c>
      <c r="K16">
        <v>18.100000000000001</v>
      </c>
      <c r="L16">
        <v>17</v>
      </c>
    </row>
    <row r="17" spans="1:12">
      <c r="A17" s="1401">
        <v>42230</v>
      </c>
      <c r="B17">
        <v>17.8</v>
      </c>
      <c r="C17">
        <v>17.8</v>
      </c>
      <c r="D17" t="s">
        <v>1523</v>
      </c>
      <c r="E17" t="s">
        <v>1511</v>
      </c>
      <c r="F17" s="812">
        <v>1473400</v>
      </c>
      <c r="G17" s="812">
        <v>26047000000</v>
      </c>
      <c r="H17">
        <v>0</v>
      </c>
      <c r="I17">
        <v>0</v>
      </c>
      <c r="J17">
        <v>17.8</v>
      </c>
      <c r="K17">
        <v>18.100000000000001</v>
      </c>
      <c r="L17">
        <v>17.3</v>
      </c>
    </row>
    <row r="18" spans="1:12">
      <c r="A18" s="1401">
        <v>42229</v>
      </c>
      <c r="B18">
        <v>17.8</v>
      </c>
      <c r="C18">
        <v>17.8</v>
      </c>
      <c r="D18" t="s">
        <v>1524</v>
      </c>
      <c r="E18" t="s">
        <v>1511</v>
      </c>
      <c r="F18" s="812">
        <v>2291500</v>
      </c>
      <c r="G18" s="812">
        <v>41137000000</v>
      </c>
      <c r="H18">
        <v>0</v>
      </c>
      <c r="I18">
        <v>0</v>
      </c>
      <c r="J18">
        <v>18.3</v>
      </c>
      <c r="K18">
        <v>18.3</v>
      </c>
      <c r="L18">
        <v>17.5</v>
      </c>
    </row>
    <row r="19" spans="1:12">
      <c r="A19" s="1401">
        <v>42228</v>
      </c>
      <c r="B19">
        <v>18.3</v>
      </c>
      <c r="C19">
        <v>18.3</v>
      </c>
      <c r="D19" t="s">
        <v>1525</v>
      </c>
      <c r="E19" t="s">
        <v>1511</v>
      </c>
      <c r="F19" s="812">
        <v>2488080</v>
      </c>
      <c r="G19" s="812">
        <v>46141000000</v>
      </c>
      <c r="H19">
        <v>0</v>
      </c>
      <c r="I19">
        <v>0</v>
      </c>
      <c r="J19">
        <v>18.899999999999999</v>
      </c>
      <c r="K19">
        <v>19</v>
      </c>
      <c r="L19">
        <v>18.3</v>
      </c>
    </row>
    <row r="20" spans="1:12">
      <c r="A20" s="1401">
        <v>42227</v>
      </c>
      <c r="B20">
        <v>19</v>
      </c>
      <c r="C20">
        <v>19</v>
      </c>
      <c r="D20" t="s">
        <v>1526</v>
      </c>
      <c r="E20" t="s">
        <v>1511</v>
      </c>
      <c r="F20" s="812">
        <v>1759100</v>
      </c>
      <c r="G20" s="812">
        <v>33836000000</v>
      </c>
      <c r="H20">
        <v>0</v>
      </c>
      <c r="I20">
        <v>0</v>
      </c>
      <c r="J20">
        <v>19.399999999999999</v>
      </c>
      <c r="K20">
        <v>19.5</v>
      </c>
      <c r="L20">
        <v>19</v>
      </c>
    </row>
    <row r="21" spans="1:12">
      <c r="A21" s="1401">
        <v>42226</v>
      </c>
      <c r="B21">
        <v>19.2</v>
      </c>
      <c r="C21">
        <v>19.2</v>
      </c>
      <c r="D21" t="s">
        <v>1526</v>
      </c>
      <c r="E21" t="s">
        <v>1511</v>
      </c>
      <c r="F21" s="812">
        <v>1184140</v>
      </c>
      <c r="G21" s="812">
        <v>22899000000</v>
      </c>
      <c r="H21">
        <v>0</v>
      </c>
      <c r="I21">
        <v>0</v>
      </c>
      <c r="J21">
        <v>19.399999999999999</v>
      </c>
      <c r="K21">
        <v>19.5</v>
      </c>
      <c r="L21">
        <v>19.2</v>
      </c>
    </row>
    <row r="22" spans="1:12">
      <c r="A22" s="1401">
        <v>42223</v>
      </c>
      <c r="B22">
        <v>19.399999999999999</v>
      </c>
      <c r="C22">
        <v>19.399999999999999</v>
      </c>
      <c r="D22" t="s">
        <v>1527</v>
      </c>
      <c r="E22" t="s">
        <v>1511</v>
      </c>
      <c r="F22" s="812">
        <v>875910</v>
      </c>
      <c r="G22" s="812">
        <v>16808000000</v>
      </c>
      <c r="H22">
        <v>0</v>
      </c>
      <c r="I22">
        <v>0</v>
      </c>
      <c r="J22">
        <v>19.2</v>
      </c>
      <c r="K22">
        <v>19.399999999999999</v>
      </c>
      <c r="L22">
        <v>18.899999999999999</v>
      </c>
    </row>
    <row r="23" spans="1:12">
      <c r="A23" s="1401">
        <v>42222</v>
      </c>
      <c r="B23">
        <v>19.2</v>
      </c>
      <c r="C23">
        <v>19.2</v>
      </c>
      <c r="D23" t="s">
        <v>1528</v>
      </c>
      <c r="E23" t="s">
        <v>1511</v>
      </c>
      <c r="F23" s="812">
        <v>2810750</v>
      </c>
      <c r="G23" s="812">
        <v>53736000000</v>
      </c>
      <c r="H23">
        <v>0</v>
      </c>
      <c r="I23">
        <v>0</v>
      </c>
      <c r="J23">
        <v>19.100000000000001</v>
      </c>
      <c r="K23">
        <v>19.3</v>
      </c>
      <c r="L23">
        <v>18.899999999999999</v>
      </c>
    </row>
    <row r="24" spans="1:12">
      <c r="A24" s="1401">
        <v>42221</v>
      </c>
      <c r="B24">
        <v>18.899999999999999</v>
      </c>
      <c r="C24">
        <v>18.899999999999999</v>
      </c>
      <c r="D24" t="s">
        <v>1529</v>
      </c>
      <c r="E24" t="s">
        <v>1511</v>
      </c>
      <c r="F24" s="812">
        <v>1375750</v>
      </c>
      <c r="G24" s="812">
        <v>25581000000</v>
      </c>
      <c r="H24">
        <v>0</v>
      </c>
      <c r="I24">
        <v>0</v>
      </c>
      <c r="J24">
        <v>18.899999999999999</v>
      </c>
      <c r="K24">
        <v>18.899999999999999</v>
      </c>
      <c r="L24">
        <v>18.3</v>
      </c>
    </row>
    <row r="25" spans="1:12">
      <c r="A25" s="1401">
        <v>42220</v>
      </c>
      <c r="B25">
        <v>18.3</v>
      </c>
      <c r="C25">
        <v>18.3</v>
      </c>
      <c r="D25" t="s">
        <v>1530</v>
      </c>
      <c r="E25" t="s">
        <v>1511</v>
      </c>
      <c r="F25" s="812">
        <v>1320290</v>
      </c>
      <c r="G25" s="812">
        <v>24086000000</v>
      </c>
      <c r="H25">
        <v>0</v>
      </c>
      <c r="I25">
        <v>0</v>
      </c>
      <c r="J25">
        <v>18.100000000000001</v>
      </c>
      <c r="K25">
        <v>18.5</v>
      </c>
      <c r="L25">
        <v>18</v>
      </c>
    </row>
    <row r="26" spans="1:12">
      <c r="A26" s="1401">
        <v>42219</v>
      </c>
      <c r="B26">
        <v>18.100000000000001</v>
      </c>
      <c r="C26">
        <v>18.100000000000001</v>
      </c>
      <c r="D26" t="s">
        <v>1524</v>
      </c>
      <c r="E26" t="s">
        <v>1511</v>
      </c>
      <c r="F26" s="812">
        <v>2201180</v>
      </c>
      <c r="G26" s="812">
        <v>40045000000</v>
      </c>
      <c r="H26">
        <v>0</v>
      </c>
      <c r="I26">
        <v>0</v>
      </c>
      <c r="J26">
        <v>18.399999999999999</v>
      </c>
      <c r="K26">
        <v>18.399999999999999</v>
      </c>
      <c r="L26">
        <v>17.8</v>
      </c>
    </row>
    <row r="27" spans="1:12">
      <c r="A27" s="1401">
        <v>42216</v>
      </c>
      <c r="B27">
        <v>18.600000000000001</v>
      </c>
      <c r="C27">
        <v>18.600000000000001</v>
      </c>
      <c r="D27" t="s">
        <v>1531</v>
      </c>
      <c r="E27" t="s">
        <v>1511</v>
      </c>
      <c r="F27" s="812">
        <v>1249690</v>
      </c>
      <c r="G27" s="812">
        <v>23668000000</v>
      </c>
      <c r="H27">
        <v>0</v>
      </c>
      <c r="I27">
        <v>0</v>
      </c>
      <c r="J27">
        <v>19.2</v>
      </c>
      <c r="K27">
        <v>19.2</v>
      </c>
      <c r="L27">
        <v>18.600000000000001</v>
      </c>
    </row>
    <row r="28" spans="1:12">
      <c r="A28" s="1401">
        <v>42215</v>
      </c>
      <c r="B28">
        <v>19</v>
      </c>
      <c r="C28">
        <v>19</v>
      </c>
      <c r="D28" t="s">
        <v>1532</v>
      </c>
      <c r="E28" t="s">
        <v>1511</v>
      </c>
      <c r="F28" s="812">
        <v>1331140</v>
      </c>
      <c r="G28" s="812">
        <v>24854000000</v>
      </c>
      <c r="H28">
        <v>0</v>
      </c>
      <c r="I28">
        <v>0</v>
      </c>
      <c r="J28">
        <v>18.5</v>
      </c>
      <c r="K28">
        <v>19</v>
      </c>
      <c r="L28">
        <v>18.3</v>
      </c>
    </row>
    <row r="29" spans="1:12">
      <c r="A29" s="1401">
        <v>42214</v>
      </c>
      <c r="B29">
        <v>18.5</v>
      </c>
      <c r="C29">
        <v>18.5</v>
      </c>
      <c r="D29" t="s">
        <v>1533</v>
      </c>
      <c r="E29" t="s">
        <v>1511</v>
      </c>
      <c r="F29" s="812">
        <v>1553030</v>
      </c>
      <c r="G29" s="812">
        <v>29041000000</v>
      </c>
      <c r="H29">
        <v>0</v>
      </c>
      <c r="I29">
        <v>0</v>
      </c>
      <c r="J29">
        <v>18.600000000000001</v>
      </c>
      <c r="K29">
        <v>19</v>
      </c>
      <c r="L29">
        <v>18.5</v>
      </c>
    </row>
    <row r="30" spans="1:12">
      <c r="A30" s="1401">
        <v>42213</v>
      </c>
      <c r="B30">
        <v>18.8</v>
      </c>
      <c r="C30">
        <v>18.8</v>
      </c>
      <c r="D30" t="s">
        <v>1523</v>
      </c>
      <c r="E30" t="s">
        <v>1511</v>
      </c>
      <c r="F30" s="812">
        <v>1950440</v>
      </c>
      <c r="G30" s="812">
        <v>36905000000</v>
      </c>
      <c r="H30">
        <v>0</v>
      </c>
      <c r="I30">
        <v>0</v>
      </c>
      <c r="J30">
        <v>18.7</v>
      </c>
      <c r="K30">
        <v>19.3</v>
      </c>
      <c r="L30">
        <v>18.600000000000001</v>
      </c>
    </row>
    <row r="31" spans="1:12">
      <c r="A31" s="1401">
        <v>42212</v>
      </c>
      <c r="B31">
        <v>18.8</v>
      </c>
      <c r="C31">
        <v>18.8</v>
      </c>
      <c r="D31" t="s">
        <v>1528</v>
      </c>
      <c r="E31" t="s">
        <v>1511</v>
      </c>
      <c r="F31" s="812">
        <v>1531510</v>
      </c>
      <c r="G31" s="812">
        <v>28477000000</v>
      </c>
      <c r="H31">
        <v>0</v>
      </c>
      <c r="I31">
        <v>0</v>
      </c>
      <c r="J31">
        <v>18.399999999999999</v>
      </c>
      <c r="K31">
        <v>18.8</v>
      </c>
      <c r="L31">
        <v>18.399999999999999</v>
      </c>
    </row>
    <row r="32" spans="1:12">
      <c r="A32" s="1401"/>
      <c r="F32" s="812"/>
      <c r="G32" s="812"/>
    </row>
    <row r="33" spans="1:9">
      <c r="A33" s="1401"/>
      <c r="F33" s="812"/>
      <c r="G33" s="812"/>
    </row>
    <row r="34" spans="1:9">
      <c r="F34" s="812"/>
      <c r="G34" s="812">
        <f>SUM(G2:G31)</f>
        <v>910022000000</v>
      </c>
      <c r="H34" s="812"/>
      <c r="I34" s="812">
        <f>SUM(I2:I31)</f>
        <v>1880000000</v>
      </c>
    </row>
    <row r="36" spans="1:9">
      <c r="F36" s="813">
        <f>SUM(F34:I34)/30</f>
        <v>30396733333.333332</v>
      </c>
    </row>
    <row r="37" spans="1:9">
      <c r="F37" s="910">
        <f>F36/21890</f>
        <v>1388612.7607735647</v>
      </c>
    </row>
    <row r="38" spans="1:9">
      <c r="F38" s="910">
        <f>F37/10^6</f>
        <v>1.3886127607735648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7"/>
  <sheetViews>
    <sheetView showGridLines="0" topLeftCell="A18" zoomScale="130" zoomScaleNormal="130" workbookViewId="0">
      <selection activeCell="G39" sqref="G39"/>
    </sheetView>
  </sheetViews>
  <sheetFormatPr defaultColWidth="15.140625" defaultRowHeight="11.25"/>
  <cols>
    <col min="1" max="1" width="1.5703125" style="1273" customWidth="1"/>
    <col min="2" max="2" width="13.140625" style="1273" customWidth="1"/>
    <col min="3" max="3" width="32.140625" style="1273" customWidth="1"/>
    <col min="4" max="8" width="7.5703125" style="1273" customWidth="1"/>
    <col min="9" max="9" width="8.42578125" style="1273" customWidth="1"/>
    <col min="10" max="11" width="8" style="1273" customWidth="1"/>
    <col min="12" max="12" width="2.85546875" style="1273" customWidth="1"/>
    <col min="13" max="13" width="126.42578125" style="1273" customWidth="1"/>
    <col min="14" max="14" width="9.140625" style="1273" customWidth="1"/>
    <col min="15" max="15" width="22" style="1273" customWidth="1"/>
    <col min="16" max="25" width="7.5703125" style="1273" customWidth="1"/>
    <col min="26" max="16384" width="15.140625" style="1273"/>
  </cols>
  <sheetData>
    <row r="1" spans="1:25" ht="12" thickBot="1">
      <c r="A1" s="1269">
        <v>3</v>
      </c>
      <c r="B1" s="1270" t="s">
        <v>1398</v>
      </c>
      <c r="C1" s="1271"/>
      <c r="D1" s="1271"/>
      <c r="E1" s="1271"/>
      <c r="F1" s="1271"/>
      <c r="G1" s="1271"/>
      <c r="H1" s="1271"/>
      <c r="I1" s="1271"/>
      <c r="J1" s="1271"/>
      <c r="K1" s="1271"/>
      <c r="L1" s="1271"/>
      <c r="M1" s="1272" t="s">
        <v>1399</v>
      </c>
      <c r="O1" s="1274"/>
      <c r="P1" s="1269"/>
      <c r="Q1" s="1269"/>
      <c r="R1" s="1269"/>
      <c r="S1" s="1269"/>
      <c r="T1" s="1269"/>
      <c r="U1" s="1269"/>
      <c r="V1" s="1269"/>
      <c r="W1" s="1269"/>
      <c r="X1" s="1269"/>
      <c r="Y1" s="1269"/>
    </row>
    <row r="2" spans="1:25" ht="22.5">
      <c r="A2" s="1269"/>
      <c r="B2" s="1275" t="s">
        <v>1400</v>
      </c>
      <c r="C2" s="1276" t="s">
        <v>1401</v>
      </c>
      <c r="D2" s="1275"/>
      <c r="E2" s="1275"/>
      <c r="F2" s="1275"/>
      <c r="G2" s="1275"/>
      <c r="H2" s="1275"/>
      <c r="I2" s="1275"/>
      <c r="J2" s="1275"/>
      <c r="K2" s="1275"/>
      <c r="M2" s="1277" t="s">
        <v>1402</v>
      </c>
      <c r="O2" s="1274"/>
      <c r="P2" s="1269"/>
      <c r="Q2" s="1269"/>
      <c r="R2" s="1269"/>
      <c r="S2" s="1269"/>
      <c r="T2" s="1269"/>
      <c r="U2" s="1269"/>
      <c r="V2" s="1269"/>
      <c r="W2" s="1269"/>
      <c r="X2" s="1269"/>
      <c r="Y2" s="1269"/>
    </row>
    <row r="3" spans="1:25" ht="12" thickBot="1">
      <c r="A3" s="1269"/>
      <c r="M3" s="1277"/>
      <c r="O3" s="1274"/>
      <c r="P3" s="1269"/>
      <c r="Q3" s="1269"/>
      <c r="R3" s="1269"/>
      <c r="S3" s="1269"/>
      <c r="T3" s="1269"/>
      <c r="U3" s="1269"/>
      <c r="V3" s="1269"/>
      <c r="W3" s="1269"/>
      <c r="X3" s="1269"/>
      <c r="Y3" s="1269"/>
    </row>
    <row r="4" spans="1:25" ht="23.25" thickBot="1">
      <c r="A4" s="1269"/>
      <c r="C4" s="1278" t="s">
        <v>1403</v>
      </c>
      <c r="D4" s="1279" t="s">
        <v>653</v>
      </c>
      <c r="M4" s="1277" t="s">
        <v>1404</v>
      </c>
      <c r="O4" s="1274"/>
      <c r="P4" s="1269"/>
      <c r="Q4" s="1269"/>
      <c r="R4" s="1269"/>
      <c r="S4" s="1269"/>
      <c r="T4" s="1269"/>
      <c r="U4" s="1269"/>
      <c r="V4" s="1269"/>
      <c r="W4" s="1269"/>
      <c r="X4" s="1269"/>
      <c r="Y4" s="1269"/>
    </row>
    <row r="5" spans="1:25">
      <c r="A5" s="1269"/>
      <c r="G5" s="1280" t="s">
        <v>1405</v>
      </c>
      <c r="H5" s="1281"/>
      <c r="I5" s="1281"/>
      <c r="J5" s="1282"/>
      <c r="M5" s="1283"/>
      <c r="O5" s="1274"/>
      <c r="P5" s="1269"/>
      <c r="Q5" s="1269"/>
      <c r="R5" s="1269"/>
      <c r="S5" s="1269"/>
      <c r="T5" s="1269"/>
      <c r="U5" s="1269"/>
      <c r="V5" s="1269"/>
      <c r="W5" s="1269"/>
      <c r="X5" s="1269"/>
      <c r="Y5" s="1269"/>
    </row>
    <row r="6" spans="1:25" ht="45">
      <c r="A6" s="1269"/>
      <c r="B6" s="1278"/>
      <c r="C6" s="1278" t="s">
        <v>731</v>
      </c>
      <c r="D6" s="1284" t="e">
        <f>Valuation!#REF!</f>
        <v>#REF!</v>
      </c>
      <c r="E6" s="1284"/>
      <c r="F6" s="1284"/>
      <c r="G6" s="1285" t="s">
        <v>1406</v>
      </c>
      <c r="H6" s="1284"/>
      <c r="I6" s="1284"/>
      <c r="J6" s="1286">
        <v>0</v>
      </c>
      <c r="K6" s="1366"/>
      <c r="M6" s="1277" t="s">
        <v>1407</v>
      </c>
      <c r="O6" s="1274"/>
      <c r="P6" s="1269"/>
      <c r="Q6" s="1269"/>
      <c r="R6" s="1269"/>
      <c r="S6" s="1269"/>
      <c r="T6" s="1269"/>
      <c r="U6" s="1269"/>
      <c r="V6" s="1269"/>
      <c r="W6" s="1269"/>
      <c r="X6" s="1269"/>
      <c r="Y6" s="1269"/>
    </row>
    <row r="7" spans="1:25">
      <c r="A7" s="1269"/>
      <c r="B7" s="1278"/>
      <c r="C7" s="1278" t="s">
        <v>1408</v>
      </c>
      <c r="D7" s="1284" t="e">
        <f>Valuation!#REF!</f>
        <v>#REF!</v>
      </c>
      <c r="E7" s="1287"/>
      <c r="F7" s="1287"/>
      <c r="G7" s="1288" t="s">
        <v>1409</v>
      </c>
      <c r="H7" s="1287"/>
      <c r="I7" s="1287"/>
      <c r="J7" s="1289">
        <v>10000</v>
      </c>
      <c r="K7" s="1287"/>
      <c r="M7" s="1277"/>
      <c r="O7" s="1274"/>
      <c r="P7" s="1269"/>
      <c r="Q7" s="1269"/>
      <c r="R7" s="1269"/>
      <c r="S7" s="1269"/>
      <c r="T7" s="1269"/>
      <c r="U7" s="1269"/>
      <c r="V7" s="1269"/>
      <c r="W7" s="1269"/>
      <c r="X7" s="1269"/>
      <c r="Y7" s="1269"/>
    </row>
    <row r="8" spans="1:25">
      <c r="A8" s="1269"/>
      <c r="B8" s="1278"/>
      <c r="C8" s="1278" t="s">
        <v>1410</v>
      </c>
      <c r="D8" s="1290" t="s">
        <v>700</v>
      </c>
      <c r="E8" s="1287"/>
      <c r="F8" s="1287"/>
      <c r="G8" s="1288" t="s">
        <v>1411</v>
      </c>
      <c r="H8" s="1287"/>
      <c r="I8" s="1287"/>
      <c r="J8" s="1286" t="e">
        <f>(J6*J7)/D6</f>
        <v>#REF!</v>
      </c>
      <c r="K8" s="1366"/>
      <c r="M8" s="1283" t="s">
        <v>1412</v>
      </c>
      <c r="O8" s="1274"/>
      <c r="P8" s="1269"/>
      <c r="Q8" s="1269"/>
      <c r="R8" s="1269"/>
      <c r="S8" s="1269"/>
      <c r="T8" s="1269"/>
      <c r="U8" s="1269"/>
      <c r="V8" s="1269"/>
      <c r="W8" s="1269"/>
      <c r="X8" s="1269"/>
      <c r="Y8" s="1269"/>
    </row>
    <row r="9" spans="1:25">
      <c r="A9" s="1269"/>
      <c r="B9" s="1278"/>
      <c r="C9" s="1278" t="s">
        <v>1413</v>
      </c>
      <c r="D9" s="1291" t="s">
        <v>1414</v>
      </c>
      <c r="E9" s="1287"/>
      <c r="F9" s="1287"/>
      <c r="G9" s="1292" t="s">
        <v>1415</v>
      </c>
      <c r="H9" s="1293"/>
      <c r="I9" s="1293"/>
      <c r="J9" s="1294" t="e">
        <f>J6-J8</f>
        <v>#REF!</v>
      </c>
      <c r="K9" s="1366"/>
      <c r="M9" s="1295" t="s">
        <v>1416</v>
      </c>
      <c r="O9" s="1274"/>
      <c r="P9" s="1269"/>
      <c r="Q9" s="1269"/>
      <c r="R9" s="1269"/>
      <c r="S9" s="1269"/>
      <c r="T9" s="1269"/>
      <c r="U9" s="1269"/>
      <c r="V9" s="1269"/>
      <c r="W9" s="1269"/>
      <c r="X9" s="1269"/>
      <c r="Y9" s="1269"/>
    </row>
    <row r="10" spans="1:25">
      <c r="A10" s="1269"/>
      <c r="B10" s="1278"/>
      <c r="C10" s="1278"/>
      <c r="D10" s="1296"/>
      <c r="E10" s="1297"/>
      <c r="F10" s="1297"/>
      <c r="G10" s="1297"/>
      <c r="H10" s="1297"/>
      <c r="I10" s="1297"/>
      <c r="J10" s="1297"/>
      <c r="K10" s="1297"/>
      <c r="M10" s="1298"/>
      <c r="O10" s="1274"/>
      <c r="P10" s="1269"/>
      <c r="Q10" s="1269"/>
      <c r="R10" s="1269"/>
      <c r="S10" s="1269"/>
      <c r="T10" s="1269"/>
      <c r="U10" s="1269"/>
      <c r="V10" s="1269"/>
      <c r="W10" s="1269"/>
      <c r="X10" s="1269"/>
      <c r="Y10" s="1269"/>
    </row>
    <row r="11" spans="1:25">
      <c r="A11" s="1269"/>
      <c r="C11" s="1278"/>
      <c r="D11" s="1299" t="s">
        <v>215</v>
      </c>
      <c r="E11" s="1300"/>
      <c r="F11" s="1301"/>
      <c r="G11" s="1300"/>
      <c r="H11" s="1300"/>
      <c r="I11" s="1302" t="s">
        <v>11</v>
      </c>
      <c r="J11" s="1303"/>
      <c r="K11" s="1303"/>
      <c r="M11" s="1295"/>
      <c r="O11" s="1274"/>
      <c r="P11" s="1269"/>
      <c r="Q11" s="1269"/>
      <c r="R11" s="1269"/>
      <c r="S11" s="1269"/>
      <c r="T11" s="1269"/>
      <c r="U11" s="1269"/>
      <c r="V11" s="1269"/>
      <c r="W11" s="1269"/>
      <c r="X11" s="1269"/>
      <c r="Y11" s="1269"/>
    </row>
    <row r="12" spans="1:25">
      <c r="A12" s="1269"/>
      <c r="D12" s="1304">
        <f>$D$9-5</f>
        <v>2010</v>
      </c>
      <c r="E12" s="1304">
        <f t="shared" ref="E12:K12" si="0">D12+1</f>
        <v>2011</v>
      </c>
      <c r="F12" s="1304">
        <f t="shared" si="0"/>
        <v>2012</v>
      </c>
      <c r="G12" s="1304">
        <f t="shared" si="0"/>
        <v>2013</v>
      </c>
      <c r="H12" s="1304">
        <f t="shared" si="0"/>
        <v>2014</v>
      </c>
      <c r="I12" s="1304">
        <f t="shared" si="0"/>
        <v>2015</v>
      </c>
      <c r="J12" s="1304">
        <f t="shared" si="0"/>
        <v>2016</v>
      </c>
      <c r="K12" s="1304">
        <f t="shared" si="0"/>
        <v>2017</v>
      </c>
      <c r="M12" s="1295"/>
      <c r="O12" s="1274"/>
      <c r="P12" s="1269"/>
      <c r="Q12" s="1269"/>
      <c r="R12" s="1269"/>
      <c r="S12" s="1269"/>
      <c r="T12" s="1269"/>
      <c r="U12" s="1269"/>
      <c r="V12" s="1269"/>
      <c r="W12" s="1269"/>
      <c r="X12" s="1269"/>
      <c r="Y12" s="1269"/>
    </row>
    <row r="13" spans="1:25">
      <c r="A13" s="1269"/>
      <c r="C13" s="1305" t="s">
        <v>1417</v>
      </c>
      <c r="D13" s="1306">
        <v>1</v>
      </c>
      <c r="E13" s="1306">
        <v>1</v>
      </c>
      <c r="F13" s="1306">
        <v>1</v>
      </c>
      <c r="G13" s="1306">
        <v>1</v>
      </c>
      <c r="H13" s="1306">
        <v>1</v>
      </c>
      <c r="I13" s="1306">
        <v>1</v>
      </c>
      <c r="J13" s="1306">
        <v>1</v>
      </c>
      <c r="K13" s="1306">
        <v>1</v>
      </c>
      <c r="M13" s="1277"/>
      <c r="O13" s="1274"/>
      <c r="P13" s="1269"/>
      <c r="Q13" s="1269"/>
      <c r="R13" s="1269"/>
      <c r="S13" s="1269"/>
      <c r="T13" s="1269"/>
      <c r="U13" s="1269"/>
      <c r="V13" s="1269"/>
      <c r="W13" s="1269"/>
      <c r="X13" s="1269"/>
      <c r="Y13" s="1269"/>
    </row>
    <row r="14" spans="1:25">
      <c r="A14" s="1269"/>
      <c r="C14" s="1278" t="s">
        <v>1418</v>
      </c>
      <c r="D14" s="1307">
        <f>'P&amp;L'!C32-D15</f>
        <v>66.531286799999975</v>
      </c>
      <c r="E14" s="1307">
        <f>'P&amp;L'!D32-E15</f>
        <v>18.887496200000061</v>
      </c>
      <c r="F14" s="1307">
        <f>'P&amp;L'!E32-F15</f>
        <v>54.551951200000012</v>
      </c>
      <c r="G14" s="1307">
        <f>'P&amp;L'!F32-G15</f>
        <v>47.291501848547732</v>
      </c>
      <c r="H14" s="1307">
        <f>'P&amp;L'!G32-H15</f>
        <v>94.563845748806898</v>
      </c>
      <c r="I14" s="1307">
        <f>'P&amp;L'!H32-I15</f>
        <v>0.24729999999999996</v>
      </c>
      <c r="J14" s="1307">
        <f>'P&amp;L'!I32-J15</f>
        <v>0.41859243851430022</v>
      </c>
      <c r="K14" s="1307">
        <f>'P&amp;L'!J32-K15</f>
        <v>0.64232232653900001</v>
      </c>
      <c r="M14" s="1277" t="s">
        <v>1419</v>
      </c>
      <c r="O14" s="1274"/>
      <c r="P14" s="1269"/>
      <c r="Q14" s="1269"/>
      <c r="R14" s="1269"/>
      <c r="S14" s="1269"/>
      <c r="T14" s="1269"/>
      <c r="U14" s="1269"/>
      <c r="V14" s="1269"/>
      <c r="W14" s="1269"/>
      <c r="X14" s="1269"/>
      <c r="Y14" s="1269"/>
    </row>
    <row r="15" spans="1:25">
      <c r="A15" s="1269"/>
      <c r="C15" s="1308" t="s">
        <v>1467</v>
      </c>
      <c r="D15" s="1307">
        <v>5.548</v>
      </c>
      <c r="E15" s="1307">
        <v>5.7039999999999997</v>
      </c>
      <c r="F15" s="1307">
        <v>3.3079999999999998</v>
      </c>
      <c r="G15" s="1307">
        <v>5.6820000000000004</v>
      </c>
      <c r="H15" s="1307">
        <v>19.363</v>
      </c>
      <c r="I15" s="1307">
        <f>'P&amp;L'!H30*10%</f>
        <v>3.3700000000000001E-2</v>
      </c>
      <c r="J15" s="1307">
        <f>'P&amp;L'!I30*10%</f>
        <v>5.0305051029700024E-2</v>
      </c>
      <c r="K15" s="1307">
        <f>'P&amp;L'!J30*10%</f>
        <v>7.3327003792000009E-2</v>
      </c>
      <c r="M15" s="1277"/>
      <c r="O15" s="1274"/>
      <c r="P15" s="1269"/>
      <c r="Q15" s="1269"/>
      <c r="R15" s="1269"/>
      <c r="S15" s="1269"/>
      <c r="T15" s="1269"/>
      <c r="U15" s="1269"/>
      <c r="V15" s="1269"/>
      <c r="W15" s="1269"/>
      <c r="X15" s="1269"/>
      <c r="Y15" s="1269"/>
    </row>
    <row r="16" spans="1:25">
      <c r="A16" s="1269"/>
      <c r="C16" s="1278" t="s">
        <v>1420</v>
      </c>
      <c r="D16" s="1309">
        <v>8</v>
      </c>
      <c r="E16" s="1309">
        <v>16</v>
      </c>
      <c r="F16" s="1309">
        <v>32</v>
      </c>
      <c r="G16" s="1309">
        <v>42</v>
      </c>
      <c r="H16" s="1309">
        <v>52.799681000000007</v>
      </c>
      <c r="I16" s="1309">
        <v>75</v>
      </c>
      <c r="J16" s="1309" t="e">
        <f>I25</f>
        <v>#REF!</v>
      </c>
      <c r="K16" s="1309" t="e">
        <f>J25</f>
        <v>#REF!</v>
      </c>
      <c r="M16" s="1277"/>
      <c r="O16" s="1274"/>
      <c r="P16" s="1269"/>
      <c r="Q16" s="1269"/>
      <c r="R16" s="1269"/>
      <c r="S16" s="1269"/>
      <c r="T16" s="1269"/>
      <c r="U16" s="1269"/>
      <c r="V16" s="1269"/>
      <c r="W16" s="1269"/>
      <c r="X16" s="1269"/>
      <c r="Y16" s="1269"/>
    </row>
    <row r="17" spans="1:25">
      <c r="A17" s="1269"/>
      <c r="C17" s="1310" t="s">
        <v>1421</v>
      </c>
      <c r="D17" s="1311"/>
      <c r="E17" s="1311"/>
      <c r="F17" s="1311"/>
      <c r="G17" s="1311"/>
      <c r="H17" s="1311"/>
      <c r="I17" s="1312"/>
      <c r="J17" s="1312"/>
      <c r="K17" s="1312"/>
      <c r="M17" s="1295"/>
      <c r="O17" s="1313"/>
      <c r="P17" s="1269"/>
      <c r="Q17" s="1269"/>
      <c r="R17" s="1269"/>
      <c r="S17" s="1269"/>
      <c r="T17" s="1269"/>
      <c r="U17" s="1269"/>
      <c r="V17" s="1269"/>
      <c r="W17" s="1269"/>
      <c r="X17" s="1269"/>
      <c r="Y17" s="1269"/>
    </row>
    <row r="18" spans="1:25">
      <c r="A18" s="1269"/>
      <c r="B18" s="2260" t="s">
        <v>1422</v>
      </c>
      <c r="C18" s="1314" t="s">
        <v>733</v>
      </c>
      <c r="D18" s="1315"/>
      <c r="E18" s="1315">
        <v>5.2</v>
      </c>
      <c r="F18" s="1315">
        <v>10</v>
      </c>
      <c r="G18" s="1315"/>
      <c r="H18" s="1315">
        <v>11.64</v>
      </c>
      <c r="I18" s="1315">
        <v>25.7</v>
      </c>
      <c r="J18" s="1316"/>
      <c r="K18" s="1316"/>
      <c r="M18" s="1295"/>
      <c r="O18" s="1313"/>
      <c r="P18" s="1269"/>
      <c r="Q18" s="1269"/>
      <c r="R18" s="1269"/>
      <c r="S18" s="1269"/>
      <c r="T18" s="1269"/>
      <c r="U18" s="1269"/>
      <c r="V18" s="1269"/>
      <c r="W18" s="1269"/>
      <c r="X18" s="1269"/>
      <c r="Y18" s="1269"/>
    </row>
    <row r="19" spans="1:25">
      <c r="A19" s="1269"/>
      <c r="B19" s="2261"/>
      <c r="C19" s="1314" t="s">
        <v>1423</v>
      </c>
      <c r="D19" s="1315"/>
      <c r="E19" s="1315"/>
      <c r="F19" s="1315"/>
      <c r="G19" s="1315"/>
      <c r="H19" s="1315"/>
      <c r="I19" s="1315"/>
      <c r="J19" s="1316"/>
      <c r="K19" s="1316"/>
      <c r="M19" s="1295"/>
      <c r="O19" s="1274"/>
      <c r="P19" s="1269"/>
      <c r="Q19" s="1269"/>
      <c r="R19" s="1269"/>
      <c r="S19" s="1269"/>
      <c r="T19" s="1269"/>
      <c r="U19" s="1269"/>
      <c r="V19" s="1269"/>
      <c r="W19" s="1269"/>
      <c r="X19" s="1269"/>
      <c r="Y19" s="1269"/>
    </row>
    <row r="20" spans="1:25" ht="18.75" customHeight="1">
      <c r="A20" s="1269"/>
      <c r="B20" s="2261"/>
      <c r="C20" s="1314" t="s">
        <v>1424</v>
      </c>
      <c r="D20" s="1315">
        <v>6.6</v>
      </c>
      <c r="E20" s="1317">
        <v>9</v>
      </c>
      <c r="F20" s="1315"/>
      <c r="G20" s="1315"/>
      <c r="H20" s="1315">
        <v>8</v>
      </c>
      <c r="I20" s="1315"/>
      <c r="J20" s="1316">
        <f>IF(D8="YES",J8,0)</f>
        <v>0</v>
      </c>
      <c r="K20" s="1316"/>
      <c r="M20" s="1295" t="s">
        <v>1425</v>
      </c>
      <c r="O20" s="1274"/>
      <c r="P20" s="1269"/>
      <c r="Q20" s="1269"/>
      <c r="R20" s="1269"/>
      <c r="S20" s="1269"/>
      <c r="T20" s="1269"/>
      <c r="U20" s="1269"/>
      <c r="V20" s="1269"/>
      <c r="W20" s="1269"/>
      <c r="X20" s="1269"/>
      <c r="Y20" s="1269"/>
    </row>
    <row r="21" spans="1:25">
      <c r="A21" s="1269"/>
      <c r="B21" s="2262" t="s">
        <v>1426</v>
      </c>
      <c r="C21" s="1318" t="s">
        <v>1427</v>
      </c>
      <c r="D21" s="1319">
        <v>1</v>
      </c>
      <c r="E21" s="1320">
        <v>1</v>
      </c>
      <c r="F21" s="1319"/>
      <c r="G21" s="1319"/>
      <c r="H21" s="1319">
        <v>2.6</v>
      </c>
      <c r="I21" s="1319"/>
      <c r="J21" s="1316">
        <f>IF(D8="YES",J9,0)</f>
        <v>0</v>
      </c>
      <c r="K21" s="1316"/>
      <c r="M21" s="1295"/>
      <c r="N21" s="1297"/>
      <c r="O21" s="1313"/>
      <c r="P21" s="1269"/>
      <c r="Q21" s="1269"/>
      <c r="R21" s="1269"/>
      <c r="S21" s="1269"/>
      <c r="T21" s="1269"/>
      <c r="U21" s="1269"/>
      <c r="V21" s="1269"/>
      <c r="W21" s="1269"/>
      <c r="X21" s="1269"/>
      <c r="Y21" s="1269"/>
    </row>
    <row r="22" spans="1:25">
      <c r="A22" s="1269"/>
      <c r="B22" s="2261"/>
      <c r="C22" s="1321" t="s">
        <v>1007</v>
      </c>
      <c r="D22" s="1319"/>
      <c r="E22" s="1319"/>
      <c r="F22" s="1319"/>
      <c r="G22" s="1319">
        <v>10.499599999999999</v>
      </c>
      <c r="H22" s="1319"/>
      <c r="I22" s="1319">
        <f>5.545+10.6</f>
        <v>16.145</v>
      </c>
      <c r="J22" s="1322"/>
      <c r="K22" s="1322"/>
      <c r="M22" s="1277" t="s">
        <v>1428</v>
      </c>
      <c r="O22" s="1274"/>
      <c r="P22" s="1269"/>
      <c r="Q22" s="1269"/>
      <c r="R22" s="1269"/>
      <c r="S22" s="1269"/>
      <c r="T22" s="1269"/>
      <c r="U22" s="1269"/>
      <c r="V22" s="1269"/>
      <c r="W22" s="1269"/>
      <c r="X22" s="1269"/>
      <c r="Y22" s="1269"/>
    </row>
    <row r="23" spans="1:25" ht="16.5" customHeight="1">
      <c r="A23" s="1269"/>
      <c r="B23" s="2261"/>
      <c r="C23" s="1321" t="s">
        <v>1429</v>
      </c>
      <c r="D23" s="1319"/>
      <c r="E23" s="1320"/>
      <c r="F23" s="1319"/>
      <c r="G23" s="1319"/>
      <c r="H23" s="1319"/>
      <c r="I23" s="1319"/>
      <c r="J23" s="1322"/>
      <c r="K23" s="1322"/>
      <c r="M23" s="1323" t="s">
        <v>1430</v>
      </c>
      <c r="O23" s="1324"/>
      <c r="P23" s="1269"/>
      <c r="Q23" s="1269"/>
      <c r="R23" s="1269"/>
      <c r="S23" s="1269"/>
      <c r="T23" s="1269"/>
      <c r="U23" s="1269"/>
      <c r="V23" s="1269"/>
      <c r="W23" s="1269"/>
      <c r="X23" s="1269"/>
      <c r="Y23" s="1269"/>
    </row>
    <row r="24" spans="1:25">
      <c r="A24" s="1269"/>
      <c r="C24" s="1325"/>
      <c r="D24" s="1326"/>
      <c r="E24" s="1326"/>
      <c r="F24" s="1326"/>
      <c r="G24" s="1326"/>
      <c r="H24" s="1327"/>
      <c r="I24" s="1328"/>
      <c r="J24" s="1329"/>
      <c r="K24" s="1329"/>
      <c r="M24" s="1295"/>
      <c r="O24" s="1324"/>
      <c r="P24" s="1269"/>
      <c r="Q24" s="1269"/>
      <c r="R24" s="1269"/>
      <c r="S24" s="1269"/>
      <c r="T24" s="1269"/>
      <c r="U24" s="1269"/>
      <c r="V24" s="1269"/>
      <c r="W24" s="1269"/>
      <c r="X24" s="1269"/>
      <c r="Y24" s="1269"/>
    </row>
    <row r="25" spans="1:25">
      <c r="A25" s="1269"/>
      <c r="C25" s="1330" t="s">
        <v>1431</v>
      </c>
      <c r="D25" s="1331">
        <f>SUM(D16:D23)</f>
        <v>15.6</v>
      </c>
      <c r="E25" s="1331">
        <f>SUM(E16:E23)</f>
        <v>31.2</v>
      </c>
      <c r="F25" s="1331">
        <f>SUM(F16:F23)</f>
        <v>42</v>
      </c>
      <c r="G25" s="1331">
        <f>SUM(G16:G23)</f>
        <v>52.499600000000001</v>
      </c>
      <c r="H25" s="1331">
        <f>SUM(H16:H23)</f>
        <v>75.039681000000002</v>
      </c>
      <c r="I25" s="1331" t="e">
        <f>Equity!#REF!</f>
        <v>#REF!</v>
      </c>
      <c r="J25" s="1331" t="e">
        <f>Equity!#REF!</f>
        <v>#REF!</v>
      </c>
      <c r="K25" s="1331" t="e">
        <f>Equity!#REF!</f>
        <v>#REF!</v>
      </c>
      <c r="M25" s="1295"/>
      <c r="N25" s="1297"/>
      <c r="O25" s="1324"/>
      <c r="P25" s="1269"/>
      <c r="Q25" s="1269"/>
      <c r="R25" s="1269"/>
      <c r="S25" s="1269"/>
      <c r="T25" s="1269"/>
      <c r="U25" s="1269"/>
      <c r="V25" s="1269"/>
      <c r="W25" s="1269"/>
      <c r="X25" s="1269"/>
      <c r="Y25" s="1269"/>
    </row>
    <row r="26" spans="1:25">
      <c r="A26" s="1269"/>
      <c r="C26" s="1330" t="s">
        <v>1432</v>
      </c>
      <c r="D26" s="1331">
        <f>D16+(D13* SUM(D18:D20))+SUM(D21:$J23)</f>
        <v>45.8446</v>
      </c>
      <c r="E26" s="1331">
        <f>E16+(E13* SUM(E18:E20))+SUM(E21:$J23)</f>
        <v>60.444599999999994</v>
      </c>
      <c r="F26" s="1331">
        <f>F16+(F13* SUM(F18:F20))+SUM(F21:$J23)</f>
        <v>71.244599999999991</v>
      </c>
      <c r="G26" s="1331">
        <f>G16+(G13* SUM(G18:G20))+SUM(G21:$J23)</f>
        <v>71.244599999999991</v>
      </c>
      <c r="H26" s="1331">
        <f>H16+(H13* SUM(H18:H20))+SUM(H21:$J23)</f>
        <v>91.184681000000012</v>
      </c>
      <c r="I26" s="1331" t="e">
        <f>I25</f>
        <v>#REF!</v>
      </c>
      <c r="J26" s="1331" t="e">
        <f>J25</f>
        <v>#REF!</v>
      </c>
      <c r="K26" s="1331" t="e">
        <f>K25</f>
        <v>#REF!</v>
      </c>
      <c r="M26" s="1277"/>
      <c r="O26" s="1324"/>
      <c r="P26" s="1269"/>
      <c r="Q26" s="1269"/>
      <c r="R26" s="1269"/>
      <c r="S26" s="1269"/>
      <c r="T26" s="1269"/>
      <c r="U26" s="1269"/>
      <c r="V26" s="1269"/>
      <c r="W26" s="1269"/>
      <c r="X26" s="1269"/>
      <c r="Y26" s="1269"/>
    </row>
    <row r="27" spans="1:25">
      <c r="A27" s="1269"/>
      <c r="C27" s="1330"/>
      <c r="D27" s="1331"/>
      <c r="E27" s="1331"/>
      <c r="F27" s="1331"/>
      <c r="G27" s="1331"/>
      <c r="H27" s="1331"/>
      <c r="I27" s="1331"/>
      <c r="J27" s="1331"/>
      <c r="K27" s="1331"/>
      <c r="M27" s="1277"/>
      <c r="O27" s="1324"/>
      <c r="P27" s="1269"/>
      <c r="Q27" s="1269"/>
      <c r="R27" s="1269"/>
      <c r="S27" s="1269"/>
      <c r="T27" s="1269"/>
      <c r="U27" s="1269"/>
      <c r="V27" s="1269"/>
      <c r="W27" s="1269"/>
      <c r="X27" s="1269"/>
      <c r="Y27" s="1269"/>
    </row>
    <row r="28" spans="1:25">
      <c r="A28" s="1269"/>
      <c r="C28" s="1330" t="s">
        <v>1433</v>
      </c>
      <c r="D28" s="1332">
        <f t="shared" ref="D28:J28" si="1">D14/D25*1000</f>
        <v>4264.8260769230756</v>
      </c>
      <c r="E28" s="1332">
        <f t="shared" si="1"/>
        <v>605.36846794871985</v>
      </c>
      <c r="F28" s="1332">
        <f t="shared" si="1"/>
        <v>1298.8559809523813</v>
      </c>
      <c r="G28" s="1332">
        <f t="shared" si="1"/>
        <v>900.7973746190014</v>
      </c>
      <c r="H28" s="1332">
        <f t="shared" si="1"/>
        <v>1260.1845382152796</v>
      </c>
      <c r="I28" s="1332" t="e">
        <f t="shared" si="1"/>
        <v>#REF!</v>
      </c>
      <c r="J28" s="1332" t="e">
        <f t="shared" si="1"/>
        <v>#REF!</v>
      </c>
      <c r="K28" s="1332" t="e">
        <f>K14/K25*1000</f>
        <v>#REF!</v>
      </c>
      <c r="M28" s="1277"/>
      <c r="O28" s="1324"/>
      <c r="P28" s="1269"/>
      <c r="Q28" s="1269"/>
      <c r="R28" s="1269"/>
      <c r="S28" s="1269"/>
      <c r="T28" s="1269"/>
      <c r="U28" s="1269"/>
      <c r="V28" s="1269"/>
      <c r="W28" s="1269"/>
      <c r="X28" s="1269"/>
      <c r="Y28" s="1269"/>
    </row>
    <row r="29" spans="1:25">
      <c r="A29" s="1269"/>
      <c r="C29" s="1330" t="s">
        <v>1434</v>
      </c>
      <c r="D29" s="1332">
        <f t="shared" ref="D29:J29" si="2">D14/D26*1000</f>
        <v>1451.2349720577772</v>
      </c>
      <c r="E29" s="1332">
        <f t="shared" si="2"/>
        <v>312.47615502460206</v>
      </c>
      <c r="F29" s="1332">
        <f t="shared" si="2"/>
        <v>765.69945230936833</v>
      </c>
      <c r="G29" s="1332">
        <f t="shared" si="2"/>
        <v>663.79068516838799</v>
      </c>
      <c r="H29" s="1332">
        <f t="shared" si="2"/>
        <v>1037.0584698191451</v>
      </c>
      <c r="I29" s="1332" t="e">
        <f t="shared" si="2"/>
        <v>#REF!</v>
      </c>
      <c r="J29" s="1332" t="e">
        <f t="shared" si="2"/>
        <v>#REF!</v>
      </c>
      <c r="K29" s="1332" t="e">
        <f>K14/K26*1000</f>
        <v>#REF!</v>
      </c>
      <c r="M29" s="1295" t="s">
        <v>1435</v>
      </c>
      <c r="O29" s="1324"/>
      <c r="P29" s="1269"/>
      <c r="Q29" s="1269"/>
      <c r="R29" s="1269"/>
      <c r="S29" s="1269"/>
      <c r="T29" s="1269"/>
      <c r="U29" s="1269"/>
      <c r="V29" s="1269"/>
      <c r="W29" s="1269"/>
      <c r="X29" s="1269"/>
      <c r="Y29" s="1269"/>
    </row>
    <row r="30" spans="1:25">
      <c r="A30" s="1269"/>
      <c r="C30" s="1330"/>
      <c r="D30" s="1332"/>
      <c r="E30" s="1332"/>
      <c r="F30" s="1332"/>
      <c r="G30" s="1332"/>
      <c r="H30" s="1332"/>
      <c r="I30" s="1332"/>
      <c r="J30" s="1332"/>
      <c r="K30" s="1332"/>
      <c r="M30" s="1295"/>
      <c r="O30" s="1324"/>
      <c r="P30" s="1269"/>
      <c r="Q30" s="1269"/>
      <c r="R30" s="1269"/>
      <c r="S30" s="1269"/>
      <c r="T30" s="1269"/>
      <c r="U30" s="1269"/>
      <c r="V30" s="1269"/>
      <c r="W30" s="1269"/>
      <c r="X30" s="1269"/>
      <c r="Y30" s="1269"/>
    </row>
    <row r="31" spans="1:25">
      <c r="A31" s="1269"/>
      <c r="C31" s="1333" t="s">
        <v>196</v>
      </c>
      <c r="D31" s="1334"/>
      <c r="E31" s="1335">
        <f t="shared" ref="E31:K32" si="3">E28/D28-1</f>
        <v>-0.85805553215303165</v>
      </c>
      <c r="F31" s="1335">
        <f t="shared" si="3"/>
        <v>1.1455626609584266</v>
      </c>
      <c r="G31" s="1335">
        <f t="shared" si="3"/>
        <v>-0.30646862482898596</v>
      </c>
      <c r="H31" s="1335">
        <f t="shared" si="3"/>
        <v>0.39896559839362711</v>
      </c>
      <c r="I31" s="1335" t="e">
        <f t="shared" si="3"/>
        <v>#REF!</v>
      </c>
      <c r="J31" s="1335" t="e">
        <f t="shared" si="3"/>
        <v>#REF!</v>
      </c>
      <c r="K31" s="1335" t="e">
        <f t="shared" si="3"/>
        <v>#REF!</v>
      </c>
      <c r="M31" s="1295"/>
      <c r="O31" s="1324"/>
      <c r="P31" s="1269"/>
      <c r="Q31" s="1269"/>
      <c r="R31" s="1269"/>
      <c r="S31" s="1269"/>
      <c r="T31" s="1269"/>
      <c r="U31" s="1269"/>
      <c r="V31" s="1269"/>
      <c r="W31" s="1269"/>
      <c r="X31" s="1269"/>
      <c r="Y31" s="1269"/>
    </row>
    <row r="32" spans="1:25">
      <c r="A32" s="1269"/>
      <c r="C32" s="1333" t="s">
        <v>1436</v>
      </c>
      <c r="D32" s="1336"/>
      <c r="E32" s="1335">
        <f t="shared" si="3"/>
        <v>-0.7846825903171788</v>
      </c>
      <c r="F32" s="1335">
        <f t="shared" si="3"/>
        <v>1.4504252244433911</v>
      </c>
      <c r="G32" s="1335">
        <f t="shared" si="3"/>
        <v>-0.13309238609694829</v>
      </c>
      <c r="H32" s="1335">
        <f t="shared" si="3"/>
        <v>0.56232754238795613</v>
      </c>
      <c r="I32" s="1335" t="e">
        <f t="shared" si="3"/>
        <v>#REF!</v>
      </c>
      <c r="J32" s="1335" t="e">
        <f t="shared" si="3"/>
        <v>#REF!</v>
      </c>
      <c r="K32" s="1335" t="e">
        <f t="shared" si="3"/>
        <v>#REF!</v>
      </c>
      <c r="L32" s="1307"/>
      <c r="M32" s="1277"/>
      <c r="O32" s="1274"/>
      <c r="P32" s="1269"/>
      <c r="Q32" s="1269"/>
      <c r="R32" s="1269"/>
      <c r="S32" s="1269"/>
      <c r="T32" s="1269"/>
      <c r="U32" s="1269"/>
      <c r="V32" s="1269"/>
      <c r="W32" s="1269"/>
      <c r="X32" s="1269"/>
      <c r="Y32" s="1269"/>
    </row>
    <row r="33" spans="1:25">
      <c r="A33" s="1269"/>
      <c r="C33" s="1333" t="s">
        <v>1437</v>
      </c>
      <c r="D33" s="1336"/>
      <c r="E33" s="1335">
        <f t="shared" ref="E33:K33" si="4">E14/D14-1</f>
        <v>-0.71611106430606319</v>
      </c>
      <c r="F33" s="1335">
        <f t="shared" si="4"/>
        <v>1.888257428213266</v>
      </c>
      <c r="G33" s="1335">
        <f t="shared" si="4"/>
        <v>-0.13309238609694818</v>
      </c>
      <c r="H33" s="1335">
        <f t="shared" si="4"/>
        <v>0.99959489659791489</v>
      </c>
      <c r="I33" s="1335">
        <f t="shared" si="4"/>
        <v>-0.99738483563097768</v>
      </c>
      <c r="J33" s="1335">
        <f t="shared" si="4"/>
        <v>0.69265037814112529</v>
      </c>
      <c r="K33" s="1335">
        <f t="shared" si="4"/>
        <v>0.53448143692891037</v>
      </c>
      <c r="L33" s="1307"/>
      <c r="M33" s="1277"/>
      <c r="O33" s="1274"/>
      <c r="P33" s="1269"/>
      <c r="Q33" s="1269"/>
      <c r="R33" s="1269"/>
      <c r="S33" s="1269"/>
      <c r="T33" s="1269"/>
      <c r="U33" s="1269"/>
      <c r="V33" s="1269"/>
      <c r="W33" s="1269"/>
      <c r="X33" s="1269"/>
      <c r="Y33" s="1269"/>
    </row>
    <row r="34" spans="1:25">
      <c r="A34" s="1269"/>
      <c r="C34" s="1330"/>
      <c r="D34" s="1337"/>
      <c r="E34" s="1338"/>
      <c r="F34" s="1338"/>
      <c r="G34" s="1338"/>
      <c r="H34" s="1338"/>
      <c r="I34" s="1338"/>
      <c r="J34" s="1338"/>
      <c r="K34" s="1338"/>
      <c r="L34" s="1307"/>
      <c r="M34" s="1277"/>
      <c r="O34" s="1274"/>
      <c r="P34" s="1269"/>
      <c r="Q34" s="1269"/>
      <c r="R34" s="1269"/>
      <c r="S34" s="1269"/>
      <c r="T34" s="1269"/>
      <c r="U34" s="1269"/>
      <c r="V34" s="1269"/>
      <c r="W34" s="1269"/>
      <c r="X34" s="1269"/>
      <c r="Y34" s="1269"/>
    </row>
    <row r="35" spans="1:25">
      <c r="A35" s="1269"/>
      <c r="C35" s="1330" t="s">
        <v>5</v>
      </c>
      <c r="D35" s="1337"/>
      <c r="E35" s="1337" t="e">
        <f t="shared" ref="E35:K35" si="5">$D$7/E29</f>
        <v>#REF!</v>
      </c>
      <c r="F35" s="1337" t="e">
        <f t="shared" si="5"/>
        <v>#REF!</v>
      </c>
      <c r="G35" s="1337" t="e">
        <f>D6/G29</f>
        <v>#REF!</v>
      </c>
      <c r="H35" s="1337" t="e">
        <f>D6/H29</f>
        <v>#REF!</v>
      </c>
      <c r="I35" s="1337" t="e">
        <f>D6/I29</f>
        <v>#REF!</v>
      </c>
      <c r="J35" s="1337" t="e">
        <f>D7/J29</f>
        <v>#REF!</v>
      </c>
      <c r="K35" s="1337" t="e">
        <f t="shared" si="5"/>
        <v>#REF!</v>
      </c>
      <c r="L35" s="1307"/>
      <c r="M35" s="1277"/>
      <c r="O35" s="1274"/>
      <c r="P35" s="1269"/>
      <c r="Q35" s="1269"/>
      <c r="R35" s="1269"/>
      <c r="S35" s="1269"/>
      <c r="T35" s="1269"/>
      <c r="U35" s="1269"/>
      <c r="V35" s="1269"/>
      <c r="W35" s="1269"/>
      <c r="X35" s="1269"/>
      <c r="Y35" s="1269"/>
    </row>
    <row r="36" spans="1:25">
      <c r="A36" s="1269"/>
      <c r="C36" s="1330"/>
      <c r="D36" s="1337"/>
      <c r="E36" s="1337"/>
      <c r="F36" s="1337"/>
      <c r="G36" s="1337"/>
      <c r="H36" s="1337"/>
      <c r="I36" s="1337"/>
      <c r="J36" s="1337"/>
      <c r="K36" s="1337"/>
      <c r="L36" s="1307"/>
      <c r="M36" s="1277"/>
      <c r="O36" s="1274"/>
      <c r="P36" s="1269"/>
      <c r="Q36" s="1269"/>
      <c r="R36" s="1269"/>
      <c r="S36" s="1269"/>
      <c r="T36" s="1269"/>
      <c r="U36" s="1269"/>
      <c r="V36" s="1269"/>
      <c r="W36" s="1269"/>
      <c r="X36" s="1269"/>
      <c r="Y36" s="1269"/>
    </row>
    <row r="37" spans="1:25">
      <c r="A37" s="1269"/>
      <c r="C37" s="1278" t="s">
        <v>1327</v>
      </c>
      <c r="D37" s="1339">
        <v>288.99152450000003</v>
      </c>
      <c r="E37" s="1339">
        <v>457.17547560000003</v>
      </c>
      <c r="F37" s="1339">
        <v>579.59414460000005</v>
      </c>
      <c r="G37" s="1339">
        <v>663.61478769999997</v>
      </c>
      <c r="H37" s="1339" t="e">
        <f>#REF!</f>
        <v>#REF!</v>
      </c>
      <c r="I37" s="1339" t="e">
        <f>#REF!</f>
        <v>#REF!</v>
      </c>
      <c r="J37" s="1339" t="e">
        <f>#REF!</f>
        <v>#REF!</v>
      </c>
      <c r="K37" s="1339" t="e">
        <f>#REF!</f>
        <v>#REF!</v>
      </c>
      <c r="M37" s="1277"/>
      <c r="O37" s="1274"/>
      <c r="P37" s="1269"/>
      <c r="Q37" s="1269"/>
      <c r="R37" s="1269"/>
      <c r="S37" s="1269"/>
      <c r="T37" s="1269"/>
      <c r="U37" s="1269"/>
      <c r="V37" s="1269"/>
      <c r="W37" s="1269"/>
      <c r="X37" s="1269"/>
      <c r="Y37" s="1269"/>
    </row>
    <row r="38" spans="1:25">
      <c r="A38" s="1269"/>
      <c r="C38" s="1278" t="s">
        <v>1133</v>
      </c>
      <c r="D38" s="1339">
        <v>45.393554399999999</v>
      </c>
      <c r="E38" s="1339">
        <v>55.7855104</v>
      </c>
      <c r="F38" s="1339">
        <v>23.858045199999999</v>
      </c>
      <c r="G38" s="1339">
        <v>30.481793000000003</v>
      </c>
      <c r="H38" s="1339" t="e">
        <f>#REF!</f>
        <v>#REF!</v>
      </c>
      <c r="I38" s="1339" t="e">
        <f>#REF!</f>
        <v>#REF!</v>
      </c>
      <c r="J38" s="1339" t="e">
        <f>#REF!</f>
        <v>#REF!</v>
      </c>
      <c r="K38" s="1339" t="e">
        <f>#REF!</f>
        <v>#REF!</v>
      </c>
      <c r="M38" s="1340"/>
      <c r="O38" s="1274"/>
      <c r="P38" s="1269"/>
      <c r="Q38" s="1269"/>
      <c r="R38" s="1269"/>
      <c r="S38" s="1269"/>
      <c r="T38" s="1269"/>
      <c r="U38" s="1269"/>
      <c r="V38" s="1269"/>
      <c r="W38" s="1269"/>
      <c r="X38" s="1269"/>
      <c r="Y38" s="1269"/>
    </row>
    <row r="39" spans="1:25">
      <c r="A39" s="1269"/>
      <c r="C39" s="1278" t="s">
        <v>115</v>
      </c>
      <c r="D39" s="1341">
        <f t="shared" ref="D39:J39" si="6">(D37-D38)/D26*10^3</f>
        <v>5313.5586328597046</v>
      </c>
      <c r="E39" s="1341">
        <f t="shared" si="6"/>
        <v>6640.6257167720532</v>
      </c>
      <c r="F39" s="1341">
        <f t="shared" si="6"/>
        <v>7800.3960917739751</v>
      </c>
      <c r="G39" s="1341">
        <f t="shared" si="6"/>
        <v>8886.750640750317</v>
      </c>
      <c r="H39" s="1341" t="e">
        <f t="shared" si="6"/>
        <v>#REF!</v>
      </c>
      <c r="I39" s="1341" t="e">
        <f t="shared" si="6"/>
        <v>#REF!</v>
      </c>
      <c r="J39" s="1341" t="e">
        <f t="shared" si="6"/>
        <v>#REF!</v>
      </c>
      <c r="K39" s="1341" t="e">
        <f>(K37-K38)/K26*10^3</f>
        <v>#REF!</v>
      </c>
      <c r="M39" s="1342"/>
      <c r="O39" s="1274"/>
      <c r="P39" s="1269"/>
      <c r="Q39" s="1269"/>
      <c r="R39" s="1269"/>
      <c r="S39" s="1269"/>
      <c r="T39" s="1269"/>
      <c r="U39" s="1269"/>
      <c r="V39" s="1269"/>
      <c r="W39" s="1269"/>
      <c r="X39" s="1269"/>
      <c r="Y39" s="1269"/>
    </row>
    <row r="40" spans="1:25">
      <c r="A40" s="1269"/>
      <c r="C40" s="1278" t="s">
        <v>6</v>
      </c>
      <c r="D40" s="1337" t="e">
        <f t="shared" ref="D40:I40" si="7">$D$6/D39</f>
        <v>#REF!</v>
      </c>
      <c r="E40" s="1337" t="e">
        <f t="shared" si="7"/>
        <v>#REF!</v>
      </c>
      <c r="F40" s="1337" t="e">
        <f t="shared" si="7"/>
        <v>#REF!</v>
      </c>
      <c r="G40" s="1337" t="e">
        <f t="shared" si="7"/>
        <v>#REF!</v>
      </c>
      <c r="H40" s="1337" t="e">
        <f t="shared" si="7"/>
        <v>#REF!</v>
      </c>
      <c r="I40" s="1337" t="e">
        <f t="shared" si="7"/>
        <v>#REF!</v>
      </c>
      <c r="J40" s="1337" t="e">
        <f>$D$7/J39</f>
        <v>#REF!</v>
      </c>
      <c r="K40" s="1337" t="e">
        <f>$D$7/K39</f>
        <v>#REF!</v>
      </c>
      <c r="M40" s="1343"/>
      <c r="O40" s="1274"/>
      <c r="P40" s="1269"/>
      <c r="Q40" s="1269"/>
      <c r="R40" s="1269"/>
      <c r="S40" s="1269"/>
      <c r="T40" s="1269"/>
      <c r="U40" s="1269"/>
      <c r="V40" s="1269"/>
      <c r="W40" s="1269"/>
      <c r="X40" s="1269"/>
      <c r="Y40" s="1269"/>
    </row>
    <row r="41" spans="1:25">
      <c r="A41" s="1269"/>
      <c r="M41" s="1324"/>
      <c r="O41" s="1274"/>
      <c r="P41" s="1269"/>
      <c r="Q41" s="1269"/>
      <c r="R41" s="1269"/>
      <c r="S41" s="1269"/>
      <c r="T41" s="1269"/>
      <c r="U41" s="1269"/>
      <c r="V41" s="1269"/>
      <c r="W41" s="1269"/>
      <c r="X41" s="1269"/>
      <c r="Y41" s="1269"/>
    </row>
    <row r="42" spans="1:25">
      <c r="A42" s="1269"/>
      <c r="C42" s="1278" t="s">
        <v>1438</v>
      </c>
      <c r="D42" s="1287">
        <f>'P&amp;L'!C30</f>
        <v>72.079286799999977</v>
      </c>
      <c r="E42" s="1287">
        <f>'P&amp;L'!D30</f>
        <v>24.591496200000062</v>
      </c>
      <c r="F42" s="1287">
        <f>'P&amp;L'!E30</f>
        <v>57.859951200000012</v>
      </c>
      <c r="G42" s="1287">
        <f>'P&amp;L'!F30</f>
        <v>82.763993500000012</v>
      </c>
      <c r="H42" s="1287">
        <f>'P&amp;L'!G30</f>
        <v>167.83448960000001</v>
      </c>
      <c r="I42" s="1287">
        <f>'P&amp;L'!H30</f>
        <v>0.33699999999999997</v>
      </c>
      <c r="J42" s="1287">
        <f>'P&amp;L'!I30</f>
        <v>0.50305051029700021</v>
      </c>
      <c r="K42" s="1287">
        <f>'P&amp;L'!J30</f>
        <v>0.73327003792000001</v>
      </c>
      <c r="M42" s="1324"/>
      <c r="O42" s="1274"/>
      <c r="P42" s="1269"/>
      <c r="Q42" s="1269"/>
      <c r="R42" s="1269"/>
      <c r="S42" s="1269"/>
      <c r="T42" s="1269"/>
      <c r="U42" s="1269"/>
      <c r="V42" s="1269"/>
      <c r="W42" s="1269"/>
      <c r="X42" s="1269"/>
      <c r="Y42" s="1269"/>
    </row>
    <row r="43" spans="1:25">
      <c r="A43" s="1269"/>
      <c r="C43" s="1278" t="s">
        <v>1441</v>
      </c>
      <c r="D43" s="1287"/>
      <c r="E43" s="1287"/>
      <c r="F43" s="1287"/>
      <c r="G43" s="1287"/>
      <c r="H43" s="1287"/>
      <c r="I43" s="1287"/>
      <c r="J43" s="1287"/>
      <c r="K43" s="1287"/>
      <c r="M43" s="1324"/>
      <c r="O43" s="1274"/>
      <c r="P43" s="1269"/>
      <c r="Q43" s="1269"/>
      <c r="R43" s="1269"/>
      <c r="S43" s="1269"/>
      <c r="T43" s="1269"/>
      <c r="U43" s="1269"/>
      <c r="V43" s="1269"/>
      <c r="W43" s="1269"/>
      <c r="X43" s="1269"/>
      <c r="Y43" s="1269"/>
    </row>
    <row r="44" spans="1:25">
      <c r="A44" s="1269"/>
      <c r="C44" s="1278" t="s">
        <v>1439</v>
      </c>
      <c r="D44" s="1344">
        <f t="shared" ref="D44:J44" si="8">D42/D26*1000</f>
        <v>1572.252496477229</v>
      </c>
      <c r="E44" s="1344">
        <f t="shared" si="8"/>
        <v>406.84355922613543</v>
      </c>
      <c r="F44" s="1344">
        <f t="shared" si="8"/>
        <v>812.13104151051471</v>
      </c>
      <c r="G44" s="1344">
        <f t="shared" si="8"/>
        <v>1161.6879524904346</v>
      </c>
      <c r="H44" s="1344">
        <f t="shared" si="8"/>
        <v>1840.5996244040157</v>
      </c>
      <c r="I44" s="1344" t="e">
        <f t="shared" si="8"/>
        <v>#REF!</v>
      </c>
      <c r="J44" s="1344" t="e">
        <f t="shared" si="8"/>
        <v>#REF!</v>
      </c>
      <c r="K44" s="1344" t="e">
        <f>K42/K26*1000</f>
        <v>#REF!</v>
      </c>
      <c r="M44" s="1324"/>
      <c r="O44" s="1274"/>
      <c r="P44" s="1269"/>
      <c r="Q44" s="1269"/>
      <c r="R44" s="1269"/>
      <c r="S44" s="1269"/>
      <c r="T44" s="1269"/>
      <c r="U44" s="1269"/>
      <c r="V44" s="1269"/>
      <c r="W44" s="1269"/>
      <c r="X44" s="1269"/>
      <c r="Y44" s="1269"/>
    </row>
    <row r="45" spans="1:25">
      <c r="A45" s="1269"/>
      <c r="C45" s="1278" t="s">
        <v>1442</v>
      </c>
      <c r="D45" s="1345">
        <f t="shared" ref="D45:J45" si="9">D29</f>
        <v>1451.2349720577772</v>
      </c>
      <c r="E45" s="1345">
        <f t="shared" si="9"/>
        <v>312.47615502460206</v>
      </c>
      <c r="F45" s="1345">
        <f t="shared" si="9"/>
        <v>765.69945230936833</v>
      </c>
      <c r="G45" s="1345">
        <f t="shared" si="9"/>
        <v>663.79068516838799</v>
      </c>
      <c r="H45" s="1345">
        <f t="shared" si="9"/>
        <v>1037.0584698191451</v>
      </c>
      <c r="I45" s="1345" t="e">
        <f t="shared" si="9"/>
        <v>#REF!</v>
      </c>
      <c r="J45" s="1345" t="e">
        <f t="shared" si="9"/>
        <v>#REF!</v>
      </c>
      <c r="K45" s="1345" t="e">
        <f>K29</f>
        <v>#REF!</v>
      </c>
      <c r="M45" s="1324"/>
      <c r="O45" s="1274"/>
      <c r="P45" s="1269"/>
      <c r="Q45" s="1269"/>
      <c r="R45" s="1269"/>
      <c r="S45" s="1269"/>
      <c r="T45" s="1269"/>
      <c r="U45" s="1269"/>
      <c r="V45" s="1269"/>
      <c r="W45" s="1269"/>
      <c r="X45" s="1269"/>
      <c r="Y45" s="1269"/>
    </row>
    <row r="46" spans="1:25">
      <c r="A46" s="1269"/>
      <c r="C46" s="1273" t="s">
        <v>1443</v>
      </c>
      <c r="D46" s="1345">
        <f>D26+10.56</f>
        <v>56.404600000000002</v>
      </c>
      <c r="E46" s="1345">
        <f>E26+10.56</f>
        <v>71.004599999999996</v>
      </c>
      <c r="F46" s="1345">
        <f>F26+10.56</f>
        <v>81.804599999999994</v>
      </c>
      <c r="G46" s="1345">
        <f>G26+10.56</f>
        <v>81.804599999999994</v>
      </c>
      <c r="H46" s="1345">
        <f>H26+10.56</f>
        <v>101.74468100000001</v>
      </c>
      <c r="I46" s="1345" t="e">
        <f>I26</f>
        <v>#REF!</v>
      </c>
      <c r="J46" s="1345" t="e">
        <f>J26</f>
        <v>#REF!</v>
      </c>
      <c r="K46" s="1345" t="e">
        <f>K26</f>
        <v>#REF!</v>
      </c>
      <c r="M46" s="1324"/>
      <c r="O46" s="1274"/>
      <c r="P46" s="1269"/>
      <c r="Q46" s="1269"/>
      <c r="R46" s="1269"/>
      <c r="S46" s="1269"/>
      <c r="T46" s="1269"/>
      <c r="U46" s="1269"/>
      <c r="V46" s="1269"/>
      <c r="W46" s="1269"/>
      <c r="X46" s="1269"/>
      <c r="Y46" s="1269"/>
    </row>
    <row r="47" spans="1:25">
      <c r="A47" s="1269"/>
      <c r="B47" s="1269"/>
      <c r="C47" s="1346" t="s">
        <v>1440</v>
      </c>
      <c r="D47" s="1347">
        <f t="shared" ref="D47:J47" si="10">D14/D46*1000</f>
        <v>1179.5365413459181</v>
      </c>
      <c r="E47" s="1347">
        <f t="shared" si="10"/>
        <v>266.00383918788452</v>
      </c>
      <c r="F47" s="1347">
        <f t="shared" si="10"/>
        <v>666.8567684457845</v>
      </c>
      <c r="G47" s="1347">
        <f t="shared" si="10"/>
        <v>578.10320994843494</v>
      </c>
      <c r="H47" s="1347">
        <f t="shared" si="10"/>
        <v>929.42299115181152</v>
      </c>
      <c r="I47" s="1347" t="e">
        <f t="shared" si="10"/>
        <v>#REF!</v>
      </c>
      <c r="J47" s="1347" t="e">
        <f t="shared" si="10"/>
        <v>#REF!</v>
      </c>
      <c r="K47" s="1347" t="e">
        <f>K14/K46*1000</f>
        <v>#REF!</v>
      </c>
      <c r="M47" s="1324"/>
      <c r="O47" s="1274"/>
      <c r="P47" s="1269"/>
      <c r="Q47" s="1269"/>
      <c r="R47" s="1269"/>
      <c r="S47" s="1269"/>
      <c r="T47" s="1269"/>
      <c r="U47" s="1269"/>
      <c r="V47" s="1269"/>
      <c r="W47" s="1269"/>
      <c r="X47" s="1269"/>
      <c r="Y47" s="1269"/>
    </row>
    <row r="48" spans="1:25">
      <c r="A48" s="1269"/>
      <c r="B48" s="1269"/>
      <c r="C48" s="1269"/>
      <c r="D48" s="1269"/>
      <c r="E48" s="1269"/>
      <c r="F48" s="1269"/>
      <c r="G48" s="1269"/>
      <c r="H48" s="1269"/>
      <c r="J48" s="1312"/>
      <c r="K48" s="1312"/>
      <c r="M48" s="1324"/>
      <c r="O48" s="1274"/>
      <c r="P48" s="1269"/>
      <c r="Q48" s="1269"/>
      <c r="R48" s="1269"/>
      <c r="S48" s="1269"/>
      <c r="T48" s="1269"/>
      <c r="U48" s="1269"/>
      <c r="V48" s="1269"/>
      <c r="W48" s="1269"/>
      <c r="X48" s="1269"/>
      <c r="Y48" s="1269"/>
    </row>
    <row r="49" spans="1:25">
      <c r="A49" s="1269"/>
      <c r="B49" s="1269"/>
      <c r="C49" s="1269"/>
      <c r="D49" s="1269"/>
      <c r="E49" s="1269"/>
      <c r="F49" s="1269"/>
      <c r="G49" s="1269"/>
      <c r="H49" s="1269"/>
      <c r="I49" s="1348"/>
      <c r="M49" s="1324"/>
      <c r="O49" s="1274"/>
      <c r="P49" s="1269"/>
      <c r="Q49" s="1269"/>
      <c r="R49" s="1269"/>
      <c r="S49" s="1269"/>
      <c r="T49" s="1269"/>
      <c r="U49" s="1269"/>
      <c r="V49" s="1269"/>
      <c r="W49" s="1269"/>
      <c r="X49" s="1269"/>
      <c r="Y49" s="1269"/>
    </row>
    <row r="50" spans="1:25">
      <c r="A50" s="1269"/>
      <c r="B50" s="1269"/>
      <c r="C50" s="1269"/>
      <c r="D50" s="1269"/>
      <c r="E50" s="1269"/>
      <c r="F50" s="1269"/>
      <c r="G50" s="1269"/>
      <c r="H50" s="1269"/>
      <c r="M50" s="1324"/>
      <c r="O50" s="1274"/>
      <c r="P50" s="1269"/>
      <c r="Q50" s="1269"/>
      <c r="R50" s="1269"/>
      <c r="S50" s="1269"/>
      <c r="T50" s="1269"/>
      <c r="U50" s="1269"/>
      <c r="V50" s="1269"/>
      <c r="W50" s="1269"/>
      <c r="X50" s="1269"/>
      <c r="Y50" s="1269"/>
    </row>
    <row r="51" spans="1:25">
      <c r="A51" s="1269"/>
      <c r="B51" s="1269"/>
      <c r="C51" s="1269"/>
      <c r="D51" s="1349"/>
      <c r="E51" s="1349"/>
      <c r="F51" s="1349"/>
      <c r="G51" s="1349"/>
      <c r="H51" s="1349"/>
      <c r="I51" s="1402"/>
      <c r="J51" s="1349"/>
      <c r="K51" s="1349"/>
      <c r="M51" s="1324"/>
      <c r="O51" s="1274"/>
      <c r="P51" s="1269"/>
      <c r="Q51" s="1269"/>
      <c r="R51" s="1269"/>
      <c r="S51" s="1269"/>
      <c r="T51" s="1269"/>
      <c r="U51" s="1269"/>
      <c r="V51" s="1269"/>
      <c r="W51" s="1269"/>
      <c r="X51" s="1269"/>
      <c r="Y51" s="1269"/>
    </row>
    <row r="52" spans="1:25">
      <c r="A52" s="1269"/>
      <c r="B52" s="1269"/>
      <c r="C52" s="1269"/>
      <c r="D52" s="1269"/>
      <c r="E52" s="1269"/>
      <c r="F52" s="1269"/>
      <c r="G52" s="1269"/>
      <c r="H52" s="1269"/>
      <c r="M52" s="1324"/>
      <c r="O52" s="1274"/>
      <c r="P52" s="1269"/>
      <c r="Q52" s="1269"/>
      <c r="R52" s="1269"/>
      <c r="S52" s="1269"/>
      <c r="T52" s="1269"/>
      <c r="U52" s="1269"/>
      <c r="V52" s="1269"/>
      <c r="W52" s="1269"/>
      <c r="X52" s="1269"/>
      <c r="Y52" s="1269"/>
    </row>
    <row r="53" spans="1:25">
      <c r="A53" s="1269"/>
      <c r="B53" s="1269"/>
      <c r="C53" s="1269"/>
      <c r="D53" s="1269"/>
      <c r="E53" s="1269"/>
      <c r="F53" s="1269"/>
      <c r="G53" s="1269"/>
      <c r="H53" s="1269"/>
      <c r="M53" s="1324"/>
      <c r="O53" s="1274"/>
      <c r="P53" s="1269"/>
      <c r="Q53" s="1269"/>
      <c r="R53" s="1269"/>
      <c r="S53" s="1269"/>
      <c r="T53" s="1269"/>
      <c r="U53" s="1269"/>
      <c r="V53" s="1269"/>
      <c r="W53" s="1269"/>
      <c r="X53" s="1269"/>
      <c r="Y53" s="1269"/>
    </row>
    <row r="54" spans="1:25">
      <c r="A54" s="1269"/>
      <c r="D54" s="1269"/>
      <c r="E54" s="1269"/>
      <c r="F54" s="1269"/>
      <c r="G54" s="1269"/>
      <c r="H54" s="1269"/>
      <c r="M54" s="1324"/>
      <c r="O54" s="1274"/>
      <c r="P54" s="1269"/>
      <c r="Q54" s="1269"/>
      <c r="R54" s="1269"/>
      <c r="S54" s="1269"/>
      <c r="T54" s="1269"/>
      <c r="U54" s="1269"/>
      <c r="V54" s="1269"/>
      <c r="W54" s="1269"/>
      <c r="X54" s="1269"/>
      <c r="Y54" s="1269"/>
    </row>
    <row r="55" spans="1:25">
      <c r="A55" s="1269"/>
      <c r="D55" s="1269"/>
      <c r="E55" s="1269"/>
      <c r="F55" s="1269"/>
      <c r="G55" s="1269"/>
      <c r="H55" s="1269"/>
      <c r="M55" s="1324"/>
      <c r="O55" s="1274"/>
      <c r="P55" s="1269"/>
      <c r="Q55" s="1269"/>
      <c r="R55" s="1269"/>
      <c r="S55" s="1269"/>
      <c r="T55" s="1269"/>
      <c r="U55" s="1269"/>
      <c r="V55" s="1269"/>
      <c r="W55" s="1269"/>
      <c r="X55" s="1269"/>
      <c r="Y55" s="1269"/>
    </row>
    <row r="56" spans="1:25">
      <c r="A56" s="1269"/>
      <c r="D56" s="1269"/>
      <c r="E56" s="1269"/>
      <c r="F56" s="1269"/>
      <c r="G56" s="1269"/>
      <c r="H56" s="1269"/>
      <c r="M56" s="1324"/>
      <c r="O56" s="1274"/>
      <c r="P56" s="1269"/>
      <c r="Q56" s="1269"/>
      <c r="R56" s="1269"/>
      <c r="S56" s="1269"/>
      <c r="T56" s="1269"/>
      <c r="U56" s="1269"/>
      <c r="V56" s="1269"/>
      <c r="W56" s="1269"/>
      <c r="X56" s="1269"/>
      <c r="Y56" s="1269"/>
    </row>
    <row r="57" spans="1:25">
      <c r="A57" s="1269"/>
      <c r="D57" s="1269"/>
      <c r="E57" s="1269"/>
      <c r="F57" s="1269"/>
      <c r="G57" s="1269"/>
      <c r="H57" s="1269"/>
      <c r="M57" s="1324"/>
      <c r="O57" s="1274"/>
      <c r="P57" s="1269"/>
      <c r="Q57" s="1269"/>
      <c r="R57" s="1269"/>
      <c r="S57" s="1269"/>
      <c r="T57" s="1269"/>
      <c r="U57" s="1269"/>
      <c r="V57" s="1269"/>
      <c r="W57" s="1269"/>
      <c r="X57" s="1269"/>
      <c r="Y57" s="1269"/>
    </row>
    <row r="58" spans="1:25">
      <c r="A58" s="1269"/>
      <c r="D58" s="1269"/>
      <c r="E58" s="1269"/>
      <c r="F58" s="1269"/>
      <c r="G58" s="1269"/>
      <c r="H58" s="1269"/>
      <c r="M58" s="1324"/>
      <c r="O58" s="1274"/>
      <c r="P58" s="1269"/>
      <c r="Q58" s="1269"/>
      <c r="R58" s="1269"/>
      <c r="S58" s="1269"/>
      <c r="T58" s="1269"/>
      <c r="U58" s="1269"/>
      <c r="V58" s="1269"/>
      <c r="W58" s="1269"/>
      <c r="X58" s="1269"/>
      <c r="Y58" s="1269"/>
    </row>
    <row r="59" spans="1:25">
      <c r="A59" s="1269"/>
      <c r="D59" s="1269"/>
      <c r="E59" s="1269"/>
      <c r="F59" s="1269"/>
      <c r="G59" s="1269"/>
      <c r="H59" s="1269"/>
      <c r="M59" s="1324"/>
      <c r="O59" s="1274"/>
      <c r="P59" s="1269"/>
      <c r="Q59" s="1269"/>
      <c r="R59" s="1269"/>
      <c r="S59" s="1269"/>
      <c r="T59" s="1269"/>
      <c r="U59" s="1269"/>
      <c r="V59" s="1269"/>
      <c r="W59" s="1269"/>
      <c r="X59" s="1269"/>
      <c r="Y59" s="1269"/>
    </row>
    <row r="60" spans="1:25">
      <c r="A60" s="1269"/>
      <c r="D60" s="1269"/>
      <c r="E60" s="1269"/>
      <c r="F60" s="1269"/>
      <c r="G60" s="1269"/>
      <c r="H60" s="1269"/>
      <c r="M60" s="1324"/>
      <c r="O60" s="1274"/>
      <c r="P60" s="1269"/>
      <c r="Q60" s="1269"/>
      <c r="R60" s="1269"/>
      <c r="S60" s="1269"/>
      <c r="T60" s="1269"/>
      <c r="U60" s="1269"/>
      <c r="V60" s="1269"/>
      <c r="W60" s="1269"/>
      <c r="X60" s="1269"/>
      <c r="Y60" s="1269"/>
    </row>
    <row r="61" spans="1:25">
      <c r="A61" s="1269"/>
      <c r="D61" s="1269"/>
      <c r="E61" s="1269"/>
      <c r="F61" s="1269"/>
      <c r="G61" s="1269"/>
      <c r="H61" s="1269"/>
      <c r="M61" s="1324"/>
      <c r="O61" s="1274"/>
      <c r="P61" s="1269"/>
      <c r="Q61" s="1269"/>
      <c r="R61" s="1269"/>
      <c r="S61" s="1269"/>
      <c r="T61" s="1269"/>
      <c r="U61" s="1269"/>
      <c r="V61" s="1269"/>
      <c r="W61" s="1269"/>
      <c r="X61" s="1269"/>
      <c r="Y61" s="1269"/>
    </row>
    <row r="62" spans="1:25">
      <c r="A62" s="1269"/>
      <c r="D62" s="1269"/>
      <c r="E62" s="1269"/>
      <c r="F62" s="1269"/>
      <c r="G62" s="1269"/>
      <c r="H62" s="1269"/>
      <c r="M62" s="1324"/>
      <c r="O62" s="1274"/>
      <c r="P62" s="1269"/>
      <c r="Q62" s="1269"/>
      <c r="R62" s="1269"/>
      <c r="S62" s="1269"/>
      <c r="T62" s="1269"/>
      <c r="U62" s="1269"/>
      <c r="V62" s="1269"/>
      <c r="W62" s="1269"/>
      <c r="X62" s="1269"/>
      <c r="Y62" s="1269"/>
    </row>
    <row r="63" spans="1:25">
      <c r="A63" s="1269"/>
      <c r="D63" s="1269"/>
      <c r="E63" s="1269"/>
      <c r="F63" s="1269"/>
      <c r="G63" s="1269"/>
      <c r="H63" s="1269"/>
      <c r="M63" s="1324"/>
      <c r="O63" s="1274"/>
      <c r="P63" s="1269"/>
      <c r="Q63" s="1269"/>
      <c r="R63" s="1269"/>
      <c r="S63" s="1269"/>
      <c r="T63" s="1269"/>
      <c r="U63" s="1269"/>
      <c r="V63" s="1269"/>
      <c r="W63" s="1269"/>
      <c r="X63" s="1269"/>
      <c r="Y63" s="1269"/>
    </row>
    <row r="64" spans="1:25">
      <c r="A64" s="1269"/>
      <c r="D64" s="1269"/>
      <c r="E64" s="1269"/>
      <c r="F64" s="1269"/>
      <c r="G64" s="1269"/>
      <c r="H64" s="1269"/>
      <c r="M64" s="1324"/>
      <c r="O64" s="1274"/>
      <c r="P64" s="1269"/>
      <c r="Q64" s="1269"/>
      <c r="R64" s="1269"/>
      <c r="S64" s="1269"/>
      <c r="T64" s="1269"/>
      <c r="U64" s="1269"/>
      <c r="V64" s="1269"/>
      <c r="W64" s="1269"/>
      <c r="X64" s="1269"/>
      <c r="Y64" s="1269"/>
    </row>
    <row r="65" spans="1:25">
      <c r="A65" s="1269"/>
      <c r="D65" s="1269"/>
      <c r="E65" s="1269"/>
      <c r="F65" s="1269"/>
      <c r="G65" s="1269"/>
      <c r="H65" s="1269"/>
      <c r="M65" s="1324"/>
      <c r="O65" s="1274"/>
      <c r="P65" s="1269"/>
      <c r="Q65" s="1269"/>
      <c r="R65" s="1269"/>
      <c r="S65" s="1269"/>
      <c r="T65" s="1269"/>
      <c r="U65" s="1269"/>
      <c r="V65" s="1269"/>
      <c r="W65" s="1269"/>
      <c r="X65" s="1269"/>
      <c r="Y65" s="1269"/>
    </row>
    <row r="66" spans="1:25">
      <c r="A66" s="1269"/>
      <c r="D66" s="1269"/>
      <c r="E66" s="1269"/>
      <c r="F66" s="1269"/>
      <c r="G66" s="1269"/>
      <c r="H66" s="1269"/>
      <c r="M66" s="1324"/>
      <c r="O66" s="1274"/>
      <c r="P66" s="1269"/>
      <c r="Q66" s="1269"/>
      <c r="R66" s="1269"/>
      <c r="S66" s="1269"/>
      <c r="T66" s="1269"/>
      <c r="U66" s="1269"/>
      <c r="V66" s="1269"/>
      <c r="W66" s="1269"/>
      <c r="X66" s="1269"/>
      <c r="Y66" s="1269"/>
    </row>
    <row r="67" spans="1:25">
      <c r="A67" s="1269"/>
      <c r="D67" s="1269"/>
      <c r="E67" s="1269"/>
      <c r="F67" s="1269"/>
      <c r="G67" s="1269"/>
      <c r="H67" s="1269"/>
      <c r="M67" s="1324"/>
      <c r="O67" s="1274"/>
      <c r="P67" s="1269"/>
      <c r="Q67" s="1269"/>
      <c r="R67" s="1269"/>
      <c r="S67" s="1269"/>
      <c r="T67" s="1269"/>
      <c r="U67" s="1269"/>
      <c r="V67" s="1269"/>
      <c r="W67" s="1269"/>
      <c r="X67" s="1269"/>
      <c r="Y67" s="1269"/>
    </row>
    <row r="68" spans="1:25">
      <c r="A68" s="1269"/>
      <c r="D68" s="1269"/>
      <c r="E68" s="1269"/>
      <c r="F68" s="1269"/>
      <c r="G68" s="1269"/>
      <c r="H68" s="1269"/>
      <c r="M68" s="1324"/>
      <c r="O68" s="1274"/>
      <c r="P68" s="1269"/>
      <c r="Q68" s="1269"/>
      <c r="R68" s="1269"/>
      <c r="S68" s="1269"/>
      <c r="T68" s="1269"/>
      <c r="U68" s="1269"/>
      <c r="V68" s="1269"/>
      <c r="W68" s="1269"/>
      <c r="X68" s="1269"/>
      <c r="Y68" s="1269"/>
    </row>
    <row r="69" spans="1:25">
      <c r="A69" s="1269"/>
      <c r="D69" s="1269"/>
      <c r="E69" s="1269"/>
      <c r="F69" s="1269"/>
      <c r="G69" s="1269"/>
      <c r="H69" s="1269"/>
      <c r="M69" s="1324"/>
      <c r="O69" s="1274"/>
      <c r="P69" s="1269"/>
      <c r="Q69" s="1269"/>
      <c r="R69" s="1269"/>
      <c r="S69" s="1269"/>
      <c r="T69" s="1269"/>
      <c r="U69" s="1269"/>
      <c r="V69" s="1269"/>
      <c r="W69" s="1269"/>
      <c r="X69" s="1269"/>
      <c r="Y69" s="1269"/>
    </row>
    <row r="70" spans="1:25">
      <c r="A70" s="1269"/>
      <c r="D70" s="1269"/>
      <c r="E70" s="1269"/>
      <c r="F70" s="1269"/>
      <c r="G70" s="1269"/>
      <c r="H70" s="1269"/>
      <c r="M70" s="1324"/>
      <c r="O70" s="1274"/>
      <c r="P70" s="1269"/>
      <c r="Q70" s="1269"/>
      <c r="R70" s="1269"/>
      <c r="S70" s="1269"/>
      <c r="T70" s="1269"/>
      <c r="U70" s="1269"/>
      <c r="V70" s="1269"/>
      <c r="W70" s="1269"/>
      <c r="X70" s="1269"/>
      <c r="Y70" s="1269"/>
    </row>
    <row r="71" spans="1:25">
      <c r="A71" s="1269"/>
      <c r="D71" s="1269"/>
      <c r="E71" s="1269"/>
      <c r="F71" s="1269"/>
      <c r="G71" s="1269"/>
      <c r="H71" s="1269"/>
      <c r="M71" s="1324"/>
      <c r="O71" s="1274"/>
      <c r="P71" s="1269"/>
      <c r="Q71" s="1269"/>
      <c r="R71" s="1269"/>
      <c r="S71" s="1269"/>
      <c r="T71" s="1269"/>
      <c r="U71" s="1269"/>
      <c r="V71" s="1269"/>
      <c r="W71" s="1269"/>
      <c r="X71" s="1269"/>
      <c r="Y71" s="1269"/>
    </row>
    <row r="72" spans="1:25">
      <c r="A72" s="1269"/>
      <c r="D72" s="1269"/>
      <c r="E72" s="1269"/>
      <c r="F72" s="1269"/>
      <c r="G72" s="1269"/>
      <c r="H72" s="1269"/>
      <c r="M72" s="1324"/>
      <c r="O72" s="1274"/>
      <c r="P72" s="1269"/>
      <c r="Q72" s="1269"/>
      <c r="R72" s="1269"/>
      <c r="S72" s="1269"/>
      <c r="T72" s="1269"/>
      <c r="U72" s="1269"/>
      <c r="V72" s="1269"/>
      <c r="W72" s="1269"/>
      <c r="X72" s="1269"/>
      <c r="Y72" s="1269"/>
    </row>
    <row r="73" spans="1:25">
      <c r="A73" s="1269"/>
      <c r="D73" s="1269"/>
      <c r="E73" s="1269"/>
      <c r="F73" s="1269"/>
      <c r="G73" s="1269"/>
      <c r="H73" s="1269"/>
      <c r="M73" s="1324"/>
      <c r="O73" s="1274"/>
      <c r="P73" s="1269"/>
      <c r="Q73" s="1269"/>
      <c r="R73" s="1269"/>
      <c r="S73" s="1269"/>
      <c r="T73" s="1269"/>
      <c r="U73" s="1269"/>
      <c r="V73" s="1269"/>
      <c r="W73" s="1269"/>
      <c r="X73" s="1269"/>
      <c r="Y73" s="1269"/>
    </row>
    <row r="74" spans="1:25">
      <c r="A74" s="1269"/>
      <c r="D74" s="1269"/>
      <c r="E74" s="1269"/>
      <c r="F74" s="1269"/>
      <c r="G74" s="1269"/>
      <c r="H74" s="1269"/>
      <c r="M74" s="1324"/>
      <c r="O74" s="1274"/>
      <c r="P74" s="1269"/>
      <c r="Q74" s="1269"/>
      <c r="R74" s="1269"/>
      <c r="S74" s="1269"/>
      <c r="T74" s="1269"/>
      <c r="U74" s="1269"/>
      <c r="V74" s="1269"/>
      <c r="W74" s="1269"/>
      <c r="X74" s="1269"/>
      <c r="Y74" s="1269"/>
    </row>
    <row r="75" spans="1:25">
      <c r="A75" s="1269"/>
      <c r="D75" s="1269"/>
      <c r="E75" s="1269"/>
      <c r="F75" s="1269"/>
      <c r="G75" s="1269"/>
      <c r="H75" s="1269"/>
      <c r="M75" s="1324"/>
      <c r="O75" s="1274"/>
      <c r="P75" s="1269"/>
      <c r="Q75" s="1269"/>
      <c r="R75" s="1269"/>
      <c r="S75" s="1269"/>
      <c r="T75" s="1269"/>
      <c r="U75" s="1269"/>
      <c r="V75" s="1269"/>
      <c r="W75" s="1269"/>
      <c r="X75" s="1269"/>
      <c r="Y75" s="1269"/>
    </row>
    <row r="76" spans="1:25">
      <c r="A76" s="1269"/>
      <c r="D76" s="1269"/>
      <c r="E76" s="1269"/>
      <c r="F76" s="1269"/>
      <c r="G76" s="1269"/>
      <c r="H76" s="1269"/>
      <c r="M76" s="1324"/>
      <c r="O76" s="1274"/>
      <c r="P76" s="1269"/>
      <c r="Q76" s="1269"/>
      <c r="R76" s="1269"/>
      <c r="S76" s="1269"/>
      <c r="T76" s="1269"/>
      <c r="U76" s="1269"/>
      <c r="V76" s="1269"/>
      <c r="W76" s="1269"/>
      <c r="X76" s="1269"/>
      <c r="Y76" s="1269"/>
    </row>
    <row r="77" spans="1:25">
      <c r="A77" s="1269"/>
      <c r="D77" s="1269"/>
      <c r="E77" s="1269"/>
      <c r="F77" s="1269"/>
      <c r="G77" s="1269"/>
      <c r="H77" s="1269"/>
      <c r="M77" s="1324"/>
      <c r="O77" s="1274"/>
      <c r="P77" s="1269"/>
      <c r="Q77" s="1269"/>
      <c r="R77" s="1269"/>
      <c r="S77" s="1269"/>
      <c r="T77" s="1269"/>
      <c r="U77" s="1269"/>
      <c r="V77" s="1269"/>
      <c r="W77" s="1269"/>
      <c r="X77" s="1269"/>
      <c r="Y77" s="1269"/>
    </row>
    <row r="78" spans="1:25">
      <c r="A78" s="1269"/>
      <c r="D78" s="1269"/>
      <c r="E78" s="1269"/>
      <c r="F78" s="1269"/>
      <c r="G78" s="1269"/>
      <c r="H78" s="1269"/>
      <c r="M78" s="1324"/>
      <c r="O78" s="1274"/>
      <c r="P78" s="1269"/>
      <c r="Q78" s="1269"/>
      <c r="R78" s="1269"/>
      <c r="S78" s="1269"/>
      <c r="T78" s="1269"/>
      <c r="U78" s="1269"/>
      <c r="V78" s="1269"/>
      <c r="W78" s="1269"/>
      <c r="X78" s="1269"/>
      <c r="Y78" s="1269"/>
    </row>
    <row r="79" spans="1:25">
      <c r="A79" s="1269"/>
      <c r="D79" s="1269"/>
      <c r="E79" s="1269"/>
      <c r="F79" s="1269"/>
      <c r="G79" s="1269"/>
      <c r="H79" s="1269"/>
      <c r="M79" s="1324"/>
      <c r="O79" s="1274"/>
      <c r="P79" s="1269"/>
      <c r="Q79" s="1269"/>
      <c r="R79" s="1269"/>
      <c r="S79" s="1269"/>
      <c r="T79" s="1269"/>
      <c r="U79" s="1269"/>
      <c r="V79" s="1269"/>
      <c r="W79" s="1269"/>
      <c r="X79" s="1269"/>
      <c r="Y79" s="1269"/>
    </row>
    <row r="80" spans="1:25">
      <c r="A80" s="1269"/>
      <c r="D80" s="1269"/>
      <c r="E80" s="1269"/>
      <c r="F80" s="1269"/>
      <c r="G80" s="1269"/>
      <c r="H80" s="1269"/>
      <c r="M80" s="1324"/>
      <c r="O80" s="1274"/>
      <c r="P80" s="1269"/>
      <c r="Q80" s="1269"/>
      <c r="R80" s="1269"/>
      <c r="S80" s="1269"/>
      <c r="T80" s="1269"/>
      <c r="U80" s="1269"/>
      <c r="V80" s="1269"/>
      <c r="W80" s="1269"/>
      <c r="X80" s="1269"/>
      <c r="Y80" s="1269"/>
    </row>
    <row r="81" spans="1:25">
      <c r="A81" s="1269"/>
      <c r="D81" s="1269"/>
      <c r="E81" s="1269"/>
      <c r="F81" s="1269"/>
      <c r="G81" s="1269"/>
      <c r="H81" s="1269"/>
      <c r="M81" s="1324"/>
      <c r="O81" s="1274"/>
      <c r="P81" s="1269"/>
      <c r="Q81" s="1269"/>
      <c r="R81" s="1269"/>
      <c r="S81" s="1269"/>
      <c r="T81" s="1269"/>
      <c r="U81" s="1269"/>
      <c r="V81" s="1269"/>
      <c r="W81" s="1269"/>
      <c r="X81" s="1269"/>
      <c r="Y81" s="1269"/>
    </row>
    <row r="82" spans="1:25">
      <c r="A82" s="1269"/>
      <c r="D82" s="1269"/>
      <c r="E82" s="1269"/>
      <c r="F82" s="1269"/>
      <c r="G82" s="1269"/>
      <c r="H82" s="1269"/>
      <c r="M82" s="1324"/>
      <c r="O82" s="1274"/>
      <c r="P82" s="1269"/>
      <c r="Q82" s="1269"/>
      <c r="R82" s="1269"/>
      <c r="S82" s="1269"/>
      <c r="T82" s="1269"/>
      <c r="U82" s="1269"/>
      <c r="V82" s="1269"/>
      <c r="W82" s="1269"/>
      <c r="X82" s="1269"/>
      <c r="Y82" s="1269"/>
    </row>
    <row r="83" spans="1:25">
      <c r="A83" s="1269"/>
      <c r="D83" s="1269"/>
      <c r="E83" s="1269"/>
      <c r="F83" s="1269"/>
      <c r="G83" s="1269"/>
      <c r="H83" s="1269"/>
      <c r="M83" s="1324"/>
      <c r="O83" s="1274"/>
      <c r="P83" s="1269"/>
      <c r="Q83" s="1269"/>
      <c r="R83" s="1269"/>
      <c r="S83" s="1269"/>
      <c r="T83" s="1269"/>
      <c r="U83" s="1269"/>
      <c r="V83" s="1269"/>
      <c r="W83" s="1269"/>
      <c r="X83" s="1269"/>
      <c r="Y83" s="1269"/>
    </row>
    <row r="84" spans="1:25">
      <c r="A84" s="1269"/>
      <c r="D84" s="1269"/>
      <c r="E84" s="1269"/>
      <c r="F84" s="1269"/>
      <c r="G84" s="1269"/>
      <c r="H84" s="1269"/>
      <c r="M84" s="1324"/>
      <c r="O84" s="1274"/>
      <c r="P84" s="1269"/>
      <c r="Q84" s="1269"/>
      <c r="R84" s="1269"/>
      <c r="S84" s="1269"/>
      <c r="T84" s="1269"/>
      <c r="U84" s="1269"/>
      <c r="V84" s="1269"/>
      <c r="W84" s="1269"/>
      <c r="X84" s="1269"/>
      <c r="Y84" s="1269"/>
    </row>
    <row r="85" spans="1:25">
      <c r="A85" s="1269"/>
      <c r="D85" s="1269"/>
      <c r="E85" s="1269"/>
      <c r="F85" s="1269"/>
      <c r="G85" s="1269"/>
      <c r="H85" s="1269"/>
      <c r="M85" s="1324"/>
      <c r="O85" s="1274"/>
      <c r="P85" s="1269"/>
      <c r="Q85" s="1269"/>
      <c r="R85" s="1269"/>
      <c r="S85" s="1269"/>
      <c r="T85" s="1269"/>
      <c r="U85" s="1269"/>
      <c r="V85" s="1269"/>
      <c r="W85" s="1269"/>
      <c r="X85" s="1269"/>
      <c r="Y85" s="1269"/>
    </row>
    <row r="86" spans="1:25">
      <c r="A86" s="1269"/>
      <c r="D86" s="1269"/>
      <c r="E86" s="1269"/>
      <c r="F86" s="1269"/>
      <c r="G86" s="1269"/>
      <c r="H86" s="1269"/>
      <c r="M86" s="1324"/>
      <c r="O86" s="1274"/>
      <c r="P86" s="1269"/>
      <c r="Q86" s="1269"/>
      <c r="R86" s="1269"/>
      <c r="S86" s="1269"/>
      <c r="T86" s="1269"/>
      <c r="U86" s="1269"/>
      <c r="V86" s="1269"/>
      <c r="W86" s="1269"/>
      <c r="X86" s="1269"/>
      <c r="Y86" s="1269"/>
    </row>
    <row r="87" spans="1:25">
      <c r="A87" s="1269"/>
      <c r="D87" s="1269"/>
      <c r="E87" s="1269"/>
      <c r="F87" s="1269"/>
      <c r="G87" s="1269"/>
      <c r="H87" s="1269"/>
      <c r="M87" s="1324"/>
      <c r="O87" s="1274"/>
      <c r="P87" s="1269"/>
      <c r="Q87" s="1269"/>
      <c r="R87" s="1269"/>
      <c r="S87" s="1269"/>
      <c r="T87" s="1269"/>
      <c r="U87" s="1269"/>
      <c r="V87" s="1269"/>
      <c r="W87" s="1269"/>
      <c r="X87" s="1269"/>
      <c r="Y87" s="1269"/>
    </row>
    <row r="88" spans="1:25">
      <c r="A88" s="1269"/>
      <c r="D88" s="1269"/>
      <c r="E88" s="1269"/>
      <c r="F88" s="1269"/>
      <c r="G88" s="1269"/>
      <c r="H88" s="1269"/>
      <c r="M88" s="1324"/>
      <c r="O88" s="1274"/>
      <c r="P88" s="1269"/>
      <c r="Q88" s="1269"/>
      <c r="R88" s="1269"/>
      <c r="S88" s="1269"/>
      <c r="T88" s="1269"/>
      <c r="U88" s="1269"/>
      <c r="V88" s="1269"/>
      <c r="W88" s="1269"/>
      <c r="X88" s="1269"/>
      <c r="Y88" s="1269"/>
    </row>
    <row r="89" spans="1:25">
      <c r="A89" s="1269"/>
      <c r="D89" s="1269"/>
      <c r="E89" s="1269"/>
      <c r="F89" s="1269"/>
      <c r="G89" s="1269"/>
      <c r="H89" s="1269"/>
      <c r="M89" s="1324"/>
      <c r="O89" s="1274"/>
      <c r="P89" s="1269"/>
      <c r="Q89" s="1269"/>
      <c r="R89" s="1269"/>
      <c r="S89" s="1269"/>
      <c r="T89" s="1269"/>
      <c r="U89" s="1269"/>
      <c r="V89" s="1269"/>
      <c r="W89" s="1269"/>
      <c r="X89" s="1269"/>
      <c r="Y89" s="1269"/>
    </row>
    <row r="90" spans="1:25">
      <c r="A90" s="1269"/>
      <c r="D90" s="1269"/>
      <c r="E90" s="1269"/>
      <c r="F90" s="1269"/>
      <c r="G90" s="1269"/>
      <c r="H90" s="1269"/>
      <c r="M90" s="1324"/>
      <c r="O90" s="1274"/>
      <c r="P90" s="1269"/>
      <c r="Q90" s="1269"/>
      <c r="R90" s="1269"/>
      <c r="S90" s="1269"/>
      <c r="T90" s="1269"/>
      <c r="U90" s="1269"/>
      <c r="V90" s="1269"/>
      <c r="W90" s="1269"/>
      <c r="X90" s="1269"/>
      <c r="Y90" s="1269"/>
    </row>
    <row r="91" spans="1:25">
      <c r="A91" s="1269"/>
      <c r="D91" s="1269"/>
      <c r="E91" s="1269"/>
      <c r="F91" s="1269"/>
      <c r="G91" s="1269"/>
      <c r="H91" s="1269"/>
      <c r="M91" s="1324"/>
      <c r="O91" s="1274"/>
      <c r="P91" s="1269"/>
      <c r="Q91" s="1269"/>
      <c r="R91" s="1269"/>
      <c r="S91" s="1269"/>
      <c r="T91" s="1269"/>
      <c r="U91" s="1269"/>
      <c r="V91" s="1269"/>
      <c r="W91" s="1269"/>
      <c r="X91" s="1269"/>
      <c r="Y91" s="1269"/>
    </row>
    <row r="92" spans="1:25">
      <c r="A92" s="1269"/>
      <c r="D92" s="1269"/>
      <c r="E92" s="1269"/>
      <c r="F92" s="1269"/>
      <c r="G92" s="1269"/>
      <c r="H92" s="1269"/>
      <c r="M92" s="1324"/>
      <c r="O92" s="1274"/>
      <c r="P92" s="1269"/>
      <c r="Q92" s="1269"/>
      <c r="R92" s="1269"/>
      <c r="S92" s="1269"/>
      <c r="T92" s="1269"/>
      <c r="U92" s="1269"/>
      <c r="V92" s="1269"/>
      <c r="W92" s="1269"/>
      <c r="X92" s="1269"/>
      <c r="Y92" s="1269"/>
    </row>
    <row r="93" spans="1:25">
      <c r="A93" s="1269"/>
      <c r="D93" s="1269"/>
      <c r="E93" s="1269"/>
      <c r="F93" s="1269"/>
      <c r="G93" s="1269"/>
      <c r="H93" s="1269"/>
      <c r="M93" s="1324"/>
      <c r="O93" s="1274"/>
      <c r="P93" s="1269"/>
      <c r="Q93" s="1269"/>
      <c r="R93" s="1269"/>
      <c r="S93" s="1269"/>
      <c r="T93" s="1269"/>
      <c r="U93" s="1269"/>
      <c r="V93" s="1269"/>
      <c r="W93" s="1269"/>
      <c r="X93" s="1269"/>
      <c r="Y93" s="1269"/>
    </row>
    <row r="94" spans="1:25">
      <c r="A94" s="1269"/>
      <c r="D94" s="1269"/>
      <c r="E94" s="1269"/>
      <c r="F94" s="1269"/>
      <c r="G94" s="1269"/>
      <c r="H94" s="1269"/>
      <c r="M94" s="1324"/>
      <c r="O94" s="1274"/>
      <c r="P94" s="1269"/>
      <c r="Q94" s="1269"/>
      <c r="R94" s="1269"/>
      <c r="S94" s="1269"/>
      <c r="T94" s="1269"/>
      <c r="U94" s="1269"/>
      <c r="V94" s="1269"/>
      <c r="W94" s="1269"/>
      <c r="X94" s="1269"/>
      <c r="Y94" s="1269"/>
    </row>
    <row r="95" spans="1:25">
      <c r="A95" s="1269"/>
      <c r="D95" s="1269"/>
      <c r="E95" s="1269"/>
      <c r="F95" s="1269"/>
      <c r="G95" s="1269"/>
      <c r="H95" s="1269"/>
      <c r="M95" s="1324"/>
      <c r="O95" s="1274"/>
      <c r="P95" s="1269"/>
      <c r="Q95" s="1269"/>
      <c r="R95" s="1269"/>
      <c r="S95" s="1269"/>
      <c r="T95" s="1269"/>
      <c r="U95" s="1269"/>
      <c r="V95" s="1269"/>
      <c r="W95" s="1269"/>
      <c r="X95" s="1269"/>
      <c r="Y95" s="1269"/>
    </row>
    <row r="96" spans="1:25">
      <c r="A96" s="1269"/>
      <c r="D96" s="1269"/>
      <c r="E96" s="1269"/>
      <c r="F96" s="1269"/>
      <c r="G96" s="1269"/>
      <c r="H96" s="1269"/>
      <c r="M96" s="1324"/>
      <c r="O96" s="1274"/>
      <c r="P96" s="1269"/>
      <c r="Q96" s="1269"/>
      <c r="R96" s="1269"/>
      <c r="S96" s="1269"/>
      <c r="T96" s="1269"/>
      <c r="U96" s="1269"/>
      <c r="V96" s="1269"/>
      <c r="W96" s="1269"/>
      <c r="X96" s="1269"/>
      <c r="Y96" s="1269"/>
    </row>
    <row r="97" spans="1:25">
      <c r="A97" s="1269"/>
      <c r="D97" s="1269"/>
      <c r="E97" s="1269"/>
      <c r="F97" s="1269"/>
      <c r="G97" s="1269"/>
      <c r="H97" s="1269"/>
      <c r="M97" s="1324"/>
      <c r="O97" s="1274"/>
      <c r="P97" s="1269"/>
      <c r="Q97" s="1269"/>
      <c r="R97" s="1269"/>
      <c r="S97" s="1269"/>
      <c r="T97" s="1269"/>
      <c r="U97" s="1269"/>
      <c r="V97" s="1269"/>
      <c r="W97" s="1269"/>
      <c r="X97" s="1269"/>
      <c r="Y97" s="1269"/>
    </row>
    <row r="98" spans="1:25">
      <c r="A98" s="1269"/>
      <c r="D98" s="1269"/>
      <c r="E98" s="1269"/>
      <c r="F98" s="1269"/>
      <c r="G98" s="1269"/>
      <c r="H98" s="1269"/>
      <c r="M98" s="1324"/>
      <c r="O98" s="1274"/>
      <c r="P98" s="1269"/>
      <c r="Q98" s="1269"/>
      <c r="R98" s="1269"/>
      <c r="S98" s="1269"/>
      <c r="T98" s="1269"/>
      <c r="U98" s="1269"/>
      <c r="V98" s="1269"/>
      <c r="W98" s="1269"/>
      <c r="X98" s="1269"/>
      <c r="Y98" s="1269"/>
    </row>
    <row r="99" spans="1:25">
      <c r="A99" s="1269"/>
      <c r="D99" s="1269"/>
      <c r="E99" s="1269"/>
      <c r="F99" s="1269"/>
      <c r="G99" s="1269"/>
      <c r="H99" s="1269"/>
      <c r="M99" s="1324"/>
      <c r="O99" s="1274"/>
      <c r="P99" s="1269"/>
      <c r="Q99" s="1269"/>
      <c r="R99" s="1269"/>
      <c r="S99" s="1269"/>
      <c r="T99" s="1269"/>
      <c r="U99" s="1269"/>
      <c r="V99" s="1269"/>
      <c r="W99" s="1269"/>
      <c r="X99" s="1269"/>
      <c r="Y99" s="1269"/>
    </row>
    <row r="100" spans="1:25">
      <c r="A100" s="1269"/>
      <c r="D100" s="1269"/>
      <c r="E100" s="1269"/>
      <c r="F100" s="1269"/>
      <c r="G100" s="1269"/>
      <c r="H100" s="1269"/>
      <c r="M100" s="1324"/>
      <c r="O100" s="1274"/>
      <c r="P100" s="1269"/>
      <c r="Q100" s="1269"/>
      <c r="R100" s="1269"/>
      <c r="S100" s="1269"/>
      <c r="T100" s="1269"/>
      <c r="U100" s="1269"/>
      <c r="V100" s="1269"/>
      <c r="W100" s="1269"/>
      <c r="X100" s="1269"/>
      <c r="Y100" s="1269"/>
    </row>
    <row r="101" spans="1:25">
      <c r="A101" s="1269"/>
      <c r="D101" s="1269"/>
      <c r="E101" s="1269"/>
      <c r="F101" s="1269"/>
      <c r="G101" s="1269"/>
      <c r="H101" s="1269"/>
      <c r="M101" s="1324"/>
      <c r="O101" s="1274"/>
      <c r="P101" s="1269"/>
      <c r="Q101" s="1269"/>
      <c r="R101" s="1269"/>
      <c r="S101" s="1269"/>
      <c r="T101" s="1269"/>
      <c r="U101" s="1269"/>
      <c r="V101" s="1269"/>
      <c r="W101" s="1269"/>
      <c r="X101" s="1269"/>
      <c r="Y101" s="1269"/>
    </row>
    <row r="102" spans="1:25">
      <c r="A102" s="1269"/>
      <c r="D102" s="1269"/>
      <c r="E102" s="1269"/>
      <c r="F102" s="1269"/>
      <c r="G102" s="1269"/>
      <c r="H102" s="1269"/>
      <c r="M102" s="1324"/>
      <c r="O102" s="1274"/>
      <c r="P102" s="1269"/>
      <c r="Q102" s="1269"/>
      <c r="R102" s="1269"/>
      <c r="S102" s="1269"/>
      <c r="T102" s="1269"/>
      <c r="U102" s="1269"/>
      <c r="V102" s="1269"/>
      <c r="W102" s="1269"/>
      <c r="X102" s="1269"/>
      <c r="Y102" s="1269"/>
    </row>
    <row r="103" spans="1:25">
      <c r="A103" s="1269"/>
      <c r="D103" s="1269"/>
      <c r="E103" s="1269"/>
      <c r="F103" s="1269"/>
      <c r="G103" s="1269"/>
      <c r="H103" s="1269"/>
      <c r="M103" s="1324"/>
      <c r="O103" s="1274"/>
      <c r="P103" s="1269"/>
      <c r="Q103" s="1269"/>
      <c r="R103" s="1269"/>
      <c r="S103" s="1269"/>
      <c r="T103" s="1269"/>
      <c r="U103" s="1269"/>
      <c r="V103" s="1269"/>
      <c r="W103" s="1269"/>
      <c r="X103" s="1269"/>
      <c r="Y103" s="1269"/>
    </row>
    <row r="104" spans="1:25">
      <c r="A104" s="1269"/>
      <c r="D104" s="1269"/>
      <c r="E104" s="1269"/>
      <c r="F104" s="1269"/>
      <c r="G104" s="1269"/>
      <c r="H104" s="1269"/>
      <c r="M104" s="1324"/>
      <c r="O104" s="1274"/>
      <c r="P104" s="1269"/>
      <c r="Q104" s="1269"/>
      <c r="R104" s="1269"/>
      <c r="S104" s="1269"/>
      <c r="T104" s="1269"/>
      <c r="U104" s="1269"/>
      <c r="V104" s="1269"/>
      <c r="W104" s="1269"/>
      <c r="X104" s="1269"/>
      <c r="Y104" s="1269"/>
    </row>
    <row r="105" spans="1:25">
      <c r="A105" s="1269"/>
      <c r="D105" s="1269"/>
      <c r="E105" s="1269"/>
      <c r="F105" s="1269"/>
      <c r="G105" s="1269"/>
      <c r="H105" s="1269"/>
      <c r="M105" s="1324"/>
      <c r="O105" s="1274"/>
      <c r="P105" s="1269"/>
      <c r="Q105" s="1269"/>
      <c r="R105" s="1269"/>
      <c r="S105" s="1269"/>
      <c r="T105" s="1269"/>
      <c r="U105" s="1269"/>
      <c r="V105" s="1269"/>
      <c r="W105" s="1269"/>
      <c r="X105" s="1269"/>
      <c r="Y105" s="1269"/>
    </row>
    <row r="106" spans="1:25">
      <c r="A106" s="1269"/>
      <c r="D106" s="1269"/>
      <c r="E106" s="1269"/>
      <c r="F106" s="1269"/>
      <c r="G106" s="1269"/>
      <c r="H106" s="1269"/>
      <c r="M106" s="1324"/>
      <c r="O106" s="1274"/>
      <c r="P106" s="1269"/>
      <c r="Q106" s="1269"/>
      <c r="R106" s="1269"/>
      <c r="S106" s="1269"/>
      <c r="T106" s="1269"/>
      <c r="U106" s="1269"/>
      <c r="V106" s="1269"/>
      <c r="W106" s="1269"/>
      <c r="X106" s="1269"/>
      <c r="Y106" s="1269"/>
    </row>
    <row r="107" spans="1:25">
      <c r="A107" s="1269"/>
      <c r="D107" s="1269"/>
      <c r="E107" s="1269"/>
      <c r="F107" s="1269"/>
      <c r="G107" s="1269"/>
      <c r="H107" s="1269"/>
      <c r="M107" s="1324"/>
      <c r="O107" s="1274"/>
      <c r="P107" s="1269"/>
      <c r="Q107" s="1269"/>
      <c r="R107" s="1269"/>
      <c r="S107" s="1269"/>
      <c r="T107" s="1269"/>
      <c r="U107" s="1269"/>
      <c r="V107" s="1269"/>
      <c r="W107" s="1269"/>
      <c r="X107" s="1269"/>
      <c r="Y107" s="1269"/>
    </row>
    <row r="108" spans="1:25">
      <c r="A108" s="1269"/>
      <c r="D108" s="1269"/>
      <c r="E108" s="1269"/>
      <c r="F108" s="1269"/>
      <c r="G108" s="1269"/>
      <c r="H108" s="1269"/>
      <c r="M108" s="1324"/>
      <c r="O108" s="1274"/>
      <c r="P108" s="1269"/>
      <c r="Q108" s="1269"/>
      <c r="R108" s="1269"/>
      <c r="S108" s="1269"/>
      <c r="T108" s="1269"/>
      <c r="U108" s="1269"/>
      <c r="V108" s="1269"/>
      <c r="W108" s="1269"/>
      <c r="X108" s="1269"/>
      <c r="Y108" s="1269"/>
    </row>
    <row r="109" spans="1:25">
      <c r="A109" s="1269"/>
      <c r="D109" s="1269"/>
      <c r="E109" s="1269"/>
      <c r="F109" s="1269"/>
      <c r="G109" s="1269"/>
      <c r="H109" s="1269"/>
      <c r="M109" s="1324"/>
      <c r="O109" s="1274"/>
      <c r="P109" s="1269"/>
      <c r="Q109" s="1269"/>
      <c r="R109" s="1269"/>
      <c r="S109" s="1269"/>
      <c r="T109" s="1269"/>
      <c r="U109" s="1269"/>
      <c r="V109" s="1269"/>
      <c r="W109" s="1269"/>
      <c r="X109" s="1269"/>
      <c r="Y109" s="1269"/>
    </row>
    <row r="110" spans="1:25">
      <c r="A110" s="1269"/>
      <c r="D110" s="1269"/>
      <c r="E110" s="1269"/>
      <c r="F110" s="1269"/>
      <c r="G110" s="1269"/>
      <c r="H110" s="1269"/>
      <c r="M110" s="1324"/>
      <c r="O110" s="1274"/>
      <c r="P110" s="1269"/>
      <c r="Q110" s="1269"/>
      <c r="R110" s="1269"/>
      <c r="S110" s="1269"/>
      <c r="T110" s="1269"/>
      <c r="U110" s="1269"/>
      <c r="V110" s="1269"/>
      <c r="W110" s="1269"/>
      <c r="X110" s="1269"/>
      <c r="Y110" s="1269"/>
    </row>
    <row r="111" spans="1:25">
      <c r="A111" s="1269"/>
      <c r="D111" s="1269"/>
      <c r="E111" s="1269"/>
      <c r="F111" s="1269"/>
      <c r="G111" s="1269"/>
      <c r="H111" s="1269"/>
      <c r="M111" s="1324"/>
      <c r="O111" s="1274"/>
      <c r="P111" s="1269"/>
      <c r="Q111" s="1269"/>
      <c r="R111" s="1269"/>
      <c r="S111" s="1269"/>
      <c r="T111" s="1269"/>
      <c r="U111" s="1269"/>
      <c r="V111" s="1269"/>
      <c r="W111" s="1269"/>
      <c r="X111" s="1269"/>
      <c r="Y111" s="1269"/>
    </row>
    <row r="112" spans="1:25">
      <c r="A112" s="1269"/>
      <c r="D112" s="1269"/>
      <c r="E112" s="1269"/>
      <c r="F112" s="1269"/>
      <c r="G112" s="1269"/>
      <c r="H112" s="1269"/>
      <c r="M112" s="1324"/>
      <c r="O112" s="1274"/>
      <c r="P112" s="1269"/>
      <c r="Q112" s="1269"/>
      <c r="R112" s="1269"/>
      <c r="S112" s="1269"/>
      <c r="T112" s="1269"/>
      <c r="U112" s="1269"/>
      <c r="V112" s="1269"/>
      <c r="W112" s="1269"/>
      <c r="X112" s="1269"/>
      <c r="Y112" s="1269"/>
    </row>
    <row r="113" spans="1:25">
      <c r="A113" s="1269"/>
      <c r="D113" s="1269"/>
      <c r="E113" s="1269"/>
      <c r="F113" s="1269"/>
      <c r="G113" s="1269"/>
      <c r="H113" s="1269"/>
      <c r="M113" s="1324"/>
      <c r="O113" s="1274"/>
      <c r="P113" s="1269"/>
      <c r="Q113" s="1269"/>
      <c r="R113" s="1269"/>
      <c r="S113" s="1269"/>
      <c r="T113" s="1269"/>
      <c r="U113" s="1269"/>
      <c r="V113" s="1269"/>
      <c r="W113" s="1269"/>
      <c r="X113" s="1269"/>
      <c r="Y113" s="1269"/>
    </row>
    <row r="114" spans="1:25">
      <c r="A114" s="1269"/>
      <c r="D114" s="1269"/>
      <c r="E114" s="1269"/>
      <c r="F114" s="1269"/>
      <c r="G114" s="1269"/>
      <c r="H114" s="1269"/>
      <c r="M114" s="1324"/>
      <c r="O114" s="1274"/>
      <c r="P114" s="1269"/>
      <c r="Q114" s="1269"/>
      <c r="R114" s="1269"/>
      <c r="S114" s="1269"/>
      <c r="T114" s="1269"/>
      <c r="U114" s="1269"/>
      <c r="V114" s="1269"/>
      <c r="W114" s="1269"/>
      <c r="X114" s="1269"/>
      <c r="Y114" s="1269"/>
    </row>
    <row r="115" spans="1:25">
      <c r="A115" s="1269"/>
      <c r="D115" s="1269"/>
      <c r="E115" s="1269"/>
      <c r="F115" s="1269"/>
      <c r="G115" s="1269"/>
      <c r="H115" s="1269"/>
      <c r="M115" s="1324"/>
      <c r="O115" s="1274"/>
      <c r="P115" s="1269"/>
      <c r="Q115" s="1269"/>
      <c r="R115" s="1269"/>
      <c r="S115" s="1269"/>
      <c r="T115" s="1269"/>
      <c r="U115" s="1269"/>
      <c r="V115" s="1269"/>
      <c r="W115" s="1269"/>
      <c r="X115" s="1269"/>
      <c r="Y115" s="1269"/>
    </row>
    <row r="116" spans="1:25">
      <c r="A116" s="1269"/>
      <c r="D116" s="1269"/>
      <c r="E116" s="1269"/>
      <c r="F116" s="1269"/>
      <c r="G116" s="1269"/>
      <c r="H116" s="1269"/>
      <c r="M116" s="1324"/>
      <c r="O116" s="1274"/>
      <c r="P116" s="1269"/>
      <c r="Q116" s="1269"/>
      <c r="R116" s="1269"/>
      <c r="S116" s="1269"/>
      <c r="T116" s="1269"/>
      <c r="U116" s="1269"/>
      <c r="V116" s="1269"/>
      <c r="W116" s="1269"/>
      <c r="X116" s="1269"/>
      <c r="Y116" s="1269"/>
    </row>
    <row r="117" spans="1:25">
      <c r="A117" s="1269"/>
      <c r="D117" s="1269"/>
      <c r="E117" s="1269"/>
      <c r="F117" s="1269"/>
      <c r="G117" s="1269"/>
      <c r="H117" s="1269"/>
      <c r="M117" s="1324"/>
      <c r="O117" s="1274"/>
      <c r="P117" s="1269"/>
      <c r="Q117" s="1269"/>
      <c r="R117" s="1269"/>
      <c r="S117" s="1269"/>
      <c r="T117" s="1269"/>
      <c r="U117" s="1269"/>
      <c r="V117" s="1269"/>
      <c r="W117" s="1269"/>
      <c r="X117" s="1269"/>
      <c r="Y117" s="1269"/>
    </row>
    <row r="118" spans="1:25">
      <c r="A118" s="1269"/>
      <c r="D118" s="1269"/>
      <c r="E118" s="1269"/>
      <c r="F118" s="1269"/>
      <c r="G118" s="1269"/>
      <c r="H118" s="1269"/>
      <c r="M118" s="1324"/>
      <c r="O118" s="1274"/>
      <c r="P118" s="1269"/>
      <c r="Q118" s="1269"/>
      <c r="R118" s="1269"/>
      <c r="S118" s="1269"/>
      <c r="T118" s="1269"/>
      <c r="U118" s="1269"/>
      <c r="V118" s="1269"/>
      <c r="W118" s="1269"/>
      <c r="X118" s="1269"/>
      <c r="Y118" s="1269"/>
    </row>
    <row r="119" spans="1:25">
      <c r="A119" s="1269"/>
      <c r="D119" s="1269"/>
      <c r="E119" s="1269"/>
      <c r="F119" s="1269"/>
      <c r="G119" s="1269"/>
      <c r="H119" s="1269"/>
      <c r="M119" s="1324"/>
      <c r="O119" s="1274"/>
      <c r="P119" s="1269"/>
      <c r="Q119" s="1269"/>
      <c r="R119" s="1269"/>
      <c r="S119" s="1269"/>
      <c r="T119" s="1269"/>
      <c r="U119" s="1269"/>
      <c r="V119" s="1269"/>
      <c r="W119" s="1269"/>
      <c r="X119" s="1269"/>
      <c r="Y119" s="1269"/>
    </row>
    <row r="120" spans="1:25">
      <c r="A120" s="1269"/>
      <c r="D120" s="1269"/>
      <c r="E120" s="1269"/>
      <c r="F120" s="1269"/>
      <c r="G120" s="1269"/>
      <c r="H120" s="1269"/>
      <c r="M120" s="1324"/>
      <c r="O120" s="1274"/>
      <c r="P120" s="1269"/>
      <c r="Q120" s="1269"/>
      <c r="R120" s="1269"/>
      <c r="S120" s="1269"/>
      <c r="T120" s="1269"/>
      <c r="U120" s="1269"/>
      <c r="V120" s="1269"/>
      <c r="W120" s="1269"/>
      <c r="X120" s="1269"/>
      <c r="Y120" s="1269"/>
    </row>
    <row r="121" spans="1:25">
      <c r="A121" s="1269"/>
      <c r="D121" s="1269"/>
      <c r="E121" s="1269"/>
      <c r="F121" s="1269"/>
      <c r="G121" s="1269"/>
      <c r="H121" s="1269"/>
      <c r="M121" s="1324"/>
      <c r="O121" s="1274"/>
      <c r="P121" s="1269"/>
      <c r="Q121" s="1269"/>
      <c r="R121" s="1269"/>
      <c r="S121" s="1269"/>
      <c r="T121" s="1269"/>
      <c r="U121" s="1269"/>
      <c r="V121" s="1269"/>
      <c r="W121" s="1269"/>
      <c r="X121" s="1269"/>
      <c r="Y121" s="1269"/>
    </row>
    <row r="122" spans="1:25">
      <c r="A122" s="1269"/>
      <c r="D122" s="1269"/>
      <c r="E122" s="1269"/>
      <c r="F122" s="1269"/>
      <c r="G122" s="1269"/>
      <c r="H122" s="1269"/>
      <c r="M122" s="1324"/>
      <c r="O122" s="1274"/>
      <c r="P122" s="1269"/>
      <c r="Q122" s="1269"/>
      <c r="R122" s="1269"/>
      <c r="S122" s="1269"/>
      <c r="T122" s="1269"/>
      <c r="U122" s="1269"/>
      <c r="V122" s="1269"/>
      <c r="W122" s="1269"/>
      <c r="X122" s="1269"/>
      <c r="Y122" s="1269"/>
    </row>
    <row r="123" spans="1:25">
      <c r="A123" s="1269"/>
      <c r="D123" s="1269"/>
      <c r="E123" s="1269"/>
      <c r="F123" s="1269"/>
      <c r="G123" s="1269"/>
      <c r="H123" s="1269"/>
      <c r="M123" s="1324"/>
      <c r="O123" s="1274"/>
      <c r="P123" s="1269"/>
      <c r="Q123" s="1269"/>
      <c r="R123" s="1269"/>
      <c r="S123" s="1269"/>
      <c r="T123" s="1269"/>
      <c r="U123" s="1269"/>
      <c r="V123" s="1269"/>
      <c r="W123" s="1269"/>
      <c r="X123" s="1269"/>
      <c r="Y123" s="1269"/>
    </row>
    <row r="124" spans="1:25">
      <c r="A124" s="1269"/>
      <c r="D124" s="1269"/>
      <c r="E124" s="1269"/>
      <c r="F124" s="1269"/>
      <c r="G124" s="1269"/>
      <c r="H124" s="1269"/>
      <c r="M124" s="1324"/>
      <c r="O124" s="1274"/>
      <c r="P124" s="1269"/>
      <c r="Q124" s="1269"/>
      <c r="R124" s="1269"/>
      <c r="S124" s="1269"/>
      <c r="T124" s="1269"/>
      <c r="U124" s="1269"/>
      <c r="V124" s="1269"/>
      <c r="W124" s="1269"/>
      <c r="X124" s="1269"/>
      <c r="Y124" s="1269"/>
    </row>
    <row r="125" spans="1:25">
      <c r="A125" s="1269"/>
      <c r="D125" s="1269"/>
      <c r="E125" s="1269"/>
      <c r="F125" s="1269"/>
      <c r="G125" s="1269"/>
      <c r="H125" s="1269"/>
      <c r="M125" s="1324"/>
      <c r="O125" s="1274"/>
      <c r="P125" s="1269"/>
      <c r="Q125" s="1269"/>
      <c r="R125" s="1269"/>
      <c r="S125" s="1269"/>
      <c r="T125" s="1269"/>
      <c r="U125" s="1269"/>
      <c r="V125" s="1269"/>
      <c r="W125" s="1269"/>
      <c r="X125" s="1269"/>
      <c r="Y125" s="1269"/>
    </row>
    <row r="126" spans="1:25">
      <c r="A126" s="1269"/>
      <c r="D126" s="1269"/>
      <c r="E126" s="1269"/>
      <c r="F126" s="1269"/>
      <c r="G126" s="1269"/>
      <c r="H126" s="1269"/>
      <c r="M126" s="1324"/>
      <c r="O126" s="1274"/>
      <c r="P126" s="1269"/>
      <c r="Q126" s="1269"/>
      <c r="R126" s="1269"/>
      <c r="S126" s="1269"/>
      <c r="T126" s="1269"/>
      <c r="U126" s="1269"/>
      <c r="V126" s="1269"/>
      <c r="W126" s="1269"/>
      <c r="X126" s="1269"/>
      <c r="Y126" s="1269"/>
    </row>
    <row r="127" spans="1:25">
      <c r="A127" s="1269"/>
      <c r="D127" s="1269"/>
      <c r="E127" s="1269"/>
      <c r="F127" s="1269"/>
      <c r="G127" s="1269"/>
      <c r="H127" s="1269"/>
      <c r="M127" s="1324"/>
      <c r="O127" s="1274"/>
      <c r="P127" s="1269"/>
      <c r="Q127" s="1269"/>
      <c r="R127" s="1269"/>
      <c r="S127" s="1269"/>
      <c r="T127" s="1269"/>
      <c r="U127" s="1269"/>
      <c r="V127" s="1269"/>
      <c r="W127" s="1269"/>
      <c r="X127" s="1269"/>
      <c r="Y127" s="1269"/>
    </row>
    <row r="128" spans="1:25">
      <c r="A128" s="1269"/>
      <c r="D128" s="1269"/>
      <c r="E128" s="1269"/>
      <c r="F128" s="1269"/>
      <c r="G128" s="1269"/>
      <c r="H128" s="1269"/>
      <c r="M128" s="1324"/>
      <c r="O128" s="1274"/>
      <c r="P128" s="1269"/>
      <c r="Q128" s="1269"/>
      <c r="R128" s="1269"/>
      <c r="S128" s="1269"/>
      <c r="T128" s="1269"/>
      <c r="U128" s="1269"/>
      <c r="V128" s="1269"/>
      <c r="W128" s="1269"/>
      <c r="X128" s="1269"/>
      <c r="Y128" s="1269"/>
    </row>
    <row r="129" spans="1:25">
      <c r="A129" s="1269"/>
      <c r="D129" s="1269"/>
      <c r="E129" s="1269"/>
      <c r="F129" s="1269"/>
      <c r="G129" s="1269"/>
      <c r="H129" s="1269"/>
      <c r="M129" s="1324"/>
      <c r="O129" s="1274"/>
      <c r="P129" s="1269"/>
      <c r="Q129" s="1269"/>
      <c r="R129" s="1269"/>
      <c r="S129" s="1269"/>
      <c r="T129" s="1269"/>
      <c r="U129" s="1269"/>
      <c r="V129" s="1269"/>
      <c r="W129" s="1269"/>
      <c r="X129" s="1269"/>
      <c r="Y129" s="1269"/>
    </row>
    <row r="130" spans="1:25">
      <c r="A130" s="1269"/>
      <c r="D130" s="1269"/>
      <c r="E130" s="1269"/>
      <c r="F130" s="1269"/>
      <c r="G130" s="1269"/>
      <c r="H130" s="1269"/>
      <c r="M130" s="1324"/>
      <c r="O130" s="1274"/>
      <c r="P130" s="1269"/>
      <c r="Q130" s="1269"/>
      <c r="R130" s="1269"/>
      <c r="S130" s="1269"/>
      <c r="T130" s="1269"/>
      <c r="U130" s="1269"/>
      <c r="V130" s="1269"/>
      <c r="W130" s="1269"/>
      <c r="X130" s="1269"/>
      <c r="Y130" s="1269"/>
    </row>
    <row r="131" spans="1:25">
      <c r="A131" s="1269"/>
      <c r="D131" s="1269"/>
      <c r="E131" s="1269"/>
      <c r="F131" s="1269"/>
      <c r="G131" s="1269"/>
      <c r="H131" s="1269"/>
      <c r="M131" s="1324"/>
      <c r="O131" s="1274"/>
      <c r="P131" s="1269"/>
      <c r="Q131" s="1269"/>
      <c r="R131" s="1269"/>
      <c r="S131" s="1269"/>
      <c r="T131" s="1269"/>
      <c r="U131" s="1269"/>
      <c r="V131" s="1269"/>
      <c r="W131" s="1269"/>
      <c r="X131" s="1269"/>
      <c r="Y131" s="1269"/>
    </row>
    <row r="132" spans="1:25">
      <c r="A132" s="1269"/>
      <c r="D132" s="1269"/>
      <c r="E132" s="1269"/>
      <c r="F132" s="1269"/>
      <c r="G132" s="1269"/>
      <c r="H132" s="1269"/>
      <c r="M132" s="1324"/>
      <c r="O132" s="1274"/>
      <c r="P132" s="1269"/>
      <c r="Q132" s="1269"/>
      <c r="R132" s="1269"/>
      <c r="S132" s="1269"/>
      <c r="T132" s="1269"/>
      <c r="U132" s="1269"/>
      <c r="V132" s="1269"/>
      <c r="W132" s="1269"/>
      <c r="X132" s="1269"/>
      <c r="Y132" s="1269"/>
    </row>
    <row r="133" spans="1:25">
      <c r="A133" s="1269"/>
      <c r="D133" s="1269"/>
      <c r="E133" s="1269"/>
      <c r="F133" s="1269"/>
      <c r="G133" s="1269"/>
      <c r="H133" s="1269"/>
      <c r="M133" s="1324"/>
      <c r="O133" s="1274"/>
      <c r="P133" s="1269"/>
      <c r="Q133" s="1269"/>
      <c r="R133" s="1269"/>
      <c r="S133" s="1269"/>
      <c r="T133" s="1269"/>
      <c r="U133" s="1269"/>
      <c r="V133" s="1269"/>
      <c r="W133" s="1269"/>
      <c r="X133" s="1269"/>
      <c r="Y133" s="1269"/>
    </row>
    <row r="134" spans="1:25">
      <c r="A134" s="1269"/>
      <c r="D134" s="1269"/>
      <c r="E134" s="1269"/>
      <c r="F134" s="1269"/>
      <c r="G134" s="1269"/>
      <c r="H134" s="1269"/>
      <c r="M134" s="1324"/>
      <c r="O134" s="1274"/>
      <c r="P134" s="1269"/>
      <c r="Q134" s="1269"/>
      <c r="R134" s="1269"/>
      <c r="S134" s="1269"/>
      <c r="T134" s="1269"/>
      <c r="U134" s="1269"/>
      <c r="V134" s="1269"/>
      <c r="W134" s="1269"/>
      <c r="X134" s="1269"/>
      <c r="Y134" s="1269"/>
    </row>
    <row r="135" spans="1:25">
      <c r="A135" s="1269"/>
      <c r="D135" s="1269"/>
      <c r="E135" s="1269"/>
      <c r="F135" s="1269"/>
      <c r="G135" s="1269"/>
      <c r="H135" s="1269"/>
      <c r="M135" s="1324"/>
      <c r="O135" s="1274"/>
      <c r="P135" s="1269"/>
      <c r="Q135" s="1269"/>
      <c r="R135" s="1269"/>
      <c r="S135" s="1269"/>
      <c r="T135" s="1269"/>
      <c r="U135" s="1269"/>
      <c r="V135" s="1269"/>
      <c r="W135" s="1269"/>
      <c r="X135" s="1269"/>
      <c r="Y135" s="1269"/>
    </row>
    <row r="136" spans="1:25">
      <c r="A136" s="1269"/>
      <c r="D136" s="1269"/>
      <c r="E136" s="1269"/>
      <c r="F136" s="1269"/>
      <c r="G136" s="1269"/>
      <c r="H136" s="1269"/>
      <c r="M136" s="1324"/>
      <c r="O136" s="1274"/>
      <c r="P136" s="1269"/>
      <c r="Q136" s="1269"/>
      <c r="R136" s="1269"/>
      <c r="S136" s="1269"/>
      <c r="T136" s="1269"/>
      <c r="U136" s="1269"/>
      <c r="V136" s="1269"/>
      <c r="W136" s="1269"/>
      <c r="X136" s="1269"/>
      <c r="Y136" s="1269"/>
    </row>
    <row r="137" spans="1:25">
      <c r="A137" s="1269"/>
      <c r="D137" s="1269"/>
      <c r="E137" s="1269"/>
      <c r="F137" s="1269"/>
      <c r="G137" s="1269"/>
      <c r="H137" s="1269"/>
      <c r="M137" s="1324"/>
      <c r="O137" s="1274"/>
      <c r="P137" s="1269"/>
      <c r="Q137" s="1269"/>
      <c r="R137" s="1269"/>
      <c r="S137" s="1269"/>
      <c r="T137" s="1269"/>
      <c r="U137" s="1269"/>
      <c r="V137" s="1269"/>
      <c r="W137" s="1269"/>
      <c r="X137" s="1269"/>
      <c r="Y137" s="1269"/>
    </row>
    <row r="138" spans="1:25">
      <c r="A138" s="1269"/>
      <c r="D138" s="1269"/>
      <c r="E138" s="1269"/>
      <c r="F138" s="1269"/>
      <c r="G138" s="1269"/>
      <c r="H138" s="1269"/>
      <c r="M138" s="1324"/>
      <c r="O138" s="1274"/>
      <c r="P138" s="1269"/>
      <c r="Q138" s="1269"/>
      <c r="R138" s="1269"/>
      <c r="S138" s="1269"/>
      <c r="T138" s="1269"/>
      <c r="U138" s="1269"/>
      <c r="V138" s="1269"/>
      <c r="W138" s="1269"/>
      <c r="X138" s="1269"/>
      <c r="Y138" s="1269"/>
    </row>
    <row r="139" spans="1:25">
      <c r="A139" s="1269"/>
      <c r="D139" s="1269"/>
      <c r="E139" s="1269"/>
      <c r="F139" s="1269"/>
      <c r="G139" s="1269"/>
      <c r="H139" s="1269"/>
      <c r="M139" s="1324"/>
      <c r="O139" s="1274"/>
      <c r="P139" s="1269"/>
      <c r="Q139" s="1269"/>
      <c r="R139" s="1269"/>
      <c r="S139" s="1269"/>
      <c r="T139" s="1269"/>
      <c r="U139" s="1269"/>
      <c r="V139" s="1269"/>
      <c r="W139" s="1269"/>
      <c r="X139" s="1269"/>
      <c r="Y139" s="1269"/>
    </row>
    <row r="140" spans="1:25">
      <c r="A140" s="1269"/>
      <c r="D140" s="1269"/>
      <c r="E140" s="1269"/>
      <c r="F140" s="1269"/>
      <c r="G140" s="1269"/>
      <c r="H140" s="1269"/>
      <c r="M140" s="1324"/>
      <c r="O140" s="1274"/>
      <c r="P140" s="1269"/>
      <c r="Q140" s="1269"/>
      <c r="R140" s="1269"/>
      <c r="S140" s="1269"/>
      <c r="T140" s="1269"/>
      <c r="U140" s="1269"/>
      <c r="V140" s="1269"/>
      <c r="W140" s="1269"/>
      <c r="X140" s="1269"/>
      <c r="Y140" s="1269"/>
    </row>
    <row r="141" spans="1:25">
      <c r="A141" s="1269"/>
      <c r="D141" s="1269"/>
      <c r="E141" s="1269"/>
      <c r="F141" s="1269"/>
      <c r="G141" s="1269"/>
      <c r="H141" s="1269"/>
      <c r="M141" s="1324"/>
      <c r="O141" s="1274"/>
      <c r="P141" s="1269"/>
      <c r="Q141" s="1269"/>
      <c r="R141" s="1269"/>
      <c r="S141" s="1269"/>
      <c r="T141" s="1269"/>
      <c r="U141" s="1269"/>
      <c r="V141" s="1269"/>
      <c r="W141" s="1269"/>
      <c r="X141" s="1269"/>
      <c r="Y141" s="1269"/>
    </row>
    <row r="142" spans="1:25">
      <c r="A142" s="1269"/>
      <c r="D142" s="1269"/>
      <c r="E142" s="1269"/>
      <c r="F142" s="1269"/>
      <c r="G142" s="1269"/>
      <c r="H142" s="1269"/>
      <c r="M142" s="1324"/>
      <c r="O142" s="1274"/>
      <c r="P142" s="1269"/>
      <c r="Q142" s="1269"/>
      <c r="R142" s="1269"/>
      <c r="S142" s="1269"/>
      <c r="T142" s="1269"/>
      <c r="U142" s="1269"/>
      <c r="V142" s="1269"/>
      <c r="W142" s="1269"/>
      <c r="X142" s="1269"/>
      <c r="Y142" s="1269"/>
    </row>
    <row r="143" spans="1:25">
      <c r="A143" s="1269"/>
      <c r="D143" s="1269"/>
      <c r="E143" s="1269"/>
      <c r="F143" s="1269"/>
      <c r="G143" s="1269"/>
      <c r="H143" s="1269"/>
      <c r="M143" s="1324"/>
      <c r="O143" s="1274"/>
      <c r="P143" s="1269"/>
      <c r="Q143" s="1269"/>
      <c r="R143" s="1269"/>
      <c r="S143" s="1269"/>
      <c r="T143" s="1269"/>
      <c r="U143" s="1269"/>
      <c r="V143" s="1269"/>
      <c r="W143" s="1269"/>
      <c r="X143" s="1269"/>
      <c r="Y143" s="1269"/>
    </row>
    <row r="144" spans="1:25">
      <c r="A144" s="1269"/>
      <c r="D144" s="1269"/>
      <c r="E144" s="1269"/>
      <c r="F144" s="1269"/>
      <c r="G144" s="1269"/>
      <c r="H144" s="1269"/>
      <c r="M144" s="1324"/>
      <c r="O144" s="1274"/>
      <c r="P144" s="1269"/>
      <c r="Q144" s="1269"/>
      <c r="R144" s="1269"/>
      <c r="S144" s="1269"/>
      <c r="T144" s="1269"/>
      <c r="U144" s="1269"/>
      <c r="V144" s="1269"/>
      <c r="W144" s="1269"/>
      <c r="X144" s="1269"/>
      <c r="Y144" s="1269"/>
    </row>
    <row r="145" spans="1:25">
      <c r="A145" s="1269"/>
      <c r="D145" s="1269"/>
      <c r="E145" s="1269"/>
      <c r="F145" s="1269"/>
      <c r="G145" s="1269"/>
      <c r="H145" s="1269"/>
      <c r="M145" s="1324"/>
      <c r="O145" s="1274"/>
      <c r="P145" s="1269"/>
      <c r="Q145" s="1269"/>
      <c r="R145" s="1269"/>
      <c r="S145" s="1269"/>
      <c r="T145" s="1269"/>
      <c r="U145" s="1269"/>
      <c r="V145" s="1269"/>
      <c r="W145" s="1269"/>
      <c r="X145" s="1269"/>
      <c r="Y145" s="1269"/>
    </row>
    <row r="146" spans="1:25">
      <c r="A146" s="1269"/>
      <c r="D146" s="1269"/>
      <c r="E146" s="1269"/>
      <c r="F146" s="1269"/>
      <c r="G146" s="1269"/>
      <c r="H146" s="1269"/>
      <c r="M146" s="1324"/>
      <c r="O146" s="1274"/>
      <c r="P146" s="1269"/>
      <c r="Q146" s="1269"/>
      <c r="R146" s="1269"/>
      <c r="S146" s="1269"/>
      <c r="T146" s="1269"/>
      <c r="U146" s="1269"/>
      <c r="V146" s="1269"/>
      <c r="W146" s="1269"/>
      <c r="X146" s="1269"/>
      <c r="Y146" s="1269"/>
    </row>
    <row r="147" spans="1:25">
      <c r="A147" s="1269"/>
      <c r="D147" s="1269"/>
      <c r="E147" s="1269"/>
      <c r="F147" s="1269"/>
      <c r="G147" s="1269"/>
      <c r="H147" s="1269"/>
      <c r="M147" s="1324"/>
      <c r="O147" s="1274"/>
      <c r="P147" s="1269"/>
      <c r="Q147" s="1269"/>
      <c r="R147" s="1269"/>
      <c r="S147" s="1269"/>
      <c r="T147" s="1269"/>
      <c r="U147" s="1269"/>
      <c r="V147" s="1269"/>
      <c r="W147" s="1269"/>
      <c r="X147" s="1269"/>
      <c r="Y147" s="1269"/>
    </row>
    <row r="148" spans="1:25">
      <c r="A148" s="1269"/>
      <c r="D148" s="1269"/>
      <c r="E148" s="1269"/>
      <c r="F148" s="1269"/>
      <c r="G148" s="1269"/>
      <c r="H148" s="1269"/>
      <c r="M148" s="1324"/>
      <c r="O148" s="1274"/>
      <c r="P148" s="1269"/>
      <c r="Q148" s="1269"/>
      <c r="R148" s="1269"/>
      <c r="S148" s="1269"/>
      <c r="T148" s="1269"/>
      <c r="U148" s="1269"/>
      <c r="V148" s="1269"/>
      <c r="W148" s="1269"/>
      <c r="X148" s="1269"/>
      <c r="Y148" s="1269"/>
    </row>
    <row r="149" spans="1:25">
      <c r="A149" s="1269"/>
      <c r="D149" s="1269"/>
      <c r="E149" s="1269"/>
      <c r="F149" s="1269"/>
      <c r="G149" s="1269"/>
      <c r="H149" s="1269"/>
      <c r="M149" s="1324"/>
      <c r="O149" s="1274"/>
      <c r="P149" s="1269"/>
      <c r="Q149" s="1269"/>
      <c r="R149" s="1269"/>
      <c r="S149" s="1269"/>
      <c r="T149" s="1269"/>
      <c r="U149" s="1269"/>
      <c r="V149" s="1269"/>
      <c r="W149" s="1269"/>
      <c r="X149" s="1269"/>
      <c r="Y149" s="1269"/>
    </row>
    <row r="150" spans="1:25">
      <c r="A150" s="1269"/>
      <c r="D150" s="1269"/>
      <c r="E150" s="1269"/>
      <c r="F150" s="1269"/>
      <c r="G150" s="1269"/>
      <c r="H150" s="1269"/>
      <c r="M150" s="1324"/>
      <c r="O150" s="1274"/>
      <c r="P150" s="1269"/>
      <c r="Q150" s="1269"/>
      <c r="R150" s="1269"/>
      <c r="S150" s="1269"/>
      <c r="T150" s="1269"/>
      <c r="U150" s="1269"/>
      <c r="V150" s="1269"/>
      <c r="W150" s="1269"/>
      <c r="X150" s="1269"/>
      <c r="Y150" s="1269"/>
    </row>
    <row r="151" spans="1:25">
      <c r="A151" s="1269"/>
      <c r="D151" s="1269"/>
      <c r="E151" s="1269"/>
      <c r="F151" s="1269"/>
      <c r="G151" s="1269"/>
      <c r="H151" s="1269"/>
      <c r="M151" s="1324"/>
      <c r="O151" s="1274"/>
      <c r="P151" s="1269"/>
      <c r="Q151" s="1269"/>
      <c r="R151" s="1269"/>
      <c r="S151" s="1269"/>
      <c r="T151" s="1269"/>
      <c r="U151" s="1269"/>
      <c r="V151" s="1269"/>
      <c r="W151" s="1269"/>
      <c r="X151" s="1269"/>
      <c r="Y151" s="1269"/>
    </row>
    <row r="152" spans="1:25">
      <c r="A152" s="1269"/>
      <c r="D152" s="1269"/>
      <c r="E152" s="1269"/>
      <c r="F152" s="1269"/>
      <c r="G152" s="1269"/>
      <c r="H152" s="1269"/>
      <c r="M152" s="1324"/>
      <c r="O152" s="1274"/>
      <c r="P152" s="1269"/>
      <c r="Q152" s="1269"/>
      <c r="R152" s="1269"/>
      <c r="S152" s="1269"/>
      <c r="T152" s="1269"/>
      <c r="U152" s="1269"/>
      <c r="V152" s="1269"/>
      <c r="W152" s="1269"/>
      <c r="X152" s="1269"/>
      <c r="Y152" s="1269"/>
    </row>
    <row r="153" spans="1:25">
      <c r="A153" s="1269"/>
      <c r="D153" s="1269"/>
      <c r="E153" s="1269"/>
      <c r="F153" s="1269"/>
      <c r="G153" s="1269"/>
      <c r="H153" s="1269"/>
      <c r="M153" s="1324"/>
      <c r="O153" s="1274"/>
      <c r="P153" s="1269"/>
      <c r="Q153" s="1269"/>
      <c r="R153" s="1269"/>
      <c r="S153" s="1269"/>
      <c r="T153" s="1269"/>
      <c r="U153" s="1269"/>
      <c r="V153" s="1269"/>
      <c r="W153" s="1269"/>
      <c r="X153" s="1269"/>
      <c r="Y153" s="1269"/>
    </row>
    <row r="154" spans="1:25">
      <c r="A154" s="1269"/>
      <c r="D154" s="1269"/>
      <c r="E154" s="1269"/>
      <c r="F154" s="1269"/>
      <c r="G154" s="1269"/>
      <c r="H154" s="1269"/>
      <c r="M154" s="1324"/>
      <c r="O154" s="1274"/>
      <c r="P154" s="1269"/>
      <c r="Q154" s="1269"/>
      <c r="R154" s="1269"/>
      <c r="S154" s="1269"/>
      <c r="T154" s="1269"/>
      <c r="U154" s="1269"/>
      <c r="V154" s="1269"/>
      <c r="W154" s="1269"/>
      <c r="X154" s="1269"/>
      <c r="Y154" s="1269"/>
    </row>
    <row r="155" spans="1:25">
      <c r="A155" s="1269"/>
      <c r="D155" s="1269"/>
      <c r="E155" s="1269"/>
      <c r="F155" s="1269"/>
      <c r="G155" s="1269"/>
      <c r="H155" s="1269"/>
      <c r="M155" s="1324"/>
      <c r="O155" s="1274"/>
      <c r="P155" s="1269"/>
      <c r="Q155" s="1269"/>
      <c r="R155" s="1269"/>
      <c r="S155" s="1269"/>
      <c r="T155" s="1269"/>
      <c r="U155" s="1269"/>
      <c r="V155" s="1269"/>
      <c r="W155" s="1269"/>
      <c r="X155" s="1269"/>
      <c r="Y155" s="1269"/>
    </row>
    <row r="156" spans="1:25">
      <c r="A156" s="1269"/>
      <c r="D156" s="1269"/>
      <c r="E156" s="1269"/>
      <c r="F156" s="1269"/>
      <c r="G156" s="1269"/>
      <c r="H156" s="1269"/>
      <c r="M156" s="1324"/>
      <c r="O156" s="1274"/>
      <c r="P156" s="1269"/>
      <c r="Q156" s="1269"/>
      <c r="R156" s="1269"/>
      <c r="S156" s="1269"/>
      <c r="T156" s="1269"/>
      <c r="U156" s="1269"/>
      <c r="V156" s="1269"/>
      <c r="W156" s="1269"/>
      <c r="X156" s="1269"/>
      <c r="Y156" s="1269"/>
    </row>
    <row r="157" spans="1:25">
      <c r="A157" s="1269"/>
      <c r="D157" s="1269"/>
      <c r="E157" s="1269"/>
      <c r="F157" s="1269"/>
      <c r="G157" s="1269"/>
      <c r="H157" s="1269"/>
      <c r="M157" s="1324"/>
      <c r="O157" s="1274"/>
      <c r="P157" s="1269"/>
      <c r="Q157" s="1269"/>
      <c r="R157" s="1269"/>
      <c r="S157" s="1269"/>
      <c r="T157" s="1269"/>
      <c r="U157" s="1269"/>
      <c r="V157" s="1269"/>
      <c r="W157" s="1269"/>
      <c r="X157" s="1269"/>
      <c r="Y157" s="1269"/>
    </row>
    <row r="158" spans="1:25">
      <c r="A158" s="1269"/>
      <c r="D158" s="1269"/>
      <c r="E158" s="1269"/>
      <c r="F158" s="1269"/>
      <c r="G158" s="1269"/>
      <c r="H158" s="1269"/>
      <c r="M158" s="1324"/>
      <c r="O158" s="1274"/>
      <c r="P158" s="1269"/>
      <c r="Q158" s="1269"/>
      <c r="R158" s="1269"/>
      <c r="S158" s="1269"/>
      <c r="T158" s="1269"/>
      <c r="U158" s="1269"/>
      <c r="V158" s="1269"/>
      <c r="W158" s="1269"/>
      <c r="X158" s="1269"/>
      <c r="Y158" s="1269"/>
    </row>
    <row r="159" spans="1:25">
      <c r="A159" s="1269"/>
      <c r="D159" s="1269"/>
      <c r="E159" s="1269"/>
      <c r="F159" s="1269"/>
      <c r="G159" s="1269"/>
      <c r="H159" s="1269"/>
      <c r="M159" s="1324"/>
      <c r="O159" s="1274"/>
      <c r="P159" s="1269"/>
      <c r="Q159" s="1269"/>
      <c r="R159" s="1269"/>
      <c r="S159" s="1269"/>
      <c r="T159" s="1269"/>
      <c r="U159" s="1269"/>
      <c r="V159" s="1269"/>
      <c r="W159" s="1269"/>
      <c r="X159" s="1269"/>
      <c r="Y159" s="1269"/>
    </row>
    <row r="160" spans="1:25">
      <c r="A160" s="1269"/>
      <c r="D160" s="1269"/>
      <c r="E160" s="1269"/>
      <c r="F160" s="1269"/>
      <c r="G160" s="1269"/>
      <c r="H160" s="1269"/>
      <c r="M160" s="1324"/>
      <c r="O160" s="1274"/>
      <c r="P160" s="1269"/>
      <c r="Q160" s="1269"/>
      <c r="R160" s="1269"/>
      <c r="S160" s="1269"/>
      <c r="T160" s="1269"/>
      <c r="U160" s="1269"/>
      <c r="V160" s="1269"/>
      <c r="W160" s="1269"/>
      <c r="X160" s="1269"/>
      <c r="Y160" s="1269"/>
    </row>
    <row r="161" spans="1:25">
      <c r="A161" s="1269"/>
      <c r="D161" s="1269"/>
      <c r="E161" s="1269"/>
      <c r="F161" s="1269"/>
      <c r="G161" s="1269"/>
      <c r="H161" s="1269"/>
      <c r="M161" s="1324"/>
      <c r="O161" s="1274"/>
      <c r="P161" s="1269"/>
      <c r="Q161" s="1269"/>
      <c r="R161" s="1269"/>
      <c r="S161" s="1269"/>
      <c r="T161" s="1269"/>
      <c r="U161" s="1269"/>
      <c r="V161" s="1269"/>
      <c r="W161" s="1269"/>
      <c r="X161" s="1269"/>
      <c r="Y161" s="1269"/>
    </row>
    <row r="162" spans="1:25">
      <c r="A162" s="1269"/>
      <c r="D162" s="1269"/>
      <c r="E162" s="1269"/>
      <c r="F162" s="1269"/>
      <c r="G162" s="1269"/>
      <c r="H162" s="1269"/>
      <c r="M162" s="1324"/>
      <c r="O162" s="1274"/>
      <c r="P162" s="1269"/>
      <c r="Q162" s="1269"/>
      <c r="R162" s="1269"/>
      <c r="S162" s="1269"/>
      <c r="T162" s="1269"/>
      <c r="U162" s="1269"/>
      <c r="V162" s="1269"/>
      <c r="W162" s="1269"/>
      <c r="X162" s="1269"/>
      <c r="Y162" s="1269"/>
    </row>
    <row r="163" spans="1:25">
      <c r="A163" s="1269"/>
      <c r="D163" s="1269"/>
      <c r="E163" s="1269"/>
      <c r="F163" s="1269"/>
      <c r="G163" s="1269"/>
      <c r="H163" s="1269"/>
      <c r="M163" s="1324"/>
      <c r="O163" s="1274"/>
      <c r="P163" s="1269"/>
      <c r="Q163" s="1269"/>
      <c r="R163" s="1269"/>
      <c r="S163" s="1269"/>
      <c r="T163" s="1269"/>
      <c r="U163" s="1269"/>
      <c r="V163" s="1269"/>
      <c r="W163" s="1269"/>
      <c r="X163" s="1269"/>
      <c r="Y163" s="1269"/>
    </row>
    <row r="164" spans="1:25">
      <c r="A164" s="1269"/>
      <c r="D164" s="1269"/>
      <c r="E164" s="1269"/>
      <c r="F164" s="1269"/>
      <c r="G164" s="1269"/>
      <c r="H164" s="1269"/>
      <c r="M164" s="1324"/>
      <c r="O164" s="1274"/>
      <c r="P164" s="1269"/>
      <c r="Q164" s="1269"/>
      <c r="R164" s="1269"/>
      <c r="S164" s="1269"/>
      <c r="T164" s="1269"/>
      <c r="U164" s="1269"/>
      <c r="V164" s="1269"/>
      <c r="W164" s="1269"/>
      <c r="X164" s="1269"/>
      <c r="Y164" s="1269"/>
    </row>
    <row r="165" spans="1:25">
      <c r="A165" s="1269"/>
      <c r="D165" s="1269"/>
      <c r="E165" s="1269"/>
      <c r="F165" s="1269"/>
      <c r="G165" s="1269"/>
      <c r="H165" s="1269"/>
      <c r="M165" s="1324"/>
      <c r="O165" s="1274"/>
      <c r="P165" s="1269"/>
      <c r="Q165" s="1269"/>
      <c r="R165" s="1269"/>
      <c r="S165" s="1269"/>
      <c r="T165" s="1269"/>
      <c r="U165" s="1269"/>
      <c r="V165" s="1269"/>
      <c r="W165" s="1269"/>
      <c r="X165" s="1269"/>
      <c r="Y165" s="1269"/>
    </row>
    <row r="166" spans="1:25">
      <c r="A166" s="1269"/>
      <c r="D166" s="1269"/>
      <c r="E166" s="1269"/>
      <c r="F166" s="1269"/>
      <c r="G166" s="1269"/>
      <c r="H166" s="1269"/>
      <c r="M166" s="1324"/>
      <c r="O166" s="1274"/>
      <c r="P166" s="1269"/>
      <c r="Q166" s="1269"/>
      <c r="R166" s="1269"/>
      <c r="S166" s="1269"/>
      <c r="T166" s="1269"/>
      <c r="U166" s="1269"/>
      <c r="V166" s="1269"/>
      <c r="W166" s="1269"/>
      <c r="X166" s="1269"/>
      <c r="Y166" s="1269"/>
    </row>
    <row r="167" spans="1:25">
      <c r="A167" s="1269"/>
      <c r="D167" s="1269"/>
      <c r="E167" s="1269"/>
      <c r="F167" s="1269"/>
      <c r="G167" s="1269"/>
      <c r="H167" s="1269"/>
      <c r="M167" s="1324"/>
      <c r="O167" s="1274"/>
      <c r="P167" s="1269"/>
      <c r="Q167" s="1269"/>
      <c r="R167" s="1269"/>
      <c r="S167" s="1269"/>
      <c r="T167" s="1269"/>
      <c r="U167" s="1269"/>
      <c r="V167" s="1269"/>
      <c r="W167" s="1269"/>
      <c r="X167" s="1269"/>
      <c r="Y167" s="1269"/>
    </row>
    <row r="168" spans="1:25">
      <c r="A168" s="1269"/>
      <c r="D168" s="1269"/>
      <c r="E168" s="1269"/>
      <c r="F168" s="1269"/>
      <c r="G168" s="1269"/>
      <c r="H168" s="1269"/>
      <c r="M168" s="1324"/>
      <c r="O168" s="1274"/>
      <c r="P168" s="1269"/>
      <c r="Q168" s="1269"/>
      <c r="R168" s="1269"/>
      <c r="S168" s="1269"/>
      <c r="T168" s="1269"/>
      <c r="U168" s="1269"/>
      <c r="V168" s="1269"/>
      <c r="W168" s="1269"/>
      <c r="X168" s="1269"/>
      <c r="Y168" s="1269"/>
    </row>
    <row r="169" spans="1:25">
      <c r="A169" s="1269"/>
      <c r="D169" s="1269"/>
      <c r="E169" s="1269"/>
      <c r="F169" s="1269"/>
      <c r="G169" s="1269"/>
      <c r="H169" s="1269"/>
      <c r="M169" s="1324"/>
      <c r="O169" s="1274"/>
      <c r="P169" s="1269"/>
      <c r="Q169" s="1269"/>
      <c r="R169" s="1269"/>
      <c r="S169" s="1269"/>
      <c r="T169" s="1269"/>
      <c r="U169" s="1269"/>
      <c r="V169" s="1269"/>
      <c r="W169" s="1269"/>
      <c r="X169" s="1269"/>
      <c r="Y169" s="1269"/>
    </row>
    <row r="170" spans="1:25">
      <c r="A170" s="1269"/>
      <c r="D170" s="1269"/>
      <c r="E170" s="1269"/>
      <c r="F170" s="1269"/>
      <c r="G170" s="1269"/>
      <c r="H170" s="1269"/>
      <c r="M170" s="1324"/>
      <c r="O170" s="1274"/>
      <c r="P170" s="1269"/>
      <c r="Q170" s="1269"/>
      <c r="R170" s="1269"/>
      <c r="S170" s="1269"/>
      <c r="T170" s="1269"/>
      <c r="U170" s="1269"/>
      <c r="V170" s="1269"/>
      <c r="W170" s="1269"/>
      <c r="X170" s="1269"/>
      <c r="Y170" s="1269"/>
    </row>
    <row r="171" spans="1:25">
      <c r="A171" s="1269"/>
      <c r="D171" s="1269"/>
      <c r="E171" s="1269"/>
      <c r="F171" s="1269"/>
      <c r="G171" s="1269"/>
      <c r="H171" s="1269"/>
      <c r="M171" s="1324"/>
      <c r="O171" s="1274"/>
      <c r="P171" s="1269"/>
      <c r="Q171" s="1269"/>
      <c r="R171" s="1269"/>
      <c r="S171" s="1269"/>
      <c r="T171" s="1269"/>
      <c r="U171" s="1269"/>
      <c r="V171" s="1269"/>
      <c r="W171" s="1269"/>
      <c r="X171" s="1269"/>
      <c r="Y171" s="1269"/>
    </row>
    <row r="172" spans="1:25">
      <c r="A172" s="1269"/>
      <c r="D172" s="1269"/>
      <c r="E172" s="1269"/>
      <c r="F172" s="1269"/>
      <c r="G172" s="1269"/>
      <c r="H172" s="1269"/>
      <c r="M172" s="1324"/>
      <c r="O172" s="1274"/>
      <c r="P172" s="1269"/>
      <c r="Q172" s="1269"/>
      <c r="R172" s="1269"/>
      <c r="S172" s="1269"/>
      <c r="T172" s="1269"/>
      <c r="U172" s="1269"/>
      <c r="V172" s="1269"/>
      <c r="W172" s="1269"/>
      <c r="X172" s="1269"/>
      <c r="Y172" s="1269"/>
    </row>
    <row r="173" spans="1:25">
      <c r="A173" s="1269"/>
      <c r="D173" s="1269"/>
      <c r="E173" s="1269"/>
      <c r="F173" s="1269"/>
      <c r="G173" s="1269"/>
      <c r="H173" s="1269"/>
      <c r="M173" s="1324"/>
      <c r="O173" s="1274"/>
      <c r="P173" s="1269"/>
      <c r="Q173" s="1269"/>
      <c r="R173" s="1269"/>
      <c r="S173" s="1269"/>
      <c r="T173" s="1269"/>
      <c r="U173" s="1269"/>
      <c r="V173" s="1269"/>
      <c r="W173" s="1269"/>
      <c r="X173" s="1269"/>
      <c r="Y173" s="1269"/>
    </row>
    <row r="174" spans="1:25">
      <c r="A174" s="1269"/>
      <c r="D174" s="1269"/>
      <c r="E174" s="1269"/>
      <c r="F174" s="1269"/>
      <c r="G174" s="1269"/>
      <c r="H174" s="1269"/>
      <c r="M174" s="1324"/>
      <c r="O174" s="1274"/>
      <c r="P174" s="1269"/>
      <c r="Q174" s="1269"/>
      <c r="R174" s="1269"/>
      <c r="S174" s="1269"/>
      <c r="T174" s="1269"/>
      <c r="U174" s="1269"/>
      <c r="V174" s="1269"/>
      <c r="W174" s="1269"/>
      <c r="X174" s="1269"/>
      <c r="Y174" s="1269"/>
    </row>
    <row r="175" spans="1:25">
      <c r="A175" s="1269"/>
      <c r="D175" s="1269"/>
      <c r="E175" s="1269"/>
      <c r="F175" s="1269"/>
      <c r="G175" s="1269"/>
      <c r="H175" s="1269"/>
      <c r="M175" s="1324"/>
      <c r="O175" s="1274"/>
      <c r="P175" s="1269"/>
      <c r="Q175" s="1269"/>
      <c r="R175" s="1269"/>
      <c r="S175" s="1269"/>
      <c r="T175" s="1269"/>
      <c r="U175" s="1269"/>
      <c r="V175" s="1269"/>
      <c r="W175" s="1269"/>
      <c r="X175" s="1269"/>
      <c r="Y175" s="1269"/>
    </row>
    <row r="176" spans="1:25">
      <c r="A176" s="1269"/>
      <c r="D176" s="1269"/>
      <c r="E176" s="1269"/>
      <c r="F176" s="1269"/>
      <c r="G176" s="1269"/>
      <c r="H176" s="1269"/>
      <c r="M176" s="1324"/>
      <c r="O176" s="1274"/>
      <c r="P176" s="1269"/>
      <c r="Q176" s="1269"/>
      <c r="R176" s="1269"/>
      <c r="S176" s="1269"/>
      <c r="T176" s="1269"/>
      <c r="U176" s="1269"/>
      <c r="V176" s="1269"/>
      <c r="W176" s="1269"/>
      <c r="X176" s="1269"/>
      <c r="Y176" s="1269"/>
    </row>
    <row r="177" spans="1:25">
      <c r="A177" s="1269"/>
      <c r="D177" s="1269"/>
      <c r="E177" s="1269"/>
      <c r="F177" s="1269"/>
      <c r="G177" s="1269"/>
      <c r="H177" s="1269"/>
      <c r="M177" s="1324"/>
      <c r="O177" s="1274"/>
      <c r="P177" s="1269"/>
      <c r="Q177" s="1269"/>
      <c r="R177" s="1269"/>
      <c r="S177" s="1269"/>
      <c r="T177" s="1269"/>
      <c r="U177" s="1269"/>
      <c r="V177" s="1269"/>
      <c r="W177" s="1269"/>
      <c r="X177" s="1269"/>
      <c r="Y177" s="1269"/>
    </row>
    <row r="178" spans="1:25">
      <c r="A178" s="1269"/>
      <c r="D178" s="1269"/>
      <c r="E178" s="1269"/>
      <c r="F178" s="1269"/>
      <c r="G178" s="1269"/>
      <c r="H178" s="1269"/>
      <c r="M178" s="1324"/>
      <c r="O178" s="1274"/>
      <c r="P178" s="1269"/>
      <c r="Q178" s="1269"/>
      <c r="R178" s="1269"/>
      <c r="S178" s="1269"/>
      <c r="T178" s="1269"/>
      <c r="U178" s="1269"/>
      <c r="V178" s="1269"/>
      <c r="W178" s="1269"/>
      <c r="X178" s="1269"/>
      <c r="Y178" s="1269"/>
    </row>
    <row r="179" spans="1:25">
      <c r="A179" s="1269"/>
      <c r="D179" s="1269"/>
      <c r="E179" s="1269"/>
      <c r="F179" s="1269"/>
      <c r="G179" s="1269"/>
      <c r="H179" s="1269"/>
      <c r="M179" s="1324"/>
      <c r="O179" s="1274"/>
      <c r="P179" s="1269"/>
      <c r="Q179" s="1269"/>
      <c r="R179" s="1269"/>
      <c r="S179" s="1269"/>
      <c r="T179" s="1269"/>
      <c r="U179" s="1269"/>
      <c r="V179" s="1269"/>
      <c r="W179" s="1269"/>
      <c r="X179" s="1269"/>
      <c r="Y179" s="1269"/>
    </row>
    <row r="180" spans="1:25">
      <c r="A180" s="1269"/>
      <c r="D180" s="1269"/>
      <c r="E180" s="1269"/>
      <c r="F180" s="1269"/>
      <c r="G180" s="1269"/>
      <c r="H180" s="1269"/>
      <c r="M180" s="1324"/>
      <c r="O180" s="1274"/>
      <c r="P180" s="1269"/>
      <c r="Q180" s="1269"/>
      <c r="R180" s="1269"/>
      <c r="S180" s="1269"/>
      <c r="T180" s="1269"/>
      <c r="U180" s="1269"/>
      <c r="V180" s="1269"/>
      <c r="W180" s="1269"/>
      <c r="X180" s="1269"/>
      <c r="Y180" s="1269"/>
    </row>
    <row r="181" spans="1:25">
      <c r="A181" s="1269"/>
      <c r="D181" s="1269"/>
      <c r="E181" s="1269"/>
      <c r="F181" s="1269"/>
      <c r="G181" s="1269"/>
      <c r="H181" s="1269"/>
      <c r="M181" s="1324"/>
      <c r="O181" s="1274"/>
      <c r="P181" s="1269"/>
      <c r="Q181" s="1269"/>
      <c r="R181" s="1269"/>
      <c r="S181" s="1269"/>
      <c r="T181" s="1269"/>
      <c r="U181" s="1269"/>
      <c r="V181" s="1269"/>
      <c r="W181" s="1269"/>
      <c r="X181" s="1269"/>
      <c r="Y181" s="1269"/>
    </row>
    <row r="182" spans="1:25">
      <c r="A182" s="1269"/>
      <c r="D182" s="1269"/>
      <c r="E182" s="1269"/>
      <c r="F182" s="1269"/>
      <c r="G182" s="1269"/>
      <c r="H182" s="1269"/>
      <c r="M182" s="1324"/>
      <c r="O182" s="1274"/>
      <c r="P182" s="1269"/>
      <c r="Q182" s="1269"/>
      <c r="R182" s="1269"/>
      <c r="S182" s="1269"/>
      <c r="T182" s="1269"/>
      <c r="U182" s="1269"/>
      <c r="V182" s="1269"/>
      <c r="W182" s="1269"/>
      <c r="X182" s="1269"/>
      <c r="Y182" s="1269"/>
    </row>
    <row r="183" spans="1:25">
      <c r="A183" s="1269"/>
      <c r="D183" s="1269"/>
      <c r="E183" s="1269"/>
      <c r="F183" s="1269"/>
      <c r="G183" s="1269"/>
      <c r="H183" s="1269"/>
      <c r="M183" s="1324"/>
      <c r="O183" s="1274"/>
      <c r="P183" s="1269"/>
      <c r="Q183" s="1269"/>
      <c r="R183" s="1269"/>
      <c r="S183" s="1269"/>
      <c r="T183" s="1269"/>
      <c r="U183" s="1269"/>
      <c r="V183" s="1269"/>
      <c r="W183" s="1269"/>
      <c r="X183" s="1269"/>
      <c r="Y183" s="1269"/>
    </row>
    <row r="184" spans="1:25">
      <c r="A184" s="1269"/>
      <c r="D184" s="1269"/>
      <c r="E184" s="1269"/>
      <c r="F184" s="1269"/>
      <c r="G184" s="1269"/>
      <c r="H184" s="1269"/>
      <c r="M184" s="1324"/>
      <c r="O184" s="1274"/>
      <c r="P184" s="1269"/>
      <c r="Q184" s="1269"/>
      <c r="R184" s="1269"/>
      <c r="S184" s="1269"/>
      <c r="T184" s="1269"/>
      <c r="U184" s="1269"/>
      <c r="V184" s="1269"/>
      <c r="W184" s="1269"/>
      <c r="X184" s="1269"/>
      <c r="Y184" s="1269"/>
    </row>
    <row r="185" spans="1:25">
      <c r="A185" s="1269"/>
      <c r="D185" s="1269"/>
      <c r="E185" s="1269"/>
      <c r="F185" s="1269"/>
      <c r="G185" s="1269"/>
      <c r="H185" s="1269"/>
      <c r="M185" s="1324"/>
      <c r="O185" s="1274"/>
      <c r="P185" s="1269"/>
      <c r="Q185" s="1269"/>
      <c r="R185" s="1269"/>
      <c r="S185" s="1269"/>
      <c r="T185" s="1269"/>
      <c r="U185" s="1269"/>
      <c r="V185" s="1269"/>
      <c r="W185" s="1269"/>
      <c r="X185" s="1269"/>
      <c r="Y185" s="1269"/>
    </row>
    <row r="186" spans="1:25">
      <c r="A186" s="1269"/>
      <c r="D186" s="1269"/>
      <c r="E186" s="1269"/>
      <c r="F186" s="1269"/>
      <c r="G186" s="1269"/>
      <c r="H186" s="1269"/>
      <c r="M186" s="1324"/>
      <c r="O186" s="1274"/>
      <c r="P186" s="1269"/>
      <c r="Q186" s="1269"/>
      <c r="R186" s="1269"/>
      <c r="S186" s="1269"/>
      <c r="T186" s="1269"/>
      <c r="U186" s="1269"/>
      <c r="V186" s="1269"/>
      <c r="W186" s="1269"/>
      <c r="X186" s="1269"/>
      <c r="Y186" s="1269"/>
    </row>
    <row r="187" spans="1:25">
      <c r="A187" s="1269"/>
      <c r="D187" s="1269"/>
      <c r="E187" s="1269"/>
      <c r="F187" s="1269"/>
      <c r="G187" s="1269"/>
      <c r="H187" s="1269"/>
      <c r="M187" s="1324"/>
      <c r="O187" s="1274"/>
      <c r="P187" s="1269"/>
      <c r="Q187" s="1269"/>
      <c r="R187" s="1269"/>
      <c r="S187" s="1269"/>
      <c r="T187" s="1269"/>
      <c r="U187" s="1269"/>
      <c r="V187" s="1269"/>
      <c r="W187" s="1269"/>
      <c r="X187" s="1269"/>
      <c r="Y187" s="1269"/>
    </row>
    <row r="188" spans="1:25">
      <c r="A188" s="1269"/>
      <c r="D188" s="1269"/>
      <c r="E188" s="1269"/>
      <c r="F188" s="1269"/>
      <c r="G188" s="1269"/>
      <c r="H188" s="1269"/>
      <c r="M188" s="1324"/>
      <c r="O188" s="1274"/>
      <c r="P188" s="1269"/>
      <c r="Q188" s="1269"/>
      <c r="R188" s="1269"/>
      <c r="S188" s="1269"/>
      <c r="T188" s="1269"/>
      <c r="U188" s="1269"/>
      <c r="V188" s="1269"/>
      <c r="W188" s="1269"/>
      <c r="X188" s="1269"/>
      <c r="Y188" s="1269"/>
    </row>
    <row r="189" spans="1:25">
      <c r="A189" s="1269"/>
      <c r="D189" s="1269"/>
      <c r="E189" s="1269"/>
      <c r="F189" s="1269"/>
      <c r="G189" s="1269"/>
      <c r="H189" s="1269"/>
      <c r="M189" s="1324"/>
      <c r="O189" s="1274"/>
      <c r="P189" s="1269"/>
      <c r="Q189" s="1269"/>
      <c r="R189" s="1269"/>
      <c r="S189" s="1269"/>
      <c r="T189" s="1269"/>
      <c r="U189" s="1269"/>
      <c r="V189" s="1269"/>
      <c r="W189" s="1269"/>
      <c r="X189" s="1269"/>
      <c r="Y189" s="1269"/>
    </row>
    <row r="190" spans="1:25">
      <c r="A190" s="1269"/>
      <c r="D190" s="1269"/>
      <c r="E190" s="1269"/>
      <c r="F190" s="1269"/>
      <c r="G190" s="1269"/>
      <c r="H190" s="1269"/>
      <c r="M190" s="1324"/>
      <c r="O190" s="1274"/>
      <c r="P190" s="1269"/>
      <c r="Q190" s="1269"/>
      <c r="R190" s="1269"/>
      <c r="S190" s="1269"/>
      <c r="T190" s="1269"/>
      <c r="U190" s="1269"/>
      <c r="V190" s="1269"/>
      <c r="W190" s="1269"/>
      <c r="X190" s="1269"/>
      <c r="Y190" s="1269"/>
    </row>
    <row r="191" spans="1:25">
      <c r="A191" s="1269"/>
      <c r="D191" s="1269"/>
      <c r="E191" s="1269"/>
      <c r="F191" s="1269"/>
      <c r="G191" s="1269"/>
      <c r="H191" s="1269"/>
      <c r="M191" s="1324"/>
      <c r="O191" s="1274"/>
      <c r="P191" s="1269"/>
      <c r="Q191" s="1269"/>
      <c r="R191" s="1269"/>
      <c r="S191" s="1269"/>
      <c r="T191" s="1269"/>
      <c r="U191" s="1269"/>
      <c r="V191" s="1269"/>
      <c r="W191" s="1269"/>
      <c r="X191" s="1269"/>
      <c r="Y191" s="1269"/>
    </row>
    <row r="192" spans="1:25">
      <c r="A192" s="1269"/>
      <c r="D192" s="1269"/>
      <c r="E192" s="1269"/>
      <c r="F192" s="1269"/>
      <c r="G192" s="1269"/>
      <c r="H192" s="1269"/>
      <c r="M192" s="1324"/>
      <c r="O192" s="1274"/>
      <c r="P192" s="1269"/>
      <c r="Q192" s="1269"/>
      <c r="R192" s="1269"/>
      <c r="S192" s="1269"/>
      <c r="T192" s="1269"/>
      <c r="U192" s="1269"/>
      <c r="V192" s="1269"/>
      <c r="W192" s="1269"/>
      <c r="X192" s="1269"/>
      <c r="Y192" s="1269"/>
    </row>
    <row r="193" spans="1:25">
      <c r="A193" s="1269"/>
      <c r="D193" s="1269"/>
      <c r="E193" s="1269"/>
      <c r="F193" s="1269"/>
      <c r="G193" s="1269"/>
      <c r="H193" s="1269"/>
      <c r="M193" s="1324"/>
      <c r="O193" s="1274"/>
      <c r="P193" s="1269"/>
      <c r="Q193" s="1269"/>
      <c r="R193" s="1269"/>
      <c r="S193" s="1269"/>
      <c r="T193" s="1269"/>
      <c r="U193" s="1269"/>
      <c r="V193" s="1269"/>
      <c r="W193" s="1269"/>
      <c r="X193" s="1269"/>
      <c r="Y193" s="1269"/>
    </row>
    <row r="194" spans="1:25">
      <c r="A194" s="1269"/>
      <c r="D194" s="1269"/>
      <c r="E194" s="1269"/>
      <c r="F194" s="1269"/>
      <c r="G194" s="1269"/>
      <c r="H194" s="1269"/>
      <c r="M194" s="1324"/>
      <c r="O194" s="1274"/>
      <c r="P194" s="1269"/>
      <c r="Q194" s="1269"/>
      <c r="R194" s="1269"/>
      <c r="S194" s="1269"/>
      <c r="T194" s="1269"/>
      <c r="U194" s="1269"/>
      <c r="V194" s="1269"/>
      <c r="W194" s="1269"/>
      <c r="X194" s="1269"/>
      <c r="Y194" s="1269"/>
    </row>
    <row r="195" spans="1:25">
      <c r="A195" s="1269"/>
      <c r="D195" s="1269"/>
      <c r="E195" s="1269"/>
      <c r="F195" s="1269"/>
      <c r="G195" s="1269"/>
      <c r="H195" s="1269"/>
      <c r="M195" s="1324"/>
      <c r="O195" s="1274"/>
      <c r="P195" s="1269"/>
      <c r="Q195" s="1269"/>
      <c r="R195" s="1269"/>
      <c r="S195" s="1269"/>
      <c r="T195" s="1269"/>
      <c r="U195" s="1269"/>
      <c r="V195" s="1269"/>
      <c r="W195" s="1269"/>
      <c r="X195" s="1269"/>
      <c r="Y195" s="1269"/>
    </row>
    <row r="196" spans="1:25">
      <c r="A196" s="1269"/>
      <c r="D196" s="1269"/>
      <c r="E196" s="1269"/>
      <c r="F196" s="1269"/>
      <c r="G196" s="1269"/>
      <c r="H196" s="1269"/>
      <c r="M196" s="1324"/>
      <c r="O196" s="1274"/>
      <c r="P196" s="1269"/>
      <c r="Q196" s="1269"/>
      <c r="R196" s="1269"/>
      <c r="S196" s="1269"/>
      <c r="T196" s="1269"/>
      <c r="U196" s="1269"/>
      <c r="V196" s="1269"/>
      <c r="W196" s="1269"/>
      <c r="X196" s="1269"/>
      <c r="Y196" s="1269"/>
    </row>
    <row r="197" spans="1:25">
      <c r="A197" s="1269"/>
      <c r="D197" s="1269"/>
      <c r="E197" s="1269"/>
      <c r="F197" s="1269"/>
      <c r="G197" s="1269"/>
      <c r="H197" s="1269"/>
      <c r="M197" s="1324"/>
      <c r="O197" s="1274"/>
      <c r="P197" s="1269"/>
      <c r="Q197" s="1269"/>
      <c r="R197" s="1269"/>
      <c r="S197" s="1269"/>
      <c r="T197" s="1269"/>
      <c r="U197" s="1269"/>
      <c r="V197" s="1269"/>
      <c r="W197" s="1269"/>
      <c r="X197" s="1269"/>
      <c r="Y197" s="1269"/>
    </row>
    <row r="198" spans="1:25">
      <c r="A198" s="1269"/>
      <c r="D198" s="1269"/>
      <c r="E198" s="1269"/>
      <c r="F198" s="1269"/>
      <c r="G198" s="1269"/>
      <c r="H198" s="1269"/>
      <c r="M198" s="1324"/>
      <c r="O198" s="1274"/>
      <c r="P198" s="1269"/>
      <c r="Q198" s="1269"/>
      <c r="R198" s="1269"/>
      <c r="S198" s="1269"/>
      <c r="T198" s="1269"/>
      <c r="U198" s="1269"/>
      <c r="V198" s="1269"/>
      <c r="W198" s="1269"/>
      <c r="X198" s="1269"/>
      <c r="Y198" s="1269"/>
    </row>
    <row r="199" spans="1:25">
      <c r="A199" s="1269"/>
      <c r="D199" s="1269"/>
      <c r="E199" s="1269"/>
      <c r="F199" s="1269"/>
      <c r="G199" s="1269"/>
      <c r="H199" s="1269"/>
      <c r="M199" s="1324"/>
      <c r="O199" s="1274"/>
      <c r="P199" s="1269"/>
      <c r="Q199" s="1269"/>
      <c r="R199" s="1269"/>
      <c r="S199" s="1269"/>
      <c r="T199" s="1269"/>
      <c r="U199" s="1269"/>
      <c r="V199" s="1269"/>
      <c r="W199" s="1269"/>
      <c r="X199" s="1269"/>
      <c r="Y199" s="1269"/>
    </row>
    <row r="200" spans="1:25">
      <c r="A200" s="1269"/>
      <c r="D200" s="1269"/>
      <c r="E200" s="1269"/>
      <c r="F200" s="1269"/>
      <c r="G200" s="1269"/>
      <c r="H200" s="1269"/>
      <c r="M200" s="1324"/>
      <c r="O200" s="1274"/>
      <c r="P200" s="1269"/>
      <c r="Q200" s="1269"/>
      <c r="R200" s="1269"/>
      <c r="S200" s="1269"/>
      <c r="T200" s="1269"/>
      <c r="U200" s="1269"/>
      <c r="V200" s="1269"/>
      <c r="W200" s="1269"/>
      <c r="X200" s="1269"/>
      <c r="Y200" s="1269"/>
    </row>
    <row r="201" spans="1:25">
      <c r="A201" s="1269"/>
      <c r="D201" s="1269"/>
      <c r="E201" s="1269"/>
      <c r="F201" s="1269"/>
      <c r="G201" s="1269"/>
      <c r="H201" s="1269"/>
      <c r="M201" s="1324"/>
      <c r="O201" s="1274"/>
      <c r="P201" s="1269"/>
      <c r="Q201" s="1269"/>
      <c r="R201" s="1269"/>
      <c r="S201" s="1269"/>
      <c r="T201" s="1269"/>
      <c r="U201" s="1269"/>
      <c r="V201" s="1269"/>
      <c r="W201" s="1269"/>
      <c r="X201" s="1269"/>
      <c r="Y201" s="1269"/>
    </row>
    <row r="202" spans="1:25">
      <c r="A202" s="1269"/>
      <c r="D202" s="1269"/>
      <c r="E202" s="1269"/>
      <c r="F202" s="1269"/>
      <c r="G202" s="1269"/>
      <c r="H202" s="1269"/>
      <c r="M202" s="1324"/>
      <c r="O202" s="1274"/>
      <c r="P202" s="1269"/>
      <c r="Q202" s="1269"/>
      <c r="R202" s="1269"/>
      <c r="S202" s="1269"/>
      <c r="T202" s="1269"/>
      <c r="U202" s="1269"/>
      <c r="V202" s="1269"/>
      <c r="W202" s="1269"/>
      <c r="X202" s="1269"/>
      <c r="Y202" s="1269"/>
    </row>
    <row r="203" spans="1:25">
      <c r="A203" s="1269"/>
      <c r="D203" s="1269"/>
      <c r="E203" s="1269"/>
      <c r="F203" s="1269"/>
      <c r="G203" s="1269"/>
      <c r="H203" s="1269"/>
      <c r="M203" s="1324"/>
      <c r="O203" s="1274"/>
      <c r="P203" s="1269"/>
      <c r="Q203" s="1269"/>
      <c r="R203" s="1269"/>
      <c r="S203" s="1269"/>
      <c r="T203" s="1269"/>
      <c r="U203" s="1269"/>
      <c r="V203" s="1269"/>
      <c r="W203" s="1269"/>
      <c r="X203" s="1269"/>
      <c r="Y203" s="1269"/>
    </row>
    <row r="204" spans="1:25">
      <c r="A204" s="1269"/>
      <c r="D204" s="1269"/>
      <c r="E204" s="1269"/>
      <c r="F204" s="1269"/>
      <c r="G204" s="1269"/>
      <c r="H204" s="1269"/>
      <c r="M204" s="1324"/>
      <c r="O204" s="1274"/>
      <c r="P204" s="1269"/>
      <c r="Q204" s="1269"/>
      <c r="R204" s="1269"/>
      <c r="S204" s="1269"/>
      <c r="T204" s="1269"/>
      <c r="U204" s="1269"/>
      <c r="V204" s="1269"/>
      <c r="W204" s="1269"/>
      <c r="X204" s="1269"/>
      <c r="Y204" s="1269"/>
    </row>
    <row r="205" spans="1:25">
      <c r="A205" s="1269"/>
      <c r="D205" s="1269"/>
      <c r="E205" s="1269"/>
      <c r="F205" s="1269"/>
      <c r="G205" s="1269"/>
      <c r="H205" s="1269"/>
      <c r="M205" s="1324"/>
      <c r="O205" s="1274"/>
      <c r="P205" s="1269"/>
      <c r="Q205" s="1269"/>
      <c r="R205" s="1269"/>
      <c r="S205" s="1269"/>
      <c r="T205" s="1269"/>
      <c r="U205" s="1269"/>
      <c r="V205" s="1269"/>
      <c r="W205" s="1269"/>
      <c r="X205" s="1269"/>
      <c r="Y205" s="1269"/>
    </row>
    <row r="206" spans="1:25">
      <c r="A206" s="1269"/>
      <c r="D206" s="1269"/>
      <c r="E206" s="1269"/>
      <c r="F206" s="1269"/>
      <c r="G206" s="1269"/>
      <c r="H206" s="1269"/>
      <c r="M206" s="1324"/>
      <c r="O206" s="1274"/>
      <c r="P206" s="1269"/>
      <c r="Q206" s="1269"/>
      <c r="R206" s="1269"/>
      <c r="S206" s="1269"/>
      <c r="T206" s="1269"/>
      <c r="U206" s="1269"/>
      <c r="V206" s="1269"/>
      <c r="W206" s="1269"/>
      <c r="X206" s="1269"/>
      <c r="Y206" s="1269"/>
    </row>
    <row r="207" spans="1:25">
      <c r="A207" s="1269"/>
      <c r="D207" s="1269"/>
      <c r="E207" s="1269"/>
      <c r="F207" s="1269"/>
      <c r="G207" s="1269"/>
      <c r="H207" s="1269"/>
      <c r="M207" s="1324"/>
      <c r="O207" s="1274"/>
      <c r="P207" s="1269"/>
      <c r="Q207" s="1269"/>
      <c r="R207" s="1269"/>
      <c r="S207" s="1269"/>
      <c r="T207" s="1269"/>
      <c r="U207" s="1269"/>
      <c r="V207" s="1269"/>
      <c r="W207" s="1269"/>
      <c r="X207" s="1269"/>
      <c r="Y207" s="1269"/>
    </row>
    <row r="208" spans="1:25">
      <c r="A208" s="1269"/>
      <c r="D208" s="1269"/>
      <c r="E208" s="1269"/>
      <c r="F208" s="1269"/>
      <c r="G208" s="1269"/>
      <c r="H208" s="1269"/>
      <c r="M208" s="1324"/>
      <c r="O208" s="1274"/>
      <c r="P208" s="1269"/>
      <c r="Q208" s="1269"/>
      <c r="R208" s="1269"/>
      <c r="S208" s="1269"/>
      <c r="T208" s="1269"/>
      <c r="U208" s="1269"/>
      <c r="V208" s="1269"/>
      <c r="W208" s="1269"/>
      <c r="X208" s="1269"/>
      <c r="Y208" s="1269"/>
    </row>
    <row r="209" spans="1:25">
      <c r="A209" s="1269"/>
      <c r="D209" s="1269"/>
      <c r="E209" s="1269"/>
      <c r="F209" s="1269"/>
      <c r="G209" s="1269"/>
      <c r="H209" s="1269"/>
      <c r="M209" s="1324"/>
      <c r="O209" s="1274"/>
      <c r="P209" s="1269"/>
      <c r="Q209" s="1269"/>
      <c r="R209" s="1269"/>
      <c r="S209" s="1269"/>
      <c r="T209" s="1269"/>
      <c r="U209" s="1269"/>
      <c r="V209" s="1269"/>
      <c r="W209" s="1269"/>
      <c r="X209" s="1269"/>
      <c r="Y209" s="1269"/>
    </row>
    <row r="210" spans="1:25">
      <c r="A210" s="1269"/>
      <c r="D210" s="1269"/>
      <c r="E210" s="1269"/>
      <c r="F210" s="1269"/>
      <c r="G210" s="1269"/>
      <c r="H210" s="1269"/>
      <c r="M210" s="1324"/>
      <c r="O210" s="1274"/>
      <c r="P210" s="1269"/>
      <c r="Q210" s="1269"/>
      <c r="R210" s="1269"/>
      <c r="S210" s="1269"/>
      <c r="T210" s="1269"/>
      <c r="U210" s="1269"/>
      <c r="V210" s="1269"/>
      <c r="W210" s="1269"/>
      <c r="X210" s="1269"/>
      <c r="Y210" s="1269"/>
    </row>
    <row r="211" spans="1:25">
      <c r="A211" s="1269"/>
      <c r="D211" s="1269"/>
      <c r="E211" s="1269"/>
      <c r="F211" s="1269"/>
      <c r="G211" s="1269"/>
      <c r="H211" s="1269"/>
      <c r="M211" s="1324"/>
      <c r="O211" s="1274"/>
      <c r="P211" s="1269"/>
      <c r="Q211" s="1269"/>
      <c r="R211" s="1269"/>
      <c r="S211" s="1269"/>
      <c r="T211" s="1269"/>
      <c r="U211" s="1269"/>
      <c r="V211" s="1269"/>
      <c r="W211" s="1269"/>
      <c r="X211" s="1269"/>
      <c r="Y211" s="1269"/>
    </row>
    <row r="212" spans="1:25">
      <c r="A212" s="1269"/>
      <c r="D212" s="1269"/>
      <c r="E212" s="1269"/>
      <c r="F212" s="1269"/>
      <c r="G212" s="1269"/>
      <c r="H212" s="1269"/>
      <c r="M212" s="1324"/>
      <c r="O212" s="1274"/>
      <c r="P212" s="1269"/>
      <c r="Q212" s="1269"/>
      <c r="R212" s="1269"/>
      <c r="S212" s="1269"/>
      <c r="T212" s="1269"/>
      <c r="U212" s="1269"/>
      <c r="V212" s="1269"/>
      <c r="W212" s="1269"/>
      <c r="X212" s="1269"/>
      <c r="Y212" s="1269"/>
    </row>
    <row r="213" spans="1:25">
      <c r="A213" s="1269"/>
      <c r="D213" s="1269"/>
      <c r="E213" s="1269"/>
      <c r="F213" s="1269"/>
      <c r="G213" s="1269"/>
      <c r="H213" s="1269"/>
      <c r="M213" s="1324"/>
      <c r="O213" s="1274"/>
      <c r="P213" s="1269"/>
      <c r="Q213" s="1269"/>
      <c r="R213" s="1269"/>
      <c r="S213" s="1269"/>
      <c r="T213" s="1269"/>
      <c r="U213" s="1269"/>
      <c r="V213" s="1269"/>
      <c r="W213" s="1269"/>
      <c r="X213" s="1269"/>
      <c r="Y213" s="1269"/>
    </row>
    <row r="214" spans="1:25">
      <c r="A214" s="1269"/>
      <c r="D214" s="1269"/>
      <c r="E214" s="1269"/>
      <c r="F214" s="1269"/>
      <c r="G214" s="1269"/>
      <c r="H214" s="1269"/>
      <c r="M214" s="1324"/>
      <c r="O214" s="1274"/>
      <c r="P214" s="1269"/>
      <c r="Q214" s="1269"/>
      <c r="R214" s="1269"/>
      <c r="S214" s="1269"/>
      <c r="T214" s="1269"/>
      <c r="U214" s="1269"/>
      <c r="V214" s="1269"/>
      <c r="W214" s="1269"/>
      <c r="X214" s="1269"/>
      <c r="Y214" s="1269"/>
    </row>
    <row r="215" spans="1:25">
      <c r="A215" s="1269"/>
      <c r="D215" s="1269"/>
      <c r="E215" s="1269"/>
      <c r="F215" s="1269"/>
      <c r="G215" s="1269"/>
      <c r="H215" s="1269"/>
      <c r="M215" s="1324"/>
      <c r="O215" s="1274"/>
      <c r="P215" s="1269"/>
      <c r="Q215" s="1269"/>
      <c r="R215" s="1269"/>
      <c r="S215" s="1269"/>
      <c r="T215" s="1269"/>
      <c r="U215" s="1269"/>
      <c r="V215" s="1269"/>
      <c r="W215" s="1269"/>
      <c r="X215" s="1269"/>
      <c r="Y215" s="1269"/>
    </row>
    <row r="216" spans="1:25">
      <c r="A216" s="1269"/>
      <c r="D216" s="1269"/>
      <c r="E216" s="1269"/>
      <c r="F216" s="1269"/>
      <c r="G216" s="1269"/>
      <c r="H216" s="1269"/>
      <c r="M216" s="1324"/>
      <c r="O216" s="1274"/>
      <c r="P216" s="1269"/>
      <c r="Q216" s="1269"/>
      <c r="R216" s="1269"/>
      <c r="S216" s="1269"/>
      <c r="T216" s="1269"/>
      <c r="U216" s="1269"/>
      <c r="V216" s="1269"/>
      <c r="W216" s="1269"/>
      <c r="X216" s="1269"/>
      <c r="Y216" s="1269"/>
    </row>
    <row r="217" spans="1:25">
      <c r="A217" s="1269"/>
      <c r="D217" s="1269"/>
      <c r="E217" s="1269"/>
      <c r="F217" s="1269"/>
      <c r="G217" s="1269"/>
      <c r="H217" s="1269"/>
      <c r="M217" s="1324"/>
      <c r="O217" s="1274"/>
      <c r="P217" s="1269"/>
      <c r="Q217" s="1269"/>
      <c r="R217" s="1269"/>
      <c r="S217" s="1269"/>
      <c r="T217" s="1269"/>
      <c r="U217" s="1269"/>
      <c r="V217" s="1269"/>
      <c r="W217" s="1269"/>
      <c r="X217" s="1269"/>
      <c r="Y217" s="1269"/>
    </row>
    <row r="218" spans="1:25">
      <c r="A218" s="1269"/>
      <c r="D218" s="1269"/>
      <c r="E218" s="1269"/>
      <c r="F218" s="1269"/>
      <c r="G218" s="1269"/>
      <c r="H218" s="1269"/>
      <c r="M218" s="1324"/>
      <c r="O218" s="1274"/>
      <c r="P218" s="1269"/>
      <c r="Q218" s="1269"/>
      <c r="R218" s="1269"/>
      <c r="S218" s="1269"/>
      <c r="T218" s="1269"/>
      <c r="U218" s="1269"/>
      <c r="V218" s="1269"/>
      <c r="W218" s="1269"/>
      <c r="X218" s="1269"/>
      <c r="Y218" s="1269"/>
    </row>
    <row r="219" spans="1:25">
      <c r="A219" s="1269"/>
      <c r="D219" s="1269"/>
      <c r="E219" s="1269"/>
      <c r="F219" s="1269"/>
      <c r="G219" s="1269"/>
      <c r="H219" s="1269"/>
      <c r="M219" s="1324"/>
      <c r="O219" s="1274"/>
      <c r="P219" s="1269"/>
      <c r="Q219" s="1269"/>
      <c r="R219" s="1269"/>
      <c r="S219" s="1269"/>
      <c r="T219" s="1269"/>
      <c r="U219" s="1269"/>
      <c r="V219" s="1269"/>
      <c r="W219" s="1269"/>
      <c r="X219" s="1269"/>
      <c r="Y219" s="1269"/>
    </row>
    <row r="220" spans="1:25">
      <c r="A220" s="1269"/>
      <c r="D220" s="1269"/>
      <c r="E220" s="1269"/>
      <c r="F220" s="1269"/>
      <c r="G220" s="1269"/>
      <c r="H220" s="1269"/>
      <c r="M220" s="1324"/>
      <c r="O220" s="1274"/>
      <c r="P220" s="1269"/>
      <c r="Q220" s="1269"/>
      <c r="R220" s="1269"/>
      <c r="S220" s="1269"/>
      <c r="T220" s="1269"/>
      <c r="U220" s="1269"/>
      <c r="V220" s="1269"/>
      <c r="W220" s="1269"/>
      <c r="X220" s="1269"/>
      <c r="Y220" s="1269"/>
    </row>
    <row r="221" spans="1:25">
      <c r="A221" s="1269"/>
      <c r="D221" s="1269"/>
      <c r="E221" s="1269"/>
      <c r="F221" s="1269"/>
      <c r="G221" s="1269"/>
      <c r="H221" s="1269"/>
      <c r="M221" s="1324"/>
      <c r="O221" s="1274"/>
      <c r="P221" s="1269"/>
      <c r="Q221" s="1269"/>
      <c r="R221" s="1269"/>
      <c r="S221" s="1269"/>
      <c r="T221" s="1269"/>
      <c r="U221" s="1269"/>
      <c r="V221" s="1269"/>
      <c r="W221" s="1269"/>
      <c r="X221" s="1269"/>
      <c r="Y221" s="1269"/>
    </row>
    <row r="222" spans="1:25">
      <c r="A222" s="1269"/>
      <c r="D222" s="1269"/>
      <c r="E222" s="1269"/>
      <c r="F222" s="1269"/>
      <c r="G222" s="1269"/>
      <c r="H222" s="1269"/>
      <c r="M222" s="1324"/>
      <c r="O222" s="1274"/>
      <c r="P222" s="1269"/>
      <c r="Q222" s="1269"/>
      <c r="R222" s="1269"/>
      <c r="S222" s="1269"/>
      <c r="T222" s="1269"/>
      <c r="U222" s="1269"/>
      <c r="V222" s="1269"/>
      <c r="W222" s="1269"/>
      <c r="X222" s="1269"/>
      <c r="Y222" s="1269"/>
    </row>
    <row r="223" spans="1:25">
      <c r="A223" s="1269"/>
      <c r="D223" s="1269"/>
      <c r="E223" s="1269"/>
      <c r="F223" s="1269"/>
      <c r="G223" s="1269"/>
      <c r="H223" s="1269"/>
      <c r="M223" s="1324"/>
      <c r="O223" s="1274"/>
      <c r="P223" s="1269"/>
      <c r="Q223" s="1269"/>
      <c r="R223" s="1269"/>
      <c r="S223" s="1269"/>
      <c r="T223" s="1269"/>
      <c r="U223" s="1269"/>
      <c r="V223" s="1269"/>
      <c r="W223" s="1269"/>
      <c r="X223" s="1269"/>
      <c r="Y223" s="1269"/>
    </row>
    <row r="224" spans="1:25">
      <c r="A224" s="1269"/>
      <c r="D224" s="1269"/>
      <c r="E224" s="1269"/>
      <c r="F224" s="1269"/>
      <c r="G224" s="1269"/>
      <c r="H224" s="1269"/>
      <c r="M224" s="1324"/>
      <c r="O224" s="1274"/>
      <c r="P224" s="1269"/>
      <c r="Q224" s="1269"/>
      <c r="R224" s="1269"/>
      <c r="S224" s="1269"/>
      <c r="T224" s="1269"/>
      <c r="U224" s="1269"/>
      <c r="V224" s="1269"/>
      <c r="W224" s="1269"/>
      <c r="X224" s="1269"/>
      <c r="Y224" s="1269"/>
    </row>
    <row r="225" spans="1:25">
      <c r="A225" s="1269"/>
      <c r="D225" s="1269"/>
      <c r="E225" s="1269"/>
      <c r="F225" s="1269"/>
      <c r="G225" s="1269"/>
      <c r="H225" s="1269"/>
      <c r="M225" s="1324"/>
      <c r="O225" s="1274"/>
      <c r="P225" s="1269"/>
      <c r="Q225" s="1269"/>
      <c r="R225" s="1269"/>
      <c r="S225" s="1269"/>
      <c r="T225" s="1269"/>
      <c r="U225" s="1269"/>
      <c r="V225" s="1269"/>
      <c r="W225" s="1269"/>
      <c r="X225" s="1269"/>
      <c r="Y225" s="1269"/>
    </row>
    <row r="226" spans="1:25">
      <c r="A226" s="1269"/>
      <c r="D226" s="1269"/>
      <c r="E226" s="1269"/>
      <c r="F226" s="1269"/>
      <c r="G226" s="1269"/>
      <c r="H226" s="1269"/>
      <c r="M226" s="1324"/>
      <c r="O226" s="1274"/>
      <c r="P226" s="1269"/>
      <c r="Q226" s="1269"/>
      <c r="R226" s="1269"/>
      <c r="S226" s="1269"/>
      <c r="T226" s="1269"/>
      <c r="U226" s="1269"/>
      <c r="V226" s="1269"/>
      <c r="W226" s="1269"/>
      <c r="X226" s="1269"/>
      <c r="Y226" s="1269"/>
    </row>
    <row r="227" spans="1:25">
      <c r="A227" s="1269"/>
      <c r="D227" s="1269"/>
      <c r="E227" s="1269"/>
      <c r="F227" s="1269"/>
      <c r="G227" s="1269"/>
      <c r="H227" s="1269"/>
      <c r="M227" s="1324"/>
      <c r="O227" s="1274"/>
      <c r="P227" s="1269"/>
      <c r="Q227" s="1269"/>
      <c r="R227" s="1269"/>
      <c r="S227" s="1269"/>
      <c r="T227" s="1269"/>
      <c r="U227" s="1269"/>
      <c r="V227" s="1269"/>
      <c r="W227" s="1269"/>
      <c r="X227" s="1269"/>
      <c r="Y227" s="1269"/>
    </row>
    <row r="228" spans="1:25">
      <c r="A228" s="1269"/>
      <c r="D228" s="1269"/>
      <c r="E228" s="1269"/>
      <c r="F228" s="1269"/>
      <c r="G228" s="1269"/>
      <c r="H228" s="1269"/>
      <c r="M228" s="1324"/>
      <c r="O228" s="1274"/>
      <c r="P228" s="1269"/>
      <c r="Q228" s="1269"/>
      <c r="R228" s="1269"/>
      <c r="S228" s="1269"/>
      <c r="T228" s="1269"/>
      <c r="U228" s="1269"/>
      <c r="V228" s="1269"/>
      <c r="W228" s="1269"/>
      <c r="X228" s="1269"/>
      <c r="Y228" s="1269"/>
    </row>
    <row r="229" spans="1:25">
      <c r="A229" s="1269"/>
      <c r="D229" s="1269"/>
      <c r="E229" s="1269"/>
      <c r="F229" s="1269"/>
      <c r="G229" s="1269"/>
      <c r="H229" s="1269"/>
      <c r="M229" s="1324"/>
      <c r="O229" s="1274"/>
      <c r="P229" s="1269"/>
      <c r="Q229" s="1269"/>
      <c r="R229" s="1269"/>
      <c r="S229" s="1269"/>
      <c r="T229" s="1269"/>
      <c r="U229" s="1269"/>
      <c r="V229" s="1269"/>
      <c r="W229" s="1269"/>
      <c r="X229" s="1269"/>
      <c r="Y229" s="1269"/>
    </row>
    <row r="230" spans="1:25">
      <c r="A230" s="1269"/>
      <c r="D230" s="1269"/>
      <c r="E230" s="1269"/>
      <c r="F230" s="1269"/>
      <c r="G230" s="1269"/>
      <c r="H230" s="1269"/>
      <c r="M230" s="1324"/>
      <c r="O230" s="1274"/>
      <c r="P230" s="1269"/>
      <c r="Q230" s="1269"/>
      <c r="R230" s="1269"/>
      <c r="S230" s="1269"/>
      <c r="T230" s="1269"/>
      <c r="U230" s="1269"/>
      <c r="V230" s="1269"/>
      <c r="W230" s="1269"/>
      <c r="X230" s="1269"/>
      <c r="Y230" s="1269"/>
    </row>
    <row r="231" spans="1:25">
      <c r="A231" s="1269"/>
      <c r="D231" s="1269"/>
      <c r="E231" s="1269"/>
      <c r="F231" s="1269"/>
      <c r="G231" s="1269"/>
      <c r="H231" s="1269"/>
      <c r="M231" s="1324"/>
      <c r="O231" s="1274"/>
      <c r="P231" s="1269"/>
      <c r="Q231" s="1269"/>
      <c r="R231" s="1269"/>
      <c r="S231" s="1269"/>
      <c r="T231" s="1269"/>
      <c r="U231" s="1269"/>
      <c r="V231" s="1269"/>
      <c r="W231" s="1269"/>
      <c r="X231" s="1269"/>
      <c r="Y231" s="1269"/>
    </row>
    <row r="232" spans="1:25">
      <c r="A232" s="1269"/>
      <c r="D232" s="1269"/>
      <c r="E232" s="1269"/>
      <c r="F232" s="1269"/>
      <c r="G232" s="1269"/>
      <c r="H232" s="1269"/>
      <c r="M232" s="1324"/>
      <c r="O232" s="1274"/>
      <c r="P232" s="1269"/>
      <c r="Q232" s="1269"/>
      <c r="R232" s="1269"/>
      <c r="S232" s="1269"/>
      <c r="T232" s="1269"/>
      <c r="U232" s="1269"/>
      <c r="V232" s="1269"/>
      <c r="W232" s="1269"/>
      <c r="X232" s="1269"/>
      <c r="Y232" s="1269"/>
    </row>
    <row r="233" spans="1:25">
      <c r="A233" s="1269"/>
      <c r="D233" s="1269"/>
      <c r="E233" s="1269"/>
      <c r="F233" s="1269"/>
      <c r="G233" s="1269"/>
      <c r="H233" s="1269"/>
      <c r="M233" s="1324"/>
      <c r="O233" s="1274"/>
      <c r="P233" s="1269"/>
      <c r="Q233" s="1269"/>
      <c r="R233" s="1269"/>
      <c r="S233" s="1269"/>
      <c r="T233" s="1269"/>
      <c r="U233" s="1269"/>
      <c r="V233" s="1269"/>
      <c r="W233" s="1269"/>
      <c r="X233" s="1269"/>
      <c r="Y233" s="1269"/>
    </row>
    <row r="234" spans="1:25">
      <c r="A234" s="1269"/>
      <c r="D234" s="1269"/>
      <c r="E234" s="1269"/>
      <c r="F234" s="1269"/>
      <c r="G234" s="1269"/>
      <c r="H234" s="1269"/>
      <c r="M234" s="1324"/>
      <c r="O234" s="1274"/>
      <c r="P234" s="1269"/>
      <c r="Q234" s="1269"/>
      <c r="R234" s="1269"/>
      <c r="S234" s="1269"/>
      <c r="T234" s="1269"/>
      <c r="U234" s="1269"/>
      <c r="V234" s="1269"/>
      <c r="W234" s="1269"/>
      <c r="X234" s="1269"/>
      <c r="Y234" s="1269"/>
    </row>
    <row r="235" spans="1:25">
      <c r="A235" s="1269"/>
      <c r="D235" s="1269"/>
      <c r="E235" s="1269"/>
      <c r="F235" s="1269"/>
      <c r="G235" s="1269"/>
      <c r="H235" s="1269"/>
      <c r="M235" s="1324"/>
      <c r="O235" s="1274"/>
      <c r="P235" s="1269"/>
      <c r="Q235" s="1269"/>
      <c r="R235" s="1269"/>
      <c r="S235" s="1269"/>
      <c r="T235" s="1269"/>
      <c r="U235" s="1269"/>
      <c r="V235" s="1269"/>
      <c r="W235" s="1269"/>
      <c r="X235" s="1269"/>
      <c r="Y235" s="1269"/>
    </row>
    <row r="236" spans="1:25">
      <c r="A236" s="1269"/>
      <c r="D236" s="1269"/>
      <c r="E236" s="1269"/>
      <c r="F236" s="1269"/>
      <c r="G236" s="1269"/>
      <c r="H236" s="1269"/>
      <c r="M236" s="1324"/>
      <c r="O236" s="1274"/>
      <c r="P236" s="1269"/>
      <c r="Q236" s="1269"/>
      <c r="R236" s="1269"/>
      <c r="S236" s="1269"/>
      <c r="T236" s="1269"/>
      <c r="U236" s="1269"/>
      <c r="V236" s="1269"/>
      <c r="W236" s="1269"/>
      <c r="X236" s="1269"/>
      <c r="Y236" s="1269"/>
    </row>
    <row r="237" spans="1:25">
      <c r="A237" s="1269"/>
      <c r="D237" s="1269"/>
      <c r="E237" s="1269"/>
      <c r="F237" s="1269"/>
      <c r="G237" s="1269"/>
      <c r="H237" s="1269"/>
      <c r="M237" s="1324"/>
      <c r="O237" s="1274"/>
      <c r="P237" s="1269"/>
      <c r="Q237" s="1269"/>
      <c r="R237" s="1269"/>
      <c r="S237" s="1269"/>
      <c r="T237" s="1269"/>
      <c r="U237" s="1269"/>
      <c r="V237" s="1269"/>
      <c r="W237" s="1269"/>
      <c r="X237" s="1269"/>
      <c r="Y237" s="1269"/>
    </row>
    <row r="238" spans="1:25">
      <c r="A238" s="1269"/>
      <c r="D238" s="1269"/>
      <c r="E238" s="1269"/>
      <c r="F238" s="1269"/>
      <c r="G238" s="1269"/>
      <c r="H238" s="1269"/>
      <c r="M238" s="1324"/>
      <c r="O238" s="1274"/>
      <c r="P238" s="1269"/>
      <c r="Q238" s="1269"/>
      <c r="R238" s="1269"/>
      <c r="S238" s="1269"/>
      <c r="T238" s="1269"/>
      <c r="U238" s="1269"/>
      <c r="V238" s="1269"/>
      <c r="W238" s="1269"/>
      <c r="X238" s="1269"/>
      <c r="Y238" s="1269"/>
    </row>
    <row r="239" spans="1:25">
      <c r="A239" s="1269"/>
      <c r="D239" s="1269"/>
      <c r="E239" s="1269"/>
      <c r="F239" s="1269"/>
      <c r="G239" s="1269"/>
      <c r="H239" s="1269"/>
      <c r="M239" s="1324"/>
      <c r="O239" s="1274"/>
      <c r="P239" s="1269"/>
      <c r="Q239" s="1269"/>
      <c r="R239" s="1269"/>
      <c r="S239" s="1269"/>
      <c r="T239" s="1269"/>
      <c r="U239" s="1269"/>
      <c r="V239" s="1269"/>
      <c r="W239" s="1269"/>
      <c r="X239" s="1269"/>
      <c r="Y239" s="1269"/>
    </row>
    <row r="240" spans="1:25">
      <c r="A240" s="1269"/>
      <c r="D240" s="1269"/>
      <c r="E240" s="1269"/>
      <c r="F240" s="1269"/>
      <c r="G240" s="1269"/>
      <c r="H240" s="1269"/>
      <c r="M240" s="1324"/>
      <c r="O240" s="1274"/>
      <c r="P240" s="1269"/>
      <c r="Q240" s="1269"/>
      <c r="R240" s="1269"/>
      <c r="S240" s="1269"/>
      <c r="T240" s="1269"/>
      <c r="U240" s="1269"/>
      <c r="V240" s="1269"/>
      <c r="W240" s="1269"/>
      <c r="X240" s="1269"/>
      <c r="Y240" s="1269"/>
    </row>
    <row r="241" spans="1:25">
      <c r="A241" s="1269"/>
      <c r="D241" s="1269"/>
      <c r="E241" s="1269"/>
      <c r="F241" s="1269"/>
      <c r="G241" s="1269"/>
      <c r="H241" s="1269"/>
      <c r="M241" s="1324"/>
      <c r="O241" s="1274"/>
      <c r="P241" s="1269"/>
      <c r="Q241" s="1269"/>
      <c r="R241" s="1269"/>
      <c r="S241" s="1269"/>
      <c r="T241" s="1269"/>
      <c r="U241" s="1269"/>
      <c r="V241" s="1269"/>
      <c r="W241" s="1269"/>
      <c r="X241" s="1269"/>
      <c r="Y241" s="1269"/>
    </row>
    <row r="242" spans="1:25">
      <c r="A242" s="1269"/>
      <c r="D242" s="1269"/>
      <c r="E242" s="1269"/>
      <c r="F242" s="1269"/>
      <c r="G242" s="1269"/>
      <c r="H242" s="1269"/>
      <c r="M242" s="1324"/>
      <c r="O242" s="1274"/>
      <c r="P242" s="1269"/>
      <c r="Q242" s="1269"/>
      <c r="R242" s="1269"/>
      <c r="S242" s="1269"/>
      <c r="T242" s="1269"/>
      <c r="U242" s="1269"/>
      <c r="V242" s="1269"/>
      <c r="W242" s="1269"/>
      <c r="X242" s="1269"/>
      <c r="Y242" s="1269"/>
    </row>
    <row r="243" spans="1:25">
      <c r="A243" s="1269"/>
      <c r="D243" s="1269"/>
      <c r="E243" s="1269"/>
      <c r="F243" s="1269"/>
      <c r="G243" s="1269"/>
      <c r="H243" s="1269"/>
      <c r="M243" s="1324"/>
      <c r="O243" s="1274"/>
      <c r="P243" s="1269"/>
      <c r="Q243" s="1269"/>
      <c r="R243" s="1269"/>
      <c r="S243" s="1269"/>
      <c r="T243" s="1269"/>
      <c r="U243" s="1269"/>
      <c r="V243" s="1269"/>
      <c r="W243" s="1269"/>
      <c r="X243" s="1269"/>
      <c r="Y243" s="1269"/>
    </row>
    <row r="244" spans="1:25">
      <c r="A244" s="1269"/>
      <c r="D244" s="1269"/>
      <c r="E244" s="1269"/>
      <c r="F244" s="1269"/>
      <c r="G244" s="1269"/>
      <c r="H244" s="1269"/>
      <c r="M244" s="1324"/>
      <c r="O244" s="1274"/>
      <c r="P244" s="1269"/>
      <c r="Q244" s="1269"/>
      <c r="R244" s="1269"/>
      <c r="S244" s="1269"/>
      <c r="T244" s="1269"/>
      <c r="U244" s="1269"/>
      <c r="V244" s="1269"/>
      <c r="W244" s="1269"/>
      <c r="X244" s="1269"/>
      <c r="Y244" s="1269"/>
    </row>
    <row r="245" spans="1:25">
      <c r="A245" s="1269"/>
      <c r="D245" s="1269"/>
      <c r="E245" s="1269"/>
      <c r="F245" s="1269"/>
      <c r="G245" s="1269"/>
      <c r="H245" s="1269"/>
      <c r="M245" s="1324"/>
      <c r="O245" s="1274"/>
      <c r="P245" s="1269"/>
      <c r="Q245" s="1269"/>
      <c r="R245" s="1269"/>
      <c r="S245" s="1269"/>
      <c r="T245" s="1269"/>
      <c r="U245" s="1269"/>
      <c r="V245" s="1269"/>
      <c r="W245" s="1269"/>
      <c r="X245" s="1269"/>
      <c r="Y245" s="1269"/>
    </row>
    <row r="246" spans="1:25">
      <c r="A246" s="1269"/>
      <c r="D246" s="1269"/>
      <c r="E246" s="1269"/>
      <c r="F246" s="1269"/>
      <c r="G246" s="1269"/>
      <c r="H246" s="1269"/>
      <c r="M246" s="1324"/>
      <c r="O246" s="1274"/>
      <c r="P246" s="1269"/>
      <c r="Q246" s="1269"/>
      <c r="R246" s="1269"/>
      <c r="S246" s="1269"/>
      <c r="T246" s="1269"/>
      <c r="U246" s="1269"/>
      <c r="V246" s="1269"/>
      <c r="W246" s="1269"/>
      <c r="X246" s="1269"/>
      <c r="Y246" s="1269"/>
    </row>
    <row r="247" spans="1:25">
      <c r="A247" s="1269"/>
      <c r="D247" s="1269"/>
      <c r="E247" s="1269"/>
      <c r="F247" s="1269"/>
      <c r="G247" s="1269"/>
      <c r="H247" s="1269"/>
      <c r="M247" s="1324"/>
      <c r="O247" s="1274"/>
      <c r="P247" s="1269"/>
      <c r="Q247" s="1269"/>
      <c r="R247" s="1269"/>
      <c r="S247" s="1269"/>
      <c r="T247" s="1269"/>
      <c r="U247" s="1269"/>
      <c r="V247" s="1269"/>
      <c r="W247" s="1269"/>
      <c r="X247" s="1269"/>
      <c r="Y247" s="1269"/>
    </row>
    <row r="248" spans="1:25">
      <c r="A248" s="1269"/>
      <c r="D248" s="1269"/>
      <c r="E248" s="1269"/>
      <c r="F248" s="1269"/>
      <c r="G248" s="1269"/>
      <c r="H248" s="1269"/>
      <c r="M248" s="1324"/>
      <c r="O248" s="1274"/>
      <c r="P248" s="1269"/>
      <c r="Q248" s="1269"/>
      <c r="R248" s="1269"/>
      <c r="S248" s="1269"/>
      <c r="T248" s="1269"/>
      <c r="U248" s="1269"/>
      <c r="V248" s="1269"/>
      <c r="W248" s="1269"/>
      <c r="X248" s="1269"/>
      <c r="Y248" s="1269"/>
    </row>
    <row r="249" spans="1:25">
      <c r="A249" s="1269"/>
      <c r="D249" s="1269"/>
      <c r="E249" s="1269"/>
      <c r="F249" s="1269"/>
      <c r="G249" s="1269"/>
      <c r="H249" s="1269"/>
      <c r="M249" s="1324"/>
      <c r="O249" s="1274"/>
      <c r="P249" s="1269"/>
      <c r="Q249" s="1269"/>
      <c r="R249" s="1269"/>
      <c r="S249" s="1269"/>
      <c r="T249" s="1269"/>
      <c r="U249" s="1269"/>
      <c r="V249" s="1269"/>
      <c r="W249" s="1269"/>
      <c r="X249" s="1269"/>
      <c r="Y249" s="1269"/>
    </row>
    <row r="250" spans="1:25">
      <c r="A250" s="1269"/>
      <c r="D250" s="1269"/>
      <c r="E250" s="1269"/>
      <c r="F250" s="1269"/>
      <c r="G250" s="1269"/>
      <c r="H250" s="1269"/>
      <c r="M250" s="1324"/>
      <c r="O250" s="1274"/>
      <c r="P250" s="1269"/>
      <c r="Q250" s="1269"/>
      <c r="R250" s="1269"/>
      <c r="S250" s="1269"/>
      <c r="T250" s="1269"/>
      <c r="U250" s="1269"/>
      <c r="V250" s="1269"/>
      <c r="W250" s="1269"/>
      <c r="X250" s="1269"/>
      <c r="Y250" s="1269"/>
    </row>
    <row r="251" spans="1:25">
      <c r="A251" s="1269"/>
      <c r="D251" s="1269"/>
      <c r="E251" s="1269"/>
      <c r="F251" s="1269"/>
      <c r="G251" s="1269"/>
      <c r="H251" s="1269"/>
      <c r="M251" s="1324"/>
      <c r="O251" s="1274"/>
      <c r="P251" s="1269"/>
      <c r="Q251" s="1269"/>
      <c r="R251" s="1269"/>
      <c r="S251" s="1269"/>
      <c r="T251" s="1269"/>
      <c r="U251" s="1269"/>
      <c r="V251" s="1269"/>
      <c r="W251" s="1269"/>
      <c r="X251" s="1269"/>
      <c r="Y251" s="1269"/>
    </row>
    <row r="252" spans="1:25">
      <c r="A252" s="1269"/>
      <c r="D252" s="1269"/>
      <c r="E252" s="1269"/>
      <c r="F252" s="1269"/>
      <c r="G252" s="1269"/>
      <c r="H252" s="1269"/>
      <c r="M252" s="1324"/>
      <c r="O252" s="1274"/>
      <c r="P252" s="1269"/>
      <c r="Q252" s="1269"/>
      <c r="R252" s="1269"/>
      <c r="S252" s="1269"/>
      <c r="T252" s="1269"/>
      <c r="U252" s="1269"/>
      <c r="V252" s="1269"/>
      <c r="W252" s="1269"/>
      <c r="X252" s="1269"/>
      <c r="Y252" s="1269"/>
    </row>
    <row r="253" spans="1:25">
      <c r="A253" s="1269"/>
      <c r="D253" s="1269"/>
      <c r="E253" s="1269"/>
      <c r="F253" s="1269"/>
      <c r="G253" s="1269"/>
      <c r="H253" s="1269"/>
      <c r="M253" s="1324"/>
      <c r="O253" s="1274"/>
      <c r="P253" s="1269"/>
      <c r="Q253" s="1269"/>
      <c r="R253" s="1269"/>
      <c r="S253" s="1269"/>
      <c r="T253" s="1269"/>
      <c r="U253" s="1269"/>
      <c r="V253" s="1269"/>
      <c r="W253" s="1269"/>
      <c r="X253" s="1269"/>
      <c r="Y253" s="1269"/>
    </row>
    <row r="254" spans="1:25">
      <c r="A254" s="1269"/>
      <c r="D254" s="1269"/>
      <c r="E254" s="1269"/>
      <c r="F254" s="1269"/>
      <c r="G254" s="1269"/>
      <c r="H254" s="1269"/>
      <c r="M254" s="1324"/>
      <c r="O254" s="1274"/>
      <c r="P254" s="1269"/>
      <c r="Q254" s="1269"/>
      <c r="R254" s="1269"/>
      <c r="S254" s="1269"/>
      <c r="T254" s="1269"/>
      <c r="U254" s="1269"/>
      <c r="V254" s="1269"/>
      <c r="W254" s="1269"/>
      <c r="X254" s="1269"/>
      <c r="Y254" s="1269"/>
    </row>
    <row r="255" spans="1:25">
      <c r="A255" s="1269"/>
      <c r="D255" s="1269"/>
      <c r="E255" s="1269"/>
      <c r="F255" s="1269"/>
      <c r="G255" s="1269"/>
      <c r="H255" s="1269"/>
      <c r="M255" s="1324"/>
      <c r="O255" s="1274"/>
      <c r="P255" s="1269"/>
      <c r="Q255" s="1269"/>
      <c r="R255" s="1269"/>
      <c r="S255" s="1269"/>
      <c r="T255" s="1269"/>
      <c r="U255" s="1269"/>
      <c r="V255" s="1269"/>
      <c r="W255" s="1269"/>
      <c r="X255" s="1269"/>
      <c r="Y255" s="1269"/>
    </row>
    <row r="256" spans="1:25">
      <c r="A256" s="1269"/>
      <c r="D256" s="1269"/>
      <c r="E256" s="1269"/>
      <c r="F256" s="1269"/>
      <c r="G256" s="1269"/>
      <c r="H256" s="1269"/>
      <c r="M256" s="1324"/>
      <c r="O256" s="1274"/>
      <c r="P256" s="1269"/>
      <c r="Q256" s="1269"/>
      <c r="R256" s="1269"/>
      <c r="S256" s="1269"/>
      <c r="T256" s="1269"/>
      <c r="U256" s="1269"/>
      <c r="V256" s="1269"/>
      <c r="W256" s="1269"/>
      <c r="X256" s="1269"/>
      <c r="Y256" s="1269"/>
    </row>
    <row r="257" spans="1:25">
      <c r="A257" s="1269"/>
      <c r="D257" s="1269"/>
      <c r="E257" s="1269"/>
      <c r="F257" s="1269"/>
      <c r="G257" s="1269"/>
      <c r="H257" s="1269"/>
      <c r="M257" s="1324"/>
      <c r="O257" s="1274"/>
      <c r="P257" s="1269"/>
      <c r="Q257" s="1269"/>
      <c r="R257" s="1269"/>
      <c r="S257" s="1269"/>
      <c r="T257" s="1269"/>
      <c r="U257" s="1269"/>
      <c r="V257" s="1269"/>
      <c r="W257" s="1269"/>
      <c r="X257" s="1269"/>
      <c r="Y257" s="1269"/>
    </row>
    <row r="258" spans="1:25">
      <c r="A258" s="1269"/>
      <c r="D258" s="1269"/>
      <c r="E258" s="1269"/>
      <c r="F258" s="1269"/>
      <c r="G258" s="1269"/>
      <c r="H258" s="1269"/>
      <c r="M258" s="1324"/>
      <c r="O258" s="1274"/>
      <c r="P258" s="1269"/>
      <c r="Q258" s="1269"/>
      <c r="R258" s="1269"/>
      <c r="S258" s="1269"/>
      <c r="T258" s="1269"/>
      <c r="U258" s="1269"/>
      <c r="V258" s="1269"/>
      <c r="W258" s="1269"/>
      <c r="X258" s="1269"/>
      <c r="Y258" s="1269"/>
    </row>
    <row r="259" spans="1:25">
      <c r="A259" s="1269"/>
      <c r="D259" s="1269"/>
      <c r="E259" s="1269"/>
      <c r="F259" s="1269"/>
      <c r="G259" s="1269"/>
      <c r="H259" s="1269"/>
      <c r="M259" s="1324"/>
      <c r="O259" s="1274"/>
      <c r="P259" s="1269"/>
      <c r="Q259" s="1269"/>
      <c r="R259" s="1269"/>
      <c r="S259" s="1269"/>
      <c r="T259" s="1269"/>
      <c r="U259" s="1269"/>
      <c r="V259" s="1269"/>
      <c r="W259" s="1269"/>
      <c r="X259" s="1269"/>
      <c r="Y259" s="1269"/>
    </row>
    <row r="260" spans="1:25">
      <c r="A260" s="1269"/>
      <c r="D260" s="1269"/>
      <c r="E260" s="1269"/>
      <c r="F260" s="1269"/>
      <c r="G260" s="1269"/>
      <c r="H260" s="1269"/>
      <c r="M260" s="1324"/>
      <c r="O260" s="1274"/>
      <c r="P260" s="1269"/>
      <c r="Q260" s="1269"/>
      <c r="R260" s="1269"/>
      <c r="S260" s="1269"/>
      <c r="T260" s="1269"/>
      <c r="U260" s="1269"/>
      <c r="V260" s="1269"/>
      <c r="W260" s="1269"/>
      <c r="X260" s="1269"/>
      <c r="Y260" s="1269"/>
    </row>
    <row r="261" spans="1:25">
      <c r="A261" s="1269"/>
      <c r="D261" s="1269"/>
      <c r="E261" s="1269"/>
      <c r="F261" s="1269"/>
      <c r="G261" s="1269"/>
      <c r="H261" s="1269"/>
      <c r="M261" s="1324"/>
      <c r="O261" s="1274"/>
      <c r="P261" s="1269"/>
      <c r="Q261" s="1269"/>
      <c r="R261" s="1269"/>
      <c r="S261" s="1269"/>
      <c r="T261" s="1269"/>
      <c r="U261" s="1269"/>
      <c r="V261" s="1269"/>
      <c r="W261" s="1269"/>
      <c r="X261" s="1269"/>
      <c r="Y261" s="1269"/>
    </row>
    <row r="262" spans="1:25">
      <c r="A262" s="1269"/>
      <c r="D262" s="1269"/>
      <c r="E262" s="1269"/>
      <c r="F262" s="1269"/>
      <c r="G262" s="1269"/>
      <c r="H262" s="1269"/>
      <c r="M262" s="1324"/>
      <c r="O262" s="1274"/>
      <c r="P262" s="1269"/>
      <c r="Q262" s="1269"/>
      <c r="R262" s="1269"/>
      <c r="S262" s="1269"/>
      <c r="T262" s="1269"/>
      <c r="U262" s="1269"/>
      <c r="V262" s="1269"/>
      <c r="W262" s="1269"/>
      <c r="X262" s="1269"/>
      <c r="Y262" s="1269"/>
    </row>
    <row r="263" spans="1:25">
      <c r="A263" s="1269"/>
      <c r="D263" s="1269"/>
      <c r="E263" s="1269"/>
      <c r="F263" s="1269"/>
      <c r="G263" s="1269"/>
      <c r="H263" s="1269"/>
      <c r="M263" s="1324"/>
      <c r="O263" s="1274"/>
      <c r="P263" s="1269"/>
      <c r="Q263" s="1269"/>
      <c r="R263" s="1269"/>
      <c r="S263" s="1269"/>
      <c r="T263" s="1269"/>
      <c r="U263" s="1269"/>
      <c r="V263" s="1269"/>
      <c r="W263" s="1269"/>
      <c r="X263" s="1269"/>
      <c r="Y263" s="1269"/>
    </row>
    <row r="264" spans="1:25">
      <c r="A264" s="1269"/>
      <c r="D264" s="1269"/>
      <c r="E264" s="1269"/>
      <c r="F264" s="1269"/>
      <c r="G264" s="1269"/>
      <c r="H264" s="1269"/>
      <c r="M264" s="1324"/>
      <c r="O264" s="1274"/>
      <c r="P264" s="1269"/>
      <c r="Q264" s="1269"/>
      <c r="R264" s="1269"/>
      <c r="S264" s="1269"/>
      <c r="T264" s="1269"/>
      <c r="U264" s="1269"/>
      <c r="V264" s="1269"/>
      <c r="W264" s="1269"/>
      <c r="X264" s="1269"/>
      <c r="Y264" s="1269"/>
    </row>
    <row r="265" spans="1:25">
      <c r="A265" s="1269"/>
      <c r="D265" s="1269"/>
      <c r="E265" s="1269"/>
      <c r="F265" s="1269"/>
      <c r="G265" s="1269"/>
      <c r="H265" s="1269"/>
      <c r="M265" s="1324"/>
      <c r="O265" s="1274"/>
      <c r="P265" s="1269"/>
      <c r="Q265" s="1269"/>
      <c r="R265" s="1269"/>
      <c r="S265" s="1269"/>
      <c r="T265" s="1269"/>
      <c r="U265" s="1269"/>
      <c r="V265" s="1269"/>
      <c r="W265" s="1269"/>
      <c r="X265" s="1269"/>
      <c r="Y265" s="1269"/>
    </row>
    <row r="266" spans="1:25">
      <c r="A266" s="1269"/>
      <c r="D266" s="1269"/>
      <c r="E266" s="1269"/>
      <c r="F266" s="1269"/>
      <c r="G266" s="1269"/>
      <c r="H266" s="1269"/>
      <c r="M266" s="1324"/>
      <c r="O266" s="1274"/>
      <c r="P266" s="1269"/>
      <c r="Q266" s="1269"/>
      <c r="R266" s="1269"/>
      <c r="S266" s="1269"/>
      <c r="T266" s="1269"/>
      <c r="U266" s="1269"/>
      <c r="V266" s="1269"/>
      <c r="W266" s="1269"/>
      <c r="X266" s="1269"/>
      <c r="Y266" s="1269"/>
    </row>
    <row r="267" spans="1:25">
      <c r="A267" s="1269"/>
      <c r="D267" s="1269"/>
      <c r="E267" s="1269"/>
      <c r="F267" s="1269"/>
      <c r="G267" s="1269"/>
      <c r="H267" s="1269"/>
      <c r="M267" s="1324"/>
      <c r="O267" s="1274"/>
      <c r="P267" s="1269"/>
      <c r="Q267" s="1269"/>
      <c r="R267" s="1269"/>
      <c r="S267" s="1269"/>
      <c r="T267" s="1269"/>
      <c r="U267" s="1269"/>
      <c r="V267" s="1269"/>
      <c r="W267" s="1269"/>
      <c r="X267" s="1269"/>
      <c r="Y267" s="1269"/>
    </row>
    <row r="268" spans="1:25">
      <c r="A268" s="1269"/>
      <c r="D268" s="1269"/>
      <c r="E268" s="1269"/>
      <c r="F268" s="1269"/>
      <c r="G268" s="1269"/>
      <c r="H268" s="1269"/>
      <c r="M268" s="1324"/>
      <c r="O268" s="1274"/>
      <c r="P268" s="1269"/>
      <c r="Q268" s="1269"/>
      <c r="R268" s="1269"/>
      <c r="S268" s="1269"/>
      <c r="T268" s="1269"/>
      <c r="U268" s="1269"/>
      <c r="V268" s="1269"/>
      <c r="W268" s="1269"/>
      <c r="X268" s="1269"/>
      <c r="Y268" s="1269"/>
    </row>
    <row r="269" spans="1:25">
      <c r="A269" s="1269"/>
      <c r="D269" s="1269"/>
      <c r="E269" s="1269"/>
      <c r="F269" s="1269"/>
      <c r="G269" s="1269"/>
      <c r="H269" s="1269"/>
      <c r="M269" s="1324"/>
      <c r="O269" s="1274"/>
      <c r="P269" s="1269"/>
      <c r="Q269" s="1269"/>
      <c r="R269" s="1269"/>
      <c r="S269" s="1269"/>
      <c r="T269" s="1269"/>
      <c r="U269" s="1269"/>
      <c r="V269" s="1269"/>
      <c r="W269" s="1269"/>
      <c r="X269" s="1269"/>
      <c r="Y269" s="1269"/>
    </row>
    <row r="270" spans="1:25">
      <c r="A270" s="1269"/>
      <c r="D270" s="1269"/>
      <c r="E270" s="1269"/>
      <c r="F270" s="1269"/>
      <c r="G270" s="1269"/>
      <c r="H270" s="1269"/>
      <c r="M270" s="1324"/>
      <c r="O270" s="1274"/>
      <c r="P270" s="1269"/>
      <c r="Q270" s="1269"/>
      <c r="R270" s="1269"/>
      <c r="S270" s="1269"/>
      <c r="T270" s="1269"/>
      <c r="U270" s="1269"/>
      <c r="V270" s="1269"/>
      <c r="W270" s="1269"/>
      <c r="X270" s="1269"/>
      <c r="Y270" s="1269"/>
    </row>
    <row r="271" spans="1:25">
      <c r="A271" s="1269"/>
      <c r="D271" s="1269"/>
      <c r="E271" s="1269"/>
      <c r="F271" s="1269"/>
      <c r="G271" s="1269"/>
      <c r="H271" s="1269"/>
      <c r="M271" s="1324"/>
      <c r="O271" s="1274"/>
      <c r="P271" s="1269"/>
      <c r="Q271" s="1269"/>
      <c r="R271" s="1269"/>
      <c r="S271" s="1269"/>
      <c r="T271" s="1269"/>
      <c r="U271" s="1269"/>
      <c r="V271" s="1269"/>
      <c r="W271" s="1269"/>
      <c r="X271" s="1269"/>
      <c r="Y271" s="1269"/>
    </row>
    <row r="272" spans="1:25">
      <c r="A272" s="1269"/>
      <c r="D272" s="1269"/>
      <c r="E272" s="1269"/>
      <c r="F272" s="1269"/>
      <c r="G272" s="1269"/>
      <c r="H272" s="1269"/>
      <c r="M272" s="1324"/>
      <c r="O272" s="1274"/>
      <c r="P272" s="1269"/>
      <c r="Q272" s="1269"/>
      <c r="R272" s="1269"/>
      <c r="S272" s="1269"/>
      <c r="T272" s="1269"/>
      <c r="U272" s="1269"/>
      <c r="V272" s="1269"/>
      <c r="W272" s="1269"/>
      <c r="X272" s="1269"/>
      <c r="Y272" s="1269"/>
    </row>
    <row r="273" spans="1:25">
      <c r="A273" s="1269"/>
      <c r="D273" s="1269"/>
      <c r="E273" s="1269"/>
      <c r="F273" s="1269"/>
      <c r="G273" s="1269"/>
      <c r="H273" s="1269"/>
      <c r="M273" s="1324"/>
      <c r="O273" s="1274"/>
      <c r="P273" s="1269"/>
      <c r="Q273" s="1269"/>
      <c r="R273" s="1269"/>
      <c r="S273" s="1269"/>
      <c r="T273" s="1269"/>
      <c r="U273" s="1269"/>
      <c r="V273" s="1269"/>
      <c r="W273" s="1269"/>
      <c r="X273" s="1269"/>
      <c r="Y273" s="1269"/>
    </row>
    <row r="274" spans="1:25">
      <c r="A274" s="1269"/>
      <c r="D274" s="1269"/>
      <c r="E274" s="1269"/>
      <c r="F274" s="1269"/>
      <c r="G274" s="1269"/>
      <c r="H274" s="1269"/>
      <c r="M274" s="1324"/>
      <c r="O274" s="1274"/>
      <c r="P274" s="1269"/>
      <c r="Q274" s="1269"/>
      <c r="R274" s="1269"/>
      <c r="S274" s="1269"/>
      <c r="T274" s="1269"/>
      <c r="U274" s="1269"/>
      <c r="V274" s="1269"/>
      <c r="W274" s="1269"/>
      <c r="X274" s="1269"/>
      <c r="Y274" s="1269"/>
    </row>
    <row r="275" spans="1:25">
      <c r="A275" s="1269"/>
      <c r="D275" s="1269"/>
      <c r="E275" s="1269"/>
      <c r="F275" s="1269"/>
      <c r="G275" s="1269"/>
      <c r="H275" s="1269"/>
      <c r="M275" s="1324"/>
      <c r="O275" s="1274"/>
      <c r="P275" s="1269"/>
      <c r="Q275" s="1269"/>
      <c r="R275" s="1269"/>
      <c r="S275" s="1269"/>
      <c r="T275" s="1269"/>
      <c r="U275" s="1269"/>
      <c r="V275" s="1269"/>
      <c r="W275" s="1269"/>
      <c r="X275" s="1269"/>
      <c r="Y275" s="1269"/>
    </row>
    <row r="276" spans="1:25">
      <c r="A276" s="1269"/>
      <c r="D276" s="1269"/>
      <c r="E276" s="1269"/>
      <c r="F276" s="1269"/>
      <c r="G276" s="1269"/>
      <c r="H276" s="1269"/>
      <c r="M276" s="1324"/>
      <c r="O276" s="1274"/>
      <c r="P276" s="1269"/>
      <c r="Q276" s="1269"/>
      <c r="R276" s="1269"/>
      <c r="S276" s="1269"/>
      <c r="T276" s="1269"/>
      <c r="U276" s="1269"/>
      <c r="V276" s="1269"/>
      <c r="W276" s="1269"/>
      <c r="X276" s="1269"/>
      <c r="Y276" s="1269"/>
    </row>
    <row r="277" spans="1:25">
      <c r="A277" s="1269"/>
      <c r="D277" s="1269"/>
      <c r="E277" s="1269"/>
      <c r="F277" s="1269"/>
      <c r="G277" s="1269"/>
      <c r="H277" s="1269"/>
      <c r="M277" s="1324"/>
      <c r="O277" s="1274"/>
      <c r="P277" s="1269"/>
      <c r="Q277" s="1269"/>
      <c r="R277" s="1269"/>
      <c r="S277" s="1269"/>
      <c r="T277" s="1269"/>
      <c r="U277" s="1269"/>
      <c r="V277" s="1269"/>
      <c r="W277" s="1269"/>
      <c r="X277" s="1269"/>
      <c r="Y277" s="1269"/>
    </row>
    <row r="278" spans="1:25">
      <c r="A278" s="1269"/>
      <c r="D278" s="1269"/>
      <c r="E278" s="1269"/>
      <c r="F278" s="1269"/>
      <c r="G278" s="1269"/>
      <c r="H278" s="1269"/>
      <c r="M278" s="1324"/>
      <c r="O278" s="1274"/>
      <c r="P278" s="1269"/>
      <c r="Q278" s="1269"/>
      <c r="R278" s="1269"/>
      <c r="S278" s="1269"/>
      <c r="T278" s="1269"/>
      <c r="U278" s="1269"/>
      <c r="V278" s="1269"/>
      <c r="W278" s="1269"/>
      <c r="X278" s="1269"/>
      <c r="Y278" s="1269"/>
    </row>
    <row r="279" spans="1:25">
      <c r="A279" s="1269"/>
      <c r="D279" s="1269"/>
      <c r="E279" s="1269"/>
      <c r="F279" s="1269"/>
      <c r="G279" s="1269"/>
      <c r="H279" s="1269"/>
      <c r="M279" s="1324"/>
      <c r="O279" s="1274"/>
      <c r="P279" s="1269"/>
      <c r="Q279" s="1269"/>
      <c r="R279" s="1269"/>
      <c r="S279" s="1269"/>
      <c r="T279" s="1269"/>
      <c r="U279" s="1269"/>
      <c r="V279" s="1269"/>
      <c r="W279" s="1269"/>
      <c r="X279" s="1269"/>
      <c r="Y279" s="1269"/>
    </row>
    <row r="280" spans="1:25">
      <c r="A280" s="1269"/>
      <c r="D280" s="1269"/>
      <c r="E280" s="1269"/>
      <c r="F280" s="1269"/>
      <c r="G280" s="1269"/>
      <c r="H280" s="1269"/>
      <c r="M280" s="1324"/>
      <c r="O280" s="1274"/>
      <c r="P280" s="1269"/>
      <c r="Q280" s="1269"/>
      <c r="R280" s="1269"/>
      <c r="S280" s="1269"/>
      <c r="T280" s="1269"/>
      <c r="U280" s="1269"/>
      <c r="V280" s="1269"/>
      <c r="W280" s="1269"/>
      <c r="X280" s="1269"/>
      <c r="Y280" s="1269"/>
    </row>
    <row r="281" spans="1:25">
      <c r="A281" s="1269"/>
      <c r="D281" s="1269"/>
      <c r="E281" s="1269"/>
      <c r="F281" s="1269"/>
      <c r="G281" s="1269"/>
      <c r="H281" s="1269"/>
      <c r="M281" s="1324"/>
      <c r="O281" s="1274"/>
      <c r="P281" s="1269"/>
      <c r="Q281" s="1269"/>
      <c r="R281" s="1269"/>
      <c r="S281" s="1269"/>
      <c r="T281" s="1269"/>
      <c r="U281" s="1269"/>
      <c r="V281" s="1269"/>
      <c r="W281" s="1269"/>
      <c r="X281" s="1269"/>
      <c r="Y281" s="1269"/>
    </row>
    <row r="282" spans="1:25">
      <c r="A282" s="1269"/>
      <c r="D282" s="1269"/>
      <c r="E282" s="1269"/>
      <c r="F282" s="1269"/>
      <c r="G282" s="1269"/>
      <c r="H282" s="1269"/>
      <c r="M282" s="1324"/>
      <c r="O282" s="1274"/>
      <c r="P282" s="1269"/>
      <c r="Q282" s="1269"/>
      <c r="R282" s="1269"/>
      <c r="S282" s="1269"/>
      <c r="T282" s="1269"/>
      <c r="U282" s="1269"/>
      <c r="V282" s="1269"/>
      <c r="W282" s="1269"/>
      <c r="X282" s="1269"/>
      <c r="Y282" s="1269"/>
    </row>
    <row r="283" spans="1:25">
      <c r="A283" s="1269"/>
      <c r="D283" s="1269"/>
      <c r="E283" s="1269"/>
      <c r="F283" s="1269"/>
      <c r="G283" s="1269"/>
      <c r="H283" s="1269"/>
      <c r="M283" s="1324"/>
      <c r="O283" s="1274"/>
      <c r="P283" s="1269"/>
      <c r="Q283" s="1269"/>
      <c r="R283" s="1269"/>
      <c r="S283" s="1269"/>
      <c r="T283" s="1269"/>
      <c r="U283" s="1269"/>
      <c r="V283" s="1269"/>
      <c r="W283" s="1269"/>
      <c r="X283" s="1269"/>
      <c r="Y283" s="1269"/>
    </row>
    <row r="284" spans="1:25">
      <c r="A284" s="1269"/>
      <c r="D284" s="1269"/>
      <c r="E284" s="1269"/>
      <c r="F284" s="1269"/>
      <c r="G284" s="1269"/>
      <c r="H284" s="1269"/>
      <c r="M284" s="1324"/>
      <c r="O284" s="1274"/>
      <c r="P284" s="1269"/>
      <c r="Q284" s="1269"/>
      <c r="R284" s="1269"/>
      <c r="S284" s="1269"/>
      <c r="T284" s="1269"/>
      <c r="U284" s="1269"/>
      <c r="V284" s="1269"/>
      <c r="W284" s="1269"/>
      <c r="X284" s="1269"/>
      <c r="Y284" s="1269"/>
    </row>
    <row r="285" spans="1:25">
      <c r="A285" s="1269"/>
      <c r="D285" s="1269"/>
      <c r="E285" s="1269"/>
      <c r="F285" s="1269"/>
      <c r="G285" s="1269"/>
      <c r="H285" s="1269"/>
      <c r="M285" s="1324"/>
      <c r="O285" s="1274"/>
      <c r="P285" s="1269"/>
      <c r="Q285" s="1269"/>
      <c r="R285" s="1269"/>
      <c r="S285" s="1269"/>
      <c r="T285" s="1269"/>
      <c r="U285" s="1269"/>
      <c r="V285" s="1269"/>
      <c r="W285" s="1269"/>
      <c r="X285" s="1269"/>
      <c r="Y285" s="1269"/>
    </row>
    <row r="286" spans="1:25">
      <c r="A286" s="1269"/>
      <c r="D286" s="1269"/>
      <c r="E286" s="1269"/>
      <c r="F286" s="1269"/>
      <c r="G286" s="1269"/>
      <c r="H286" s="1269"/>
      <c r="M286" s="1324"/>
      <c r="O286" s="1274"/>
      <c r="P286" s="1269"/>
      <c r="Q286" s="1269"/>
      <c r="R286" s="1269"/>
      <c r="S286" s="1269"/>
      <c r="T286" s="1269"/>
      <c r="U286" s="1269"/>
      <c r="V286" s="1269"/>
      <c r="W286" s="1269"/>
      <c r="X286" s="1269"/>
      <c r="Y286" s="1269"/>
    </row>
    <row r="287" spans="1:25">
      <c r="A287" s="1269"/>
      <c r="D287" s="1269"/>
      <c r="E287" s="1269"/>
      <c r="F287" s="1269"/>
      <c r="G287" s="1269"/>
      <c r="H287" s="1269"/>
      <c r="M287" s="1324"/>
      <c r="O287" s="1274"/>
      <c r="P287" s="1269"/>
      <c r="Q287" s="1269"/>
      <c r="R287" s="1269"/>
      <c r="S287" s="1269"/>
      <c r="T287" s="1269"/>
      <c r="U287" s="1269"/>
      <c r="V287" s="1269"/>
      <c r="W287" s="1269"/>
      <c r="X287" s="1269"/>
      <c r="Y287" s="1269"/>
    </row>
    <row r="288" spans="1:25">
      <c r="A288" s="1269"/>
      <c r="D288" s="1269"/>
      <c r="E288" s="1269"/>
      <c r="F288" s="1269"/>
      <c r="G288" s="1269"/>
      <c r="H288" s="1269"/>
      <c r="M288" s="1324"/>
      <c r="O288" s="1274"/>
      <c r="P288" s="1269"/>
      <c r="Q288" s="1269"/>
      <c r="R288" s="1269"/>
      <c r="S288" s="1269"/>
      <c r="T288" s="1269"/>
      <c r="U288" s="1269"/>
      <c r="V288" s="1269"/>
      <c r="W288" s="1269"/>
      <c r="X288" s="1269"/>
      <c r="Y288" s="1269"/>
    </row>
    <row r="289" spans="1:25">
      <c r="A289" s="1269"/>
      <c r="D289" s="1269"/>
      <c r="E289" s="1269"/>
      <c r="F289" s="1269"/>
      <c r="G289" s="1269"/>
      <c r="H289" s="1269"/>
      <c r="M289" s="1324"/>
      <c r="O289" s="1274"/>
      <c r="P289" s="1269"/>
      <c r="Q289" s="1269"/>
      <c r="R289" s="1269"/>
      <c r="S289" s="1269"/>
      <c r="T289" s="1269"/>
      <c r="U289" s="1269"/>
      <c r="V289" s="1269"/>
      <c r="W289" s="1269"/>
      <c r="X289" s="1269"/>
      <c r="Y289" s="1269"/>
    </row>
    <row r="290" spans="1:25">
      <c r="A290" s="1269"/>
      <c r="D290" s="1269"/>
      <c r="E290" s="1269"/>
      <c r="F290" s="1269"/>
      <c r="G290" s="1269"/>
      <c r="H290" s="1269"/>
      <c r="M290" s="1324"/>
      <c r="O290" s="1274"/>
      <c r="P290" s="1269"/>
      <c r="Q290" s="1269"/>
      <c r="R290" s="1269"/>
      <c r="S290" s="1269"/>
      <c r="T290" s="1269"/>
      <c r="U290" s="1269"/>
      <c r="V290" s="1269"/>
      <c r="W290" s="1269"/>
      <c r="X290" s="1269"/>
      <c r="Y290" s="1269"/>
    </row>
    <row r="291" spans="1:25">
      <c r="A291" s="1269"/>
      <c r="D291" s="1269"/>
      <c r="E291" s="1269"/>
      <c r="F291" s="1269"/>
      <c r="G291" s="1269"/>
      <c r="H291" s="1269"/>
      <c r="M291" s="1324"/>
      <c r="O291" s="1274"/>
      <c r="P291" s="1269"/>
      <c r="Q291" s="1269"/>
      <c r="R291" s="1269"/>
      <c r="S291" s="1269"/>
      <c r="T291" s="1269"/>
      <c r="U291" s="1269"/>
      <c r="V291" s="1269"/>
      <c r="W291" s="1269"/>
      <c r="X291" s="1269"/>
      <c r="Y291" s="1269"/>
    </row>
    <row r="292" spans="1:25">
      <c r="A292" s="1269"/>
      <c r="D292" s="1269"/>
      <c r="E292" s="1269"/>
      <c r="F292" s="1269"/>
      <c r="G292" s="1269"/>
      <c r="H292" s="1269"/>
      <c r="M292" s="1324"/>
      <c r="O292" s="1274"/>
      <c r="P292" s="1269"/>
      <c r="Q292" s="1269"/>
      <c r="R292" s="1269"/>
      <c r="S292" s="1269"/>
      <c r="T292" s="1269"/>
      <c r="U292" s="1269"/>
      <c r="V292" s="1269"/>
      <c r="W292" s="1269"/>
      <c r="X292" s="1269"/>
      <c r="Y292" s="1269"/>
    </row>
    <row r="293" spans="1:25">
      <c r="A293" s="1269"/>
      <c r="D293" s="1269"/>
      <c r="E293" s="1269"/>
      <c r="F293" s="1269"/>
      <c r="G293" s="1269"/>
      <c r="H293" s="1269"/>
      <c r="M293" s="1324"/>
      <c r="O293" s="1274"/>
      <c r="P293" s="1269"/>
      <c r="Q293" s="1269"/>
      <c r="R293" s="1269"/>
      <c r="S293" s="1269"/>
      <c r="T293" s="1269"/>
      <c r="U293" s="1269"/>
      <c r="V293" s="1269"/>
      <c r="W293" s="1269"/>
      <c r="X293" s="1269"/>
      <c r="Y293" s="1269"/>
    </row>
    <row r="294" spans="1:25">
      <c r="A294" s="1269"/>
      <c r="D294" s="1269"/>
      <c r="E294" s="1269"/>
      <c r="F294" s="1269"/>
      <c r="G294" s="1269"/>
      <c r="H294" s="1269"/>
      <c r="M294" s="1324"/>
      <c r="O294" s="1274"/>
      <c r="P294" s="1269"/>
      <c r="Q294" s="1269"/>
      <c r="R294" s="1269"/>
      <c r="S294" s="1269"/>
      <c r="T294" s="1269"/>
      <c r="U294" s="1269"/>
      <c r="V294" s="1269"/>
      <c r="W294" s="1269"/>
      <c r="X294" s="1269"/>
      <c r="Y294" s="1269"/>
    </row>
    <row r="295" spans="1:25">
      <c r="A295" s="1269"/>
      <c r="D295" s="1269"/>
      <c r="E295" s="1269"/>
      <c r="F295" s="1269"/>
      <c r="G295" s="1269"/>
      <c r="H295" s="1269"/>
      <c r="M295" s="1324"/>
      <c r="O295" s="1274"/>
      <c r="P295" s="1269"/>
      <c r="Q295" s="1269"/>
      <c r="R295" s="1269"/>
      <c r="S295" s="1269"/>
      <c r="T295" s="1269"/>
      <c r="U295" s="1269"/>
      <c r="V295" s="1269"/>
      <c r="W295" s="1269"/>
      <c r="X295" s="1269"/>
      <c r="Y295" s="1269"/>
    </row>
    <row r="296" spans="1:25">
      <c r="A296" s="1269"/>
      <c r="D296" s="1269"/>
      <c r="E296" s="1269"/>
      <c r="F296" s="1269"/>
      <c r="G296" s="1269"/>
      <c r="H296" s="1269"/>
      <c r="M296" s="1324"/>
      <c r="O296" s="1274"/>
      <c r="P296" s="1269"/>
      <c r="Q296" s="1269"/>
      <c r="R296" s="1269"/>
      <c r="S296" s="1269"/>
      <c r="T296" s="1269"/>
      <c r="U296" s="1269"/>
      <c r="V296" s="1269"/>
      <c r="W296" s="1269"/>
      <c r="X296" s="1269"/>
      <c r="Y296" s="1269"/>
    </row>
    <row r="297" spans="1:25">
      <c r="A297" s="1269"/>
      <c r="D297" s="1269"/>
      <c r="E297" s="1269"/>
      <c r="F297" s="1269"/>
      <c r="G297" s="1269"/>
      <c r="H297" s="1269"/>
      <c r="M297" s="1324"/>
      <c r="O297" s="1274"/>
      <c r="P297" s="1269"/>
      <c r="Q297" s="1269"/>
      <c r="R297" s="1269"/>
      <c r="S297" s="1269"/>
      <c r="T297" s="1269"/>
      <c r="U297" s="1269"/>
      <c r="V297" s="1269"/>
      <c r="W297" s="1269"/>
      <c r="X297" s="1269"/>
      <c r="Y297" s="1269"/>
    </row>
    <row r="298" spans="1:25">
      <c r="A298" s="1269"/>
      <c r="D298" s="1269"/>
      <c r="E298" s="1269"/>
      <c r="F298" s="1269"/>
      <c r="G298" s="1269"/>
      <c r="H298" s="1269"/>
      <c r="M298" s="1324"/>
      <c r="O298" s="1274"/>
      <c r="P298" s="1269"/>
      <c r="Q298" s="1269"/>
      <c r="R298" s="1269"/>
      <c r="S298" s="1269"/>
      <c r="T298" s="1269"/>
      <c r="U298" s="1269"/>
      <c r="V298" s="1269"/>
      <c r="W298" s="1269"/>
      <c r="X298" s="1269"/>
      <c r="Y298" s="1269"/>
    </row>
    <row r="299" spans="1:25">
      <c r="A299" s="1269"/>
      <c r="D299" s="1269"/>
      <c r="E299" s="1269"/>
      <c r="F299" s="1269"/>
      <c r="G299" s="1269"/>
      <c r="H299" s="1269"/>
      <c r="M299" s="1324"/>
      <c r="O299" s="1274"/>
      <c r="P299" s="1269"/>
      <c r="Q299" s="1269"/>
      <c r="R299" s="1269"/>
      <c r="S299" s="1269"/>
      <c r="T299" s="1269"/>
      <c r="U299" s="1269"/>
      <c r="V299" s="1269"/>
      <c r="W299" s="1269"/>
      <c r="X299" s="1269"/>
      <c r="Y299" s="1269"/>
    </row>
    <row r="300" spans="1:25">
      <c r="A300" s="1269"/>
      <c r="D300" s="1269"/>
      <c r="E300" s="1269"/>
      <c r="F300" s="1269"/>
      <c r="G300" s="1269"/>
      <c r="H300" s="1269"/>
      <c r="M300" s="1324"/>
      <c r="O300" s="1274"/>
      <c r="P300" s="1269"/>
      <c r="Q300" s="1269"/>
      <c r="R300" s="1269"/>
      <c r="S300" s="1269"/>
      <c r="T300" s="1269"/>
      <c r="U300" s="1269"/>
      <c r="V300" s="1269"/>
      <c r="W300" s="1269"/>
      <c r="X300" s="1269"/>
      <c r="Y300" s="1269"/>
    </row>
    <row r="301" spans="1:25">
      <c r="A301" s="1269"/>
      <c r="D301" s="1269"/>
      <c r="E301" s="1269"/>
      <c r="F301" s="1269"/>
      <c r="G301" s="1269"/>
      <c r="H301" s="1269"/>
      <c r="M301" s="1324"/>
      <c r="O301" s="1274"/>
      <c r="P301" s="1269"/>
      <c r="Q301" s="1269"/>
      <c r="R301" s="1269"/>
      <c r="S301" s="1269"/>
      <c r="T301" s="1269"/>
      <c r="U301" s="1269"/>
      <c r="V301" s="1269"/>
      <c r="W301" s="1269"/>
      <c r="X301" s="1269"/>
      <c r="Y301" s="1269"/>
    </row>
    <row r="302" spans="1:25">
      <c r="A302" s="1269"/>
      <c r="D302" s="1269"/>
      <c r="E302" s="1269"/>
      <c r="F302" s="1269"/>
      <c r="G302" s="1269"/>
      <c r="H302" s="1269"/>
      <c r="M302" s="1324"/>
      <c r="O302" s="1274"/>
      <c r="P302" s="1269"/>
      <c r="Q302" s="1269"/>
      <c r="R302" s="1269"/>
      <c r="S302" s="1269"/>
      <c r="T302" s="1269"/>
      <c r="U302" s="1269"/>
      <c r="V302" s="1269"/>
      <c r="W302" s="1269"/>
      <c r="X302" s="1269"/>
      <c r="Y302" s="1269"/>
    </row>
    <row r="303" spans="1:25">
      <c r="A303" s="1269"/>
      <c r="D303" s="1269"/>
      <c r="E303" s="1269"/>
      <c r="F303" s="1269"/>
      <c r="G303" s="1269"/>
      <c r="H303" s="1269"/>
      <c r="M303" s="1324"/>
      <c r="O303" s="1274"/>
      <c r="P303" s="1269"/>
      <c r="Q303" s="1269"/>
      <c r="R303" s="1269"/>
      <c r="S303" s="1269"/>
      <c r="T303" s="1269"/>
      <c r="U303" s="1269"/>
      <c r="V303" s="1269"/>
      <c r="W303" s="1269"/>
      <c r="X303" s="1269"/>
      <c r="Y303" s="1269"/>
    </row>
    <row r="304" spans="1:25">
      <c r="A304" s="1269"/>
      <c r="D304" s="1269"/>
      <c r="E304" s="1269"/>
      <c r="F304" s="1269"/>
      <c r="G304" s="1269"/>
      <c r="H304" s="1269"/>
      <c r="M304" s="1324"/>
      <c r="O304" s="1274"/>
      <c r="P304" s="1269"/>
      <c r="Q304" s="1269"/>
      <c r="R304" s="1269"/>
      <c r="S304" s="1269"/>
      <c r="T304" s="1269"/>
      <c r="U304" s="1269"/>
      <c r="V304" s="1269"/>
      <c r="W304" s="1269"/>
      <c r="X304" s="1269"/>
      <c r="Y304" s="1269"/>
    </row>
    <row r="305" spans="1:25">
      <c r="A305" s="1269"/>
      <c r="D305" s="1269"/>
      <c r="E305" s="1269"/>
      <c r="F305" s="1269"/>
      <c r="G305" s="1269"/>
      <c r="H305" s="1269"/>
      <c r="M305" s="1324"/>
      <c r="O305" s="1274"/>
      <c r="P305" s="1269"/>
      <c r="Q305" s="1269"/>
      <c r="R305" s="1269"/>
      <c r="S305" s="1269"/>
      <c r="T305" s="1269"/>
      <c r="U305" s="1269"/>
      <c r="V305" s="1269"/>
      <c r="W305" s="1269"/>
      <c r="X305" s="1269"/>
      <c r="Y305" s="1269"/>
    </row>
    <row r="306" spans="1:25">
      <c r="A306" s="1269"/>
      <c r="D306" s="1269"/>
      <c r="E306" s="1269"/>
      <c r="F306" s="1269"/>
      <c r="G306" s="1269"/>
      <c r="H306" s="1269"/>
      <c r="M306" s="1324"/>
      <c r="O306" s="1274"/>
      <c r="P306" s="1269"/>
      <c r="Q306" s="1269"/>
      <c r="R306" s="1269"/>
      <c r="S306" s="1269"/>
      <c r="T306" s="1269"/>
      <c r="U306" s="1269"/>
      <c r="V306" s="1269"/>
      <c r="W306" s="1269"/>
      <c r="X306" s="1269"/>
      <c r="Y306" s="1269"/>
    </row>
    <row r="307" spans="1:25">
      <c r="A307" s="1269"/>
      <c r="D307" s="1269"/>
      <c r="E307" s="1269"/>
      <c r="F307" s="1269"/>
      <c r="G307" s="1269"/>
      <c r="H307" s="1269"/>
      <c r="M307" s="1324"/>
      <c r="O307" s="1274"/>
      <c r="P307" s="1269"/>
      <c r="Q307" s="1269"/>
      <c r="R307" s="1269"/>
      <c r="S307" s="1269"/>
      <c r="T307" s="1269"/>
      <c r="U307" s="1269"/>
      <c r="V307" s="1269"/>
      <c r="W307" s="1269"/>
      <c r="X307" s="1269"/>
      <c r="Y307" s="1269"/>
    </row>
    <row r="308" spans="1:25">
      <c r="A308" s="1269"/>
      <c r="D308" s="1269"/>
      <c r="E308" s="1269"/>
      <c r="F308" s="1269"/>
      <c r="G308" s="1269"/>
      <c r="H308" s="1269"/>
      <c r="M308" s="1324"/>
      <c r="O308" s="1274"/>
      <c r="P308" s="1269"/>
      <c r="Q308" s="1269"/>
      <c r="R308" s="1269"/>
      <c r="S308" s="1269"/>
      <c r="T308" s="1269"/>
      <c r="U308" s="1269"/>
      <c r="V308" s="1269"/>
      <c r="W308" s="1269"/>
      <c r="X308" s="1269"/>
      <c r="Y308" s="1269"/>
    </row>
    <row r="309" spans="1:25">
      <c r="A309" s="1269"/>
      <c r="D309" s="1269"/>
      <c r="E309" s="1269"/>
      <c r="F309" s="1269"/>
      <c r="G309" s="1269"/>
      <c r="H309" s="1269"/>
      <c r="M309" s="1324"/>
      <c r="O309" s="1274"/>
      <c r="P309" s="1269"/>
      <c r="Q309" s="1269"/>
      <c r="R309" s="1269"/>
      <c r="S309" s="1269"/>
      <c r="T309" s="1269"/>
      <c r="U309" s="1269"/>
      <c r="V309" s="1269"/>
      <c r="W309" s="1269"/>
      <c r="X309" s="1269"/>
      <c r="Y309" s="1269"/>
    </row>
    <row r="310" spans="1:25">
      <c r="A310" s="1269"/>
      <c r="D310" s="1269"/>
      <c r="E310" s="1269"/>
      <c r="F310" s="1269"/>
      <c r="G310" s="1269"/>
      <c r="H310" s="1269"/>
      <c r="M310" s="1324"/>
      <c r="O310" s="1274"/>
      <c r="P310" s="1269"/>
      <c r="Q310" s="1269"/>
      <c r="R310" s="1269"/>
      <c r="S310" s="1269"/>
      <c r="T310" s="1269"/>
      <c r="U310" s="1269"/>
      <c r="V310" s="1269"/>
      <c r="W310" s="1269"/>
      <c r="X310" s="1269"/>
      <c r="Y310" s="1269"/>
    </row>
    <row r="311" spans="1:25">
      <c r="A311" s="1269"/>
      <c r="D311" s="1269"/>
      <c r="E311" s="1269"/>
      <c r="F311" s="1269"/>
      <c r="G311" s="1269"/>
      <c r="H311" s="1269"/>
      <c r="M311" s="1324"/>
      <c r="O311" s="1274"/>
      <c r="P311" s="1269"/>
      <c r="Q311" s="1269"/>
      <c r="R311" s="1269"/>
      <c r="S311" s="1269"/>
      <c r="T311" s="1269"/>
      <c r="U311" s="1269"/>
      <c r="V311" s="1269"/>
      <c r="W311" s="1269"/>
      <c r="X311" s="1269"/>
      <c r="Y311" s="1269"/>
    </row>
    <row r="312" spans="1:25">
      <c r="A312" s="1269"/>
      <c r="D312" s="1269"/>
      <c r="E312" s="1269"/>
      <c r="F312" s="1269"/>
      <c r="G312" s="1269"/>
      <c r="H312" s="1269"/>
      <c r="M312" s="1324"/>
      <c r="O312" s="1274"/>
      <c r="P312" s="1269"/>
      <c r="Q312" s="1269"/>
      <c r="R312" s="1269"/>
      <c r="S312" s="1269"/>
      <c r="T312" s="1269"/>
      <c r="U312" s="1269"/>
      <c r="V312" s="1269"/>
      <c r="W312" s="1269"/>
      <c r="X312" s="1269"/>
      <c r="Y312" s="1269"/>
    </row>
    <row r="313" spans="1:25">
      <c r="A313" s="1269"/>
      <c r="D313" s="1269"/>
      <c r="E313" s="1269"/>
      <c r="F313" s="1269"/>
      <c r="G313" s="1269"/>
      <c r="H313" s="1269"/>
      <c r="M313" s="1324"/>
      <c r="O313" s="1274"/>
      <c r="P313" s="1269"/>
      <c r="Q313" s="1269"/>
      <c r="R313" s="1269"/>
      <c r="S313" s="1269"/>
      <c r="T313" s="1269"/>
      <c r="U313" s="1269"/>
      <c r="V313" s="1269"/>
      <c r="W313" s="1269"/>
      <c r="X313" s="1269"/>
      <c r="Y313" s="1269"/>
    </row>
    <row r="314" spans="1:25">
      <c r="A314" s="1269"/>
      <c r="D314" s="1269"/>
      <c r="E314" s="1269"/>
      <c r="F314" s="1269"/>
      <c r="G314" s="1269"/>
      <c r="H314" s="1269"/>
      <c r="M314" s="1324"/>
      <c r="O314" s="1274"/>
      <c r="P314" s="1269"/>
      <c r="Q314" s="1269"/>
      <c r="R314" s="1269"/>
      <c r="S314" s="1269"/>
      <c r="T314" s="1269"/>
      <c r="U314" s="1269"/>
      <c r="V314" s="1269"/>
      <c r="W314" s="1269"/>
      <c r="X314" s="1269"/>
      <c r="Y314" s="1269"/>
    </row>
    <row r="315" spans="1:25">
      <c r="A315" s="1269"/>
      <c r="D315" s="1269"/>
      <c r="E315" s="1269"/>
      <c r="F315" s="1269"/>
      <c r="G315" s="1269"/>
      <c r="H315" s="1269"/>
      <c r="M315" s="1324"/>
      <c r="O315" s="1274"/>
      <c r="P315" s="1269"/>
      <c r="Q315" s="1269"/>
      <c r="R315" s="1269"/>
      <c r="S315" s="1269"/>
      <c r="T315" s="1269"/>
      <c r="U315" s="1269"/>
      <c r="V315" s="1269"/>
      <c r="W315" s="1269"/>
      <c r="X315" s="1269"/>
      <c r="Y315" s="1269"/>
    </row>
    <row r="316" spans="1:25">
      <c r="A316" s="1269"/>
      <c r="D316" s="1269"/>
      <c r="E316" s="1269"/>
      <c r="F316" s="1269"/>
      <c r="G316" s="1269"/>
      <c r="H316" s="1269"/>
      <c r="M316" s="1324"/>
      <c r="O316" s="1274"/>
      <c r="P316" s="1269"/>
      <c r="Q316" s="1269"/>
      <c r="R316" s="1269"/>
      <c r="S316" s="1269"/>
      <c r="T316" s="1269"/>
      <c r="U316" s="1269"/>
      <c r="V316" s="1269"/>
      <c r="W316" s="1269"/>
      <c r="X316" s="1269"/>
      <c r="Y316" s="1269"/>
    </row>
    <row r="317" spans="1:25">
      <c r="A317" s="1269"/>
      <c r="D317" s="1269"/>
      <c r="E317" s="1269"/>
      <c r="F317" s="1269"/>
      <c r="G317" s="1269"/>
      <c r="H317" s="1269"/>
      <c r="M317" s="1324"/>
      <c r="O317" s="1274"/>
      <c r="P317" s="1269"/>
      <c r="Q317" s="1269"/>
      <c r="R317" s="1269"/>
      <c r="S317" s="1269"/>
      <c r="T317" s="1269"/>
      <c r="U317" s="1269"/>
      <c r="V317" s="1269"/>
      <c r="W317" s="1269"/>
      <c r="X317" s="1269"/>
      <c r="Y317" s="1269"/>
    </row>
    <row r="318" spans="1:25">
      <c r="A318" s="1269"/>
      <c r="D318" s="1269"/>
      <c r="E318" s="1269"/>
      <c r="F318" s="1269"/>
      <c r="G318" s="1269"/>
      <c r="H318" s="1269"/>
      <c r="M318" s="1324"/>
      <c r="O318" s="1274"/>
      <c r="P318" s="1269"/>
      <c r="Q318" s="1269"/>
      <c r="R318" s="1269"/>
      <c r="S318" s="1269"/>
      <c r="T318" s="1269"/>
      <c r="U318" s="1269"/>
      <c r="V318" s="1269"/>
      <c r="W318" s="1269"/>
      <c r="X318" s="1269"/>
      <c r="Y318" s="1269"/>
    </row>
    <row r="319" spans="1:25">
      <c r="A319" s="1269"/>
      <c r="D319" s="1269"/>
      <c r="E319" s="1269"/>
      <c r="F319" s="1269"/>
      <c r="G319" s="1269"/>
      <c r="H319" s="1269"/>
      <c r="M319" s="1324"/>
      <c r="O319" s="1274"/>
      <c r="P319" s="1269"/>
      <c r="Q319" s="1269"/>
      <c r="R319" s="1269"/>
      <c r="S319" s="1269"/>
      <c r="T319" s="1269"/>
      <c r="U319" s="1269"/>
      <c r="V319" s="1269"/>
      <c r="W319" s="1269"/>
      <c r="X319" s="1269"/>
      <c r="Y319" s="1269"/>
    </row>
    <row r="320" spans="1:25">
      <c r="A320" s="1269"/>
      <c r="D320" s="1269"/>
      <c r="E320" s="1269"/>
      <c r="F320" s="1269"/>
      <c r="G320" s="1269"/>
      <c r="H320" s="1269"/>
      <c r="M320" s="1324"/>
      <c r="O320" s="1274"/>
      <c r="P320" s="1269"/>
      <c r="Q320" s="1269"/>
      <c r="R320" s="1269"/>
      <c r="S320" s="1269"/>
      <c r="T320" s="1269"/>
      <c r="U320" s="1269"/>
      <c r="V320" s="1269"/>
      <c r="W320" s="1269"/>
      <c r="X320" s="1269"/>
      <c r="Y320" s="1269"/>
    </row>
    <row r="321" spans="1:25">
      <c r="A321" s="1269"/>
      <c r="D321" s="1269"/>
      <c r="E321" s="1269"/>
      <c r="F321" s="1269"/>
      <c r="G321" s="1269"/>
      <c r="H321" s="1269"/>
      <c r="M321" s="1324"/>
      <c r="O321" s="1274"/>
      <c r="P321" s="1269"/>
      <c r="Q321" s="1269"/>
      <c r="R321" s="1269"/>
      <c r="S321" s="1269"/>
      <c r="T321" s="1269"/>
      <c r="U321" s="1269"/>
      <c r="V321" s="1269"/>
      <c r="W321" s="1269"/>
      <c r="X321" s="1269"/>
      <c r="Y321" s="1269"/>
    </row>
    <row r="322" spans="1:25">
      <c r="A322" s="1269"/>
      <c r="D322" s="1269"/>
      <c r="E322" s="1269"/>
      <c r="F322" s="1269"/>
      <c r="G322" s="1269"/>
      <c r="H322" s="1269"/>
      <c r="M322" s="1324"/>
      <c r="O322" s="1274"/>
      <c r="P322" s="1269"/>
      <c r="Q322" s="1269"/>
      <c r="R322" s="1269"/>
      <c r="S322" s="1269"/>
      <c r="T322" s="1269"/>
      <c r="U322" s="1269"/>
      <c r="V322" s="1269"/>
      <c r="W322" s="1269"/>
      <c r="X322" s="1269"/>
      <c r="Y322" s="1269"/>
    </row>
    <row r="323" spans="1:25">
      <c r="A323" s="1269"/>
      <c r="D323" s="1269"/>
      <c r="E323" s="1269"/>
      <c r="F323" s="1269"/>
      <c r="G323" s="1269"/>
      <c r="H323" s="1269"/>
      <c r="M323" s="1324"/>
      <c r="O323" s="1274"/>
      <c r="P323" s="1269"/>
      <c r="Q323" s="1269"/>
      <c r="R323" s="1269"/>
      <c r="S323" s="1269"/>
      <c r="T323" s="1269"/>
      <c r="U323" s="1269"/>
      <c r="V323" s="1269"/>
      <c r="W323" s="1269"/>
      <c r="X323" s="1269"/>
      <c r="Y323" s="1269"/>
    </row>
    <row r="324" spans="1:25">
      <c r="A324" s="1269"/>
      <c r="D324" s="1269"/>
      <c r="E324" s="1269"/>
      <c r="F324" s="1269"/>
      <c r="G324" s="1269"/>
      <c r="H324" s="1269"/>
      <c r="M324" s="1324"/>
      <c r="O324" s="1274"/>
      <c r="P324" s="1269"/>
      <c r="Q324" s="1269"/>
      <c r="R324" s="1269"/>
      <c r="S324" s="1269"/>
      <c r="T324" s="1269"/>
      <c r="U324" s="1269"/>
      <c r="V324" s="1269"/>
      <c r="W324" s="1269"/>
      <c r="X324" s="1269"/>
      <c r="Y324" s="1269"/>
    </row>
    <row r="325" spans="1:25">
      <c r="A325" s="1269"/>
      <c r="D325" s="1269"/>
      <c r="E325" s="1269"/>
      <c r="F325" s="1269"/>
      <c r="G325" s="1269"/>
      <c r="H325" s="1269"/>
      <c r="M325" s="1324"/>
      <c r="O325" s="1274"/>
      <c r="P325" s="1269"/>
      <c r="Q325" s="1269"/>
      <c r="R325" s="1269"/>
      <c r="S325" s="1269"/>
      <c r="T325" s="1269"/>
      <c r="U325" s="1269"/>
      <c r="V325" s="1269"/>
      <c r="W325" s="1269"/>
      <c r="X325" s="1269"/>
      <c r="Y325" s="1269"/>
    </row>
    <row r="326" spans="1:25">
      <c r="A326" s="1269"/>
      <c r="D326" s="1269"/>
      <c r="E326" s="1269"/>
      <c r="F326" s="1269"/>
      <c r="G326" s="1269"/>
      <c r="H326" s="1269"/>
      <c r="M326" s="1324"/>
      <c r="O326" s="1274"/>
      <c r="P326" s="1269"/>
      <c r="Q326" s="1269"/>
      <c r="R326" s="1269"/>
      <c r="S326" s="1269"/>
      <c r="T326" s="1269"/>
      <c r="U326" s="1269"/>
      <c r="V326" s="1269"/>
      <c r="W326" s="1269"/>
      <c r="X326" s="1269"/>
      <c r="Y326" s="1269"/>
    </row>
    <row r="327" spans="1:25">
      <c r="A327" s="1269"/>
      <c r="D327" s="1269"/>
      <c r="E327" s="1269"/>
      <c r="F327" s="1269"/>
      <c r="G327" s="1269"/>
      <c r="H327" s="1269"/>
      <c r="M327" s="1324"/>
      <c r="O327" s="1274"/>
      <c r="P327" s="1269"/>
      <c r="Q327" s="1269"/>
      <c r="R327" s="1269"/>
      <c r="S327" s="1269"/>
      <c r="T327" s="1269"/>
      <c r="U327" s="1269"/>
      <c r="V327" s="1269"/>
      <c r="W327" s="1269"/>
      <c r="X327" s="1269"/>
      <c r="Y327" s="1269"/>
    </row>
    <row r="328" spans="1:25">
      <c r="A328" s="1269"/>
      <c r="D328" s="1269"/>
      <c r="E328" s="1269"/>
      <c r="F328" s="1269"/>
      <c r="G328" s="1269"/>
      <c r="H328" s="1269"/>
      <c r="M328" s="1324"/>
      <c r="O328" s="1274"/>
      <c r="P328" s="1269"/>
      <c r="Q328" s="1269"/>
      <c r="R328" s="1269"/>
      <c r="S328" s="1269"/>
      <c r="T328" s="1269"/>
      <c r="U328" s="1269"/>
      <c r="V328" s="1269"/>
      <c r="W328" s="1269"/>
      <c r="X328" s="1269"/>
      <c r="Y328" s="1269"/>
    </row>
    <row r="329" spans="1:25">
      <c r="A329" s="1269"/>
      <c r="D329" s="1269"/>
      <c r="E329" s="1269"/>
      <c r="F329" s="1269"/>
      <c r="G329" s="1269"/>
      <c r="H329" s="1269"/>
      <c r="M329" s="1324"/>
      <c r="O329" s="1274"/>
      <c r="P329" s="1269"/>
      <c r="Q329" s="1269"/>
      <c r="R329" s="1269"/>
      <c r="S329" s="1269"/>
      <c r="T329" s="1269"/>
      <c r="U329" s="1269"/>
      <c r="V329" s="1269"/>
      <c r="W329" s="1269"/>
      <c r="X329" s="1269"/>
      <c r="Y329" s="1269"/>
    </row>
    <row r="330" spans="1:25">
      <c r="A330" s="1269"/>
      <c r="D330" s="1269"/>
      <c r="E330" s="1269"/>
      <c r="F330" s="1269"/>
      <c r="G330" s="1269"/>
      <c r="H330" s="1269"/>
      <c r="M330" s="1324"/>
      <c r="O330" s="1274"/>
      <c r="P330" s="1269"/>
      <c r="Q330" s="1269"/>
      <c r="R330" s="1269"/>
      <c r="S330" s="1269"/>
      <c r="T330" s="1269"/>
      <c r="U330" s="1269"/>
      <c r="V330" s="1269"/>
      <c r="W330" s="1269"/>
      <c r="X330" s="1269"/>
      <c r="Y330" s="1269"/>
    </row>
    <row r="331" spans="1:25">
      <c r="A331" s="1269"/>
      <c r="D331" s="1269"/>
      <c r="E331" s="1269"/>
      <c r="F331" s="1269"/>
      <c r="G331" s="1269"/>
      <c r="H331" s="1269"/>
      <c r="M331" s="1324"/>
      <c r="O331" s="1274"/>
      <c r="P331" s="1269"/>
      <c r="Q331" s="1269"/>
      <c r="R331" s="1269"/>
      <c r="S331" s="1269"/>
      <c r="T331" s="1269"/>
      <c r="U331" s="1269"/>
      <c r="V331" s="1269"/>
      <c r="W331" s="1269"/>
      <c r="X331" s="1269"/>
      <c r="Y331" s="1269"/>
    </row>
    <row r="332" spans="1:25">
      <c r="A332" s="1269"/>
      <c r="D332" s="1269"/>
      <c r="E332" s="1269"/>
      <c r="F332" s="1269"/>
      <c r="G332" s="1269"/>
      <c r="H332" s="1269"/>
      <c r="M332" s="1324"/>
      <c r="O332" s="1274"/>
      <c r="P332" s="1269"/>
      <c r="Q332" s="1269"/>
      <c r="R332" s="1269"/>
      <c r="S332" s="1269"/>
      <c r="T332" s="1269"/>
      <c r="U332" s="1269"/>
      <c r="V332" s="1269"/>
      <c r="W332" s="1269"/>
      <c r="X332" s="1269"/>
      <c r="Y332" s="1269"/>
    </row>
    <row r="333" spans="1:25">
      <c r="A333" s="1269"/>
      <c r="D333" s="1269"/>
      <c r="E333" s="1269"/>
      <c r="F333" s="1269"/>
      <c r="G333" s="1269"/>
      <c r="H333" s="1269"/>
      <c r="M333" s="1324"/>
      <c r="O333" s="1274"/>
      <c r="P333" s="1269"/>
      <c r="Q333" s="1269"/>
      <c r="R333" s="1269"/>
      <c r="S333" s="1269"/>
      <c r="T333" s="1269"/>
      <c r="U333" s="1269"/>
      <c r="V333" s="1269"/>
      <c r="W333" s="1269"/>
      <c r="X333" s="1269"/>
      <c r="Y333" s="1269"/>
    </row>
    <row r="334" spans="1:25">
      <c r="A334" s="1269"/>
      <c r="D334" s="1269"/>
      <c r="E334" s="1269"/>
      <c r="F334" s="1269"/>
      <c r="G334" s="1269"/>
      <c r="H334" s="1269"/>
      <c r="M334" s="1324"/>
      <c r="O334" s="1274"/>
      <c r="P334" s="1269"/>
      <c r="Q334" s="1269"/>
      <c r="R334" s="1269"/>
      <c r="S334" s="1269"/>
      <c r="T334" s="1269"/>
      <c r="U334" s="1269"/>
      <c r="V334" s="1269"/>
      <c r="W334" s="1269"/>
      <c r="X334" s="1269"/>
      <c r="Y334" s="1269"/>
    </row>
    <row r="335" spans="1:25">
      <c r="A335" s="1269"/>
      <c r="D335" s="1269"/>
      <c r="E335" s="1269"/>
      <c r="F335" s="1269"/>
      <c r="G335" s="1269"/>
      <c r="H335" s="1269"/>
      <c r="M335" s="1324"/>
      <c r="O335" s="1274"/>
      <c r="P335" s="1269"/>
      <c r="Q335" s="1269"/>
      <c r="R335" s="1269"/>
      <c r="S335" s="1269"/>
      <c r="T335" s="1269"/>
      <c r="U335" s="1269"/>
      <c r="V335" s="1269"/>
      <c r="W335" s="1269"/>
      <c r="X335" s="1269"/>
      <c r="Y335" s="1269"/>
    </row>
    <row r="336" spans="1:25">
      <c r="A336" s="1269"/>
      <c r="D336" s="1269"/>
      <c r="E336" s="1269"/>
      <c r="F336" s="1269"/>
      <c r="G336" s="1269"/>
      <c r="H336" s="1269"/>
      <c r="M336" s="1324"/>
      <c r="O336" s="1274"/>
      <c r="P336" s="1269"/>
      <c r="Q336" s="1269"/>
      <c r="R336" s="1269"/>
      <c r="S336" s="1269"/>
      <c r="T336" s="1269"/>
      <c r="U336" s="1269"/>
      <c r="V336" s="1269"/>
      <c r="W336" s="1269"/>
      <c r="X336" s="1269"/>
      <c r="Y336" s="1269"/>
    </row>
    <row r="337" spans="1:25">
      <c r="A337" s="1269"/>
      <c r="D337" s="1269"/>
      <c r="E337" s="1269"/>
      <c r="F337" s="1269"/>
      <c r="G337" s="1269"/>
      <c r="H337" s="1269"/>
      <c r="M337" s="1324"/>
      <c r="O337" s="1274"/>
      <c r="P337" s="1269"/>
      <c r="Q337" s="1269"/>
      <c r="R337" s="1269"/>
      <c r="S337" s="1269"/>
      <c r="T337" s="1269"/>
      <c r="U337" s="1269"/>
      <c r="V337" s="1269"/>
      <c r="W337" s="1269"/>
      <c r="X337" s="1269"/>
      <c r="Y337" s="1269"/>
    </row>
    <row r="338" spans="1:25">
      <c r="A338" s="1269"/>
      <c r="D338" s="1269"/>
      <c r="E338" s="1269"/>
      <c r="F338" s="1269"/>
      <c r="G338" s="1269"/>
      <c r="H338" s="1269"/>
      <c r="M338" s="1324"/>
      <c r="O338" s="1274"/>
      <c r="P338" s="1269"/>
      <c r="Q338" s="1269"/>
      <c r="R338" s="1269"/>
      <c r="S338" s="1269"/>
      <c r="T338" s="1269"/>
      <c r="U338" s="1269"/>
      <c r="V338" s="1269"/>
      <c r="W338" s="1269"/>
      <c r="X338" s="1269"/>
      <c r="Y338" s="1269"/>
    </row>
    <row r="339" spans="1:25">
      <c r="A339" s="1269"/>
      <c r="D339" s="1269"/>
      <c r="E339" s="1269"/>
      <c r="F339" s="1269"/>
      <c r="G339" s="1269"/>
      <c r="H339" s="1269"/>
      <c r="M339" s="1324"/>
      <c r="O339" s="1274"/>
      <c r="P339" s="1269"/>
      <c r="Q339" s="1269"/>
      <c r="R339" s="1269"/>
      <c r="S339" s="1269"/>
      <c r="T339" s="1269"/>
      <c r="U339" s="1269"/>
      <c r="V339" s="1269"/>
      <c r="W339" s="1269"/>
      <c r="X339" s="1269"/>
      <c r="Y339" s="1269"/>
    </row>
    <row r="340" spans="1:25">
      <c r="A340" s="1269"/>
      <c r="D340" s="1269"/>
      <c r="E340" s="1269"/>
      <c r="F340" s="1269"/>
      <c r="G340" s="1269"/>
      <c r="H340" s="1269"/>
      <c r="M340" s="1324"/>
      <c r="O340" s="1274"/>
      <c r="P340" s="1269"/>
      <c r="Q340" s="1269"/>
      <c r="R340" s="1269"/>
      <c r="S340" s="1269"/>
      <c r="T340" s="1269"/>
      <c r="U340" s="1269"/>
      <c r="V340" s="1269"/>
      <c r="W340" s="1269"/>
      <c r="X340" s="1269"/>
      <c r="Y340" s="1269"/>
    </row>
    <row r="341" spans="1:25">
      <c r="A341" s="1269"/>
      <c r="D341" s="1269"/>
      <c r="E341" s="1269"/>
      <c r="F341" s="1269"/>
      <c r="G341" s="1269"/>
      <c r="H341" s="1269"/>
      <c r="M341" s="1324"/>
      <c r="O341" s="1274"/>
      <c r="P341" s="1269"/>
      <c r="Q341" s="1269"/>
      <c r="R341" s="1269"/>
      <c r="S341" s="1269"/>
      <c r="T341" s="1269"/>
      <c r="U341" s="1269"/>
      <c r="V341" s="1269"/>
      <c r="W341" s="1269"/>
      <c r="X341" s="1269"/>
      <c r="Y341" s="1269"/>
    </row>
    <row r="342" spans="1:25">
      <c r="A342" s="1269"/>
      <c r="D342" s="1269"/>
      <c r="E342" s="1269"/>
      <c r="F342" s="1269"/>
      <c r="G342" s="1269"/>
      <c r="H342" s="1269"/>
      <c r="M342" s="1324"/>
      <c r="O342" s="1274"/>
      <c r="P342" s="1269"/>
      <c r="Q342" s="1269"/>
      <c r="R342" s="1269"/>
      <c r="S342" s="1269"/>
      <c r="T342" s="1269"/>
      <c r="U342" s="1269"/>
      <c r="V342" s="1269"/>
      <c r="W342" s="1269"/>
      <c r="X342" s="1269"/>
      <c r="Y342" s="1269"/>
    </row>
    <row r="343" spans="1:25">
      <c r="A343" s="1269"/>
      <c r="D343" s="1269"/>
      <c r="E343" s="1269"/>
      <c r="F343" s="1269"/>
      <c r="G343" s="1269"/>
      <c r="H343" s="1269"/>
      <c r="M343" s="1324"/>
      <c r="O343" s="1274"/>
      <c r="P343" s="1269"/>
      <c r="Q343" s="1269"/>
      <c r="R343" s="1269"/>
      <c r="S343" s="1269"/>
      <c r="T343" s="1269"/>
      <c r="U343" s="1269"/>
      <c r="V343" s="1269"/>
      <c r="W343" s="1269"/>
      <c r="X343" s="1269"/>
      <c r="Y343" s="1269"/>
    </row>
    <row r="344" spans="1:25">
      <c r="A344" s="1269"/>
      <c r="D344" s="1269"/>
      <c r="E344" s="1269"/>
      <c r="F344" s="1269"/>
      <c r="G344" s="1269"/>
      <c r="H344" s="1269"/>
      <c r="M344" s="1324"/>
      <c r="O344" s="1274"/>
      <c r="P344" s="1269"/>
      <c r="Q344" s="1269"/>
      <c r="R344" s="1269"/>
      <c r="S344" s="1269"/>
      <c r="T344" s="1269"/>
      <c r="U344" s="1269"/>
      <c r="V344" s="1269"/>
      <c r="W344" s="1269"/>
      <c r="X344" s="1269"/>
      <c r="Y344" s="1269"/>
    </row>
    <row r="345" spans="1:25">
      <c r="A345" s="1269"/>
      <c r="D345" s="1269"/>
      <c r="E345" s="1269"/>
      <c r="F345" s="1269"/>
      <c r="G345" s="1269"/>
      <c r="H345" s="1269"/>
      <c r="M345" s="1324"/>
      <c r="O345" s="1274"/>
      <c r="P345" s="1269"/>
      <c r="Q345" s="1269"/>
      <c r="R345" s="1269"/>
      <c r="S345" s="1269"/>
      <c r="T345" s="1269"/>
      <c r="U345" s="1269"/>
      <c r="V345" s="1269"/>
      <c r="W345" s="1269"/>
      <c r="X345" s="1269"/>
      <c r="Y345" s="1269"/>
    </row>
    <row r="346" spans="1:25">
      <c r="A346" s="1269"/>
      <c r="D346" s="1269"/>
      <c r="E346" s="1269"/>
      <c r="F346" s="1269"/>
      <c r="G346" s="1269"/>
      <c r="H346" s="1269"/>
      <c r="M346" s="1324"/>
      <c r="O346" s="1274"/>
      <c r="P346" s="1269"/>
      <c r="Q346" s="1269"/>
      <c r="R346" s="1269"/>
      <c r="S346" s="1269"/>
      <c r="T346" s="1269"/>
      <c r="U346" s="1269"/>
      <c r="V346" s="1269"/>
      <c r="W346" s="1269"/>
      <c r="X346" s="1269"/>
      <c r="Y346" s="1269"/>
    </row>
    <row r="347" spans="1:25">
      <c r="A347" s="1269"/>
      <c r="D347" s="1269"/>
      <c r="E347" s="1269"/>
      <c r="F347" s="1269"/>
      <c r="G347" s="1269"/>
      <c r="H347" s="1269"/>
      <c r="M347" s="1324"/>
      <c r="O347" s="1274"/>
      <c r="P347" s="1269"/>
      <c r="Q347" s="1269"/>
      <c r="R347" s="1269"/>
      <c r="S347" s="1269"/>
      <c r="T347" s="1269"/>
      <c r="U347" s="1269"/>
      <c r="V347" s="1269"/>
      <c r="W347" s="1269"/>
      <c r="X347" s="1269"/>
      <c r="Y347" s="1269"/>
    </row>
    <row r="348" spans="1:25">
      <c r="A348" s="1269"/>
      <c r="D348" s="1269"/>
      <c r="E348" s="1269"/>
      <c r="F348" s="1269"/>
      <c r="G348" s="1269"/>
      <c r="H348" s="1269"/>
      <c r="M348" s="1324"/>
      <c r="O348" s="1274"/>
      <c r="P348" s="1269"/>
      <c r="Q348" s="1269"/>
      <c r="R348" s="1269"/>
      <c r="S348" s="1269"/>
      <c r="T348" s="1269"/>
      <c r="U348" s="1269"/>
      <c r="V348" s="1269"/>
      <c r="W348" s="1269"/>
      <c r="X348" s="1269"/>
      <c r="Y348" s="1269"/>
    </row>
    <row r="349" spans="1:25">
      <c r="A349" s="1269"/>
      <c r="D349" s="1269"/>
      <c r="E349" s="1269"/>
      <c r="F349" s="1269"/>
      <c r="G349" s="1269"/>
      <c r="H349" s="1269"/>
      <c r="M349" s="1324"/>
      <c r="O349" s="1274"/>
      <c r="P349" s="1269"/>
      <c r="Q349" s="1269"/>
      <c r="R349" s="1269"/>
      <c r="S349" s="1269"/>
      <c r="T349" s="1269"/>
      <c r="U349" s="1269"/>
      <c r="V349" s="1269"/>
      <c r="W349" s="1269"/>
      <c r="X349" s="1269"/>
      <c r="Y349" s="1269"/>
    </row>
    <row r="350" spans="1:25">
      <c r="A350" s="1269"/>
      <c r="D350" s="1269"/>
      <c r="E350" s="1269"/>
      <c r="F350" s="1269"/>
      <c r="G350" s="1269"/>
      <c r="H350" s="1269"/>
      <c r="M350" s="1324"/>
      <c r="O350" s="1274"/>
      <c r="P350" s="1269"/>
      <c r="Q350" s="1269"/>
      <c r="R350" s="1269"/>
      <c r="S350" s="1269"/>
      <c r="T350" s="1269"/>
      <c r="U350" s="1269"/>
      <c r="V350" s="1269"/>
      <c r="W350" s="1269"/>
      <c r="X350" s="1269"/>
      <c r="Y350" s="1269"/>
    </row>
    <row r="351" spans="1:25">
      <c r="A351" s="1269"/>
      <c r="D351" s="1269"/>
      <c r="E351" s="1269"/>
      <c r="F351" s="1269"/>
      <c r="G351" s="1269"/>
      <c r="H351" s="1269"/>
      <c r="M351" s="1324"/>
      <c r="O351" s="1274"/>
      <c r="P351" s="1269"/>
      <c r="Q351" s="1269"/>
      <c r="R351" s="1269"/>
      <c r="S351" s="1269"/>
      <c r="T351" s="1269"/>
      <c r="U351" s="1269"/>
      <c r="V351" s="1269"/>
      <c r="W351" s="1269"/>
      <c r="X351" s="1269"/>
      <c r="Y351" s="1269"/>
    </row>
    <row r="352" spans="1:25">
      <c r="A352" s="1269"/>
      <c r="D352" s="1269"/>
      <c r="E352" s="1269"/>
      <c r="F352" s="1269"/>
      <c r="G352" s="1269"/>
      <c r="H352" s="1269"/>
      <c r="M352" s="1324"/>
      <c r="O352" s="1274"/>
      <c r="P352" s="1269"/>
      <c r="Q352" s="1269"/>
      <c r="R352" s="1269"/>
      <c r="S352" s="1269"/>
      <c r="T352" s="1269"/>
      <c r="U352" s="1269"/>
      <c r="V352" s="1269"/>
      <c r="W352" s="1269"/>
      <c r="X352" s="1269"/>
      <c r="Y352" s="1269"/>
    </row>
    <row r="353" spans="1:25">
      <c r="A353" s="1269"/>
      <c r="D353" s="1269"/>
      <c r="E353" s="1269"/>
      <c r="F353" s="1269"/>
      <c r="G353" s="1269"/>
      <c r="H353" s="1269"/>
      <c r="M353" s="1324"/>
      <c r="O353" s="1274"/>
      <c r="P353" s="1269"/>
      <c r="Q353" s="1269"/>
      <c r="R353" s="1269"/>
      <c r="S353" s="1269"/>
      <c r="T353" s="1269"/>
      <c r="U353" s="1269"/>
      <c r="V353" s="1269"/>
      <c r="W353" s="1269"/>
      <c r="X353" s="1269"/>
      <c r="Y353" s="1269"/>
    </row>
    <row r="354" spans="1:25">
      <c r="A354" s="1269"/>
      <c r="D354" s="1269"/>
      <c r="E354" s="1269"/>
      <c r="F354" s="1269"/>
      <c r="G354" s="1269"/>
      <c r="H354" s="1269"/>
      <c r="M354" s="1324"/>
      <c r="O354" s="1274"/>
      <c r="P354" s="1269"/>
      <c r="Q354" s="1269"/>
      <c r="R354" s="1269"/>
      <c r="S354" s="1269"/>
      <c r="T354" s="1269"/>
      <c r="U354" s="1269"/>
      <c r="V354" s="1269"/>
      <c r="W354" s="1269"/>
      <c r="X354" s="1269"/>
      <c r="Y354" s="1269"/>
    </row>
    <row r="355" spans="1:25">
      <c r="A355" s="1269"/>
      <c r="D355" s="1269"/>
      <c r="E355" s="1269"/>
      <c r="F355" s="1269"/>
      <c r="G355" s="1269"/>
      <c r="H355" s="1269"/>
      <c r="M355" s="1324"/>
      <c r="O355" s="1274"/>
      <c r="P355" s="1269"/>
      <c r="Q355" s="1269"/>
      <c r="R355" s="1269"/>
      <c r="S355" s="1269"/>
      <c r="T355" s="1269"/>
      <c r="U355" s="1269"/>
      <c r="V355" s="1269"/>
      <c r="W355" s="1269"/>
      <c r="X355" s="1269"/>
      <c r="Y355" s="1269"/>
    </row>
    <row r="356" spans="1:25">
      <c r="A356" s="1269"/>
      <c r="D356" s="1269"/>
      <c r="E356" s="1269"/>
      <c r="F356" s="1269"/>
      <c r="G356" s="1269"/>
      <c r="H356" s="1269"/>
      <c r="M356" s="1324"/>
      <c r="O356" s="1274"/>
      <c r="P356" s="1269"/>
      <c r="Q356" s="1269"/>
      <c r="R356" s="1269"/>
      <c r="S356" s="1269"/>
      <c r="T356" s="1269"/>
      <c r="U356" s="1269"/>
      <c r="V356" s="1269"/>
      <c r="W356" s="1269"/>
      <c r="X356" s="1269"/>
      <c r="Y356" s="1269"/>
    </row>
    <row r="357" spans="1:25">
      <c r="A357" s="1269"/>
      <c r="D357" s="1269"/>
      <c r="E357" s="1269"/>
      <c r="F357" s="1269"/>
      <c r="G357" s="1269"/>
      <c r="H357" s="1269"/>
      <c r="M357" s="1324"/>
      <c r="O357" s="1274"/>
      <c r="P357" s="1269"/>
      <c r="Q357" s="1269"/>
      <c r="R357" s="1269"/>
      <c r="S357" s="1269"/>
      <c r="T357" s="1269"/>
      <c r="U357" s="1269"/>
      <c r="V357" s="1269"/>
      <c r="W357" s="1269"/>
      <c r="X357" s="1269"/>
      <c r="Y357" s="1269"/>
    </row>
    <row r="358" spans="1:25">
      <c r="A358" s="1269"/>
      <c r="D358" s="1269"/>
      <c r="E358" s="1269"/>
      <c r="F358" s="1269"/>
      <c r="G358" s="1269"/>
      <c r="H358" s="1269"/>
      <c r="M358" s="1324"/>
      <c r="O358" s="1274"/>
      <c r="P358" s="1269"/>
      <c r="Q358" s="1269"/>
      <c r="R358" s="1269"/>
      <c r="S358" s="1269"/>
      <c r="T358" s="1269"/>
      <c r="U358" s="1269"/>
      <c r="V358" s="1269"/>
      <c r="W358" s="1269"/>
      <c r="X358" s="1269"/>
      <c r="Y358" s="1269"/>
    </row>
    <row r="359" spans="1:25">
      <c r="A359" s="1269"/>
      <c r="D359" s="1269"/>
      <c r="E359" s="1269"/>
      <c r="F359" s="1269"/>
      <c r="G359" s="1269"/>
      <c r="H359" s="1269"/>
      <c r="M359" s="1324"/>
      <c r="O359" s="1274"/>
      <c r="P359" s="1269"/>
      <c r="Q359" s="1269"/>
      <c r="R359" s="1269"/>
      <c r="S359" s="1269"/>
      <c r="T359" s="1269"/>
      <c r="U359" s="1269"/>
      <c r="V359" s="1269"/>
      <c r="W359" s="1269"/>
      <c r="X359" s="1269"/>
      <c r="Y359" s="1269"/>
    </row>
    <row r="360" spans="1:25">
      <c r="A360" s="1269"/>
      <c r="D360" s="1269"/>
      <c r="E360" s="1269"/>
      <c r="F360" s="1269"/>
      <c r="G360" s="1269"/>
      <c r="H360" s="1269"/>
      <c r="M360" s="1324"/>
      <c r="O360" s="1274"/>
      <c r="P360" s="1269"/>
      <c r="Q360" s="1269"/>
      <c r="R360" s="1269"/>
      <c r="S360" s="1269"/>
      <c r="T360" s="1269"/>
      <c r="U360" s="1269"/>
      <c r="V360" s="1269"/>
      <c r="W360" s="1269"/>
      <c r="X360" s="1269"/>
      <c r="Y360" s="1269"/>
    </row>
    <row r="361" spans="1:25">
      <c r="A361" s="1269"/>
      <c r="D361" s="1269"/>
      <c r="E361" s="1269"/>
      <c r="F361" s="1269"/>
      <c r="G361" s="1269"/>
      <c r="H361" s="1269"/>
      <c r="M361" s="1324"/>
      <c r="O361" s="1274"/>
      <c r="P361" s="1269"/>
      <c r="Q361" s="1269"/>
      <c r="R361" s="1269"/>
      <c r="S361" s="1269"/>
      <c r="T361" s="1269"/>
      <c r="U361" s="1269"/>
      <c r="V361" s="1269"/>
      <c r="W361" s="1269"/>
      <c r="X361" s="1269"/>
      <c r="Y361" s="1269"/>
    </row>
    <row r="362" spans="1:25">
      <c r="A362" s="1269"/>
      <c r="D362" s="1269"/>
      <c r="E362" s="1269"/>
      <c r="F362" s="1269"/>
      <c r="G362" s="1269"/>
      <c r="H362" s="1269"/>
      <c r="M362" s="1324"/>
      <c r="O362" s="1274"/>
      <c r="P362" s="1269"/>
      <c r="Q362" s="1269"/>
      <c r="R362" s="1269"/>
      <c r="S362" s="1269"/>
      <c r="T362" s="1269"/>
      <c r="U362" s="1269"/>
      <c r="V362" s="1269"/>
      <c r="W362" s="1269"/>
      <c r="X362" s="1269"/>
      <c r="Y362" s="1269"/>
    </row>
    <row r="363" spans="1:25">
      <c r="A363" s="1269"/>
      <c r="D363" s="1269"/>
      <c r="E363" s="1269"/>
      <c r="F363" s="1269"/>
      <c r="G363" s="1269"/>
      <c r="H363" s="1269"/>
      <c r="M363" s="1324"/>
      <c r="O363" s="1274"/>
      <c r="P363" s="1269"/>
      <c r="Q363" s="1269"/>
      <c r="R363" s="1269"/>
      <c r="S363" s="1269"/>
      <c r="T363" s="1269"/>
      <c r="U363" s="1269"/>
      <c r="V363" s="1269"/>
      <c r="W363" s="1269"/>
      <c r="X363" s="1269"/>
      <c r="Y363" s="1269"/>
    </row>
    <row r="364" spans="1:25">
      <c r="A364" s="1269"/>
      <c r="D364" s="1269"/>
      <c r="E364" s="1269"/>
      <c r="F364" s="1269"/>
      <c r="G364" s="1269"/>
      <c r="H364" s="1269"/>
      <c r="M364" s="1324"/>
      <c r="O364" s="1274"/>
      <c r="P364" s="1269"/>
      <c r="Q364" s="1269"/>
      <c r="R364" s="1269"/>
      <c r="S364" s="1269"/>
      <c r="T364" s="1269"/>
      <c r="U364" s="1269"/>
      <c r="V364" s="1269"/>
      <c r="W364" s="1269"/>
      <c r="X364" s="1269"/>
      <c r="Y364" s="1269"/>
    </row>
    <row r="365" spans="1:25">
      <c r="A365" s="1269"/>
      <c r="D365" s="1269"/>
      <c r="E365" s="1269"/>
      <c r="F365" s="1269"/>
      <c r="G365" s="1269"/>
      <c r="H365" s="1269"/>
      <c r="M365" s="1324"/>
      <c r="O365" s="1274"/>
      <c r="P365" s="1269"/>
      <c r="Q365" s="1269"/>
      <c r="R365" s="1269"/>
      <c r="S365" s="1269"/>
      <c r="T365" s="1269"/>
      <c r="U365" s="1269"/>
      <c r="V365" s="1269"/>
      <c r="W365" s="1269"/>
      <c r="X365" s="1269"/>
      <c r="Y365" s="1269"/>
    </row>
    <row r="366" spans="1:25">
      <c r="A366" s="1269"/>
      <c r="D366" s="1269"/>
      <c r="E366" s="1269"/>
      <c r="F366" s="1269"/>
      <c r="G366" s="1269"/>
      <c r="H366" s="1269"/>
      <c r="M366" s="1324"/>
      <c r="O366" s="1274"/>
      <c r="P366" s="1269"/>
      <c r="Q366" s="1269"/>
      <c r="R366" s="1269"/>
      <c r="S366" s="1269"/>
      <c r="T366" s="1269"/>
      <c r="U366" s="1269"/>
      <c r="V366" s="1269"/>
      <c r="W366" s="1269"/>
      <c r="X366" s="1269"/>
      <c r="Y366" s="1269"/>
    </row>
    <row r="367" spans="1:25">
      <c r="A367" s="1269"/>
      <c r="D367" s="1269"/>
      <c r="E367" s="1269"/>
      <c r="F367" s="1269"/>
      <c r="G367" s="1269"/>
      <c r="H367" s="1269"/>
      <c r="M367" s="1324"/>
      <c r="O367" s="1274"/>
      <c r="P367" s="1269"/>
      <c r="Q367" s="1269"/>
      <c r="R367" s="1269"/>
      <c r="S367" s="1269"/>
      <c r="T367" s="1269"/>
      <c r="U367" s="1269"/>
      <c r="V367" s="1269"/>
      <c r="W367" s="1269"/>
      <c r="X367" s="1269"/>
      <c r="Y367" s="1269"/>
    </row>
    <row r="368" spans="1:25">
      <c r="A368" s="1269"/>
      <c r="D368" s="1269"/>
      <c r="E368" s="1269"/>
      <c r="F368" s="1269"/>
      <c r="G368" s="1269"/>
      <c r="H368" s="1269"/>
      <c r="M368" s="1324"/>
      <c r="O368" s="1274"/>
      <c r="P368" s="1269"/>
      <c r="Q368" s="1269"/>
      <c r="R368" s="1269"/>
      <c r="S368" s="1269"/>
      <c r="T368" s="1269"/>
      <c r="U368" s="1269"/>
      <c r="V368" s="1269"/>
      <c r="W368" s="1269"/>
      <c r="X368" s="1269"/>
      <c r="Y368" s="1269"/>
    </row>
    <row r="369" spans="1:25">
      <c r="A369" s="1269"/>
      <c r="D369" s="1269"/>
      <c r="E369" s="1269"/>
      <c r="F369" s="1269"/>
      <c r="G369" s="1269"/>
      <c r="H369" s="1269"/>
      <c r="M369" s="1324"/>
      <c r="O369" s="1274"/>
      <c r="P369" s="1269"/>
      <c r="Q369" s="1269"/>
      <c r="R369" s="1269"/>
      <c r="S369" s="1269"/>
      <c r="T369" s="1269"/>
      <c r="U369" s="1269"/>
      <c r="V369" s="1269"/>
      <c r="W369" s="1269"/>
      <c r="X369" s="1269"/>
      <c r="Y369" s="1269"/>
    </row>
    <row r="370" spans="1:25">
      <c r="A370" s="1269"/>
      <c r="D370" s="1269"/>
      <c r="E370" s="1269"/>
      <c r="F370" s="1269"/>
      <c r="G370" s="1269"/>
      <c r="H370" s="1269"/>
      <c r="M370" s="1324"/>
      <c r="O370" s="1274"/>
      <c r="P370" s="1269"/>
      <c r="Q370" s="1269"/>
      <c r="R370" s="1269"/>
      <c r="S370" s="1269"/>
      <c r="T370" s="1269"/>
      <c r="U370" s="1269"/>
      <c r="V370" s="1269"/>
      <c r="W370" s="1269"/>
      <c r="X370" s="1269"/>
      <c r="Y370" s="1269"/>
    </row>
    <row r="371" spans="1:25">
      <c r="A371" s="1269"/>
      <c r="D371" s="1269"/>
      <c r="E371" s="1269"/>
      <c r="F371" s="1269"/>
      <c r="G371" s="1269"/>
      <c r="H371" s="1269"/>
      <c r="M371" s="1324"/>
      <c r="O371" s="1274"/>
      <c r="P371" s="1269"/>
      <c r="Q371" s="1269"/>
      <c r="R371" s="1269"/>
      <c r="S371" s="1269"/>
      <c r="T371" s="1269"/>
      <c r="U371" s="1269"/>
      <c r="V371" s="1269"/>
      <c r="W371" s="1269"/>
      <c r="X371" s="1269"/>
      <c r="Y371" s="1269"/>
    </row>
    <row r="372" spans="1:25">
      <c r="A372" s="1269"/>
      <c r="D372" s="1269"/>
      <c r="E372" s="1269"/>
      <c r="F372" s="1269"/>
      <c r="G372" s="1269"/>
      <c r="H372" s="1269"/>
      <c r="M372" s="1324"/>
      <c r="O372" s="1274"/>
      <c r="P372" s="1269"/>
      <c r="Q372" s="1269"/>
      <c r="R372" s="1269"/>
      <c r="S372" s="1269"/>
      <c r="T372" s="1269"/>
      <c r="U372" s="1269"/>
      <c r="V372" s="1269"/>
      <c r="W372" s="1269"/>
      <c r="X372" s="1269"/>
      <c r="Y372" s="1269"/>
    </row>
    <row r="373" spans="1:25">
      <c r="A373" s="1269"/>
      <c r="D373" s="1269"/>
      <c r="E373" s="1269"/>
      <c r="F373" s="1269"/>
      <c r="G373" s="1269"/>
      <c r="H373" s="1269"/>
      <c r="M373" s="1324"/>
      <c r="O373" s="1274"/>
      <c r="P373" s="1269"/>
      <c r="Q373" s="1269"/>
      <c r="R373" s="1269"/>
      <c r="S373" s="1269"/>
      <c r="T373" s="1269"/>
      <c r="U373" s="1269"/>
      <c r="V373" s="1269"/>
      <c r="W373" s="1269"/>
      <c r="X373" s="1269"/>
      <c r="Y373" s="1269"/>
    </row>
    <row r="374" spans="1:25">
      <c r="A374" s="1269"/>
      <c r="D374" s="1269"/>
      <c r="E374" s="1269"/>
      <c r="F374" s="1269"/>
      <c r="G374" s="1269"/>
      <c r="H374" s="1269"/>
      <c r="M374" s="1324"/>
      <c r="O374" s="1274"/>
      <c r="P374" s="1269"/>
      <c r="Q374" s="1269"/>
      <c r="R374" s="1269"/>
      <c r="S374" s="1269"/>
      <c r="T374" s="1269"/>
      <c r="U374" s="1269"/>
      <c r="V374" s="1269"/>
      <c r="W374" s="1269"/>
      <c r="X374" s="1269"/>
      <c r="Y374" s="1269"/>
    </row>
    <row r="375" spans="1:25">
      <c r="A375" s="1269"/>
      <c r="D375" s="1269"/>
      <c r="E375" s="1269"/>
      <c r="F375" s="1269"/>
      <c r="G375" s="1269"/>
      <c r="H375" s="1269"/>
      <c r="M375" s="1324"/>
      <c r="O375" s="1274"/>
      <c r="P375" s="1269"/>
      <c r="Q375" s="1269"/>
      <c r="R375" s="1269"/>
      <c r="S375" s="1269"/>
      <c r="T375" s="1269"/>
      <c r="U375" s="1269"/>
      <c r="V375" s="1269"/>
      <c r="W375" s="1269"/>
      <c r="X375" s="1269"/>
      <c r="Y375" s="1269"/>
    </row>
    <row r="376" spans="1:25">
      <c r="A376" s="1269"/>
      <c r="D376" s="1269"/>
      <c r="E376" s="1269"/>
      <c r="F376" s="1269"/>
      <c r="G376" s="1269"/>
      <c r="H376" s="1269"/>
      <c r="M376" s="1324"/>
      <c r="O376" s="1274"/>
      <c r="P376" s="1269"/>
      <c r="Q376" s="1269"/>
      <c r="R376" s="1269"/>
      <c r="S376" s="1269"/>
      <c r="T376" s="1269"/>
      <c r="U376" s="1269"/>
      <c r="V376" s="1269"/>
      <c r="W376" s="1269"/>
      <c r="X376" s="1269"/>
      <c r="Y376" s="1269"/>
    </row>
    <row r="377" spans="1:25">
      <c r="A377" s="1269"/>
      <c r="D377" s="1269"/>
      <c r="E377" s="1269"/>
      <c r="F377" s="1269"/>
      <c r="G377" s="1269"/>
      <c r="H377" s="1269"/>
      <c r="M377" s="1324"/>
      <c r="O377" s="1274"/>
      <c r="P377" s="1269"/>
      <c r="Q377" s="1269"/>
      <c r="R377" s="1269"/>
      <c r="S377" s="1269"/>
      <c r="T377" s="1269"/>
      <c r="U377" s="1269"/>
      <c r="V377" s="1269"/>
      <c r="W377" s="1269"/>
      <c r="X377" s="1269"/>
      <c r="Y377" s="1269"/>
    </row>
    <row r="378" spans="1:25">
      <c r="A378" s="1269"/>
      <c r="D378" s="1269"/>
      <c r="E378" s="1269"/>
      <c r="F378" s="1269"/>
      <c r="G378" s="1269"/>
      <c r="H378" s="1269"/>
      <c r="M378" s="1324"/>
      <c r="O378" s="1274"/>
      <c r="P378" s="1269"/>
      <c r="Q378" s="1269"/>
      <c r="R378" s="1269"/>
      <c r="S378" s="1269"/>
      <c r="T378" s="1269"/>
      <c r="U378" s="1269"/>
      <c r="V378" s="1269"/>
      <c r="W378" s="1269"/>
      <c r="X378" s="1269"/>
      <c r="Y378" s="1269"/>
    </row>
    <row r="379" spans="1:25">
      <c r="A379" s="1269"/>
      <c r="D379" s="1269"/>
      <c r="E379" s="1269"/>
      <c r="F379" s="1269"/>
      <c r="G379" s="1269"/>
      <c r="H379" s="1269"/>
      <c r="M379" s="1324"/>
      <c r="O379" s="1274"/>
      <c r="P379" s="1269"/>
      <c r="Q379" s="1269"/>
      <c r="R379" s="1269"/>
      <c r="S379" s="1269"/>
      <c r="T379" s="1269"/>
      <c r="U379" s="1269"/>
      <c r="V379" s="1269"/>
      <c r="W379" s="1269"/>
      <c r="X379" s="1269"/>
      <c r="Y379" s="1269"/>
    </row>
    <row r="380" spans="1:25">
      <c r="A380" s="1269"/>
      <c r="D380" s="1269"/>
      <c r="E380" s="1269"/>
      <c r="F380" s="1269"/>
      <c r="G380" s="1269"/>
      <c r="H380" s="1269"/>
      <c r="M380" s="1324"/>
      <c r="O380" s="1274"/>
      <c r="P380" s="1269"/>
      <c r="Q380" s="1269"/>
      <c r="R380" s="1269"/>
      <c r="S380" s="1269"/>
      <c r="T380" s="1269"/>
      <c r="U380" s="1269"/>
      <c r="V380" s="1269"/>
      <c r="W380" s="1269"/>
      <c r="X380" s="1269"/>
      <c r="Y380" s="1269"/>
    </row>
    <row r="381" spans="1:25">
      <c r="A381" s="1269"/>
      <c r="D381" s="1269"/>
      <c r="E381" s="1269"/>
      <c r="F381" s="1269"/>
      <c r="G381" s="1269"/>
      <c r="H381" s="1269"/>
      <c r="M381" s="1324"/>
      <c r="O381" s="1274"/>
      <c r="P381" s="1269"/>
      <c r="Q381" s="1269"/>
      <c r="R381" s="1269"/>
      <c r="S381" s="1269"/>
      <c r="T381" s="1269"/>
      <c r="U381" s="1269"/>
      <c r="V381" s="1269"/>
      <c r="W381" s="1269"/>
      <c r="X381" s="1269"/>
      <c r="Y381" s="1269"/>
    </row>
    <row r="382" spans="1:25">
      <c r="A382" s="1269"/>
      <c r="D382" s="1269"/>
      <c r="E382" s="1269"/>
      <c r="F382" s="1269"/>
      <c r="G382" s="1269"/>
      <c r="H382" s="1269"/>
      <c r="M382" s="1324"/>
      <c r="O382" s="1274"/>
      <c r="P382" s="1269"/>
      <c r="Q382" s="1269"/>
      <c r="R382" s="1269"/>
      <c r="S382" s="1269"/>
      <c r="T382" s="1269"/>
      <c r="U382" s="1269"/>
      <c r="V382" s="1269"/>
      <c r="W382" s="1269"/>
      <c r="X382" s="1269"/>
      <c r="Y382" s="1269"/>
    </row>
    <row r="383" spans="1:25">
      <c r="A383" s="1269"/>
      <c r="D383" s="1269"/>
      <c r="E383" s="1269"/>
      <c r="F383" s="1269"/>
      <c r="G383" s="1269"/>
      <c r="H383" s="1269"/>
      <c r="M383" s="1324"/>
      <c r="O383" s="1274"/>
      <c r="P383" s="1269"/>
      <c r="Q383" s="1269"/>
      <c r="R383" s="1269"/>
      <c r="S383" s="1269"/>
      <c r="T383" s="1269"/>
      <c r="U383" s="1269"/>
      <c r="V383" s="1269"/>
      <c r="W383" s="1269"/>
      <c r="X383" s="1269"/>
      <c r="Y383" s="1269"/>
    </row>
    <row r="384" spans="1:25">
      <c r="A384" s="1269"/>
      <c r="D384" s="1269"/>
      <c r="E384" s="1269"/>
      <c r="F384" s="1269"/>
      <c r="G384" s="1269"/>
      <c r="H384" s="1269"/>
      <c r="M384" s="1324"/>
      <c r="O384" s="1274"/>
      <c r="P384" s="1269"/>
      <c r="Q384" s="1269"/>
      <c r="R384" s="1269"/>
      <c r="S384" s="1269"/>
      <c r="T384" s="1269"/>
      <c r="U384" s="1269"/>
      <c r="V384" s="1269"/>
      <c r="W384" s="1269"/>
      <c r="X384" s="1269"/>
      <c r="Y384" s="1269"/>
    </row>
    <row r="385" spans="1:25">
      <c r="A385" s="1269"/>
      <c r="D385" s="1269"/>
      <c r="E385" s="1269"/>
      <c r="F385" s="1269"/>
      <c r="G385" s="1269"/>
      <c r="H385" s="1269"/>
      <c r="M385" s="1324"/>
      <c r="O385" s="1274"/>
      <c r="P385" s="1269"/>
      <c r="Q385" s="1269"/>
      <c r="R385" s="1269"/>
      <c r="S385" s="1269"/>
      <c r="T385" s="1269"/>
      <c r="U385" s="1269"/>
      <c r="V385" s="1269"/>
      <c r="W385" s="1269"/>
      <c r="X385" s="1269"/>
      <c r="Y385" s="1269"/>
    </row>
    <row r="386" spans="1:25">
      <c r="A386" s="1269"/>
      <c r="D386" s="1269"/>
      <c r="E386" s="1269"/>
      <c r="F386" s="1269"/>
      <c r="G386" s="1269"/>
      <c r="H386" s="1269"/>
      <c r="M386" s="1324"/>
      <c r="O386" s="1274"/>
      <c r="P386" s="1269"/>
      <c r="Q386" s="1269"/>
      <c r="R386" s="1269"/>
      <c r="S386" s="1269"/>
      <c r="T386" s="1269"/>
      <c r="U386" s="1269"/>
      <c r="V386" s="1269"/>
      <c r="W386" s="1269"/>
      <c r="X386" s="1269"/>
      <c r="Y386" s="1269"/>
    </row>
    <row r="387" spans="1:25">
      <c r="A387" s="1269"/>
      <c r="D387" s="1269"/>
      <c r="E387" s="1269"/>
      <c r="F387" s="1269"/>
      <c r="G387" s="1269"/>
      <c r="H387" s="1269"/>
      <c r="M387" s="1324"/>
      <c r="O387" s="1274"/>
      <c r="P387" s="1269"/>
      <c r="Q387" s="1269"/>
      <c r="R387" s="1269"/>
      <c r="S387" s="1269"/>
      <c r="T387" s="1269"/>
      <c r="U387" s="1269"/>
      <c r="V387" s="1269"/>
      <c r="W387" s="1269"/>
      <c r="X387" s="1269"/>
      <c r="Y387" s="1269"/>
    </row>
    <row r="388" spans="1:25">
      <c r="A388" s="1269"/>
      <c r="D388" s="1269"/>
      <c r="E388" s="1269"/>
      <c r="F388" s="1269"/>
      <c r="G388" s="1269"/>
      <c r="H388" s="1269"/>
      <c r="M388" s="1324"/>
      <c r="O388" s="1274"/>
      <c r="P388" s="1269"/>
      <c r="Q388" s="1269"/>
      <c r="R388" s="1269"/>
      <c r="S388" s="1269"/>
      <c r="T388" s="1269"/>
      <c r="U388" s="1269"/>
      <c r="V388" s="1269"/>
      <c r="W388" s="1269"/>
      <c r="X388" s="1269"/>
      <c r="Y388" s="1269"/>
    </row>
    <row r="389" spans="1:25">
      <c r="A389" s="1269"/>
      <c r="D389" s="1269"/>
      <c r="E389" s="1269"/>
      <c r="F389" s="1269"/>
      <c r="G389" s="1269"/>
      <c r="H389" s="1269"/>
      <c r="M389" s="1324"/>
      <c r="O389" s="1274"/>
      <c r="P389" s="1269"/>
      <c r="Q389" s="1269"/>
      <c r="R389" s="1269"/>
      <c r="S389" s="1269"/>
      <c r="T389" s="1269"/>
      <c r="U389" s="1269"/>
      <c r="V389" s="1269"/>
      <c r="W389" s="1269"/>
      <c r="X389" s="1269"/>
      <c r="Y389" s="1269"/>
    </row>
    <row r="390" spans="1:25">
      <c r="A390" s="1269"/>
      <c r="D390" s="1269"/>
      <c r="E390" s="1269"/>
      <c r="F390" s="1269"/>
      <c r="G390" s="1269"/>
      <c r="H390" s="1269"/>
      <c r="M390" s="1324"/>
      <c r="O390" s="1274"/>
      <c r="P390" s="1269"/>
      <c r="Q390" s="1269"/>
      <c r="R390" s="1269"/>
      <c r="S390" s="1269"/>
      <c r="T390" s="1269"/>
      <c r="U390" s="1269"/>
      <c r="V390" s="1269"/>
      <c r="W390" s="1269"/>
      <c r="X390" s="1269"/>
      <c r="Y390" s="1269"/>
    </row>
    <row r="391" spans="1:25">
      <c r="A391" s="1269"/>
      <c r="D391" s="1269"/>
      <c r="E391" s="1269"/>
      <c r="F391" s="1269"/>
      <c r="G391" s="1269"/>
      <c r="H391" s="1269"/>
      <c r="M391" s="1324"/>
      <c r="O391" s="1274"/>
      <c r="P391" s="1269"/>
      <c r="Q391" s="1269"/>
      <c r="R391" s="1269"/>
      <c r="S391" s="1269"/>
      <c r="T391" s="1269"/>
      <c r="U391" s="1269"/>
      <c r="V391" s="1269"/>
      <c r="W391" s="1269"/>
      <c r="X391" s="1269"/>
      <c r="Y391" s="1269"/>
    </row>
    <row r="392" spans="1:25">
      <c r="A392" s="1269"/>
      <c r="D392" s="1269"/>
      <c r="E392" s="1269"/>
      <c r="F392" s="1269"/>
      <c r="G392" s="1269"/>
      <c r="H392" s="1269"/>
      <c r="M392" s="1324"/>
      <c r="O392" s="1274"/>
      <c r="P392" s="1269"/>
      <c r="Q392" s="1269"/>
      <c r="R392" s="1269"/>
      <c r="S392" s="1269"/>
      <c r="T392" s="1269"/>
      <c r="U392" s="1269"/>
      <c r="V392" s="1269"/>
      <c r="W392" s="1269"/>
      <c r="X392" s="1269"/>
      <c r="Y392" s="1269"/>
    </row>
    <row r="393" spans="1:25">
      <c r="A393" s="1269"/>
      <c r="D393" s="1269"/>
      <c r="E393" s="1269"/>
      <c r="F393" s="1269"/>
      <c r="G393" s="1269"/>
      <c r="H393" s="1269"/>
      <c r="M393" s="1324"/>
      <c r="O393" s="1274"/>
      <c r="P393" s="1269"/>
      <c r="Q393" s="1269"/>
      <c r="R393" s="1269"/>
      <c r="S393" s="1269"/>
      <c r="T393" s="1269"/>
      <c r="U393" s="1269"/>
      <c r="V393" s="1269"/>
      <c r="W393" s="1269"/>
      <c r="X393" s="1269"/>
      <c r="Y393" s="1269"/>
    </row>
    <row r="394" spans="1:25">
      <c r="A394" s="1269"/>
      <c r="D394" s="1269"/>
      <c r="E394" s="1269"/>
      <c r="F394" s="1269"/>
      <c r="G394" s="1269"/>
      <c r="H394" s="1269"/>
      <c r="M394" s="1324"/>
      <c r="O394" s="1274"/>
      <c r="P394" s="1269"/>
      <c r="Q394" s="1269"/>
      <c r="R394" s="1269"/>
      <c r="S394" s="1269"/>
      <c r="T394" s="1269"/>
      <c r="U394" s="1269"/>
      <c r="V394" s="1269"/>
      <c r="W394" s="1269"/>
      <c r="X394" s="1269"/>
      <c r="Y394" s="1269"/>
    </row>
    <row r="395" spans="1:25">
      <c r="A395" s="1269"/>
      <c r="D395" s="1269"/>
      <c r="E395" s="1269"/>
      <c r="F395" s="1269"/>
      <c r="G395" s="1269"/>
      <c r="H395" s="1269"/>
      <c r="M395" s="1324"/>
      <c r="O395" s="1274"/>
      <c r="P395" s="1269"/>
      <c r="Q395" s="1269"/>
      <c r="R395" s="1269"/>
      <c r="S395" s="1269"/>
      <c r="T395" s="1269"/>
      <c r="U395" s="1269"/>
      <c r="V395" s="1269"/>
      <c r="W395" s="1269"/>
      <c r="X395" s="1269"/>
      <c r="Y395" s="1269"/>
    </row>
    <row r="396" spans="1:25">
      <c r="A396" s="1269"/>
      <c r="D396" s="1269"/>
      <c r="E396" s="1269"/>
      <c r="F396" s="1269"/>
      <c r="G396" s="1269"/>
      <c r="H396" s="1269"/>
      <c r="M396" s="1324"/>
      <c r="O396" s="1274"/>
      <c r="P396" s="1269"/>
      <c r="Q396" s="1269"/>
      <c r="R396" s="1269"/>
      <c r="S396" s="1269"/>
      <c r="T396" s="1269"/>
      <c r="U396" s="1269"/>
      <c r="V396" s="1269"/>
      <c r="W396" s="1269"/>
      <c r="X396" s="1269"/>
      <c r="Y396" s="1269"/>
    </row>
    <row r="397" spans="1:25">
      <c r="A397" s="1269"/>
      <c r="D397" s="1269"/>
      <c r="E397" s="1269"/>
      <c r="F397" s="1269"/>
      <c r="G397" s="1269"/>
      <c r="H397" s="1269"/>
      <c r="M397" s="1324"/>
      <c r="O397" s="1274"/>
      <c r="P397" s="1269"/>
      <c r="Q397" s="1269"/>
      <c r="R397" s="1269"/>
      <c r="S397" s="1269"/>
      <c r="T397" s="1269"/>
      <c r="U397" s="1269"/>
      <c r="V397" s="1269"/>
      <c r="W397" s="1269"/>
      <c r="X397" s="1269"/>
      <c r="Y397" s="1269"/>
    </row>
    <row r="398" spans="1:25">
      <c r="A398" s="1269"/>
      <c r="D398" s="1269"/>
      <c r="E398" s="1269"/>
      <c r="F398" s="1269"/>
      <c r="G398" s="1269"/>
      <c r="H398" s="1269"/>
      <c r="M398" s="1324"/>
      <c r="O398" s="1274"/>
      <c r="P398" s="1269"/>
      <c r="Q398" s="1269"/>
      <c r="R398" s="1269"/>
      <c r="S398" s="1269"/>
      <c r="T398" s="1269"/>
      <c r="U398" s="1269"/>
      <c r="V398" s="1269"/>
      <c r="W398" s="1269"/>
      <c r="X398" s="1269"/>
      <c r="Y398" s="1269"/>
    </row>
    <row r="399" spans="1:25">
      <c r="A399" s="1269"/>
      <c r="D399" s="1269"/>
      <c r="E399" s="1269"/>
      <c r="F399" s="1269"/>
      <c r="G399" s="1269"/>
      <c r="H399" s="1269"/>
      <c r="M399" s="1324"/>
      <c r="O399" s="1274"/>
      <c r="P399" s="1269"/>
      <c r="Q399" s="1269"/>
      <c r="R399" s="1269"/>
      <c r="S399" s="1269"/>
      <c r="T399" s="1269"/>
      <c r="U399" s="1269"/>
      <c r="V399" s="1269"/>
      <c r="W399" s="1269"/>
      <c r="X399" s="1269"/>
      <c r="Y399" s="1269"/>
    </row>
    <row r="400" spans="1:25">
      <c r="A400" s="1269"/>
      <c r="D400" s="1269"/>
      <c r="E400" s="1269"/>
      <c r="F400" s="1269"/>
      <c r="G400" s="1269"/>
      <c r="H400" s="1269"/>
      <c r="M400" s="1324"/>
      <c r="O400" s="1274"/>
      <c r="P400" s="1269"/>
      <c r="Q400" s="1269"/>
      <c r="R400" s="1269"/>
      <c r="S400" s="1269"/>
      <c r="T400" s="1269"/>
      <c r="U400" s="1269"/>
      <c r="V400" s="1269"/>
      <c r="W400" s="1269"/>
      <c r="X400" s="1269"/>
      <c r="Y400" s="1269"/>
    </row>
    <row r="401" spans="1:25">
      <c r="A401" s="1269"/>
      <c r="D401" s="1269"/>
      <c r="E401" s="1269"/>
      <c r="F401" s="1269"/>
      <c r="G401" s="1269"/>
      <c r="H401" s="1269"/>
      <c r="M401" s="1324"/>
      <c r="O401" s="1274"/>
      <c r="P401" s="1269"/>
      <c r="Q401" s="1269"/>
      <c r="R401" s="1269"/>
      <c r="S401" s="1269"/>
      <c r="T401" s="1269"/>
      <c r="U401" s="1269"/>
      <c r="V401" s="1269"/>
      <c r="W401" s="1269"/>
      <c r="X401" s="1269"/>
      <c r="Y401" s="1269"/>
    </row>
    <row r="402" spans="1:25">
      <c r="A402" s="1269"/>
      <c r="D402" s="1269"/>
      <c r="E402" s="1269"/>
      <c r="F402" s="1269"/>
      <c r="G402" s="1269"/>
      <c r="H402" s="1269"/>
      <c r="M402" s="1324"/>
      <c r="O402" s="1274"/>
      <c r="P402" s="1269"/>
      <c r="Q402" s="1269"/>
      <c r="R402" s="1269"/>
      <c r="S402" s="1269"/>
      <c r="T402" s="1269"/>
      <c r="U402" s="1269"/>
      <c r="V402" s="1269"/>
      <c r="W402" s="1269"/>
      <c r="X402" s="1269"/>
      <c r="Y402" s="1269"/>
    </row>
    <row r="403" spans="1:25">
      <c r="A403" s="1269"/>
      <c r="D403" s="1269"/>
      <c r="E403" s="1269"/>
      <c r="F403" s="1269"/>
      <c r="G403" s="1269"/>
      <c r="H403" s="1269"/>
      <c r="M403" s="1324"/>
      <c r="O403" s="1274"/>
      <c r="P403" s="1269"/>
      <c r="Q403" s="1269"/>
      <c r="R403" s="1269"/>
      <c r="S403" s="1269"/>
      <c r="T403" s="1269"/>
      <c r="U403" s="1269"/>
      <c r="V403" s="1269"/>
      <c r="W403" s="1269"/>
      <c r="X403" s="1269"/>
      <c r="Y403" s="1269"/>
    </row>
    <row r="404" spans="1:25">
      <c r="A404" s="1269"/>
      <c r="D404" s="1269"/>
      <c r="E404" s="1269"/>
      <c r="F404" s="1269"/>
      <c r="G404" s="1269"/>
      <c r="H404" s="1269"/>
      <c r="M404" s="1324"/>
      <c r="O404" s="1274"/>
      <c r="P404" s="1269"/>
      <c r="Q404" s="1269"/>
      <c r="R404" s="1269"/>
      <c r="S404" s="1269"/>
      <c r="T404" s="1269"/>
      <c r="U404" s="1269"/>
      <c r="V404" s="1269"/>
      <c r="W404" s="1269"/>
      <c r="X404" s="1269"/>
      <c r="Y404" s="1269"/>
    </row>
    <row r="405" spans="1:25">
      <c r="A405" s="1269"/>
      <c r="D405" s="1269"/>
      <c r="E405" s="1269"/>
      <c r="F405" s="1269"/>
      <c r="G405" s="1269"/>
      <c r="H405" s="1269"/>
      <c r="M405" s="1324"/>
      <c r="O405" s="1274"/>
      <c r="P405" s="1269"/>
      <c r="Q405" s="1269"/>
      <c r="R405" s="1269"/>
      <c r="S405" s="1269"/>
      <c r="T405" s="1269"/>
      <c r="U405" s="1269"/>
      <c r="V405" s="1269"/>
      <c r="W405" s="1269"/>
      <c r="X405" s="1269"/>
      <c r="Y405" s="1269"/>
    </row>
    <row r="406" spans="1:25">
      <c r="A406" s="1269"/>
      <c r="D406" s="1269"/>
      <c r="E406" s="1269"/>
      <c r="F406" s="1269"/>
      <c r="G406" s="1269"/>
      <c r="H406" s="1269"/>
      <c r="M406" s="1324"/>
      <c r="O406" s="1274"/>
      <c r="P406" s="1269"/>
      <c r="Q406" s="1269"/>
      <c r="R406" s="1269"/>
      <c r="S406" s="1269"/>
      <c r="T406" s="1269"/>
      <c r="U406" s="1269"/>
      <c r="V406" s="1269"/>
      <c r="W406" s="1269"/>
      <c r="X406" s="1269"/>
      <c r="Y406" s="1269"/>
    </row>
    <row r="407" spans="1:25">
      <c r="A407" s="1269"/>
      <c r="D407" s="1269"/>
      <c r="E407" s="1269"/>
      <c r="F407" s="1269"/>
      <c r="G407" s="1269"/>
      <c r="H407" s="1269"/>
      <c r="M407" s="1324"/>
      <c r="O407" s="1274"/>
      <c r="P407" s="1269"/>
      <c r="Q407" s="1269"/>
      <c r="R407" s="1269"/>
      <c r="S407" s="1269"/>
      <c r="T407" s="1269"/>
      <c r="U407" s="1269"/>
      <c r="V407" s="1269"/>
      <c r="W407" s="1269"/>
      <c r="X407" s="1269"/>
      <c r="Y407" s="1269"/>
    </row>
    <row r="408" spans="1:25">
      <c r="A408" s="1269"/>
      <c r="D408" s="1269"/>
      <c r="E408" s="1269"/>
      <c r="F408" s="1269"/>
      <c r="G408" s="1269"/>
      <c r="H408" s="1269"/>
      <c r="M408" s="1324"/>
      <c r="O408" s="1274"/>
      <c r="P408" s="1269"/>
      <c r="Q408" s="1269"/>
      <c r="R408" s="1269"/>
      <c r="S408" s="1269"/>
      <c r="T408" s="1269"/>
      <c r="U408" s="1269"/>
      <c r="V408" s="1269"/>
      <c r="W408" s="1269"/>
      <c r="X408" s="1269"/>
      <c r="Y408" s="1269"/>
    </row>
    <row r="409" spans="1:25">
      <c r="A409" s="1269"/>
      <c r="D409" s="1269"/>
      <c r="E409" s="1269"/>
      <c r="F409" s="1269"/>
      <c r="G409" s="1269"/>
      <c r="H409" s="1269"/>
      <c r="M409" s="1324"/>
      <c r="O409" s="1274"/>
      <c r="P409" s="1269"/>
      <c r="Q409" s="1269"/>
      <c r="R409" s="1269"/>
      <c r="S409" s="1269"/>
      <c r="T409" s="1269"/>
      <c r="U409" s="1269"/>
      <c r="V409" s="1269"/>
      <c r="W409" s="1269"/>
      <c r="X409" s="1269"/>
      <c r="Y409" s="1269"/>
    </row>
    <row r="410" spans="1:25">
      <c r="A410" s="1269"/>
      <c r="D410" s="1269"/>
      <c r="E410" s="1269"/>
      <c r="F410" s="1269"/>
      <c r="G410" s="1269"/>
      <c r="H410" s="1269"/>
      <c r="M410" s="1324"/>
      <c r="O410" s="1274"/>
      <c r="P410" s="1269"/>
      <c r="Q410" s="1269"/>
      <c r="R410" s="1269"/>
      <c r="S410" s="1269"/>
      <c r="T410" s="1269"/>
      <c r="U410" s="1269"/>
      <c r="V410" s="1269"/>
      <c r="W410" s="1269"/>
      <c r="X410" s="1269"/>
      <c r="Y410" s="1269"/>
    </row>
    <row r="411" spans="1:25">
      <c r="A411" s="1269"/>
      <c r="D411" s="1269"/>
      <c r="E411" s="1269"/>
      <c r="F411" s="1269"/>
      <c r="G411" s="1269"/>
      <c r="H411" s="1269"/>
      <c r="M411" s="1324"/>
      <c r="O411" s="1274"/>
      <c r="P411" s="1269"/>
      <c r="Q411" s="1269"/>
      <c r="R411" s="1269"/>
      <c r="S411" s="1269"/>
      <c r="T411" s="1269"/>
      <c r="U411" s="1269"/>
      <c r="V411" s="1269"/>
      <c r="W411" s="1269"/>
      <c r="X411" s="1269"/>
      <c r="Y411" s="1269"/>
    </row>
    <row r="412" spans="1:25">
      <c r="A412" s="1269"/>
      <c r="D412" s="1269"/>
      <c r="E412" s="1269"/>
      <c r="F412" s="1269"/>
      <c r="G412" s="1269"/>
      <c r="H412" s="1269"/>
      <c r="M412" s="1324"/>
      <c r="O412" s="1274"/>
      <c r="P412" s="1269"/>
      <c r="Q412" s="1269"/>
      <c r="R412" s="1269"/>
      <c r="S412" s="1269"/>
      <c r="T412" s="1269"/>
      <c r="U412" s="1269"/>
      <c r="V412" s="1269"/>
      <c r="W412" s="1269"/>
      <c r="X412" s="1269"/>
      <c r="Y412" s="1269"/>
    </row>
    <row r="413" spans="1:25">
      <c r="A413" s="1269"/>
      <c r="D413" s="1269"/>
      <c r="E413" s="1269"/>
      <c r="F413" s="1269"/>
      <c r="G413" s="1269"/>
      <c r="H413" s="1269"/>
      <c r="M413" s="1324"/>
      <c r="O413" s="1274"/>
      <c r="P413" s="1269"/>
      <c r="Q413" s="1269"/>
      <c r="R413" s="1269"/>
      <c r="S413" s="1269"/>
      <c r="T413" s="1269"/>
      <c r="U413" s="1269"/>
      <c r="V413" s="1269"/>
      <c r="W413" s="1269"/>
      <c r="X413" s="1269"/>
      <c r="Y413" s="1269"/>
    </row>
    <row r="414" spans="1:25">
      <c r="A414" s="1269"/>
      <c r="D414" s="1269"/>
      <c r="E414" s="1269"/>
      <c r="F414" s="1269"/>
      <c r="G414" s="1269"/>
      <c r="H414" s="1269"/>
      <c r="M414" s="1324"/>
      <c r="O414" s="1274"/>
      <c r="P414" s="1269"/>
      <c r="Q414" s="1269"/>
      <c r="R414" s="1269"/>
      <c r="S414" s="1269"/>
      <c r="T414" s="1269"/>
      <c r="U414" s="1269"/>
      <c r="V414" s="1269"/>
      <c r="W414" s="1269"/>
      <c r="X414" s="1269"/>
      <c r="Y414" s="1269"/>
    </row>
    <row r="415" spans="1:25">
      <c r="A415" s="1269"/>
      <c r="D415" s="1269"/>
      <c r="E415" s="1269"/>
      <c r="F415" s="1269"/>
      <c r="G415" s="1269"/>
      <c r="H415" s="1269"/>
      <c r="M415" s="1324"/>
      <c r="O415" s="1274"/>
      <c r="P415" s="1269"/>
      <c r="Q415" s="1269"/>
      <c r="R415" s="1269"/>
      <c r="S415" s="1269"/>
      <c r="T415" s="1269"/>
      <c r="U415" s="1269"/>
      <c r="V415" s="1269"/>
      <c r="W415" s="1269"/>
      <c r="X415" s="1269"/>
      <c r="Y415" s="1269"/>
    </row>
    <row r="416" spans="1:25">
      <c r="A416" s="1269"/>
      <c r="D416" s="1269"/>
      <c r="E416" s="1269"/>
      <c r="F416" s="1269"/>
      <c r="G416" s="1269"/>
      <c r="H416" s="1269"/>
      <c r="M416" s="1324"/>
      <c r="O416" s="1274"/>
      <c r="P416" s="1269"/>
      <c r="Q416" s="1269"/>
      <c r="R416" s="1269"/>
      <c r="S416" s="1269"/>
      <c r="T416" s="1269"/>
      <c r="U416" s="1269"/>
      <c r="V416" s="1269"/>
      <c r="W416" s="1269"/>
      <c r="X416" s="1269"/>
      <c r="Y416" s="1269"/>
    </row>
    <row r="417" spans="1:25">
      <c r="A417" s="1269"/>
      <c r="D417" s="1269"/>
      <c r="E417" s="1269"/>
      <c r="F417" s="1269"/>
      <c r="G417" s="1269"/>
      <c r="H417" s="1269"/>
      <c r="M417" s="1324"/>
      <c r="O417" s="1274"/>
      <c r="P417" s="1269"/>
      <c r="Q417" s="1269"/>
      <c r="R417" s="1269"/>
      <c r="S417" s="1269"/>
      <c r="T417" s="1269"/>
      <c r="U417" s="1269"/>
      <c r="V417" s="1269"/>
      <c r="W417" s="1269"/>
      <c r="X417" s="1269"/>
      <c r="Y417" s="1269"/>
    </row>
    <row r="418" spans="1:25">
      <c r="A418" s="1269"/>
      <c r="D418" s="1269"/>
      <c r="E418" s="1269"/>
      <c r="F418" s="1269"/>
      <c r="G418" s="1269"/>
      <c r="H418" s="1269"/>
      <c r="M418" s="1324"/>
      <c r="O418" s="1274"/>
      <c r="P418" s="1269"/>
      <c r="Q418" s="1269"/>
      <c r="R418" s="1269"/>
      <c r="S418" s="1269"/>
      <c r="T418" s="1269"/>
      <c r="U418" s="1269"/>
      <c r="V418" s="1269"/>
      <c r="W418" s="1269"/>
      <c r="X418" s="1269"/>
      <c r="Y418" s="1269"/>
    </row>
    <row r="419" spans="1:25">
      <c r="A419" s="1269"/>
      <c r="D419" s="1269"/>
      <c r="E419" s="1269"/>
      <c r="F419" s="1269"/>
      <c r="G419" s="1269"/>
      <c r="H419" s="1269"/>
      <c r="M419" s="1324"/>
      <c r="O419" s="1274"/>
      <c r="P419" s="1269"/>
      <c r="Q419" s="1269"/>
      <c r="R419" s="1269"/>
      <c r="S419" s="1269"/>
      <c r="T419" s="1269"/>
      <c r="U419" s="1269"/>
      <c r="V419" s="1269"/>
      <c r="W419" s="1269"/>
      <c r="X419" s="1269"/>
      <c r="Y419" s="1269"/>
    </row>
    <row r="420" spans="1:25">
      <c r="A420" s="1269"/>
      <c r="D420" s="1269"/>
      <c r="E420" s="1269"/>
      <c r="F420" s="1269"/>
      <c r="G420" s="1269"/>
      <c r="H420" s="1269"/>
      <c r="M420" s="1324"/>
      <c r="O420" s="1274"/>
      <c r="P420" s="1269"/>
      <c r="Q420" s="1269"/>
      <c r="R420" s="1269"/>
      <c r="S420" s="1269"/>
      <c r="T420" s="1269"/>
      <c r="U420" s="1269"/>
      <c r="V420" s="1269"/>
      <c r="W420" s="1269"/>
      <c r="X420" s="1269"/>
      <c r="Y420" s="1269"/>
    </row>
    <row r="421" spans="1:25">
      <c r="A421" s="1269"/>
      <c r="D421" s="1269"/>
      <c r="E421" s="1269"/>
      <c r="F421" s="1269"/>
      <c r="G421" s="1269"/>
      <c r="H421" s="1269"/>
      <c r="M421" s="1324"/>
      <c r="O421" s="1274"/>
      <c r="P421" s="1269"/>
      <c r="Q421" s="1269"/>
      <c r="R421" s="1269"/>
      <c r="S421" s="1269"/>
      <c r="T421" s="1269"/>
      <c r="U421" s="1269"/>
      <c r="V421" s="1269"/>
      <c r="W421" s="1269"/>
      <c r="X421" s="1269"/>
      <c r="Y421" s="1269"/>
    </row>
    <row r="422" spans="1:25">
      <c r="A422" s="1269"/>
      <c r="D422" s="1269"/>
      <c r="E422" s="1269"/>
      <c r="F422" s="1269"/>
      <c r="G422" s="1269"/>
      <c r="H422" s="1269"/>
      <c r="M422" s="1324"/>
      <c r="O422" s="1274"/>
      <c r="P422" s="1269"/>
      <c r="Q422" s="1269"/>
      <c r="R422" s="1269"/>
      <c r="S422" s="1269"/>
      <c r="T422" s="1269"/>
      <c r="U422" s="1269"/>
      <c r="V422" s="1269"/>
      <c r="W422" s="1269"/>
      <c r="X422" s="1269"/>
      <c r="Y422" s="1269"/>
    </row>
    <row r="423" spans="1:25">
      <c r="A423" s="1269"/>
      <c r="D423" s="1269"/>
      <c r="E423" s="1269"/>
      <c r="F423" s="1269"/>
      <c r="G423" s="1269"/>
      <c r="H423" s="1269"/>
      <c r="M423" s="1324"/>
      <c r="O423" s="1274"/>
      <c r="P423" s="1269"/>
      <c r="Q423" s="1269"/>
      <c r="R423" s="1269"/>
      <c r="S423" s="1269"/>
      <c r="T423" s="1269"/>
      <c r="U423" s="1269"/>
      <c r="V423" s="1269"/>
      <c r="W423" s="1269"/>
      <c r="X423" s="1269"/>
      <c r="Y423" s="1269"/>
    </row>
    <row r="424" spans="1:25">
      <c r="A424" s="1269"/>
      <c r="D424" s="1269"/>
      <c r="E424" s="1269"/>
      <c r="F424" s="1269"/>
      <c r="G424" s="1269"/>
      <c r="H424" s="1269"/>
      <c r="M424" s="1324"/>
      <c r="O424" s="1274"/>
      <c r="P424" s="1269"/>
      <c r="Q424" s="1269"/>
      <c r="R424" s="1269"/>
      <c r="S424" s="1269"/>
      <c r="T424" s="1269"/>
      <c r="U424" s="1269"/>
      <c r="V424" s="1269"/>
      <c r="W424" s="1269"/>
      <c r="X424" s="1269"/>
      <c r="Y424" s="1269"/>
    </row>
    <row r="425" spans="1:25">
      <c r="A425" s="1269"/>
      <c r="D425" s="1269"/>
      <c r="E425" s="1269"/>
      <c r="F425" s="1269"/>
      <c r="G425" s="1269"/>
      <c r="H425" s="1269"/>
      <c r="M425" s="1324"/>
      <c r="O425" s="1274"/>
      <c r="P425" s="1269"/>
      <c r="Q425" s="1269"/>
      <c r="R425" s="1269"/>
      <c r="S425" s="1269"/>
      <c r="T425" s="1269"/>
      <c r="U425" s="1269"/>
      <c r="V425" s="1269"/>
      <c r="W425" s="1269"/>
      <c r="X425" s="1269"/>
      <c r="Y425" s="1269"/>
    </row>
    <row r="426" spans="1:25">
      <c r="A426" s="1269"/>
      <c r="D426" s="1269"/>
      <c r="E426" s="1269"/>
      <c r="F426" s="1269"/>
      <c r="G426" s="1269"/>
      <c r="H426" s="1269"/>
      <c r="M426" s="1324"/>
      <c r="O426" s="1274"/>
      <c r="P426" s="1269"/>
      <c r="Q426" s="1269"/>
      <c r="R426" s="1269"/>
      <c r="S426" s="1269"/>
      <c r="T426" s="1269"/>
      <c r="U426" s="1269"/>
      <c r="V426" s="1269"/>
      <c r="W426" s="1269"/>
      <c r="X426" s="1269"/>
      <c r="Y426" s="1269"/>
    </row>
    <row r="427" spans="1:25">
      <c r="A427" s="1269"/>
      <c r="D427" s="1269"/>
      <c r="E427" s="1269"/>
      <c r="F427" s="1269"/>
      <c r="G427" s="1269"/>
      <c r="H427" s="1269"/>
      <c r="M427" s="1324"/>
      <c r="O427" s="1274"/>
      <c r="P427" s="1269"/>
      <c r="Q427" s="1269"/>
      <c r="R427" s="1269"/>
      <c r="S427" s="1269"/>
      <c r="T427" s="1269"/>
      <c r="U427" s="1269"/>
      <c r="V427" s="1269"/>
      <c r="W427" s="1269"/>
      <c r="X427" s="1269"/>
      <c r="Y427" s="1269"/>
    </row>
    <row r="428" spans="1:25">
      <c r="A428" s="1269"/>
      <c r="D428" s="1269"/>
      <c r="E428" s="1269"/>
      <c r="F428" s="1269"/>
      <c r="G428" s="1269"/>
      <c r="H428" s="1269"/>
      <c r="M428" s="1324"/>
      <c r="O428" s="1274"/>
      <c r="P428" s="1269"/>
      <c r="Q428" s="1269"/>
      <c r="R428" s="1269"/>
      <c r="S428" s="1269"/>
      <c r="T428" s="1269"/>
      <c r="U428" s="1269"/>
      <c r="V428" s="1269"/>
      <c r="W428" s="1269"/>
      <c r="X428" s="1269"/>
      <c r="Y428" s="1269"/>
    </row>
    <row r="429" spans="1:25">
      <c r="A429" s="1269"/>
      <c r="D429" s="1269"/>
      <c r="E429" s="1269"/>
      <c r="F429" s="1269"/>
      <c r="G429" s="1269"/>
      <c r="H429" s="1269"/>
      <c r="M429" s="1324"/>
      <c r="O429" s="1274"/>
      <c r="P429" s="1269"/>
      <c r="Q429" s="1269"/>
      <c r="R429" s="1269"/>
      <c r="S429" s="1269"/>
      <c r="T429" s="1269"/>
      <c r="U429" s="1269"/>
      <c r="V429" s="1269"/>
      <c r="W429" s="1269"/>
      <c r="X429" s="1269"/>
      <c r="Y429" s="1269"/>
    </row>
    <row r="430" spans="1:25">
      <c r="A430" s="1269"/>
      <c r="D430" s="1269"/>
      <c r="E430" s="1269"/>
      <c r="F430" s="1269"/>
      <c r="G430" s="1269"/>
      <c r="H430" s="1269"/>
      <c r="M430" s="1324"/>
      <c r="O430" s="1274"/>
      <c r="P430" s="1269"/>
      <c r="Q430" s="1269"/>
      <c r="R430" s="1269"/>
      <c r="S430" s="1269"/>
      <c r="T430" s="1269"/>
      <c r="U430" s="1269"/>
      <c r="V430" s="1269"/>
      <c r="W430" s="1269"/>
      <c r="X430" s="1269"/>
      <c r="Y430" s="1269"/>
    </row>
    <row r="431" spans="1:25">
      <c r="A431" s="1269"/>
      <c r="D431" s="1269"/>
      <c r="E431" s="1269"/>
      <c r="F431" s="1269"/>
      <c r="G431" s="1269"/>
      <c r="H431" s="1269"/>
      <c r="M431" s="1324"/>
      <c r="O431" s="1274"/>
      <c r="P431" s="1269"/>
      <c r="Q431" s="1269"/>
      <c r="R431" s="1269"/>
      <c r="S431" s="1269"/>
      <c r="T431" s="1269"/>
      <c r="U431" s="1269"/>
      <c r="V431" s="1269"/>
      <c r="W431" s="1269"/>
      <c r="X431" s="1269"/>
      <c r="Y431" s="1269"/>
    </row>
    <row r="432" spans="1:25">
      <c r="A432" s="1269"/>
      <c r="D432" s="1269"/>
      <c r="E432" s="1269"/>
      <c r="F432" s="1269"/>
      <c r="G432" s="1269"/>
      <c r="H432" s="1269"/>
      <c r="M432" s="1324"/>
      <c r="O432" s="1274"/>
      <c r="P432" s="1269"/>
      <c r="Q432" s="1269"/>
      <c r="R432" s="1269"/>
      <c r="S432" s="1269"/>
      <c r="T432" s="1269"/>
      <c r="U432" s="1269"/>
      <c r="V432" s="1269"/>
      <c r="W432" s="1269"/>
      <c r="X432" s="1269"/>
      <c r="Y432" s="1269"/>
    </row>
    <row r="433" spans="1:25">
      <c r="A433" s="1269"/>
      <c r="D433" s="1269"/>
      <c r="E433" s="1269"/>
      <c r="F433" s="1269"/>
      <c r="G433" s="1269"/>
      <c r="H433" s="1269"/>
      <c r="M433" s="1324"/>
      <c r="O433" s="1274"/>
      <c r="P433" s="1269"/>
      <c r="Q433" s="1269"/>
      <c r="R433" s="1269"/>
      <c r="S433" s="1269"/>
      <c r="T433" s="1269"/>
      <c r="U433" s="1269"/>
      <c r="V433" s="1269"/>
      <c r="W433" s="1269"/>
      <c r="X433" s="1269"/>
      <c r="Y433" s="1269"/>
    </row>
    <row r="434" spans="1:25">
      <c r="A434" s="1269"/>
      <c r="D434" s="1269"/>
      <c r="E434" s="1269"/>
      <c r="F434" s="1269"/>
      <c r="G434" s="1269"/>
      <c r="H434" s="1269"/>
      <c r="M434" s="1324"/>
      <c r="O434" s="1274"/>
      <c r="P434" s="1269"/>
      <c r="Q434" s="1269"/>
      <c r="R434" s="1269"/>
      <c r="S434" s="1269"/>
      <c r="T434" s="1269"/>
      <c r="U434" s="1269"/>
      <c r="V434" s="1269"/>
      <c r="W434" s="1269"/>
      <c r="X434" s="1269"/>
      <c r="Y434" s="1269"/>
    </row>
    <row r="435" spans="1:25">
      <c r="A435" s="1269"/>
      <c r="D435" s="1269"/>
      <c r="E435" s="1269"/>
      <c r="F435" s="1269"/>
      <c r="G435" s="1269"/>
      <c r="H435" s="1269"/>
      <c r="M435" s="1324"/>
      <c r="O435" s="1274"/>
      <c r="P435" s="1269"/>
      <c r="Q435" s="1269"/>
      <c r="R435" s="1269"/>
      <c r="S435" s="1269"/>
      <c r="T435" s="1269"/>
      <c r="U435" s="1269"/>
      <c r="V435" s="1269"/>
      <c r="W435" s="1269"/>
      <c r="X435" s="1269"/>
      <c r="Y435" s="1269"/>
    </row>
    <row r="436" spans="1:25">
      <c r="A436" s="1269"/>
      <c r="D436" s="1269"/>
      <c r="E436" s="1269"/>
      <c r="F436" s="1269"/>
      <c r="G436" s="1269"/>
      <c r="H436" s="1269"/>
      <c r="M436" s="1324"/>
      <c r="O436" s="1274"/>
      <c r="P436" s="1269"/>
      <c r="Q436" s="1269"/>
      <c r="R436" s="1269"/>
      <c r="S436" s="1269"/>
      <c r="T436" s="1269"/>
      <c r="U436" s="1269"/>
      <c r="V436" s="1269"/>
      <c r="W436" s="1269"/>
      <c r="X436" s="1269"/>
      <c r="Y436" s="1269"/>
    </row>
    <row r="437" spans="1:25">
      <c r="A437" s="1269"/>
      <c r="D437" s="1269"/>
      <c r="E437" s="1269"/>
      <c r="F437" s="1269"/>
      <c r="G437" s="1269"/>
      <c r="H437" s="1269"/>
      <c r="M437" s="1324"/>
      <c r="O437" s="1274"/>
      <c r="P437" s="1269"/>
      <c r="Q437" s="1269"/>
      <c r="R437" s="1269"/>
      <c r="S437" s="1269"/>
      <c r="T437" s="1269"/>
      <c r="U437" s="1269"/>
      <c r="V437" s="1269"/>
      <c r="W437" s="1269"/>
      <c r="X437" s="1269"/>
      <c r="Y437" s="1269"/>
    </row>
    <row r="438" spans="1:25">
      <c r="A438" s="1269"/>
      <c r="D438" s="1269"/>
      <c r="E438" s="1269"/>
      <c r="F438" s="1269"/>
      <c r="G438" s="1269"/>
      <c r="H438" s="1269"/>
      <c r="M438" s="1324"/>
      <c r="O438" s="1274"/>
      <c r="P438" s="1269"/>
      <c r="Q438" s="1269"/>
      <c r="R438" s="1269"/>
      <c r="S438" s="1269"/>
      <c r="T438" s="1269"/>
      <c r="U438" s="1269"/>
      <c r="V438" s="1269"/>
      <c r="W438" s="1269"/>
      <c r="X438" s="1269"/>
      <c r="Y438" s="1269"/>
    </row>
    <row r="439" spans="1:25">
      <c r="A439" s="1269"/>
      <c r="D439" s="1269"/>
      <c r="E439" s="1269"/>
      <c r="F439" s="1269"/>
      <c r="G439" s="1269"/>
      <c r="H439" s="1269"/>
      <c r="M439" s="1324"/>
      <c r="O439" s="1274"/>
      <c r="P439" s="1269"/>
      <c r="Q439" s="1269"/>
      <c r="R439" s="1269"/>
      <c r="S439" s="1269"/>
      <c r="T439" s="1269"/>
      <c r="U439" s="1269"/>
      <c r="V439" s="1269"/>
      <c r="W439" s="1269"/>
      <c r="X439" s="1269"/>
      <c r="Y439" s="1269"/>
    </row>
    <row r="440" spans="1:25">
      <c r="A440" s="1269"/>
      <c r="D440" s="1269"/>
      <c r="E440" s="1269"/>
      <c r="F440" s="1269"/>
      <c r="G440" s="1269"/>
      <c r="H440" s="1269"/>
      <c r="M440" s="1324"/>
      <c r="O440" s="1274"/>
      <c r="P440" s="1269"/>
      <c r="Q440" s="1269"/>
      <c r="R440" s="1269"/>
      <c r="S440" s="1269"/>
      <c r="T440" s="1269"/>
      <c r="U440" s="1269"/>
      <c r="V440" s="1269"/>
      <c r="W440" s="1269"/>
      <c r="X440" s="1269"/>
      <c r="Y440" s="1269"/>
    </row>
    <row r="441" spans="1:25">
      <c r="A441" s="1269"/>
      <c r="D441" s="1269"/>
      <c r="E441" s="1269"/>
      <c r="F441" s="1269"/>
      <c r="G441" s="1269"/>
      <c r="H441" s="1269"/>
      <c r="M441" s="1324"/>
      <c r="O441" s="1274"/>
      <c r="P441" s="1269"/>
      <c r="Q441" s="1269"/>
      <c r="R441" s="1269"/>
      <c r="S441" s="1269"/>
      <c r="T441" s="1269"/>
      <c r="U441" s="1269"/>
      <c r="V441" s="1269"/>
      <c r="W441" s="1269"/>
      <c r="X441" s="1269"/>
      <c r="Y441" s="1269"/>
    </row>
    <row r="442" spans="1:25">
      <c r="A442" s="1269"/>
      <c r="D442" s="1269"/>
      <c r="E442" s="1269"/>
      <c r="F442" s="1269"/>
      <c r="G442" s="1269"/>
      <c r="H442" s="1269"/>
      <c r="M442" s="1324"/>
      <c r="O442" s="1274"/>
      <c r="P442" s="1269"/>
      <c r="Q442" s="1269"/>
      <c r="R442" s="1269"/>
      <c r="S442" s="1269"/>
      <c r="T442" s="1269"/>
      <c r="U442" s="1269"/>
      <c r="V442" s="1269"/>
      <c r="W442" s="1269"/>
      <c r="X442" s="1269"/>
      <c r="Y442" s="1269"/>
    </row>
    <row r="443" spans="1:25">
      <c r="A443" s="1269"/>
      <c r="D443" s="1269"/>
      <c r="E443" s="1269"/>
      <c r="F443" s="1269"/>
      <c r="G443" s="1269"/>
      <c r="H443" s="1269"/>
      <c r="M443" s="1324"/>
      <c r="O443" s="1274"/>
      <c r="P443" s="1269"/>
      <c r="Q443" s="1269"/>
      <c r="R443" s="1269"/>
      <c r="S443" s="1269"/>
      <c r="T443" s="1269"/>
      <c r="U443" s="1269"/>
      <c r="V443" s="1269"/>
      <c r="W443" s="1269"/>
      <c r="X443" s="1269"/>
      <c r="Y443" s="1269"/>
    </row>
    <row r="444" spans="1:25">
      <c r="A444" s="1269"/>
      <c r="D444" s="1269"/>
      <c r="E444" s="1269"/>
      <c r="F444" s="1269"/>
      <c r="G444" s="1269"/>
      <c r="H444" s="1269"/>
      <c r="M444" s="1324"/>
      <c r="O444" s="1274"/>
      <c r="P444" s="1269"/>
      <c r="Q444" s="1269"/>
      <c r="R444" s="1269"/>
      <c r="S444" s="1269"/>
      <c r="T444" s="1269"/>
      <c r="U444" s="1269"/>
      <c r="V444" s="1269"/>
      <c r="W444" s="1269"/>
      <c r="X444" s="1269"/>
      <c r="Y444" s="1269"/>
    </row>
    <row r="445" spans="1:25">
      <c r="A445" s="1269"/>
      <c r="D445" s="1269"/>
      <c r="E445" s="1269"/>
      <c r="F445" s="1269"/>
      <c r="G445" s="1269"/>
      <c r="H445" s="1269"/>
      <c r="M445" s="1324"/>
      <c r="O445" s="1274"/>
      <c r="P445" s="1269"/>
      <c r="Q445" s="1269"/>
      <c r="R445" s="1269"/>
      <c r="S445" s="1269"/>
      <c r="T445" s="1269"/>
      <c r="U445" s="1269"/>
      <c r="V445" s="1269"/>
      <c r="W445" s="1269"/>
      <c r="X445" s="1269"/>
      <c r="Y445" s="1269"/>
    </row>
    <row r="446" spans="1:25">
      <c r="A446" s="1269"/>
      <c r="D446" s="1269"/>
      <c r="E446" s="1269"/>
      <c r="F446" s="1269"/>
      <c r="G446" s="1269"/>
      <c r="H446" s="1269"/>
      <c r="M446" s="1324"/>
      <c r="O446" s="1274"/>
      <c r="P446" s="1269"/>
      <c r="Q446" s="1269"/>
      <c r="R446" s="1269"/>
      <c r="S446" s="1269"/>
      <c r="T446" s="1269"/>
      <c r="U446" s="1269"/>
      <c r="V446" s="1269"/>
      <c r="W446" s="1269"/>
      <c r="X446" s="1269"/>
      <c r="Y446" s="1269"/>
    </row>
    <row r="447" spans="1:25">
      <c r="A447" s="1269"/>
      <c r="D447" s="1269"/>
      <c r="E447" s="1269"/>
      <c r="F447" s="1269"/>
      <c r="G447" s="1269"/>
      <c r="H447" s="1269"/>
      <c r="M447" s="1324"/>
      <c r="O447" s="1274"/>
      <c r="P447" s="1269"/>
      <c r="Q447" s="1269"/>
      <c r="R447" s="1269"/>
      <c r="S447" s="1269"/>
      <c r="T447" s="1269"/>
      <c r="U447" s="1269"/>
      <c r="V447" s="1269"/>
      <c r="W447" s="1269"/>
      <c r="X447" s="1269"/>
      <c r="Y447" s="1269"/>
    </row>
    <row r="448" spans="1:25">
      <c r="A448" s="1269"/>
      <c r="D448" s="1269"/>
      <c r="E448" s="1269"/>
      <c r="F448" s="1269"/>
      <c r="G448" s="1269"/>
      <c r="H448" s="1269"/>
      <c r="M448" s="1324"/>
      <c r="O448" s="1274"/>
      <c r="P448" s="1269"/>
      <c r="Q448" s="1269"/>
      <c r="R448" s="1269"/>
      <c r="S448" s="1269"/>
      <c r="T448" s="1269"/>
      <c r="U448" s="1269"/>
      <c r="V448" s="1269"/>
      <c r="W448" s="1269"/>
      <c r="X448" s="1269"/>
      <c r="Y448" s="1269"/>
    </row>
    <row r="449" spans="1:25">
      <c r="A449" s="1269"/>
      <c r="D449" s="1269"/>
      <c r="E449" s="1269"/>
      <c r="F449" s="1269"/>
      <c r="G449" s="1269"/>
      <c r="H449" s="1269"/>
      <c r="M449" s="1324"/>
      <c r="O449" s="1274"/>
      <c r="P449" s="1269"/>
      <c r="Q449" s="1269"/>
      <c r="R449" s="1269"/>
      <c r="S449" s="1269"/>
      <c r="T449" s="1269"/>
      <c r="U449" s="1269"/>
      <c r="V449" s="1269"/>
      <c r="W449" s="1269"/>
      <c r="X449" s="1269"/>
      <c r="Y449" s="1269"/>
    </row>
    <row r="450" spans="1:25">
      <c r="A450" s="1269"/>
      <c r="D450" s="1269"/>
      <c r="E450" s="1269"/>
      <c r="F450" s="1269"/>
      <c r="G450" s="1269"/>
      <c r="H450" s="1269"/>
      <c r="M450" s="1324"/>
      <c r="O450" s="1274"/>
      <c r="P450" s="1269"/>
      <c r="Q450" s="1269"/>
      <c r="R450" s="1269"/>
      <c r="S450" s="1269"/>
      <c r="T450" s="1269"/>
      <c r="U450" s="1269"/>
      <c r="V450" s="1269"/>
      <c r="W450" s="1269"/>
      <c r="X450" s="1269"/>
      <c r="Y450" s="1269"/>
    </row>
    <row r="451" spans="1:25">
      <c r="A451" s="1269"/>
      <c r="D451" s="1269"/>
      <c r="E451" s="1269"/>
      <c r="F451" s="1269"/>
      <c r="G451" s="1269"/>
      <c r="H451" s="1269"/>
      <c r="M451" s="1324"/>
      <c r="O451" s="1274"/>
      <c r="P451" s="1269"/>
      <c r="Q451" s="1269"/>
      <c r="R451" s="1269"/>
      <c r="S451" s="1269"/>
      <c r="T451" s="1269"/>
      <c r="U451" s="1269"/>
      <c r="V451" s="1269"/>
      <c r="W451" s="1269"/>
      <c r="X451" s="1269"/>
      <c r="Y451" s="1269"/>
    </row>
    <row r="452" spans="1:25">
      <c r="A452" s="1269"/>
      <c r="D452" s="1269"/>
      <c r="E452" s="1269"/>
      <c r="F452" s="1269"/>
      <c r="G452" s="1269"/>
      <c r="H452" s="1269"/>
      <c r="M452" s="1324"/>
      <c r="O452" s="1274"/>
      <c r="P452" s="1269"/>
      <c r="Q452" s="1269"/>
      <c r="R452" s="1269"/>
      <c r="S452" s="1269"/>
      <c r="T452" s="1269"/>
      <c r="U452" s="1269"/>
      <c r="V452" s="1269"/>
      <c r="W452" s="1269"/>
      <c r="X452" s="1269"/>
      <c r="Y452" s="1269"/>
    </row>
    <row r="453" spans="1:25">
      <c r="A453" s="1269"/>
      <c r="D453" s="1269"/>
      <c r="E453" s="1269"/>
      <c r="F453" s="1269"/>
      <c r="G453" s="1269"/>
      <c r="H453" s="1269"/>
      <c r="M453" s="1324"/>
      <c r="O453" s="1274"/>
      <c r="P453" s="1269"/>
      <c r="Q453" s="1269"/>
      <c r="R453" s="1269"/>
      <c r="S453" s="1269"/>
      <c r="T453" s="1269"/>
      <c r="U453" s="1269"/>
      <c r="V453" s="1269"/>
      <c r="W453" s="1269"/>
      <c r="X453" s="1269"/>
      <c r="Y453" s="1269"/>
    </row>
    <row r="454" spans="1:25">
      <c r="A454" s="1269"/>
      <c r="D454" s="1269"/>
      <c r="E454" s="1269"/>
      <c r="F454" s="1269"/>
      <c r="G454" s="1269"/>
      <c r="H454" s="1269"/>
      <c r="M454" s="1324"/>
      <c r="O454" s="1274"/>
      <c r="P454" s="1269"/>
      <c r="Q454" s="1269"/>
      <c r="R454" s="1269"/>
      <c r="S454" s="1269"/>
      <c r="T454" s="1269"/>
      <c r="U454" s="1269"/>
      <c r="V454" s="1269"/>
      <c r="W454" s="1269"/>
      <c r="X454" s="1269"/>
      <c r="Y454" s="1269"/>
    </row>
    <row r="455" spans="1:25">
      <c r="A455" s="1269"/>
      <c r="D455" s="1269"/>
      <c r="E455" s="1269"/>
      <c r="F455" s="1269"/>
      <c r="G455" s="1269"/>
      <c r="H455" s="1269"/>
      <c r="M455" s="1324"/>
      <c r="O455" s="1274"/>
      <c r="P455" s="1269"/>
      <c r="Q455" s="1269"/>
      <c r="R455" s="1269"/>
      <c r="S455" s="1269"/>
      <c r="T455" s="1269"/>
      <c r="U455" s="1269"/>
      <c r="V455" s="1269"/>
      <c r="W455" s="1269"/>
      <c r="X455" s="1269"/>
      <c r="Y455" s="1269"/>
    </row>
    <row r="456" spans="1:25">
      <c r="A456" s="1269"/>
      <c r="D456" s="1269"/>
      <c r="E456" s="1269"/>
      <c r="F456" s="1269"/>
      <c r="G456" s="1269"/>
      <c r="H456" s="1269"/>
      <c r="M456" s="1324"/>
      <c r="O456" s="1274"/>
      <c r="P456" s="1269"/>
      <c r="Q456" s="1269"/>
      <c r="R456" s="1269"/>
      <c r="S456" s="1269"/>
      <c r="T456" s="1269"/>
      <c r="U456" s="1269"/>
      <c r="V456" s="1269"/>
      <c r="W456" s="1269"/>
      <c r="X456" s="1269"/>
      <c r="Y456" s="1269"/>
    </row>
    <row r="457" spans="1:25">
      <c r="A457" s="1269"/>
      <c r="D457" s="1269"/>
      <c r="E457" s="1269"/>
      <c r="F457" s="1269"/>
      <c r="G457" s="1269"/>
      <c r="H457" s="1269"/>
      <c r="M457" s="1324"/>
      <c r="O457" s="1274"/>
      <c r="P457" s="1269"/>
      <c r="Q457" s="1269"/>
      <c r="R457" s="1269"/>
      <c r="S457" s="1269"/>
      <c r="T457" s="1269"/>
      <c r="U457" s="1269"/>
      <c r="V457" s="1269"/>
      <c r="W457" s="1269"/>
      <c r="X457" s="1269"/>
      <c r="Y457" s="1269"/>
    </row>
    <row r="458" spans="1:25">
      <c r="A458" s="1269"/>
      <c r="D458" s="1269"/>
      <c r="E458" s="1269"/>
      <c r="F458" s="1269"/>
      <c r="G458" s="1269"/>
      <c r="H458" s="1269"/>
      <c r="M458" s="1324"/>
      <c r="O458" s="1274"/>
      <c r="P458" s="1269"/>
      <c r="Q458" s="1269"/>
      <c r="R458" s="1269"/>
      <c r="S458" s="1269"/>
      <c r="T458" s="1269"/>
      <c r="U458" s="1269"/>
      <c r="V458" s="1269"/>
      <c r="W458" s="1269"/>
      <c r="X458" s="1269"/>
      <c r="Y458" s="1269"/>
    </row>
    <row r="459" spans="1:25">
      <c r="A459" s="1269"/>
      <c r="D459" s="1269"/>
      <c r="E459" s="1269"/>
      <c r="F459" s="1269"/>
      <c r="G459" s="1269"/>
      <c r="H459" s="1269"/>
      <c r="M459" s="1324"/>
      <c r="O459" s="1274"/>
      <c r="P459" s="1269"/>
      <c r="Q459" s="1269"/>
      <c r="R459" s="1269"/>
      <c r="S459" s="1269"/>
      <c r="T459" s="1269"/>
      <c r="U459" s="1269"/>
      <c r="V459" s="1269"/>
      <c r="W459" s="1269"/>
      <c r="X459" s="1269"/>
      <c r="Y459" s="1269"/>
    </row>
    <row r="460" spans="1:25">
      <c r="A460" s="1269"/>
      <c r="D460" s="1269"/>
      <c r="E460" s="1269"/>
      <c r="F460" s="1269"/>
      <c r="G460" s="1269"/>
      <c r="H460" s="1269"/>
      <c r="M460" s="1324"/>
      <c r="O460" s="1274"/>
      <c r="P460" s="1269"/>
      <c r="Q460" s="1269"/>
      <c r="R460" s="1269"/>
      <c r="S460" s="1269"/>
      <c r="T460" s="1269"/>
      <c r="U460" s="1269"/>
      <c r="V460" s="1269"/>
      <c r="W460" s="1269"/>
      <c r="X460" s="1269"/>
      <c r="Y460" s="1269"/>
    </row>
    <row r="461" spans="1:25">
      <c r="A461" s="1269"/>
      <c r="D461" s="1269"/>
      <c r="E461" s="1269"/>
      <c r="F461" s="1269"/>
      <c r="G461" s="1269"/>
      <c r="H461" s="1269"/>
      <c r="M461" s="1324"/>
      <c r="O461" s="1274"/>
      <c r="P461" s="1269"/>
      <c r="Q461" s="1269"/>
      <c r="R461" s="1269"/>
      <c r="S461" s="1269"/>
      <c r="T461" s="1269"/>
      <c r="U461" s="1269"/>
      <c r="V461" s="1269"/>
      <c r="W461" s="1269"/>
      <c r="X461" s="1269"/>
      <c r="Y461" s="1269"/>
    </row>
    <row r="462" spans="1:25">
      <c r="A462" s="1269"/>
      <c r="D462" s="1269"/>
      <c r="E462" s="1269"/>
      <c r="F462" s="1269"/>
      <c r="G462" s="1269"/>
      <c r="H462" s="1269"/>
      <c r="M462" s="1324"/>
      <c r="O462" s="1274"/>
      <c r="P462" s="1269"/>
      <c r="Q462" s="1269"/>
      <c r="R462" s="1269"/>
      <c r="S462" s="1269"/>
      <c r="T462" s="1269"/>
      <c r="U462" s="1269"/>
      <c r="V462" s="1269"/>
      <c r="W462" s="1269"/>
      <c r="X462" s="1269"/>
      <c r="Y462" s="1269"/>
    </row>
    <row r="463" spans="1:25">
      <c r="A463" s="1269"/>
      <c r="D463" s="1269"/>
      <c r="E463" s="1269"/>
      <c r="F463" s="1269"/>
      <c r="G463" s="1269"/>
      <c r="H463" s="1269"/>
      <c r="M463" s="1324"/>
      <c r="O463" s="1274"/>
      <c r="P463" s="1269"/>
      <c r="Q463" s="1269"/>
      <c r="R463" s="1269"/>
      <c r="S463" s="1269"/>
      <c r="T463" s="1269"/>
      <c r="U463" s="1269"/>
      <c r="V463" s="1269"/>
      <c r="W463" s="1269"/>
      <c r="X463" s="1269"/>
      <c r="Y463" s="1269"/>
    </row>
    <row r="464" spans="1:25">
      <c r="A464" s="1269"/>
      <c r="D464" s="1269"/>
      <c r="E464" s="1269"/>
      <c r="F464" s="1269"/>
      <c r="G464" s="1269"/>
      <c r="H464" s="1269"/>
      <c r="M464" s="1324"/>
      <c r="O464" s="1274"/>
      <c r="P464" s="1269"/>
      <c r="Q464" s="1269"/>
      <c r="R464" s="1269"/>
      <c r="S464" s="1269"/>
      <c r="T464" s="1269"/>
      <c r="U464" s="1269"/>
      <c r="V464" s="1269"/>
      <c r="W464" s="1269"/>
      <c r="X464" s="1269"/>
      <c r="Y464" s="1269"/>
    </row>
    <row r="465" spans="1:25">
      <c r="A465" s="1269"/>
      <c r="D465" s="1269"/>
      <c r="E465" s="1269"/>
      <c r="F465" s="1269"/>
      <c r="G465" s="1269"/>
      <c r="H465" s="1269"/>
      <c r="M465" s="1324"/>
      <c r="O465" s="1274"/>
      <c r="P465" s="1269"/>
      <c r="Q465" s="1269"/>
      <c r="R465" s="1269"/>
      <c r="S465" s="1269"/>
      <c r="T465" s="1269"/>
      <c r="U465" s="1269"/>
      <c r="V465" s="1269"/>
      <c r="W465" s="1269"/>
      <c r="X465" s="1269"/>
      <c r="Y465" s="1269"/>
    </row>
    <row r="466" spans="1:25">
      <c r="A466" s="1269"/>
      <c r="D466" s="1269"/>
      <c r="E466" s="1269"/>
      <c r="F466" s="1269"/>
      <c r="G466" s="1269"/>
      <c r="H466" s="1269"/>
      <c r="M466" s="1324"/>
      <c r="O466" s="1274"/>
      <c r="P466" s="1269"/>
      <c r="Q466" s="1269"/>
      <c r="R466" s="1269"/>
      <c r="S466" s="1269"/>
      <c r="T466" s="1269"/>
      <c r="U466" s="1269"/>
      <c r="V466" s="1269"/>
      <c r="W466" s="1269"/>
      <c r="X466" s="1269"/>
      <c r="Y466" s="1269"/>
    </row>
    <row r="467" spans="1:25">
      <c r="A467" s="1269"/>
      <c r="D467" s="1269"/>
      <c r="E467" s="1269"/>
      <c r="F467" s="1269"/>
      <c r="G467" s="1269"/>
      <c r="H467" s="1269"/>
      <c r="M467" s="1324"/>
      <c r="O467" s="1274"/>
      <c r="P467" s="1269"/>
      <c r="Q467" s="1269"/>
      <c r="R467" s="1269"/>
      <c r="S467" s="1269"/>
      <c r="T467" s="1269"/>
      <c r="U467" s="1269"/>
      <c r="V467" s="1269"/>
      <c r="W467" s="1269"/>
      <c r="X467" s="1269"/>
      <c r="Y467" s="1269"/>
    </row>
    <row r="468" spans="1:25">
      <c r="A468" s="1269"/>
      <c r="D468" s="1269"/>
      <c r="E468" s="1269"/>
      <c r="F468" s="1269"/>
      <c r="G468" s="1269"/>
      <c r="H468" s="1269"/>
      <c r="M468" s="1324"/>
      <c r="O468" s="1274"/>
      <c r="P468" s="1269"/>
      <c r="Q468" s="1269"/>
      <c r="R468" s="1269"/>
      <c r="S468" s="1269"/>
      <c r="T468" s="1269"/>
      <c r="U468" s="1269"/>
      <c r="V468" s="1269"/>
      <c r="W468" s="1269"/>
      <c r="X468" s="1269"/>
      <c r="Y468" s="1269"/>
    </row>
    <row r="469" spans="1:25">
      <c r="A469" s="1269"/>
      <c r="D469" s="1269"/>
      <c r="E469" s="1269"/>
      <c r="F469" s="1269"/>
      <c r="G469" s="1269"/>
      <c r="H469" s="1269"/>
      <c r="M469" s="1324"/>
      <c r="O469" s="1274"/>
      <c r="P469" s="1269"/>
      <c r="Q469" s="1269"/>
      <c r="R469" s="1269"/>
      <c r="S469" s="1269"/>
      <c r="T469" s="1269"/>
      <c r="U469" s="1269"/>
      <c r="V469" s="1269"/>
      <c r="W469" s="1269"/>
      <c r="X469" s="1269"/>
      <c r="Y469" s="1269"/>
    </row>
    <row r="470" spans="1:25">
      <c r="A470" s="1269"/>
      <c r="D470" s="1269"/>
      <c r="E470" s="1269"/>
      <c r="F470" s="1269"/>
      <c r="G470" s="1269"/>
      <c r="H470" s="1269"/>
      <c r="M470" s="1324"/>
      <c r="O470" s="1274"/>
      <c r="P470" s="1269"/>
      <c r="Q470" s="1269"/>
      <c r="R470" s="1269"/>
      <c r="S470" s="1269"/>
      <c r="T470" s="1269"/>
      <c r="U470" s="1269"/>
      <c r="V470" s="1269"/>
      <c r="W470" s="1269"/>
      <c r="X470" s="1269"/>
      <c r="Y470" s="1269"/>
    </row>
    <row r="471" spans="1:25">
      <c r="A471" s="1269"/>
      <c r="D471" s="1269"/>
      <c r="E471" s="1269"/>
      <c r="F471" s="1269"/>
      <c r="G471" s="1269"/>
      <c r="H471" s="1269"/>
      <c r="M471" s="1324"/>
      <c r="O471" s="1274"/>
      <c r="P471" s="1269"/>
      <c r="Q471" s="1269"/>
      <c r="R471" s="1269"/>
      <c r="S471" s="1269"/>
      <c r="T471" s="1269"/>
      <c r="U471" s="1269"/>
      <c r="V471" s="1269"/>
      <c r="W471" s="1269"/>
      <c r="X471" s="1269"/>
      <c r="Y471" s="1269"/>
    </row>
    <row r="472" spans="1:25">
      <c r="A472" s="1269"/>
      <c r="D472" s="1269"/>
      <c r="E472" s="1269"/>
      <c r="F472" s="1269"/>
      <c r="G472" s="1269"/>
      <c r="H472" s="1269"/>
      <c r="M472" s="1324"/>
      <c r="O472" s="1274"/>
      <c r="P472" s="1269"/>
      <c r="Q472" s="1269"/>
      <c r="R472" s="1269"/>
      <c r="S472" s="1269"/>
      <c r="T472" s="1269"/>
      <c r="U472" s="1269"/>
      <c r="V472" s="1269"/>
      <c r="W472" s="1269"/>
      <c r="X472" s="1269"/>
      <c r="Y472" s="1269"/>
    </row>
    <row r="473" spans="1:25">
      <c r="A473" s="1269"/>
      <c r="D473" s="1269"/>
      <c r="E473" s="1269"/>
      <c r="F473" s="1269"/>
      <c r="G473" s="1269"/>
      <c r="H473" s="1269"/>
      <c r="M473" s="1324"/>
      <c r="O473" s="1274"/>
      <c r="P473" s="1269"/>
      <c r="Q473" s="1269"/>
      <c r="R473" s="1269"/>
      <c r="S473" s="1269"/>
      <c r="T473" s="1269"/>
      <c r="U473" s="1269"/>
      <c r="V473" s="1269"/>
      <c r="W473" s="1269"/>
      <c r="X473" s="1269"/>
      <c r="Y473" s="1269"/>
    </row>
    <row r="474" spans="1:25">
      <c r="A474" s="1269"/>
      <c r="D474" s="1269"/>
      <c r="E474" s="1269"/>
      <c r="F474" s="1269"/>
      <c r="G474" s="1269"/>
      <c r="H474" s="1269"/>
      <c r="M474" s="1324"/>
      <c r="O474" s="1274"/>
      <c r="P474" s="1269"/>
      <c r="Q474" s="1269"/>
      <c r="R474" s="1269"/>
      <c r="S474" s="1269"/>
      <c r="T474" s="1269"/>
      <c r="U474" s="1269"/>
      <c r="V474" s="1269"/>
      <c r="W474" s="1269"/>
      <c r="X474" s="1269"/>
      <c r="Y474" s="1269"/>
    </row>
    <row r="475" spans="1:25">
      <c r="A475" s="1269"/>
      <c r="D475" s="1269"/>
      <c r="E475" s="1269"/>
      <c r="F475" s="1269"/>
      <c r="G475" s="1269"/>
      <c r="H475" s="1269"/>
      <c r="M475" s="1324"/>
      <c r="O475" s="1274"/>
      <c r="P475" s="1269"/>
      <c r="Q475" s="1269"/>
      <c r="R475" s="1269"/>
      <c r="S475" s="1269"/>
      <c r="T475" s="1269"/>
      <c r="U475" s="1269"/>
      <c r="V475" s="1269"/>
      <c r="W475" s="1269"/>
      <c r="X475" s="1269"/>
      <c r="Y475" s="1269"/>
    </row>
    <row r="476" spans="1:25">
      <c r="A476" s="1269"/>
      <c r="D476" s="1269"/>
      <c r="E476" s="1269"/>
      <c r="F476" s="1269"/>
      <c r="G476" s="1269"/>
      <c r="H476" s="1269"/>
      <c r="M476" s="1324"/>
      <c r="O476" s="1274"/>
      <c r="P476" s="1269"/>
      <c r="Q476" s="1269"/>
      <c r="R476" s="1269"/>
      <c r="S476" s="1269"/>
      <c r="T476" s="1269"/>
      <c r="U476" s="1269"/>
      <c r="V476" s="1269"/>
      <c r="W476" s="1269"/>
      <c r="X476" s="1269"/>
      <c r="Y476" s="1269"/>
    </row>
    <row r="477" spans="1:25">
      <c r="A477" s="1269"/>
      <c r="D477" s="1269"/>
      <c r="E477" s="1269"/>
      <c r="F477" s="1269"/>
      <c r="G477" s="1269"/>
      <c r="H477" s="1269"/>
      <c r="M477" s="1324"/>
      <c r="O477" s="1274"/>
      <c r="P477" s="1269"/>
      <c r="Q477" s="1269"/>
      <c r="R477" s="1269"/>
      <c r="S477" s="1269"/>
      <c r="T477" s="1269"/>
      <c r="U477" s="1269"/>
      <c r="V477" s="1269"/>
      <c r="W477" s="1269"/>
      <c r="X477" s="1269"/>
      <c r="Y477" s="1269"/>
    </row>
    <row r="478" spans="1:25">
      <c r="A478" s="1269"/>
      <c r="D478" s="1269"/>
      <c r="E478" s="1269"/>
      <c r="F478" s="1269"/>
      <c r="G478" s="1269"/>
      <c r="H478" s="1269"/>
      <c r="M478" s="1324"/>
      <c r="O478" s="1274"/>
      <c r="P478" s="1269"/>
      <c r="Q478" s="1269"/>
      <c r="R478" s="1269"/>
      <c r="S478" s="1269"/>
      <c r="T478" s="1269"/>
      <c r="U478" s="1269"/>
      <c r="V478" s="1269"/>
      <c r="W478" s="1269"/>
      <c r="X478" s="1269"/>
      <c r="Y478" s="1269"/>
    </row>
    <row r="479" spans="1:25">
      <c r="A479" s="1269"/>
      <c r="D479" s="1269"/>
      <c r="E479" s="1269"/>
      <c r="F479" s="1269"/>
      <c r="G479" s="1269"/>
      <c r="H479" s="1269"/>
      <c r="M479" s="1324"/>
      <c r="O479" s="1274"/>
      <c r="P479" s="1269"/>
      <c r="Q479" s="1269"/>
      <c r="R479" s="1269"/>
      <c r="S479" s="1269"/>
      <c r="T479" s="1269"/>
      <c r="U479" s="1269"/>
      <c r="V479" s="1269"/>
      <c r="W479" s="1269"/>
      <c r="X479" s="1269"/>
      <c r="Y479" s="1269"/>
    </row>
    <row r="480" spans="1:25">
      <c r="A480" s="1269"/>
      <c r="D480" s="1269"/>
      <c r="E480" s="1269"/>
      <c r="F480" s="1269"/>
      <c r="G480" s="1269"/>
      <c r="H480" s="1269"/>
      <c r="M480" s="1324"/>
      <c r="O480" s="1274"/>
      <c r="P480" s="1269"/>
      <c r="Q480" s="1269"/>
      <c r="R480" s="1269"/>
      <c r="S480" s="1269"/>
      <c r="T480" s="1269"/>
      <c r="U480" s="1269"/>
      <c r="V480" s="1269"/>
      <c r="W480" s="1269"/>
      <c r="X480" s="1269"/>
      <c r="Y480" s="1269"/>
    </row>
    <row r="481" spans="1:25">
      <c r="A481" s="1269"/>
      <c r="D481" s="1269"/>
      <c r="E481" s="1269"/>
      <c r="F481" s="1269"/>
      <c r="G481" s="1269"/>
      <c r="H481" s="1269"/>
      <c r="M481" s="1324"/>
      <c r="O481" s="1274"/>
      <c r="P481" s="1269"/>
      <c r="Q481" s="1269"/>
      <c r="R481" s="1269"/>
      <c r="S481" s="1269"/>
      <c r="T481" s="1269"/>
      <c r="U481" s="1269"/>
      <c r="V481" s="1269"/>
      <c r="W481" s="1269"/>
      <c r="X481" s="1269"/>
      <c r="Y481" s="1269"/>
    </row>
    <row r="482" spans="1:25">
      <c r="A482" s="1269"/>
      <c r="D482" s="1269"/>
      <c r="E482" s="1269"/>
      <c r="F482" s="1269"/>
      <c r="G482" s="1269"/>
      <c r="H482" s="1269"/>
      <c r="M482" s="1324"/>
      <c r="O482" s="1274"/>
      <c r="P482" s="1269"/>
      <c r="Q482" s="1269"/>
      <c r="R482" s="1269"/>
      <c r="S482" s="1269"/>
      <c r="T482" s="1269"/>
      <c r="U482" s="1269"/>
      <c r="V482" s="1269"/>
      <c r="W482" s="1269"/>
      <c r="X482" s="1269"/>
      <c r="Y482" s="1269"/>
    </row>
    <row r="483" spans="1:25">
      <c r="A483" s="1269"/>
      <c r="D483" s="1269"/>
      <c r="E483" s="1269"/>
      <c r="F483" s="1269"/>
      <c r="G483" s="1269"/>
      <c r="H483" s="1269"/>
      <c r="M483" s="1324"/>
      <c r="O483" s="1274"/>
      <c r="P483" s="1269"/>
      <c r="Q483" s="1269"/>
      <c r="R483" s="1269"/>
      <c r="S483" s="1269"/>
      <c r="T483" s="1269"/>
      <c r="U483" s="1269"/>
      <c r="V483" s="1269"/>
      <c r="W483" s="1269"/>
      <c r="X483" s="1269"/>
      <c r="Y483" s="1269"/>
    </row>
    <row r="484" spans="1:25">
      <c r="A484" s="1269"/>
      <c r="D484" s="1269"/>
      <c r="E484" s="1269"/>
      <c r="F484" s="1269"/>
      <c r="G484" s="1269"/>
      <c r="H484" s="1269"/>
      <c r="M484" s="1324"/>
      <c r="O484" s="1274"/>
      <c r="P484" s="1269"/>
      <c r="Q484" s="1269"/>
      <c r="R484" s="1269"/>
      <c r="S484" s="1269"/>
      <c r="T484" s="1269"/>
      <c r="U484" s="1269"/>
      <c r="V484" s="1269"/>
      <c r="W484" s="1269"/>
      <c r="X484" s="1269"/>
      <c r="Y484" s="1269"/>
    </row>
    <row r="485" spans="1:25">
      <c r="A485" s="1269"/>
      <c r="D485" s="1269"/>
      <c r="E485" s="1269"/>
      <c r="F485" s="1269"/>
      <c r="G485" s="1269"/>
      <c r="H485" s="1269"/>
      <c r="M485" s="1324"/>
      <c r="O485" s="1274"/>
      <c r="P485" s="1269"/>
      <c r="Q485" s="1269"/>
      <c r="R485" s="1269"/>
      <c r="S485" s="1269"/>
      <c r="T485" s="1269"/>
      <c r="U485" s="1269"/>
      <c r="V485" s="1269"/>
      <c r="W485" s="1269"/>
      <c r="X485" s="1269"/>
      <c r="Y485" s="1269"/>
    </row>
    <row r="486" spans="1:25">
      <c r="A486" s="1269"/>
      <c r="D486" s="1269"/>
      <c r="E486" s="1269"/>
      <c r="F486" s="1269"/>
      <c r="G486" s="1269"/>
      <c r="H486" s="1269"/>
      <c r="M486" s="1324"/>
      <c r="O486" s="1274"/>
      <c r="P486" s="1269"/>
      <c r="Q486" s="1269"/>
      <c r="R486" s="1269"/>
      <c r="S486" s="1269"/>
      <c r="T486" s="1269"/>
      <c r="U486" s="1269"/>
      <c r="V486" s="1269"/>
      <c r="W486" s="1269"/>
      <c r="X486" s="1269"/>
      <c r="Y486" s="1269"/>
    </row>
    <row r="487" spans="1:25">
      <c r="A487" s="1269"/>
      <c r="D487" s="1269"/>
      <c r="E487" s="1269"/>
      <c r="F487" s="1269"/>
      <c r="G487" s="1269"/>
      <c r="H487" s="1269"/>
      <c r="M487" s="1324"/>
      <c r="O487" s="1274"/>
      <c r="P487" s="1269"/>
      <c r="Q487" s="1269"/>
      <c r="R487" s="1269"/>
      <c r="S487" s="1269"/>
      <c r="T487" s="1269"/>
      <c r="U487" s="1269"/>
      <c r="V487" s="1269"/>
      <c r="W487" s="1269"/>
      <c r="X487" s="1269"/>
      <c r="Y487" s="1269"/>
    </row>
    <row r="488" spans="1:25">
      <c r="A488" s="1269"/>
      <c r="D488" s="1269"/>
      <c r="E488" s="1269"/>
      <c r="F488" s="1269"/>
      <c r="G488" s="1269"/>
      <c r="H488" s="1269"/>
      <c r="M488" s="1324"/>
      <c r="O488" s="1274"/>
      <c r="P488" s="1269"/>
      <c r="Q488" s="1269"/>
      <c r="R488" s="1269"/>
      <c r="S488" s="1269"/>
      <c r="T488" s="1269"/>
      <c r="U488" s="1269"/>
      <c r="V488" s="1269"/>
      <c r="W488" s="1269"/>
      <c r="X488" s="1269"/>
      <c r="Y488" s="1269"/>
    </row>
    <row r="489" spans="1:25">
      <c r="A489" s="1269"/>
      <c r="D489" s="1269"/>
      <c r="E489" s="1269"/>
      <c r="F489" s="1269"/>
      <c r="G489" s="1269"/>
      <c r="H489" s="1269"/>
      <c r="M489" s="1324"/>
      <c r="O489" s="1274"/>
      <c r="P489" s="1269"/>
      <c r="Q489" s="1269"/>
      <c r="R489" s="1269"/>
      <c r="S489" s="1269"/>
      <c r="T489" s="1269"/>
      <c r="U489" s="1269"/>
      <c r="V489" s="1269"/>
      <c r="W489" s="1269"/>
      <c r="X489" s="1269"/>
      <c r="Y489" s="1269"/>
    </row>
    <row r="490" spans="1:25">
      <c r="A490" s="1269"/>
      <c r="D490" s="1269"/>
      <c r="E490" s="1269"/>
      <c r="F490" s="1269"/>
      <c r="G490" s="1269"/>
      <c r="H490" s="1269"/>
      <c r="M490" s="1324"/>
      <c r="O490" s="1274"/>
      <c r="P490" s="1269"/>
      <c r="Q490" s="1269"/>
      <c r="R490" s="1269"/>
      <c r="S490" s="1269"/>
      <c r="T490" s="1269"/>
      <c r="U490" s="1269"/>
      <c r="V490" s="1269"/>
      <c r="W490" s="1269"/>
      <c r="X490" s="1269"/>
      <c r="Y490" s="1269"/>
    </row>
    <row r="491" spans="1:25">
      <c r="A491" s="1269"/>
      <c r="D491" s="1269"/>
      <c r="E491" s="1269"/>
      <c r="F491" s="1269"/>
      <c r="G491" s="1269"/>
      <c r="H491" s="1269"/>
      <c r="M491" s="1324"/>
      <c r="O491" s="1274"/>
      <c r="P491" s="1269"/>
      <c r="Q491" s="1269"/>
      <c r="R491" s="1269"/>
      <c r="S491" s="1269"/>
      <c r="T491" s="1269"/>
      <c r="U491" s="1269"/>
      <c r="V491" s="1269"/>
      <c r="W491" s="1269"/>
      <c r="X491" s="1269"/>
      <c r="Y491" s="1269"/>
    </row>
    <row r="492" spans="1:25">
      <c r="A492" s="1269"/>
      <c r="D492" s="1269"/>
      <c r="E492" s="1269"/>
      <c r="F492" s="1269"/>
      <c r="G492" s="1269"/>
      <c r="H492" s="1269"/>
      <c r="M492" s="1324"/>
      <c r="O492" s="1274"/>
      <c r="P492" s="1269"/>
      <c r="Q492" s="1269"/>
      <c r="R492" s="1269"/>
      <c r="S492" s="1269"/>
      <c r="T492" s="1269"/>
      <c r="U492" s="1269"/>
      <c r="V492" s="1269"/>
      <c r="W492" s="1269"/>
      <c r="X492" s="1269"/>
      <c r="Y492" s="1269"/>
    </row>
    <row r="493" spans="1:25">
      <c r="A493" s="1269"/>
      <c r="D493" s="1269"/>
      <c r="E493" s="1269"/>
      <c r="F493" s="1269"/>
      <c r="G493" s="1269"/>
      <c r="H493" s="1269"/>
      <c r="M493" s="1324"/>
      <c r="O493" s="1274"/>
      <c r="P493" s="1269"/>
      <c r="Q493" s="1269"/>
      <c r="R493" s="1269"/>
      <c r="S493" s="1269"/>
      <c r="T493" s="1269"/>
      <c r="U493" s="1269"/>
      <c r="V493" s="1269"/>
      <c r="W493" s="1269"/>
      <c r="X493" s="1269"/>
      <c r="Y493" s="1269"/>
    </row>
    <row r="494" spans="1:25">
      <c r="A494" s="1269"/>
      <c r="D494" s="1269"/>
      <c r="E494" s="1269"/>
      <c r="F494" s="1269"/>
      <c r="G494" s="1269"/>
      <c r="H494" s="1269"/>
      <c r="M494" s="1324"/>
      <c r="O494" s="1274"/>
      <c r="P494" s="1269"/>
      <c r="Q494" s="1269"/>
      <c r="R494" s="1269"/>
      <c r="S494" s="1269"/>
      <c r="T494" s="1269"/>
      <c r="U494" s="1269"/>
      <c r="V494" s="1269"/>
      <c r="W494" s="1269"/>
      <c r="X494" s="1269"/>
      <c r="Y494" s="1269"/>
    </row>
    <row r="495" spans="1:25">
      <c r="A495" s="1269"/>
      <c r="D495" s="1269"/>
      <c r="E495" s="1269"/>
      <c r="F495" s="1269"/>
      <c r="G495" s="1269"/>
      <c r="H495" s="1269"/>
      <c r="M495" s="1324"/>
      <c r="O495" s="1274"/>
      <c r="P495" s="1269"/>
      <c r="Q495" s="1269"/>
      <c r="R495" s="1269"/>
      <c r="S495" s="1269"/>
      <c r="T495" s="1269"/>
      <c r="U495" s="1269"/>
      <c r="V495" s="1269"/>
      <c r="W495" s="1269"/>
      <c r="X495" s="1269"/>
      <c r="Y495" s="1269"/>
    </row>
    <row r="496" spans="1:25">
      <c r="A496" s="1269"/>
      <c r="D496" s="1269"/>
      <c r="E496" s="1269"/>
      <c r="F496" s="1269"/>
      <c r="G496" s="1269"/>
      <c r="H496" s="1269"/>
      <c r="M496" s="1324"/>
      <c r="O496" s="1274"/>
      <c r="P496" s="1269"/>
      <c r="Q496" s="1269"/>
      <c r="R496" s="1269"/>
      <c r="S496" s="1269"/>
      <c r="T496" s="1269"/>
      <c r="U496" s="1269"/>
      <c r="V496" s="1269"/>
      <c r="W496" s="1269"/>
      <c r="X496" s="1269"/>
      <c r="Y496" s="1269"/>
    </row>
    <row r="497" spans="1:25">
      <c r="A497" s="1269"/>
      <c r="D497" s="1269"/>
      <c r="E497" s="1269"/>
      <c r="F497" s="1269"/>
      <c r="G497" s="1269"/>
      <c r="H497" s="1269"/>
      <c r="M497" s="1324"/>
      <c r="O497" s="1274"/>
      <c r="P497" s="1269"/>
      <c r="Q497" s="1269"/>
      <c r="R497" s="1269"/>
      <c r="S497" s="1269"/>
      <c r="T497" s="1269"/>
      <c r="U497" s="1269"/>
      <c r="V497" s="1269"/>
      <c r="W497" s="1269"/>
      <c r="X497" s="1269"/>
      <c r="Y497" s="1269"/>
    </row>
    <row r="498" spans="1:25">
      <c r="A498" s="1269"/>
      <c r="D498" s="1269"/>
      <c r="E498" s="1269"/>
      <c r="F498" s="1269"/>
      <c r="G498" s="1269"/>
      <c r="H498" s="1269"/>
      <c r="M498" s="1324"/>
      <c r="O498" s="1274"/>
      <c r="P498" s="1269"/>
      <c r="Q498" s="1269"/>
      <c r="R498" s="1269"/>
      <c r="S498" s="1269"/>
      <c r="T498" s="1269"/>
      <c r="U498" s="1269"/>
      <c r="V498" s="1269"/>
      <c r="W498" s="1269"/>
      <c r="X498" s="1269"/>
      <c r="Y498" s="1269"/>
    </row>
    <row r="499" spans="1:25">
      <c r="A499" s="1269"/>
      <c r="D499" s="1269"/>
      <c r="E499" s="1269"/>
      <c r="F499" s="1269"/>
      <c r="G499" s="1269"/>
      <c r="H499" s="1269"/>
      <c r="M499" s="1324"/>
      <c r="O499" s="1274"/>
      <c r="P499" s="1269"/>
      <c r="Q499" s="1269"/>
      <c r="R499" s="1269"/>
      <c r="S499" s="1269"/>
      <c r="T499" s="1269"/>
      <c r="U499" s="1269"/>
      <c r="V499" s="1269"/>
      <c r="W499" s="1269"/>
      <c r="X499" s="1269"/>
      <c r="Y499" s="1269"/>
    </row>
    <row r="500" spans="1:25">
      <c r="A500" s="1269"/>
      <c r="D500" s="1269"/>
      <c r="E500" s="1269"/>
      <c r="F500" s="1269"/>
      <c r="G500" s="1269"/>
      <c r="H500" s="1269"/>
      <c r="M500" s="1324"/>
      <c r="O500" s="1274"/>
      <c r="P500" s="1269"/>
      <c r="Q500" s="1269"/>
      <c r="R500" s="1269"/>
      <c r="S500" s="1269"/>
      <c r="T500" s="1269"/>
      <c r="U500" s="1269"/>
      <c r="V500" s="1269"/>
      <c r="W500" s="1269"/>
      <c r="X500" s="1269"/>
      <c r="Y500" s="1269"/>
    </row>
    <row r="501" spans="1:25">
      <c r="A501" s="1269"/>
      <c r="D501" s="1269"/>
      <c r="E501" s="1269"/>
      <c r="F501" s="1269"/>
      <c r="G501" s="1269"/>
      <c r="H501" s="1269"/>
      <c r="M501" s="1324"/>
      <c r="O501" s="1274"/>
      <c r="P501" s="1269"/>
      <c r="Q501" s="1269"/>
      <c r="R501" s="1269"/>
      <c r="S501" s="1269"/>
      <c r="T501" s="1269"/>
      <c r="U501" s="1269"/>
      <c r="V501" s="1269"/>
      <c r="W501" s="1269"/>
      <c r="X501" s="1269"/>
      <c r="Y501" s="1269"/>
    </row>
    <row r="502" spans="1:25">
      <c r="A502" s="1269"/>
      <c r="D502" s="1269"/>
      <c r="E502" s="1269"/>
      <c r="F502" s="1269"/>
      <c r="G502" s="1269"/>
      <c r="H502" s="1269"/>
      <c r="M502" s="1324"/>
      <c r="O502" s="1274"/>
      <c r="P502" s="1269"/>
      <c r="Q502" s="1269"/>
      <c r="R502" s="1269"/>
      <c r="S502" s="1269"/>
      <c r="T502" s="1269"/>
      <c r="U502" s="1269"/>
      <c r="V502" s="1269"/>
      <c r="W502" s="1269"/>
      <c r="X502" s="1269"/>
      <c r="Y502" s="1269"/>
    </row>
    <row r="503" spans="1:25">
      <c r="A503" s="1269"/>
      <c r="D503" s="1269"/>
      <c r="E503" s="1269"/>
      <c r="F503" s="1269"/>
      <c r="G503" s="1269"/>
      <c r="H503" s="1269"/>
      <c r="M503" s="1324"/>
      <c r="O503" s="1274"/>
      <c r="P503" s="1269"/>
      <c r="Q503" s="1269"/>
      <c r="R503" s="1269"/>
      <c r="S503" s="1269"/>
      <c r="T503" s="1269"/>
      <c r="U503" s="1269"/>
      <c r="V503" s="1269"/>
      <c r="W503" s="1269"/>
      <c r="X503" s="1269"/>
      <c r="Y503" s="1269"/>
    </row>
    <row r="504" spans="1:25">
      <c r="A504" s="1269"/>
      <c r="D504" s="1269"/>
      <c r="E504" s="1269"/>
      <c r="F504" s="1269"/>
      <c r="G504" s="1269"/>
      <c r="H504" s="1269"/>
      <c r="M504" s="1324"/>
      <c r="O504" s="1274"/>
      <c r="P504" s="1269"/>
      <c r="Q504" s="1269"/>
      <c r="R504" s="1269"/>
      <c r="S504" s="1269"/>
      <c r="T504" s="1269"/>
      <c r="U504" s="1269"/>
      <c r="V504" s="1269"/>
      <c r="W504" s="1269"/>
      <c r="X504" s="1269"/>
      <c r="Y504" s="1269"/>
    </row>
    <row r="505" spans="1:25">
      <c r="A505" s="1269"/>
      <c r="D505" s="1269"/>
      <c r="E505" s="1269"/>
      <c r="F505" s="1269"/>
      <c r="G505" s="1269"/>
      <c r="H505" s="1269"/>
      <c r="M505" s="1324"/>
      <c r="O505" s="1274"/>
      <c r="P505" s="1269"/>
      <c r="Q505" s="1269"/>
      <c r="R505" s="1269"/>
      <c r="S505" s="1269"/>
      <c r="T505" s="1269"/>
      <c r="U505" s="1269"/>
      <c r="V505" s="1269"/>
      <c r="W505" s="1269"/>
      <c r="X505" s="1269"/>
      <c r="Y505" s="1269"/>
    </row>
    <row r="506" spans="1:25">
      <c r="A506" s="1269"/>
      <c r="D506" s="1269"/>
      <c r="E506" s="1269"/>
      <c r="F506" s="1269"/>
      <c r="G506" s="1269"/>
      <c r="H506" s="1269"/>
      <c r="M506" s="1324"/>
      <c r="O506" s="1274"/>
      <c r="P506" s="1269"/>
      <c r="Q506" s="1269"/>
      <c r="R506" s="1269"/>
      <c r="S506" s="1269"/>
      <c r="T506" s="1269"/>
      <c r="U506" s="1269"/>
      <c r="V506" s="1269"/>
      <c r="W506" s="1269"/>
      <c r="X506" s="1269"/>
      <c r="Y506" s="1269"/>
    </row>
    <row r="507" spans="1:25">
      <c r="A507" s="1269"/>
      <c r="D507" s="1269"/>
      <c r="E507" s="1269"/>
      <c r="F507" s="1269"/>
      <c r="G507" s="1269"/>
      <c r="H507" s="1269"/>
      <c r="M507" s="1324"/>
      <c r="O507" s="1274"/>
      <c r="P507" s="1269"/>
      <c r="Q507" s="1269"/>
      <c r="R507" s="1269"/>
      <c r="S507" s="1269"/>
      <c r="T507" s="1269"/>
      <c r="U507" s="1269"/>
      <c r="V507" s="1269"/>
      <c r="W507" s="1269"/>
      <c r="X507" s="1269"/>
      <c r="Y507" s="1269"/>
    </row>
    <row r="508" spans="1:25">
      <c r="A508" s="1269"/>
      <c r="D508" s="1269"/>
      <c r="E508" s="1269"/>
      <c r="F508" s="1269"/>
      <c r="G508" s="1269"/>
      <c r="H508" s="1269"/>
      <c r="M508" s="1324"/>
      <c r="O508" s="1274"/>
      <c r="P508" s="1269"/>
      <c r="Q508" s="1269"/>
      <c r="R508" s="1269"/>
      <c r="S508" s="1269"/>
      <c r="T508" s="1269"/>
      <c r="U508" s="1269"/>
      <c r="V508" s="1269"/>
      <c r="W508" s="1269"/>
      <c r="X508" s="1269"/>
      <c r="Y508" s="1269"/>
    </row>
    <row r="509" spans="1:25">
      <c r="A509" s="1269"/>
      <c r="D509" s="1269"/>
      <c r="E509" s="1269"/>
      <c r="F509" s="1269"/>
      <c r="G509" s="1269"/>
      <c r="H509" s="1269"/>
      <c r="M509" s="1324"/>
      <c r="O509" s="1274"/>
      <c r="P509" s="1269"/>
      <c r="Q509" s="1269"/>
      <c r="R509" s="1269"/>
      <c r="S509" s="1269"/>
      <c r="T509" s="1269"/>
      <c r="U509" s="1269"/>
      <c r="V509" s="1269"/>
      <c r="W509" s="1269"/>
      <c r="X509" s="1269"/>
      <c r="Y509" s="1269"/>
    </row>
    <row r="510" spans="1:25">
      <c r="A510" s="1269"/>
      <c r="D510" s="1269"/>
      <c r="E510" s="1269"/>
      <c r="F510" s="1269"/>
      <c r="G510" s="1269"/>
      <c r="H510" s="1269"/>
      <c r="M510" s="1324"/>
      <c r="O510" s="1274"/>
      <c r="P510" s="1269"/>
      <c r="Q510" s="1269"/>
      <c r="R510" s="1269"/>
      <c r="S510" s="1269"/>
      <c r="T510" s="1269"/>
      <c r="U510" s="1269"/>
      <c r="V510" s="1269"/>
      <c r="W510" s="1269"/>
      <c r="X510" s="1269"/>
      <c r="Y510" s="1269"/>
    </row>
    <row r="511" spans="1:25">
      <c r="A511" s="1269"/>
      <c r="D511" s="1269"/>
      <c r="E511" s="1269"/>
      <c r="F511" s="1269"/>
      <c r="G511" s="1269"/>
      <c r="H511" s="1269"/>
      <c r="M511" s="1324"/>
      <c r="O511" s="1274"/>
      <c r="P511" s="1269"/>
      <c r="Q511" s="1269"/>
      <c r="R511" s="1269"/>
      <c r="S511" s="1269"/>
      <c r="T511" s="1269"/>
      <c r="U511" s="1269"/>
      <c r="V511" s="1269"/>
      <c r="W511" s="1269"/>
      <c r="X511" s="1269"/>
      <c r="Y511" s="1269"/>
    </row>
    <row r="512" spans="1:25">
      <c r="A512" s="1269"/>
      <c r="D512" s="1269"/>
      <c r="E512" s="1269"/>
      <c r="F512" s="1269"/>
      <c r="G512" s="1269"/>
      <c r="H512" s="1269"/>
      <c r="M512" s="1324"/>
      <c r="O512" s="1274"/>
      <c r="P512" s="1269"/>
      <c r="Q512" s="1269"/>
      <c r="R512" s="1269"/>
      <c r="S512" s="1269"/>
      <c r="T512" s="1269"/>
      <c r="U512" s="1269"/>
      <c r="V512" s="1269"/>
      <c r="W512" s="1269"/>
      <c r="X512" s="1269"/>
      <c r="Y512" s="1269"/>
    </row>
    <row r="513" spans="1:25">
      <c r="A513" s="1269"/>
      <c r="D513" s="1269"/>
      <c r="E513" s="1269"/>
      <c r="F513" s="1269"/>
      <c r="G513" s="1269"/>
      <c r="H513" s="1269"/>
      <c r="M513" s="1324"/>
      <c r="O513" s="1274"/>
      <c r="P513" s="1269"/>
      <c r="Q513" s="1269"/>
      <c r="R513" s="1269"/>
      <c r="S513" s="1269"/>
      <c r="T513" s="1269"/>
      <c r="U513" s="1269"/>
      <c r="V513" s="1269"/>
      <c r="W513" s="1269"/>
      <c r="X513" s="1269"/>
      <c r="Y513" s="1269"/>
    </row>
    <row r="514" spans="1:25">
      <c r="A514" s="1269"/>
      <c r="D514" s="1269"/>
      <c r="E514" s="1269"/>
      <c r="F514" s="1269"/>
      <c r="G514" s="1269"/>
      <c r="H514" s="1269"/>
      <c r="M514" s="1324"/>
      <c r="O514" s="1274"/>
      <c r="P514" s="1269"/>
      <c r="Q514" s="1269"/>
      <c r="R514" s="1269"/>
      <c r="S514" s="1269"/>
      <c r="T514" s="1269"/>
      <c r="U514" s="1269"/>
      <c r="V514" s="1269"/>
      <c r="W514" s="1269"/>
      <c r="X514" s="1269"/>
      <c r="Y514" s="1269"/>
    </row>
    <row r="515" spans="1:25">
      <c r="A515" s="1269"/>
      <c r="D515" s="1269"/>
      <c r="E515" s="1269"/>
      <c r="F515" s="1269"/>
      <c r="G515" s="1269"/>
      <c r="H515" s="1269"/>
      <c r="M515" s="1324"/>
      <c r="O515" s="1274"/>
      <c r="P515" s="1269"/>
      <c r="Q515" s="1269"/>
      <c r="R515" s="1269"/>
      <c r="S515" s="1269"/>
      <c r="T515" s="1269"/>
      <c r="U515" s="1269"/>
      <c r="V515" s="1269"/>
      <c r="W515" s="1269"/>
      <c r="X515" s="1269"/>
      <c r="Y515" s="1269"/>
    </row>
    <row r="516" spans="1:25">
      <c r="A516" s="1269"/>
      <c r="D516" s="1269"/>
      <c r="E516" s="1269"/>
      <c r="F516" s="1269"/>
      <c r="G516" s="1269"/>
      <c r="H516" s="1269"/>
      <c r="M516" s="1324"/>
      <c r="O516" s="1274"/>
      <c r="P516" s="1269"/>
      <c r="Q516" s="1269"/>
      <c r="R516" s="1269"/>
      <c r="S516" s="1269"/>
      <c r="T516" s="1269"/>
      <c r="U516" s="1269"/>
      <c r="V516" s="1269"/>
      <c r="W516" s="1269"/>
      <c r="X516" s="1269"/>
      <c r="Y516" s="1269"/>
    </row>
    <row r="517" spans="1:25">
      <c r="A517" s="1269"/>
      <c r="D517" s="1269"/>
      <c r="E517" s="1269"/>
      <c r="F517" s="1269"/>
      <c r="G517" s="1269"/>
      <c r="H517" s="1269"/>
      <c r="M517" s="1324"/>
      <c r="O517" s="1274"/>
      <c r="P517" s="1269"/>
      <c r="Q517" s="1269"/>
      <c r="R517" s="1269"/>
      <c r="S517" s="1269"/>
      <c r="T517" s="1269"/>
      <c r="U517" s="1269"/>
      <c r="V517" s="1269"/>
      <c r="W517" s="1269"/>
      <c r="X517" s="1269"/>
      <c r="Y517" s="1269"/>
    </row>
    <row r="518" spans="1:25">
      <c r="A518" s="1269"/>
      <c r="D518" s="1269"/>
      <c r="E518" s="1269"/>
      <c r="F518" s="1269"/>
      <c r="G518" s="1269"/>
      <c r="H518" s="1269"/>
      <c r="M518" s="1324"/>
      <c r="O518" s="1274"/>
      <c r="P518" s="1269"/>
      <c r="Q518" s="1269"/>
      <c r="R518" s="1269"/>
      <c r="S518" s="1269"/>
      <c r="T518" s="1269"/>
      <c r="U518" s="1269"/>
      <c r="V518" s="1269"/>
      <c r="W518" s="1269"/>
      <c r="X518" s="1269"/>
      <c r="Y518" s="1269"/>
    </row>
    <row r="519" spans="1:25">
      <c r="A519" s="1269"/>
      <c r="D519" s="1269"/>
      <c r="E519" s="1269"/>
      <c r="F519" s="1269"/>
      <c r="G519" s="1269"/>
      <c r="H519" s="1269"/>
      <c r="M519" s="1324"/>
      <c r="O519" s="1274"/>
      <c r="P519" s="1269"/>
      <c r="Q519" s="1269"/>
      <c r="R519" s="1269"/>
      <c r="S519" s="1269"/>
      <c r="T519" s="1269"/>
      <c r="U519" s="1269"/>
      <c r="V519" s="1269"/>
      <c r="W519" s="1269"/>
      <c r="X519" s="1269"/>
      <c r="Y519" s="1269"/>
    </row>
    <row r="520" spans="1:25">
      <c r="A520" s="1269"/>
      <c r="D520" s="1269"/>
      <c r="E520" s="1269"/>
      <c r="F520" s="1269"/>
      <c r="G520" s="1269"/>
      <c r="H520" s="1269"/>
      <c r="M520" s="1324"/>
      <c r="O520" s="1274"/>
      <c r="P520" s="1269"/>
      <c r="Q520" s="1269"/>
      <c r="R520" s="1269"/>
      <c r="S520" s="1269"/>
      <c r="T520" s="1269"/>
      <c r="U520" s="1269"/>
      <c r="V520" s="1269"/>
      <c r="W520" s="1269"/>
      <c r="X520" s="1269"/>
      <c r="Y520" s="1269"/>
    </row>
    <row r="521" spans="1:25">
      <c r="A521" s="1269"/>
      <c r="D521" s="1269"/>
      <c r="E521" s="1269"/>
      <c r="F521" s="1269"/>
      <c r="G521" s="1269"/>
      <c r="H521" s="1269"/>
      <c r="M521" s="1324"/>
      <c r="O521" s="1274"/>
      <c r="P521" s="1269"/>
      <c r="Q521" s="1269"/>
      <c r="R521" s="1269"/>
      <c r="S521" s="1269"/>
      <c r="T521" s="1269"/>
      <c r="U521" s="1269"/>
      <c r="V521" s="1269"/>
      <c r="W521" s="1269"/>
      <c r="X521" s="1269"/>
      <c r="Y521" s="1269"/>
    </row>
    <row r="522" spans="1:25">
      <c r="A522" s="1269"/>
      <c r="D522" s="1269"/>
      <c r="E522" s="1269"/>
      <c r="F522" s="1269"/>
      <c r="G522" s="1269"/>
      <c r="H522" s="1269"/>
      <c r="M522" s="1324"/>
      <c r="O522" s="1274"/>
      <c r="P522" s="1269"/>
      <c r="Q522" s="1269"/>
      <c r="R522" s="1269"/>
      <c r="S522" s="1269"/>
      <c r="T522" s="1269"/>
      <c r="U522" s="1269"/>
      <c r="V522" s="1269"/>
      <c r="W522" s="1269"/>
      <c r="X522" s="1269"/>
      <c r="Y522" s="1269"/>
    </row>
    <row r="523" spans="1:25">
      <c r="A523" s="1269"/>
      <c r="D523" s="1269"/>
      <c r="E523" s="1269"/>
      <c r="F523" s="1269"/>
      <c r="G523" s="1269"/>
      <c r="H523" s="1269"/>
      <c r="M523" s="1324"/>
      <c r="O523" s="1274"/>
      <c r="P523" s="1269"/>
      <c r="Q523" s="1269"/>
      <c r="R523" s="1269"/>
      <c r="S523" s="1269"/>
      <c r="T523" s="1269"/>
      <c r="U523" s="1269"/>
      <c r="V523" s="1269"/>
      <c r="W523" s="1269"/>
      <c r="X523" s="1269"/>
      <c r="Y523" s="1269"/>
    </row>
    <row r="524" spans="1:25">
      <c r="A524" s="1269"/>
      <c r="D524" s="1269"/>
      <c r="E524" s="1269"/>
      <c r="F524" s="1269"/>
      <c r="G524" s="1269"/>
      <c r="H524" s="1269"/>
      <c r="M524" s="1324"/>
      <c r="O524" s="1274"/>
      <c r="P524" s="1269"/>
      <c r="Q524" s="1269"/>
      <c r="R524" s="1269"/>
      <c r="S524" s="1269"/>
      <c r="T524" s="1269"/>
      <c r="U524" s="1269"/>
      <c r="V524" s="1269"/>
      <c r="W524" s="1269"/>
      <c r="X524" s="1269"/>
      <c r="Y524" s="1269"/>
    </row>
    <row r="525" spans="1:25">
      <c r="A525" s="1269"/>
      <c r="D525" s="1269"/>
      <c r="E525" s="1269"/>
      <c r="F525" s="1269"/>
      <c r="G525" s="1269"/>
      <c r="H525" s="1269"/>
      <c r="M525" s="1324"/>
      <c r="O525" s="1274"/>
      <c r="P525" s="1269"/>
      <c r="Q525" s="1269"/>
      <c r="R525" s="1269"/>
      <c r="S525" s="1269"/>
      <c r="T525" s="1269"/>
      <c r="U525" s="1269"/>
      <c r="V525" s="1269"/>
      <c r="W525" s="1269"/>
      <c r="X525" s="1269"/>
      <c r="Y525" s="1269"/>
    </row>
    <row r="526" spans="1:25">
      <c r="A526" s="1269"/>
      <c r="D526" s="1269"/>
      <c r="E526" s="1269"/>
      <c r="F526" s="1269"/>
      <c r="G526" s="1269"/>
      <c r="H526" s="1269"/>
      <c r="M526" s="1324"/>
      <c r="O526" s="1274"/>
      <c r="P526" s="1269"/>
      <c r="Q526" s="1269"/>
      <c r="R526" s="1269"/>
      <c r="S526" s="1269"/>
      <c r="T526" s="1269"/>
      <c r="U526" s="1269"/>
      <c r="V526" s="1269"/>
      <c r="W526" s="1269"/>
      <c r="X526" s="1269"/>
      <c r="Y526" s="1269"/>
    </row>
    <row r="527" spans="1:25">
      <c r="A527" s="1269"/>
      <c r="D527" s="1269"/>
      <c r="E527" s="1269"/>
      <c r="F527" s="1269"/>
      <c r="G527" s="1269"/>
      <c r="H527" s="1269"/>
      <c r="M527" s="1324"/>
      <c r="O527" s="1274"/>
      <c r="P527" s="1269"/>
      <c r="Q527" s="1269"/>
      <c r="R527" s="1269"/>
      <c r="S527" s="1269"/>
      <c r="T527" s="1269"/>
      <c r="U527" s="1269"/>
      <c r="V527" s="1269"/>
      <c r="W527" s="1269"/>
      <c r="X527" s="1269"/>
      <c r="Y527" s="1269"/>
    </row>
    <row r="528" spans="1:25">
      <c r="A528" s="1269"/>
      <c r="D528" s="1269"/>
      <c r="E528" s="1269"/>
      <c r="F528" s="1269"/>
      <c r="G528" s="1269"/>
      <c r="H528" s="1269"/>
      <c r="M528" s="1324"/>
      <c r="O528" s="1274"/>
      <c r="P528" s="1269"/>
      <c r="Q528" s="1269"/>
      <c r="R528" s="1269"/>
      <c r="S528" s="1269"/>
      <c r="T528" s="1269"/>
      <c r="U528" s="1269"/>
      <c r="V528" s="1269"/>
      <c r="W528" s="1269"/>
      <c r="X528" s="1269"/>
      <c r="Y528" s="1269"/>
    </row>
    <row r="529" spans="1:25">
      <c r="A529" s="1269"/>
      <c r="D529" s="1269"/>
      <c r="E529" s="1269"/>
      <c r="F529" s="1269"/>
      <c r="G529" s="1269"/>
      <c r="H529" s="1269"/>
      <c r="M529" s="1324"/>
      <c r="O529" s="1274"/>
      <c r="P529" s="1269"/>
      <c r="Q529" s="1269"/>
      <c r="R529" s="1269"/>
      <c r="S529" s="1269"/>
      <c r="T529" s="1269"/>
      <c r="U529" s="1269"/>
      <c r="V529" s="1269"/>
      <c r="W529" s="1269"/>
      <c r="X529" s="1269"/>
      <c r="Y529" s="1269"/>
    </row>
    <row r="530" spans="1:25">
      <c r="A530" s="1269"/>
      <c r="D530" s="1269"/>
      <c r="E530" s="1269"/>
      <c r="F530" s="1269"/>
      <c r="G530" s="1269"/>
      <c r="H530" s="1269"/>
      <c r="M530" s="1324"/>
      <c r="O530" s="1274"/>
      <c r="P530" s="1269"/>
      <c r="Q530" s="1269"/>
      <c r="R530" s="1269"/>
      <c r="S530" s="1269"/>
      <c r="T530" s="1269"/>
      <c r="U530" s="1269"/>
      <c r="V530" s="1269"/>
      <c r="W530" s="1269"/>
      <c r="X530" s="1269"/>
      <c r="Y530" s="1269"/>
    </row>
    <row r="531" spans="1:25">
      <c r="A531" s="1269"/>
      <c r="D531" s="1269"/>
      <c r="E531" s="1269"/>
      <c r="F531" s="1269"/>
      <c r="G531" s="1269"/>
      <c r="H531" s="1269"/>
      <c r="M531" s="1324"/>
      <c r="O531" s="1274"/>
      <c r="P531" s="1269"/>
      <c r="Q531" s="1269"/>
      <c r="R531" s="1269"/>
      <c r="S531" s="1269"/>
      <c r="T531" s="1269"/>
      <c r="U531" s="1269"/>
      <c r="V531" s="1269"/>
      <c r="W531" s="1269"/>
      <c r="X531" s="1269"/>
      <c r="Y531" s="1269"/>
    </row>
    <row r="532" spans="1:25">
      <c r="A532" s="1269"/>
      <c r="D532" s="1269"/>
      <c r="E532" s="1269"/>
      <c r="F532" s="1269"/>
      <c r="G532" s="1269"/>
      <c r="H532" s="1269"/>
      <c r="M532" s="1324"/>
      <c r="O532" s="1274"/>
      <c r="P532" s="1269"/>
      <c r="Q532" s="1269"/>
      <c r="R532" s="1269"/>
      <c r="S532" s="1269"/>
      <c r="T532" s="1269"/>
      <c r="U532" s="1269"/>
      <c r="V532" s="1269"/>
      <c r="W532" s="1269"/>
      <c r="X532" s="1269"/>
      <c r="Y532" s="1269"/>
    </row>
    <row r="533" spans="1:25">
      <c r="A533" s="1269"/>
      <c r="D533" s="1269"/>
      <c r="E533" s="1269"/>
      <c r="F533" s="1269"/>
      <c r="G533" s="1269"/>
      <c r="H533" s="1269"/>
      <c r="M533" s="1324"/>
      <c r="O533" s="1274"/>
      <c r="P533" s="1269"/>
      <c r="Q533" s="1269"/>
      <c r="R533" s="1269"/>
      <c r="S533" s="1269"/>
      <c r="T533" s="1269"/>
      <c r="U533" s="1269"/>
      <c r="V533" s="1269"/>
      <c r="W533" s="1269"/>
      <c r="X533" s="1269"/>
      <c r="Y533" s="1269"/>
    </row>
    <row r="534" spans="1:25">
      <c r="A534" s="1269"/>
      <c r="D534" s="1269"/>
      <c r="E534" s="1269"/>
      <c r="F534" s="1269"/>
      <c r="G534" s="1269"/>
      <c r="H534" s="1269"/>
      <c r="M534" s="1324"/>
      <c r="O534" s="1274"/>
      <c r="P534" s="1269"/>
      <c r="Q534" s="1269"/>
      <c r="R534" s="1269"/>
      <c r="S534" s="1269"/>
      <c r="T534" s="1269"/>
      <c r="U534" s="1269"/>
      <c r="V534" s="1269"/>
      <c r="W534" s="1269"/>
      <c r="X534" s="1269"/>
      <c r="Y534" s="1269"/>
    </row>
    <row r="535" spans="1:25">
      <c r="A535" s="1269"/>
      <c r="D535" s="1269"/>
      <c r="E535" s="1269"/>
      <c r="F535" s="1269"/>
      <c r="G535" s="1269"/>
      <c r="H535" s="1269"/>
      <c r="M535" s="1324"/>
      <c r="O535" s="1274"/>
      <c r="P535" s="1269"/>
      <c r="Q535" s="1269"/>
      <c r="R535" s="1269"/>
      <c r="S535" s="1269"/>
      <c r="T535" s="1269"/>
      <c r="U535" s="1269"/>
      <c r="V535" s="1269"/>
      <c r="W535" s="1269"/>
      <c r="X535" s="1269"/>
      <c r="Y535" s="1269"/>
    </row>
    <row r="536" spans="1:25">
      <c r="A536" s="1269"/>
      <c r="D536" s="1269"/>
      <c r="E536" s="1269"/>
      <c r="F536" s="1269"/>
      <c r="G536" s="1269"/>
      <c r="H536" s="1269"/>
      <c r="M536" s="1324"/>
      <c r="O536" s="1274"/>
      <c r="P536" s="1269"/>
      <c r="Q536" s="1269"/>
      <c r="R536" s="1269"/>
      <c r="S536" s="1269"/>
      <c r="T536" s="1269"/>
      <c r="U536" s="1269"/>
      <c r="V536" s="1269"/>
      <c r="W536" s="1269"/>
      <c r="X536" s="1269"/>
      <c r="Y536" s="1269"/>
    </row>
    <row r="537" spans="1:25">
      <c r="A537" s="1269"/>
      <c r="D537" s="1269"/>
      <c r="E537" s="1269"/>
      <c r="F537" s="1269"/>
      <c r="G537" s="1269"/>
      <c r="H537" s="1269"/>
      <c r="M537" s="1324"/>
      <c r="O537" s="1274"/>
      <c r="P537" s="1269"/>
      <c r="Q537" s="1269"/>
      <c r="R537" s="1269"/>
      <c r="S537" s="1269"/>
      <c r="T537" s="1269"/>
      <c r="U537" s="1269"/>
      <c r="V537" s="1269"/>
      <c r="W537" s="1269"/>
      <c r="X537" s="1269"/>
      <c r="Y537" s="1269"/>
    </row>
    <row r="538" spans="1:25">
      <c r="A538" s="1269"/>
      <c r="D538" s="1269"/>
      <c r="E538" s="1269"/>
      <c r="F538" s="1269"/>
      <c r="G538" s="1269"/>
      <c r="H538" s="1269"/>
      <c r="M538" s="1324"/>
      <c r="O538" s="1274"/>
      <c r="P538" s="1269"/>
      <c r="Q538" s="1269"/>
      <c r="R538" s="1269"/>
      <c r="S538" s="1269"/>
      <c r="T538" s="1269"/>
      <c r="U538" s="1269"/>
      <c r="V538" s="1269"/>
      <c r="W538" s="1269"/>
      <c r="X538" s="1269"/>
      <c r="Y538" s="1269"/>
    </row>
    <row r="539" spans="1:25">
      <c r="A539" s="1269"/>
      <c r="D539" s="1269"/>
      <c r="E539" s="1269"/>
      <c r="F539" s="1269"/>
      <c r="G539" s="1269"/>
      <c r="H539" s="1269"/>
      <c r="M539" s="1324"/>
      <c r="O539" s="1274"/>
      <c r="P539" s="1269"/>
      <c r="Q539" s="1269"/>
      <c r="R539" s="1269"/>
      <c r="S539" s="1269"/>
      <c r="T539" s="1269"/>
      <c r="U539" s="1269"/>
      <c r="V539" s="1269"/>
      <c r="W539" s="1269"/>
      <c r="X539" s="1269"/>
      <c r="Y539" s="1269"/>
    </row>
    <row r="540" spans="1:25">
      <c r="A540" s="1269"/>
      <c r="D540" s="1269"/>
      <c r="E540" s="1269"/>
      <c r="F540" s="1269"/>
      <c r="G540" s="1269"/>
      <c r="H540" s="1269"/>
      <c r="M540" s="1324"/>
      <c r="O540" s="1274"/>
      <c r="P540" s="1269"/>
      <c r="Q540" s="1269"/>
      <c r="R540" s="1269"/>
      <c r="S540" s="1269"/>
      <c r="T540" s="1269"/>
      <c r="U540" s="1269"/>
      <c r="V540" s="1269"/>
      <c r="W540" s="1269"/>
      <c r="X540" s="1269"/>
      <c r="Y540" s="1269"/>
    </row>
    <row r="541" spans="1:25">
      <c r="A541" s="1269"/>
      <c r="D541" s="1269"/>
      <c r="E541" s="1269"/>
      <c r="F541" s="1269"/>
      <c r="G541" s="1269"/>
      <c r="H541" s="1269"/>
      <c r="M541" s="1324"/>
      <c r="O541" s="1274"/>
      <c r="P541" s="1269"/>
      <c r="Q541" s="1269"/>
      <c r="R541" s="1269"/>
      <c r="S541" s="1269"/>
      <c r="T541" s="1269"/>
      <c r="U541" s="1269"/>
      <c r="V541" s="1269"/>
      <c r="W541" s="1269"/>
      <c r="X541" s="1269"/>
      <c r="Y541" s="1269"/>
    </row>
    <row r="542" spans="1:25">
      <c r="A542" s="1269"/>
      <c r="D542" s="1269"/>
      <c r="E542" s="1269"/>
      <c r="F542" s="1269"/>
      <c r="G542" s="1269"/>
      <c r="H542" s="1269"/>
      <c r="M542" s="1324"/>
      <c r="O542" s="1274"/>
      <c r="P542" s="1269"/>
      <c r="Q542" s="1269"/>
      <c r="R542" s="1269"/>
      <c r="S542" s="1269"/>
      <c r="T542" s="1269"/>
      <c r="U542" s="1269"/>
      <c r="V542" s="1269"/>
      <c r="W542" s="1269"/>
      <c r="X542" s="1269"/>
      <c r="Y542" s="1269"/>
    </row>
    <row r="543" spans="1:25">
      <c r="A543" s="1269"/>
      <c r="D543" s="1269"/>
      <c r="E543" s="1269"/>
      <c r="F543" s="1269"/>
      <c r="G543" s="1269"/>
      <c r="H543" s="1269"/>
      <c r="M543" s="1324"/>
      <c r="O543" s="1274"/>
      <c r="P543" s="1269"/>
      <c r="Q543" s="1269"/>
      <c r="R543" s="1269"/>
      <c r="S543" s="1269"/>
      <c r="T543" s="1269"/>
      <c r="U543" s="1269"/>
      <c r="V543" s="1269"/>
      <c r="W543" s="1269"/>
      <c r="X543" s="1269"/>
      <c r="Y543" s="1269"/>
    </row>
    <row r="544" spans="1:25">
      <c r="A544" s="1269"/>
      <c r="D544" s="1269"/>
      <c r="E544" s="1269"/>
      <c r="F544" s="1269"/>
      <c r="G544" s="1269"/>
      <c r="H544" s="1269"/>
      <c r="M544" s="1324"/>
      <c r="O544" s="1274"/>
      <c r="P544" s="1269"/>
      <c r="Q544" s="1269"/>
      <c r="R544" s="1269"/>
      <c r="S544" s="1269"/>
      <c r="T544" s="1269"/>
      <c r="U544" s="1269"/>
      <c r="V544" s="1269"/>
      <c r="W544" s="1269"/>
      <c r="X544" s="1269"/>
      <c r="Y544" s="1269"/>
    </row>
    <row r="545" spans="1:25">
      <c r="A545" s="1269"/>
      <c r="D545" s="1269"/>
      <c r="E545" s="1269"/>
      <c r="F545" s="1269"/>
      <c r="G545" s="1269"/>
      <c r="H545" s="1269"/>
      <c r="M545" s="1324"/>
      <c r="O545" s="1274"/>
      <c r="P545" s="1269"/>
      <c r="Q545" s="1269"/>
      <c r="R545" s="1269"/>
      <c r="S545" s="1269"/>
      <c r="T545" s="1269"/>
      <c r="U545" s="1269"/>
      <c r="V545" s="1269"/>
      <c r="W545" s="1269"/>
      <c r="X545" s="1269"/>
      <c r="Y545" s="1269"/>
    </row>
    <row r="546" spans="1:25">
      <c r="A546" s="1269"/>
      <c r="D546" s="1269"/>
      <c r="E546" s="1269"/>
      <c r="F546" s="1269"/>
      <c r="G546" s="1269"/>
      <c r="H546" s="1269"/>
      <c r="M546" s="1324"/>
      <c r="O546" s="1274"/>
      <c r="P546" s="1269"/>
      <c r="Q546" s="1269"/>
      <c r="R546" s="1269"/>
      <c r="S546" s="1269"/>
      <c r="T546" s="1269"/>
      <c r="U546" s="1269"/>
      <c r="V546" s="1269"/>
      <c r="W546" s="1269"/>
      <c r="X546" s="1269"/>
      <c r="Y546" s="1269"/>
    </row>
    <row r="547" spans="1:25">
      <c r="A547" s="1269"/>
      <c r="D547" s="1269"/>
      <c r="E547" s="1269"/>
      <c r="F547" s="1269"/>
      <c r="G547" s="1269"/>
      <c r="H547" s="1269"/>
      <c r="M547" s="1324"/>
      <c r="O547" s="1274"/>
      <c r="P547" s="1269"/>
      <c r="Q547" s="1269"/>
      <c r="R547" s="1269"/>
      <c r="S547" s="1269"/>
      <c r="T547" s="1269"/>
      <c r="U547" s="1269"/>
      <c r="V547" s="1269"/>
      <c r="W547" s="1269"/>
      <c r="X547" s="1269"/>
      <c r="Y547" s="1269"/>
    </row>
    <row r="548" spans="1:25">
      <c r="A548" s="1269"/>
      <c r="D548" s="1269"/>
      <c r="E548" s="1269"/>
      <c r="F548" s="1269"/>
      <c r="G548" s="1269"/>
      <c r="H548" s="1269"/>
      <c r="M548" s="1324"/>
      <c r="O548" s="1274"/>
      <c r="P548" s="1269"/>
      <c r="Q548" s="1269"/>
      <c r="R548" s="1269"/>
      <c r="S548" s="1269"/>
      <c r="T548" s="1269"/>
      <c r="U548" s="1269"/>
      <c r="V548" s="1269"/>
      <c r="W548" s="1269"/>
      <c r="X548" s="1269"/>
      <c r="Y548" s="1269"/>
    </row>
    <row r="549" spans="1:25">
      <c r="A549" s="1269"/>
      <c r="D549" s="1269"/>
      <c r="E549" s="1269"/>
      <c r="F549" s="1269"/>
      <c r="G549" s="1269"/>
      <c r="H549" s="1269"/>
      <c r="M549" s="1324"/>
      <c r="O549" s="1274"/>
      <c r="P549" s="1269"/>
      <c r="Q549" s="1269"/>
      <c r="R549" s="1269"/>
      <c r="S549" s="1269"/>
      <c r="T549" s="1269"/>
      <c r="U549" s="1269"/>
      <c r="V549" s="1269"/>
      <c r="W549" s="1269"/>
      <c r="X549" s="1269"/>
      <c r="Y549" s="1269"/>
    </row>
    <row r="550" spans="1:25">
      <c r="A550" s="1269"/>
      <c r="D550" s="1269"/>
      <c r="E550" s="1269"/>
      <c r="F550" s="1269"/>
      <c r="G550" s="1269"/>
      <c r="H550" s="1269"/>
      <c r="M550" s="1324"/>
      <c r="O550" s="1274"/>
      <c r="P550" s="1269"/>
      <c r="Q550" s="1269"/>
      <c r="R550" s="1269"/>
      <c r="S550" s="1269"/>
      <c r="T550" s="1269"/>
      <c r="U550" s="1269"/>
      <c r="V550" s="1269"/>
      <c r="W550" s="1269"/>
      <c r="X550" s="1269"/>
      <c r="Y550" s="1269"/>
    </row>
    <row r="551" spans="1:25">
      <c r="A551" s="1269"/>
      <c r="D551" s="1269"/>
      <c r="E551" s="1269"/>
      <c r="F551" s="1269"/>
      <c r="G551" s="1269"/>
      <c r="H551" s="1269"/>
      <c r="M551" s="1324"/>
      <c r="O551" s="1274"/>
      <c r="P551" s="1269"/>
      <c r="Q551" s="1269"/>
      <c r="R551" s="1269"/>
      <c r="S551" s="1269"/>
      <c r="T551" s="1269"/>
      <c r="U551" s="1269"/>
      <c r="V551" s="1269"/>
      <c r="W551" s="1269"/>
      <c r="X551" s="1269"/>
      <c r="Y551" s="1269"/>
    </row>
    <row r="552" spans="1:25">
      <c r="A552" s="1269"/>
      <c r="D552" s="1269"/>
      <c r="E552" s="1269"/>
      <c r="F552" s="1269"/>
      <c r="G552" s="1269"/>
      <c r="H552" s="1269"/>
      <c r="M552" s="1324"/>
      <c r="O552" s="1274"/>
      <c r="P552" s="1269"/>
      <c r="Q552" s="1269"/>
      <c r="R552" s="1269"/>
      <c r="S552" s="1269"/>
      <c r="T552" s="1269"/>
      <c r="U552" s="1269"/>
      <c r="V552" s="1269"/>
      <c r="W552" s="1269"/>
      <c r="X552" s="1269"/>
      <c r="Y552" s="1269"/>
    </row>
    <row r="553" spans="1:25">
      <c r="A553" s="1269"/>
      <c r="D553" s="1269"/>
      <c r="E553" s="1269"/>
      <c r="F553" s="1269"/>
      <c r="G553" s="1269"/>
      <c r="H553" s="1269"/>
      <c r="M553" s="1324"/>
      <c r="O553" s="1274"/>
      <c r="P553" s="1269"/>
      <c r="Q553" s="1269"/>
      <c r="R553" s="1269"/>
      <c r="S553" s="1269"/>
      <c r="T553" s="1269"/>
      <c r="U553" s="1269"/>
      <c r="V553" s="1269"/>
      <c r="W553" s="1269"/>
      <c r="X553" s="1269"/>
      <c r="Y553" s="1269"/>
    </row>
    <row r="554" spans="1:25">
      <c r="A554" s="1269"/>
      <c r="D554" s="1269"/>
      <c r="E554" s="1269"/>
      <c r="F554" s="1269"/>
      <c r="G554" s="1269"/>
      <c r="H554" s="1269"/>
      <c r="M554" s="1324"/>
      <c r="O554" s="1274"/>
      <c r="P554" s="1269"/>
      <c r="Q554" s="1269"/>
      <c r="R554" s="1269"/>
      <c r="S554" s="1269"/>
      <c r="T554" s="1269"/>
      <c r="U554" s="1269"/>
      <c r="V554" s="1269"/>
      <c r="W554" s="1269"/>
      <c r="X554" s="1269"/>
      <c r="Y554" s="1269"/>
    </row>
    <row r="555" spans="1:25">
      <c r="A555" s="1269"/>
      <c r="D555" s="1269"/>
      <c r="E555" s="1269"/>
      <c r="F555" s="1269"/>
      <c r="G555" s="1269"/>
      <c r="H555" s="1269"/>
      <c r="M555" s="1324"/>
      <c r="O555" s="1274"/>
      <c r="P555" s="1269"/>
      <c r="Q555" s="1269"/>
      <c r="R555" s="1269"/>
      <c r="S555" s="1269"/>
      <c r="T555" s="1269"/>
      <c r="U555" s="1269"/>
      <c r="V555" s="1269"/>
      <c r="W555" s="1269"/>
      <c r="X555" s="1269"/>
      <c r="Y555" s="1269"/>
    </row>
    <row r="556" spans="1:25">
      <c r="A556" s="1269"/>
      <c r="D556" s="1269"/>
      <c r="E556" s="1269"/>
      <c r="F556" s="1269"/>
      <c r="G556" s="1269"/>
      <c r="H556" s="1269"/>
      <c r="M556" s="1324"/>
      <c r="O556" s="1274"/>
      <c r="P556" s="1269"/>
      <c r="Q556" s="1269"/>
      <c r="R556" s="1269"/>
      <c r="S556" s="1269"/>
      <c r="T556" s="1269"/>
      <c r="U556" s="1269"/>
      <c r="V556" s="1269"/>
      <c r="W556" s="1269"/>
      <c r="X556" s="1269"/>
      <c r="Y556" s="1269"/>
    </row>
    <row r="557" spans="1:25">
      <c r="A557" s="1269"/>
      <c r="D557" s="1269"/>
      <c r="E557" s="1269"/>
      <c r="F557" s="1269"/>
      <c r="G557" s="1269"/>
      <c r="H557" s="1269"/>
      <c r="M557" s="1324"/>
      <c r="O557" s="1274"/>
      <c r="P557" s="1269"/>
      <c r="Q557" s="1269"/>
      <c r="R557" s="1269"/>
      <c r="S557" s="1269"/>
      <c r="T557" s="1269"/>
      <c r="U557" s="1269"/>
      <c r="V557" s="1269"/>
      <c r="W557" s="1269"/>
      <c r="X557" s="1269"/>
      <c r="Y557" s="1269"/>
    </row>
    <row r="558" spans="1:25">
      <c r="A558" s="1269"/>
      <c r="D558" s="1269"/>
      <c r="E558" s="1269"/>
      <c r="F558" s="1269"/>
      <c r="G558" s="1269"/>
      <c r="H558" s="1269"/>
      <c r="M558" s="1324"/>
      <c r="O558" s="1274"/>
      <c r="P558" s="1269"/>
      <c r="Q558" s="1269"/>
      <c r="R558" s="1269"/>
      <c r="S558" s="1269"/>
      <c r="T558" s="1269"/>
      <c r="U558" s="1269"/>
      <c r="V558" s="1269"/>
      <c r="W558" s="1269"/>
      <c r="X558" s="1269"/>
      <c r="Y558" s="1269"/>
    </row>
    <row r="559" spans="1:25">
      <c r="A559" s="1269"/>
      <c r="D559" s="1269"/>
      <c r="E559" s="1269"/>
      <c r="F559" s="1269"/>
      <c r="G559" s="1269"/>
      <c r="H559" s="1269"/>
      <c r="M559" s="1324"/>
      <c r="O559" s="1274"/>
      <c r="P559" s="1269"/>
      <c r="Q559" s="1269"/>
      <c r="R559" s="1269"/>
      <c r="S559" s="1269"/>
      <c r="T559" s="1269"/>
      <c r="U559" s="1269"/>
      <c r="V559" s="1269"/>
      <c r="W559" s="1269"/>
      <c r="X559" s="1269"/>
      <c r="Y559" s="1269"/>
    </row>
    <row r="560" spans="1:25">
      <c r="A560" s="1269"/>
      <c r="D560" s="1269"/>
      <c r="E560" s="1269"/>
      <c r="F560" s="1269"/>
      <c r="G560" s="1269"/>
      <c r="H560" s="1269"/>
      <c r="M560" s="1324"/>
      <c r="O560" s="1274"/>
      <c r="P560" s="1269"/>
      <c r="Q560" s="1269"/>
      <c r="R560" s="1269"/>
      <c r="S560" s="1269"/>
      <c r="T560" s="1269"/>
      <c r="U560" s="1269"/>
      <c r="V560" s="1269"/>
      <c r="W560" s="1269"/>
      <c r="X560" s="1269"/>
      <c r="Y560" s="1269"/>
    </row>
    <row r="561" spans="1:25">
      <c r="A561" s="1269"/>
      <c r="D561" s="1269"/>
      <c r="E561" s="1269"/>
      <c r="F561" s="1269"/>
      <c r="G561" s="1269"/>
      <c r="H561" s="1269"/>
      <c r="M561" s="1324"/>
      <c r="O561" s="1274"/>
      <c r="P561" s="1269"/>
      <c r="Q561" s="1269"/>
      <c r="R561" s="1269"/>
      <c r="S561" s="1269"/>
      <c r="T561" s="1269"/>
      <c r="U561" s="1269"/>
      <c r="V561" s="1269"/>
      <c r="W561" s="1269"/>
      <c r="X561" s="1269"/>
      <c r="Y561" s="1269"/>
    </row>
    <row r="562" spans="1:25">
      <c r="A562" s="1269"/>
      <c r="D562" s="1269"/>
      <c r="E562" s="1269"/>
      <c r="F562" s="1269"/>
      <c r="G562" s="1269"/>
      <c r="H562" s="1269"/>
      <c r="M562" s="1324"/>
      <c r="O562" s="1274"/>
      <c r="P562" s="1269"/>
      <c r="Q562" s="1269"/>
      <c r="R562" s="1269"/>
      <c r="S562" s="1269"/>
      <c r="T562" s="1269"/>
      <c r="U562" s="1269"/>
      <c r="V562" s="1269"/>
      <c r="W562" s="1269"/>
      <c r="X562" s="1269"/>
      <c r="Y562" s="1269"/>
    </row>
    <row r="563" spans="1:25">
      <c r="A563" s="1269"/>
      <c r="D563" s="1269"/>
      <c r="E563" s="1269"/>
      <c r="F563" s="1269"/>
      <c r="G563" s="1269"/>
      <c r="H563" s="1269"/>
      <c r="M563" s="1324"/>
      <c r="O563" s="1274"/>
      <c r="P563" s="1269"/>
      <c r="Q563" s="1269"/>
      <c r="R563" s="1269"/>
      <c r="S563" s="1269"/>
      <c r="T563" s="1269"/>
      <c r="U563" s="1269"/>
      <c r="V563" s="1269"/>
      <c r="W563" s="1269"/>
      <c r="X563" s="1269"/>
      <c r="Y563" s="1269"/>
    </row>
    <row r="564" spans="1:25">
      <c r="A564" s="1269"/>
      <c r="D564" s="1269"/>
      <c r="E564" s="1269"/>
      <c r="F564" s="1269"/>
      <c r="G564" s="1269"/>
      <c r="H564" s="1269"/>
      <c r="M564" s="1324"/>
      <c r="O564" s="1274"/>
      <c r="P564" s="1269"/>
      <c r="Q564" s="1269"/>
      <c r="R564" s="1269"/>
      <c r="S564" s="1269"/>
      <c r="T564" s="1269"/>
      <c r="U564" s="1269"/>
      <c r="V564" s="1269"/>
      <c r="W564" s="1269"/>
      <c r="X564" s="1269"/>
      <c r="Y564" s="1269"/>
    </row>
    <row r="565" spans="1:25">
      <c r="A565" s="1269"/>
      <c r="D565" s="1269"/>
      <c r="E565" s="1269"/>
      <c r="F565" s="1269"/>
      <c r="G565" s="1269"/>
      <c r="H565" s="1269"/>
      <c r="M565" s="1324"/>
      <c r="O565" s="1274"/>
      <c r="P565" s="1269"/>
      <c r="Q565" s="1269"/>
      <c r="R565" s="1269"/>
      <c r="S565" s="1269"/>
      <c r="T565" s="1269"/>
      <c r="U565" s="1269"/>
      <c r="V565" s="1269"/>
      <c r="W565" s="1269"/>
      <c r="X565" s="1269"/>
      <c r="Y565" s="1269"/>
    </row>
    <row r="566" spans="1:25">
      <c r="A566" s="1269"/>
      <c r="D566" s="1269"/>
      <c r="E566" s="1269"/>
      <c r="F566" s="1269"/>
      <c r="G566" s="1269"/>
      <c r="H566" s="1269"/>
      <c r="M566" s="1324"/>
      <c r="O566" s="1274"/>
      <c r="P566" s="1269"/>
      <c r="Q566" s="1269"/>
      <c r="R566" s="1269"/>
      <c r="S566" s="1269"/>
      <c r="T566" s="1269"/>
      <c r="U566" s="1269"/>
      <c r="V566" s="1269"/>
      <c r="W566" s="1269"/>
      <c r="X566" s="1269"/>
      <c r="Y566" s="1269"/>
    </row>
    <row r="567" spans="1:25">
      <c r="A567" s="1269"/>
      <c r="D567" s="1269"/>
      <c r="E567" s="1269"/>
      <c r="F567" s="1269"/>
      <c r="G567" s="1269"/>
      <c r="H567" s="1269"/>
      <c r="M567" s="1324"/>
      <c r="O567" s="1274"/>
      <c r="P567" s="1269"/>
      <c r="Q567" s="1269"/>
      <c r="R567" s="1269"/>
      <c r="S567" s="1269"/>
      <c r="T567" s="1269"/>
      <c r="U567" s="1269"/>
      <c r="V567" s="1269"/>
      <c r="W567" s="1269"/>
      <c r="X567" s="1269"/>
      <c r="Y567" s="1269"/>
    </row>
    <row r="568" spans="1:25">
      <c r="A568" s="1269"/>
      <c r="D568" s="1269"/>
      <c r="E568" s="1269"/>
      <c r="F568" s="1269"/>
      <c r="G568" s="1269"/>
      <c r="H568" s="1269"/>
      <c r="M568" s="1324"/>
      <c r="O568" s="1274"/>
      <c r="P568" s="1269"/>
      <c r="Q568" s="1269"/>
      <c r="R568" s="1269"/>
      <c r="S568" s="1269"/>
      <c r="T568" s="1269"/>
      <c r="U568" s="1269"/>
      <c r="V568" s="1269"/>
      <c r="W568" s="1269"/>
      <c r="X568" s="1269"/>
      <c r="Y568" s="1269"/>
    </row>
    <row r="569" spans="1:25">
      <c r="A569" s="1269"/>
      <c r="D569" s="1269"/>
      <c r="E569" s="1269"/>
      <c r="F569" s="1269"/>
      <c r="G569" s="1269"/>
      <c r="H569" s="1269"/>
      <c r="M569" s="1324"/>
      <c r="O569" s="1274"/>
      <c r="P569" s="1269"/>
      <c r="Q569" s="1269"/>
      <c r="R569" s="1269"/>
      <c r="S569" s="1269"/>
      <c r="T569" s="1269"/>
      <c r="U569" s="1269"/>
      <c r="V569" s="1269"/>
      <c r="W569" s="1269"/>
      <c r="X569" s="1269"/>
      <c r="Y569" s="1269"/>
    </row>
    <row r="570" spans="1:25">
      <c r="A570" s="1269"/>
      <c r="D570" s="1269"/>
      <c r="E570" s="1269"/>
      <c r="F570" s="1269"/>
      <c r="G570" s="1269"/>
      <c r="H570" s="1269"/>
      <c r="M570" s="1324"/>
      <c r="O570" s="1274"/>
      <c r="P570" s="1269"/>
      <c r="Q570" s="1269"/>
      <c r="R570" s="1269"/>
      <c r="S570" s="1269"/>
      <c r="T570" s="1269"/>
      <c r="U570" s="1269"/>
      <c r="V570" s="1269"/>
      <c r="W570" s="1269"/>
      <c r="X570" s="1269"/>
      <c r="Y570" s="1269"/>
    </row>
    <row r="571" spans="1:25">
      <c r="A571" s="1269"/>
      <c r="D571" s="1269"/>
      <c r="E571" s="1269"/>
      <c r="F571" s="1269"/>
      <c r="G571" s="1269"/>
      <c r="H571" s="1269"/>
      <c r="M571" s="1324"/>
      <c r="O571" s="1274"/>
      <c r="P571" s="1269"/>
      <c r="Q571" s="1269"/>
      <c r="R571" s="1269"/>
      <c r="S571" s="1269"/>
      <c r="T571" s="1269"/>
      <c r="U571" s="1269"/>
      <c r="V571" s="1269"/>
      <c r="W571" s="1269"/>
      <c r="X571" s="1269"/>
      <c r="Y571" s="1269"/>
    </row>
    <row r="572" spans="1:25">
      <c r="A572" s="1269"/>
      <c r="D572" s="1269"/>
      <c r="E572" s="1269"/>
      <c r="F572" s="1269"/>
      <c r="G572" s="1269"/>
      <c r="H572" s="1269"/>
      <c r="M572" s="1324"/>
      <c r="O572" s="1274"/>
      <c r="P572" s="1269"/>
      <c r="Q572" s="1269"/>
      <c r="R572" s="1269"/>
      <c r="S572" s="1269"/>
      <c r="T572" s="1269"/>
      <c r="U572" s="1269"/>
      <c r="V572" s="1269"/>
      <c r="W572" s="1269"/>
      <c r="X572" s="1269"/>
      <c r="Y572" s="1269"/>
    </row>
    <row r="573" spans="1:25">
      <c r="A573" s="1269"/>
      <c r="D573" s="1269"/>
      <c r="E573" s="1269"/>
      <c r="F573" s="1269"/>
      <c r="G573" s="1269"/>
      <c r="H573" s="1269"/>
      <c r="M573" s="1324"/>
      <c r="O573" s="1274"/>
      <c r="P573" s="1269"/>
      <c r="Q573" s="1269"/>
      <c r="R573" s="1269"/>
      <c r="S573" s="1269"/>
      <c r="T573" s="1269"/>
      <c r="U573" s="1269"/>
      <c r="V573" s="1269"/>
      <c r="W573" s="1269"/>
      <c r="X573" s="1269"/>
      <c r="Y573" s="1269"/>
    </row>
    <row r="574" spans="1:25">
      <c r="A574" s="1269"/>
      <c r="D574" s="1269"/>
      <c r="E574" s="1269"/>
      <c r="F574" s="1269"/>
      <c r="G574" s="1269"/>
      <c r="H574" s="1269"/>
      <c r="M574" s="1324"/>
      <c r="O574" s="1274"/>
      <c r="P574" s="1269"/>
      <c r="Q574" s="1269"/>
      <c r="R574" s="1269"/>
      <c r="S574" s="1269"/>
      <c r="T574" s="1269"/>
      <c r="U574" s="1269"/>
      <c r="V574" s="1269"/>
      <c r="W574" s="1269"/>
      <c r="X574" s="1269"/>
      <c r="Y574" s="1269"/>
    </row>
    <row r="575" spans="1:25">
      <c r="A575" s="1269"/>
      <c r="D575" s="1269"/>
      <c r="E575" s="1269"/>
      <c r="F575" s="1269"/>
      <c r="G575" s="1269"/>
      <c r="H575" s="1269"/>
      <c r="M575" s="1324"/>
      <c r="O575" s="1274"/>
      <c r="P575" s="1269"/>
      <c r="Q575" s="1269"/>
      <c r="R575" s="1269"/>
      <c r="S575" s="1269"/>
      <c r="T575" s="1269"/>
      <c r="U575" s="1269"/>
      <c r="V575" s="1269"/>
      <c r="W575" s="1269"/>
      <c r="X575" s="1269"/>
      <c r="Y575" s="1269"/>
    </row>
    <row r="576" spans="1:25">
      <c r="A576" s="1269"/>
      <c r="D576" s="1269"/>
      <c r="E576" s="1269"/>
      <c r="F576" s="1269"/>
      <c r="G576" s="1269"/>
      <c r="H576" s="1269"/>
      <c r="M576" s="1324"/>
      <c r="O576" s="1274"/>
      <c r="P576" s="1269"/>
      <c r="Q576" s="1269"/>
      <c r="R576" s="1269"/>
      <c r="S576" s="1269"/>
      <c r="T576" s="1269"/>
      <c r="U576" s="1269"/>
      <c r="V576" s="1269"/>
      <c r="W576" s="1269"/>
      <c r="X576" s="1269"/>
      <c r="Y576" s="1269"/>
    </row>
    <row r="577" spans="1:25">
      <c r="A577" s="1269"/>
      <c r="D577" s="1269"/>
      <c r="E577" s="1269"/>
      <c r="F577" s="1269"/>
      <c r="G577" s="1269"/>
      <c r="H577" s="1269"/>
      <c r="M577" s="1324"/>
      <c r="O577" s="1274"/>
      <c r="P577" s="1269"/>
      <c r="Q577" s="1269"/>
      <c r="R577" s="1269"/>
      <c r="S577" s="1269"/>
      <c r="T577" s="1269"/>
      <c r="U577" s="1269"/>
      <c r="V577" s="1269"/>
      <c r="W577" s="1269"/>
      <c r="X577" s="1269"/>
      <c r="Y577" s="1269"/>
    </row>
    <row r="578" spans="1:25">
      <c r="A578" s="1269"/>
      <c r="D578" s="1269"/>
      <c r="E578" s="1269"/>
      <c r="F578" s="1269"/>
      <c r="G578" s="1269"/>
      <c r="H578" s="1269"/>
      <c r="M578" s="1324"/>
      <c r="O578" s="1274"/>
      <c r="P578" s="1269"/>
      <c r="Q578" s="1269"/>
      <c r="R578" s="1269"/>
      <c r="S578" s="1269"/>
      <c r="T578" s="1269"/>
      <c r="U578" s="1269"/>
      <c r="V578" s="1269"/>
      <c r="W578" s="1269"/>
      <c r="X578" s="1269"/>
      <c r="Y578" s="1269"/>
    </row>
    <row r="579" spans="1:25">
      <c r="A579" s="1269"/>
      <c r="D579" s="1269"/>
      <c r="E579" s="1269"/>
      <c r="F579" s="1269"/>
      <c r="G579" s="1269"/>
      <c r="H579" s="1269"/>
      <c r="M579" s="1324"/>
      <c r="O579" s="1274"/>
      <c r="P579" s="1269"/>
      <c r="Q579" s="1269"/>
      <c r="R579" s="1269"/>
      <c r="S579" s="1269"/>
      <c r="T579" s="1269"/>
      <c r="U579" s="1269"/>
      <c r="V579" s="1269"/>
      <c r="W579" s="1269"/>
      <c r="X579" s="1269"/>
      <c r="Y579" s="1269"/>
    </row>
    <row r="580" spans="1:25">
      <c r="A580" s="1269"/>
      <c r="D580" s="1269"/>
      <c r="E580" s="1269"/>
      <c r="F580" s="1269"/>
      <c r="G580" s="1269"/>
      <c r="H580" s="1269"/>
      <c r="M580" s="1324"/>
      <c r="O580" s="1274"/>
      <c r="P580" s="1269"/>
      <c r="Q580" s="1269"/>
      <c r="R580" s="1269"/>
      <c r="S580" s="1269"/>
      <c r="T580" s="1269"/>
      <c r="U580" s="1269"/>
      <c r="V580" s="1269"/>
      <c r="W580" s="1269"/>
      <c r="X580" s="1269"/>
      <c r="Y580" s="1269"/>
    </row>
    <row r="581" spans="1:25">
      <c r="A581" s="1269"/>
      <c r="D581" s="1269"/>
      <c r="E581" s="1269"/>
      <c r="F581" s="1269"/>
      <c r="G581" s="1269"/>
      <c r="H581" s="1269"/>
      <c r="M581" s="1324"/>
      <c r="O581" s="1274"/>
      <c r="P581" s="1269"/>
      <c r="Q581" s="1269"/>
      <c r="R581" s="1269"/>
      <c r="S581" s="1269"/>
      <c r="T581" s="1269"/>
      <c r="U581" s="1269"/>
      <c r="V581" s="1269"/>
      <c r="W581" s="1269"/>
      <c r="X581" s="1269"/>
      <c r="Y581" s="1269"/>
    </row>
    <row r="582" spans="1:25">
      <c r="A582" s="1269"/>
      <c r="D582" s="1269"/>
      <c r="E582" s="1269"/>
      <c r="F582" s="1269"/>
      <c r="G582" s="1269"/>
      <c r="H582" s="1269"/>
      <c r="M582" s="1324"/>
      <c r="O582" s="1274"/>
      <c r="P582" s="1269"/>
      <c r="Q582" s="1269"/>
      <c r="R582" s="1269"/>
      <c r="S582" s="1269"/>
      <c r="T582" s="1269"/>
      <c r="U582" s="1269"/>
      <c r="V582" s="1269"/>
      <c r="W582" s="1269"/>
      <c r="X582" s="1269"/>
      <c r="Y582" s="1269"/>
    </row>
    <row r="583" spans="1:25">
      <c r="A583" s="1269"/>
      <c r="D583" s="1269"/>
      <c r="E583" s="1269"/>
      <c r="F583" s="1269"/>
      <c r="G583" s="1269"/>
      <c r="H583" s="1269"/>
      <c r="M583" s="1324"/>
      <c r="O583" s="1274"/>
      <c r="P583" s="1269"/>
      <c r="Q583" s="1269"/>
      <c r="R583" s="1269"/>
      <c r="S583" s="1269"/>
      <c r="T583" s="1269"/>
      <c r="U583" s="1269"/>
      <c r="V583" s="1269"/>
      <c r="W583" s="1269"/>
      <c r="X583" s="1269"/>
      <c r="Y583" s="1269"/>
    </row>
    <row r="584" spans="1:25">
      <c r="A584" s="1269"/>
      <c r="D584" s="1269"/>
      <c r="E584" s="1269"/>
      <c r="F584" s="1269"/>
      <c r="G584" s="1269"/>
      <c r="H584" s="1269"/>
      <c r="M584" s="1324"/>
      <c r="O584" s="1274"/>
      <c r="P584" s="1269"/>
      <c r="Q584" s="1269"/>
      <c r="R584" s="1269"/>
      <c r="S584" s="1269"/>
      <c r="T584" s="1269"/>
      <c r="U584" s="1269"/>
      <c r="V584" s="1269"/>
      <c r="W584" s="1269"/>
      <c r="X584" s="1269"/>
      <c r="Y584" s="1269"/>
    </row>
    <row r="585" spans="1:25">
      <c r="A585" s="1269"/>
      <c r="D585" s="1269"/>
      <c r="E585" s="1269"/>
      <c r="F585" s="1269"/>
      <c r="G585" s="1269"/>
      <c r="H585" s="1269"/>
      <c r="M585" s="1324"/>
      <c r="O585" s="1274"/>
      <c r="P585" s="1269"/>
      <c r="Q585" s="1269"/>
      <c r="R585" s="1269"/>
      <c r="S585" s="1269"/>
      <c r="T585" s="1269"/>
      <c r="U585" s="1269"/>
      <c r="V585" s="1269"/>
      <c r="W585" s="1269"/>
      <c r="X585" s="1269"/>
      <c r="Y585" s="1269"/>
    </row>
    <row r="586" spans="1:25">
      <c r="A586" s="1269"/>
      <c r="D586" s="1269"/>
      <c r="E586" s="1269"/>
      <c r="F586" s="1269"/>
      <c r="G586" s="1269"/>
      <c r="H586" s="1269"/>
      <c r="M586" s="1324"/>
      <c r="O586" s="1274"/>
      <c r="P586" s="1269"/>
      <c r="Q586" s="1269"/>
      <c r="R586" s="1269"/>
      <c r="S586" s="1269"/>
      <c r="T586" s="1269"/>
      <c r="U586" s="1269"/>
      <c r="V586" s="1269"/>
      <c r="W586" s="1269"/>
      <c r="X586" s="1269"/>
      <c r="Y586" s="1269"/>
    </row>
    <row r="587" spans="1:25">
      <c r="A587" s="1269"/>
      <c r="D587" s="1269"/>
      <c r="E587" s="1269"/>
      <c r="F587" s="1269"/>
      <c r="G587" s="1269"/>
      <c r="H587" s="1269"/>
      <c r="M587" s="1324"/>
      <c r="O587" s="1274"/>
      <c r="P587" s="1269"/>
      <c r="Q587" s="1269"/>
      <c r="R587" s="1269"/>
      <c r="S587" s="1269"/>
      <c r="T587" s="1269"/>
      <c r="U587" s="1269"/>
      <c r="V587" s="1269"/>
      <c r="W587" s="1269"/>
      <c r="X587" s="1269"/>
      <c r="Y587" s="1269"/>
    </row>
    <row r="588" spans="1:25">
      <c r="A588" s="1269"/>
      <c r="D588" s="1269"/>
      <c r="E588" s="1269"/>
      <c r="F588" s="1269"/>
      <c r="G588" s="1269"/>
      <c r="H588" s="1269"/>
      <c r="M588" s="1324"/>
      <c r="O588" s="1274"/>
      <c r="P588" s="1269"/>
      <c r="Q588" s="1269"/>
      <c r="R588" s="1269"/>
      <c r="S588" s="1269"/>
      <c r="T588" s="1269"/>
      <c r="U588" s="1269"/>
      <c r="V588" s="1269"/>
      <c r="W588" s="1269"/>
      <c r="X588" s="1269"/>
      <c r="Y588" s="1269"/>
    </row>
    <row r="589" spans="1:25">
      <c r="A589" s="1269"/>
      <c r="D589" s="1269"/>
      <c r="E589" s="1269"/>
      <c r="F589" s="1269"/>
      <c r="G589" s="1269"/>
      <c r="H589" s="1269"/>
      <c r="M589" s="1324"/>
      <c r="O589" s="1274"/>
      <c r="P589" s="1269"/>
      <c r="Q589" s="1269"/>
      <c r="R589" s="1269"/>
      <c r="S589" s="1269"/>
      <c r="T589" s="1269"/>
      <c r="U589" s="1269"/>
      <c r="V589" s="1269"/>
      <c r="W589" s="1269"/>
      <c r="X589" s="1269"/>
      <c r="Y589" s="1269"/>
    </row>
    <row r="590" spans="1:25">
      <c r="A590" s="1269"/>
      <c r="D590" s="1269"/>
      <c r="E590" s="1269"/>
      <c r="F590" s="1269"/>
      <c r="G590" s="1269"/>
      <c r="H590" s="1269"/>
      <c r="M590" s="1324"/>
      <c r="O590" s="1274"/>
      <c r="P590" s="1269"/>
      <c r="Q590" s="1269"/>
      <c r="R590" s="1269"/>
      <c r="S590" s="1269"/>
      <c r="T590" s="1269"/>
      <c r="U590" s="1269"/>
      <c r="V590" s="1269"/>
      <c r="W590" s="1269"/>
      <c r="X590" s="1269"/>
      <c r="Y590" s="1269"/>
    </row>
    <row r="591" spans="1:25">
      <c r="A591" s="1269"/>
      <c r="D591" s="1269"/>
      <c r="E591" s="1269"/>
      <c r="F591" s="1269"/>
      <c r="G591" s="1269"/>
      <c r="H591" s="1269"/>
      <c r="M591" s="1324"/>
      <c r="O591" s="1274"/>
      <c r="P591" s="1269"/>
      <c r="Q591" s="1269"/>
      <c r="R591" s="1269"/>
      <c r="S591" s="1269"/>
      <c r="T591" s="1269"/>
      <c r="U591" s="1269"/>
      <c r="V591" s="1269"/>
      <c r="W591" s="1269"/>
      <c r="X591" s="1269"/>
      <c r="Y591" s="1269"/>
    </row>
    <row r="592" spans="1:25">
      <c r="A592" s="1269"/>
      <c r="D592" s="1269"/>
      <c r="E592" s="1269"/>
      <c r="F592" s="1269"/>
      <c r="G592" s="1269"/>
      <c r="H592" s="1269"/>
      <c r="M592" s="1324"/>
      <c r="O592" s="1274"/>
      <c r="P592" s="1269"/>
      <c r="Q592" s="1269"/>
      <c r="R592" s="1269"/>
      <c r="S592" s="1269"/>
      <c r="T592" s="1269"/>
      <c r="U592" s="1269"/>
      <c r="V592" s="1269"/>
      <c r="W592" s="1269"/>
      <c r="X592" s="1269"/>
      <c r="Y592" s="1269"/>
    </row>
    <row r="593" spans="1:25">
      <c r="A593" s="1269"/>
      <c r="D593" s="1269"/>
      <c r="E593" s="1269"/>
      <c r="F593" s="1269"/>
      <c r="G593" s="1269"/>
      <c r="H593" s="1269"/>
      <c r="M593" s="1324"/>
      <c r="O593" s="1274"/>
      <c r="P593" s="1269"/>
      <c r="Q593" s="1269"/>
      <c r="R593" s="1269"/>
      <c r="S593" s="1269"/>
      <c r="T593" s="1269"/>
      <c r="U593" s="1269"/>
      <c r="V593" s="1269"/>
      <c r="W593" s="1269"/>
      <c r="X593" s="1269"/>
      <c r="Y593" s="1269"/>
    </row>
    <row r="594" spans="1:25">
      <c r="A594" s="1269"/>
      <c r="D594" s="1269"/>
      <c r="E594" s="1269"/>
      <c r="F594" s="1269"/>
      <c r="G594" s="1269"/>
      <c r="H594" s="1269"/>
      <c r="M594" s="1324"/>
      <c r="O594" s="1274"/>
      <c r="P594" s="1269"/>
      <c r="Q594" s="1269"/>
      <c r="R594" s="1269"/>
      <c r="S594" s="1269"/>
      <c r="T594" s="1269"/>
      <c r="U594" s="1269"/>
      <c r="V594" s="1269"/>
      <c r="W594" s="1269"/>
      <c r="X594" s="1269"/>
      <c r="Y594" s="1269"/>
    </row>
    <row r="595" spans="1:25">
      <c r="A595" s="1269"/>
      <c r="D595" s="1269"/>
      <c r="E595" s="1269"/>
      <c r="F595" s="1269"/>
      <c r="G595" s="1269"/>
      <c r="H595" s="1269"/>
      <c r="M595" s="1324"/>
      <c r="O595" s="1274"/>
      <c r="P595" s="1269"/>
      <c r="Q595" s="1269"/>
      <c r="R595" s="1269"/>
      <c r="S595" s="1269"/>
      <c r="T595" s="1269"/>
      <c r="U595" s="1269"/>
      <c r="V595" s="1269"/>
      <c r="W595" s="1269"/>
      <c r="X595" s="1269"/>
      <c r="Y595" s="1269"/>
    </row>
    <row r="596" spans="1:25">
      <c r="A596" s="1269"/>
      <c r="D596" s="1269"/>
      <c r="E596" s="1269"/>
      <c r="F596" s="1269"/>
      <c r="G596" s="1269"/>
      <c r="H596" s="1269"/>
      <c r="M596" s="1324"/>
      <c r="O596" s="1274"/>
      <c r="P596" s="1269"/>
      <c r="Q596" s="1269"/>
      <c r="R596" s="1269"/>
      <c r="S596" s="1269"/>
      <c r="T596" s="1269"/>
      <c r="U596" s="1269"/>
      <c r="V596" s="1269"/>
      <c r="W596" s="1269"/>
      <c r="X596" s="1269"/>
      <c r="Y596" s="1269"/>
    </row>
    <row r="597" spans="1:25">
      <c r="A597" s="1269"/>
      <c r="D597" s="1269"/>
      <c r="E597" s="1269"/>
      <c r="F597" s="1269"/>
      <c r="G597" s="1269"/>
      <c r="H597" s="1269"/>
      <c r="M597" s="1324"/>
      <c r="O597" s="1274"/>
      <c r="P597" s="1269"/>
      <c r="Q597" s="1269"/>
      <c r="R597" s="1269"/>
      <c r="S597" s="1269"/>
      <c r="T597" s="1269"/>
      <c r="U597" s="1269"/>
      <c r="V597" s="1269"/>
      <c r="W597" s="1269"/>
      <c r="X597" s="1269"/>
      <c r="Y597" s="1269"/>
    </row>
    <row r="598" spans="1:25">
      <c r="A598" s="1269"/>
      <c r="D598" s="1269"/>
      <c r="E598" s="1269"/>
      <c r="F598" s="1269"/>
      <c r="G598" s="1269"/>
      <c r="H598" s="1269"/>
      <c r="M598" s="1324"/>
      <c r="O598" s="1274"/>
      <c r="P598" s="1269"/>
      <c r="Q598" s="1269"/>
      <c r="R598" s="1269"/>
      <c r="S598" s="1269"/>
      <c r="T598" s="1269"/>
      <c r="U598" s="1269"/>
      <c r="V598" s="1269"/>
      <c r="W598" s="1269"/>
      <c r="X598" s="1269"/>
      <c r="Y598" s="1269"/>
    </row>
    <row r="599" spans="1:25">
      <c r="A599" s="1269"/>
      <c r="D599" s="1269"/>
      <c r="E599" s="1269"/>
      <c r="F599" s="1269"/>
      <c r="G599" s="1269"/>
      <c r="H599" s="1269"/>
      <c r="M599" s="1324"/>
      <c r="O599" s="1274"/>
      <c r="P599" s="1269"/>
      <c r="Q599" s="1269"/>
      <c r="R599" s="1269"/>
      <c r="S599" s="1269"/>
      <c r="T599" s="1269"/>
      <c r="U599" s="1269"/>
      <c r="V599" s="1269"/>
      <c r="W599" s="1269"/>
      <c r="X599" s="1269"/>
      <c r="Y599" s="1269"/>
    </row>
    <row r="600" spans="1:25">
      <c r="A600" s="1269"/>
      <c r="D600" s="1269"/>
      <c r="E600" s="1269"/>
      <c r="F600" s="1269"/>
      <c r="G600" s="1269"/>
      <c r="H600" s="1269"/>
      <c r="M600" s="1324"/>
      <c r="O600" s="1274"/>
      <c r="P600" s="1269"/>
      <c r="Q600" s="1269"/>
      <c r="R600" s="1269"/>
      <c r="S600" s="1269"/>
      <c r="T600" s="1269"/>
      <c r="U600" s="1269"/>
      <c r="V600" s="1269"/>
      <c r="W600" s="1269"/>
      <c r="X600" s="1269"/>
      <c r="Y600" s="1269"/>
    </row>
    <row r="601" spans="1:25">
      <c r="A601" s="1269"/>
      <c r="D601" s="1269"/>
      <c r="E601" s="1269"/>
      <c r="F601" s="1269"/>
      <c r="G601" s="1269"/>
      <c r="H601" s="1269"/>
      <c r="M601" s="1324"/>
      <c r="O601" s="1274"/>
      <c r="P601" s="1269"/>
      <c r="Q601" s="1269"/>
      <c r="R601" s="1269"/>
      <c r="S601" s="1269"/>
      <c r="T601" s="1269"/>
      <c r="U601" s="1269"/>
      <c r="V601" s="1269"/>
      <c r="W601" s="1269"/>
      <c r="X601" s="1269"/>
      <c r="Y601" s="1269"/>
    </row>
    <row r="602" spans="1:25">
      <c r="A602" s="1269"/>
      <c r="D602" s="1269"/>
      <c r="E602" s="1269"/>
      <c r="F602" s="1269"/>
      <c r="G602" s="1269"/>
      <c r="H602" s="1269"/>
      <c r="M602" s="1324"/>
      <c r="O602" s="1274"/>
      <c r="P602" s="1269"/>
      <c r="Q602" s="1269"/>
      <c r="R602" s="1269"/>
      <c r="S602" s="1269"/>
      <c r="T602" s="1269"/>
      <c r="U602" s="1269"/>
      <c r="V602" s="1269"/>
      <c r="W602" s="1269"/>
      <c r="X602" s="1269"/>
      <c r="Y602" s="1269"/>
    </row>
    <row r="603" spans="1:25">
      <c r="A603" s="1269"/>
      <c r="D603" s="1269"/>
      <c r="E603" s="1269"/>
      <c r="F603" s="1269"/>
      <c r="G603" s="1269"/>
      <c r="H603" s="1269"/>
      <c r="M603" s="1324"/>
      <c r="O603" s="1274"/>
      <c r="P603" s="1269"/>
      <c r="Q603" s="1269"/>
      <c r="R603" s="1269"/>
      <c r="S603" s="1269"/>
      <c r="T603" s="1269"/>
      <c r="U603" s="1269"/>
      <c r="V603" s="1269"/>
      <c r="W603" s="1269"/>
      <c r="X603" s="1269"/>
      <c r="Y603" s="1269"/>
    </row>
    <row r="604" spans="1:25">
      <c r="A604" s="1269"/>
      <c r="D604" s="1269"/>
      <c r="E604" s="1269"/>
      <c r="F604" s="1269"/>
      <c r="G604" s="1269"/>
      <c r="H604" s="1269"/>
      <c r="M604" s="1324"/>
      <c r="O604" s="1274"/>
      <c r="P604" s="1269"/>
      <c r="Q604" s="1269"/>
      <c r="R604" s="1269"/>
      <c r="S604" s="1269"/>
      <c r="T604" s="1269"/>
      <c r="U604" s="1269"/>
      <c r="V604" s="1269"/>
      <c r="W604" s="1269"/>
      <c r="X604" s="1269"/>
      <c r="Y604" s="1269"/>
    </row>
    <row r="605" spans="1:25">
      <c r="A605" s="1269"/>
      <c r="D605" s="1269"/>
      <c r="E605" s="1269"/>
      <c r="F605" s="1269"/>
      <c r="G605" s="1269"/>
      <c r="H605" s="1269"/>
      <c r="M605" s="1324"/>
      <c r="O605" s="1274"/>
      <c r="P605" s="1269"/>
      <c r="Q605" s="1269"/>
      <c r="R605" s="1269"/>
      <c r="S605" s="1269"/>
      <c r="T605" s="1269"/>
      <c r="U605" s="1269"/>
      <c r="V605" s="1269"/>
      <c r="W605" s="1269"/>
      <c r="X605" s="1269"/>
      <c r="Y605" s="1269"/>
    </row>
    <row r="606" spans="1:25">
      <c r="A606" s="1269"/>
      <c r="D606" s="1269"/>
      <c r="E606" s="1269"/>
      <c r="F606" s="1269"/>
      <c r="G606" s="1269"/>
      <c r="H606" s="1269"/>
      <c r="M606" s="1324"/>
      <c r="O606" s="1274"/>
      <c r="P606" s="1269"/>
      <c r="Q606" s="1269"/>
      <c r="R606" s="1269"/>
      <c r="S606" s="1269"/>
      <c r="T606" s="1269"/>
      <c r="U606" s="1269"/>
      <c r="V606" s="1269"/>
      <c r="W606" s="1269"/>
      <c r="X606" s="1269"/>
      <c r="Y606" s="1269"/>
    </row>
    <row r="607" spans="1:25">
      <c r="A607" s="1269"/>
      <c r="D607" s="1269"/>
      <c r="E607" s="1269"/>
      <c r="F607" s="1269"/>
      <c r="G607" s="1269"/>
      <c r="H607" s="1269"/>
      <c r="M607" s="1324"/>
      <c r="O607" s="1274"/>
      <c r="P607" s="1269"/>
      <c r="Q607" s="1269"/>
      <c r="R607" s="1269"/>
      <c r="S607" s="1269"/>
      <c r="T607" s="1269"/>
      <c r="U607" s="1269"/>
      <c r="V607" s="1269"/>
      <c r="W607" s="1269"/>
      <c r="X607" s="1269"/>
      <c r="Y607" s="1269"/>
    </row>
    <row r="608" spans="1:25">
      <c r="A608" s="1269"/>
      <c r="D608" s="1269"/>
      <c r="E608" s="1269"/>
      <c r="F608" s="1269"/>
      <c r="G608" s="1269"/>
      <c r="H608" s="1269"/>
      <c r="M608" s="1324"/>
      <c r="O608" s="1274"/>
      <c r="P608" s="1269"/>
      <c r="Q608" s="1269"/>
      <c r="R608" s="1269"/>
      <c r="S608" s="1269"/>
      <c r="T608" s="1269"/>
      <c r="U608" s="1269"/>
      <c r="V608" s="1269"/>
      <c r="W608" s="1269"/>
      <c r="X608" s="1269"/>
      <c r="Y608" s="1269"/>
    </row>
    <row r="609" spans="1:25">
      <c r="A609" s="1269"/>
      <c r="D609" s="1269"/>
      <c r="E609" s="1269"/>
      <c r="F609" s="1269"/>
      <c r="G609" s="1269"/>
      <c r="H609" s="1269"/>
      <c r="M609" s="1324"/>
      <c r="O609" s="1274"/>
      <c r="P609" s="1269"/>
      <c r="Q609" s="1269"/>
      <c r="R609" s="1269"/>
      <c r="S609" s="1269"/>
      <c r="T609" s="1269"/>
      <c r="U609" s="1269"/>
      <c r="V609" s="1269"/>
      <c r="W609" s="1269"/>
      <c r="X609" s="1269"/>
      <c r="Y609" s="1269"/>
    </row>
    <row r="610" spans="1:25">
      <c r="A610" s="1269"/>
      <c r="D610" s="1269"/>
      <c r="E610" s="1269"/>
      <c r="F610" s="1269"/>
      <c r="G610" s="1269"/>
      <c r="H610" s="1269"/>
      <c r="M610" s="1324"/>
      <c r="O610" s="1274"/>
      <c r="P610" s="1269"/>
      <c r="Q610" s="1269"/>
      <c r="R610" s="1269"/>
      <c r="S610" s="1269"/>
      <c r="T610" s="1269"/>
      <c r="U610" s="1269"/>
      <c r="V610" s="1269"/>
      <c r="W610" s="1269"/>
      <c r="X610" s="1269"/>
      <c r="Y610" s="1269"/>
    </row>
    <row r="611" spans="1:25">
      <c r="A611" s="1269"/>
      <c r="D611" s="1269"/>
      <c r="E611" s="1269"/>
      <c r="F611" s="1269"/>
      <c r="G611" s="1269"/>
      <c r="H611" s="1269"/>
      <c r="M611" s="1324"/>
      <c r="O611" s="1274"/>
      <c r="P611" s="1269"/>
      <c r="Q611" s="1269"/>
      <c r="R611" s="1269"/>
      <c r="S611" s="1269"/>
      <c r="T611" s="1269"/>
      <c r="U611" s="1269"/>
      <c r="V611" s="1269"/>
      <c r="W611" s="1269"/>
      <c r="X611" s="1269"/>
      <c r="Y611" s="1269"/>
    </row>
    <row r="612" spans="1:25">
      <c r="A612" s="1269"/>
      <c r="D612" s="1269"/>
      <c r="E612" s="1269"/>
      <c r="F612" s="1269"/>
      <c r="G612" s="1269"/>
      <c r="H612" s="1269"/>
      <c r="M612" s="1324"/>
      <c r="O612" s="1274"/>
      <c r="P612" s="1269"/>
      <c r="Q612" s="1269"/>
      <c r="R612" s="1269"/>
      <c r="S612" s="1269"/>
      <c r="T612" s="1269"/>
      <c r="U612" s="1269"/>
      <c r="V612" s="1269"/>
      <c r="W612" s="1269"/>
      <c r="X612" s="1269"/>
      <c r="Y612" s="1269"/>
    </row>
    <row r="613" spans="1:25">
      <c r="A613" s="1269"/>
      <c r="D613" s="1269"/>
      <c r="E613" s="1269"/>
      <c r="F613" s="1269"/>
      <c r="G613" s="1269"/>
      <c r="H613" s="1269"/>
      <c r="M613" s="1324"/>
      <c r="O613" s="1274"/>
      <c r="P613" s="1269"/>
      <c r="Q613" s="1269"/>
      <c r="R613" s="1269"/>
      <c r="S613" s="1269"/>
      <c r="T613" s="1269"/>
      <c r="U613" s="1269"/>
      <c r="V613" s="1269"/>
      <c r="W613" s="1269"/>
      <c r="X613" s="1269"/>
      <c r="Y613" s="1269"/>
    </row>
    <row r="614" spans="1:25">
      <c r="A614" s="1269"/>
      <c r="D614" s="1269"/>
      <c r="E614" s="1269"/>
      <c r="F614" s="1269"/>
      <c r="G614" s="1269"/>
      <c r="H614" s="1269"/>
      <c r="M614" s="1324"/>
      <c r="O614" s="1274"/>
      <c r="P614" s="1269"/>
      <c r="Q614" s="1269"/>
      <c r="R614" s="1269"/>
      <c r="S614" s="1269"/>
      <c r="T614" s="1269"/>
      <c r="U614" s="1269"/>
      <c r="V614" s="1269"/>
      <c r="W614" s="1269"/>
      <c r="X614" s="1269"/>
      <c r="Y614" s="1269"/>
    </row>
    <row r="615" spans="1:25">
      <c r="A615" s="1269"/>
      <c r="D615" s="1269"/>
      <c r="E615" s="1269"/>
      <c r="F615" s="1269"/>
      <c r="G615" s="1269"/>
      <c r="H615" s="1269"/>
      <c r="M615" s="1324"/>
      <c r="O615" s="1274"/>
      <c r="P615" s="1269"/>
      <c r="Q615" s="1269"/>
      <c r="R615" s="1269"/>
      <c r="S615" s="1269"/>
      <c r="T615" s="1269"/>
      <c r="U615" s="1269"/>
      <c r="V615" s="1269"/>
      <c r="W615" s="1269"/>
      <c r="X615" s="1269"/>
      <c r="Y615" s="1269"/>
    </row>
    <row r="616" spans="1:25">
      <c r="A616" s="1269"/>
      <c r="D616" s="1269"/>
      <c r="E616" s="1269"/>
      <c r="F616" s="1269"/>
      <c r="G616" s="1269"/>
      <c r="H616" s="1269"/>
      <c r="M616" s="1324"/>
      <c r="O616" s="1274"/>
      <c r="P616" s="1269"/>
      <c r="Q616" s="1269"/>
      <c r="R616" s="1269"/>
      <c r="S616" s="1269"/>
      <c r="T616" s="1269"/>
      <c r="U616" s="1269"/>
      <c r="V616" s="1269"/>
      <c r="W616" s="1269"/>
      <c r="X616" s="1269"/>
      <c r="Y616" s="1269"/>
    </row>
    <row r="617" spans="1:25">
      <c r="A617" s="1269"/>
      <c r="D617" s="1269"/>
      <c r="E617" s="1269"/>
      <c r="F617" s="1269"/>
      <c r="G617" s="1269"/>
      <c r="H617" s="1269"/>
      <c r="M617" s="1324"/>
      <c r="O617" s="1274"/>
      <c r="P617" s="1269"/>
      <c r="Q617" s="1269"/>
      <c r="R617" s="1269"/>
      <c r="S617" s="1269"/>
      <c r="T617" s="1269"/>
      <c r="U617" s="1269"/>
      <c r="V617" s="1269"/>
      <c r="W617" s="1269"/>
      <c r="X617" s="1269"/>
      <c r="Y617" s="1269"/>
    </row>
    <row r="618" spans="1:25">
      <c r="A618" s="1269"/>
      <c r="D618" s="1269"/>
      <c r="E618" s="1269"/>
      <c r="F618" s="1269"/>
      <c r="G618" s="1269"/>
      <c r="H618" s="1269"/>
      <c r="M618" s="1324"/>
      <c r="O618" s="1274"/>
      <c r="P618" s="1269"/>
      <c r="Q618" s="1269"/>
      <c r="R618" s="1269"/>
      <c r="S618" s="1269"/>
      <c r="T618" s="1269"/>
      <c r="U618" s="1269"/>
      <c r="V618" s="1269"/>
      <c r="W618" s="1269"/>
      <c r="X618" s="1269"/>
      <c r="Y618" s="1269"/>
    </row>
    <row r="619" spans="1:25">
      <c r="A619" s="1269"/>
      <c r="D619" s="1269"/>
      <c r="E619" s="1269"/>
      <c r="F619" s="1269"/>
      <c r="G619" s="1269"/>
      <c r="H619" s="1269"/>
      <c r="M619" s="1324"/>
      <c r="O619" s="1274"/>
      <c r="P619" s="1269"/>
      <c r="Q619" s="1269"/>
      <c r="R619" s="1269"/>
      <c r="S619" s="1269"/>
      <c r="T619" s="1269"/>
      <c r="U619" s="1269"/>
      <c r="V619" s="1269"/>
      <c r="W619" s="1269"/>
      <c r="X619" s="1269"/>
      <c r="Y619" s="1269"/>
    </row>
    <row r="620" spans="1:25">
      <c r="A620" s="1269"/>
      <c r="D620" s="1269"/>
      <c r="E620" s="1269"/>
      <c r="F620" s="1269"/>
      <c r="G620" s="1269"/>
      <c r="H620" s="1269"/>
      <c r="M620" s="1324"/>
      <c r="O620" s="1274"/>
      <c r="P620" s="1269"/>
      <c r="Q620" s="1269"/>
      <c r="R620" s="1269"/>
      <c r="S620" s="1269"/>
      <c r="T620" s="1269"/>
      <c r="U620" s="1269"/>
      <c r="V620" s="1269"/>
      <c r="W620" s="1269"/>
      <c r="X620" s="1269"/>
      <c r="Y620" s="1269"/>
    </row>
    <row r="621" spans="1:25">
      <c r="A621" s="1269"/>
      <c r="D621" s="1269"/>
      <c r="E621" s="1269"/>
      <c r="F621" s="1269"/>
      <c r="G621" s="1269"/>
      <c r="H621" s="1269"/>
      <c r="M621" s="1324"/>
      <c r="O621" s="1274"/>
      <c r="P621" s="1269"/>
      <c r="Q621" s="1269"/>
      <c r="R621" s="1269"/>
      <c r="S621" s="1269"/>
      <c r="T621" s="1269"/>
      <c r="U621" s="1269"/>
      <c r="V621" s="1269"/>
      <c r="W621" s="1269"/>
      <c r="X621" s="1269"/>
      <c r="Y621" s="1269"/>
    </row>
    <row r="622" spans="1:25">
      <c r="A622" s="1269"/>
      <c r="D622" s="1269"/>
      <c r="E622" s="1269"/>
      <c r="F622" s="1269"/>
      <c r="G622" s="1269"/>
      <c r="H622" s="1269"/>
      <c r="M622" s="1324"/>
      <c r="O622" s="1274"/>
      <c r="P622" s="1269"/>
      <c r="Q622" s="1269"/>
      <c r="R622" s="1269"/>
      <c r="S622" s="1269"/>
      <c r="T622" s="1269"/>
      <c r="U622" s="1269"/>
      <c r="V622" s="1269"/>
      <c r="W622" s="1269"/>
      <c r="X622" s="1269"/>
      <c r="Y622" s="1269"/>
    </row>
    <row r="623" spans="1:25">
      <c r="A623" s="1269"/>
      <c r="D623" s="1269"/>
      <c r="E623" s="1269"/>
      <c r="F623" s="1269"/>
      <c r="G623" s="1269"/>
      <c r="H623" s="1269"/>
      <c r="M623" s="1324"/>
      <c r="O623" s="1274"/>
      <c r="P623" s="1269"/>
      <c r="Q623" s="1269"/>
      <c r="R623" s="1269"/>
      <c r="S623" s="1269"/>
      <c r="T623" s="1269"/>
      <c r="U623" s="1269"/>
      <c r="V623" s="1269"/>
      <c r="W623" s="1269"/>
      <c r="X623" s="1269"/>
      <c r="Y623" s="1269"/>
    </row>
    <row r="624" spans="1:25">
      <c r="A624" s="1269"/>
      <c r="D624" s="1269"/>
      <c r="E624" s="1269"/>
      <c r="F624" s="1269"/>
      <c r="G624" s="1269"/>
      <c r="H624" s="1269"/>
      <c r="M624" s="1324"/>
      <c r="O624" s="1274"/>
      <c r="P624" s="1269"/>
      <c r="Q624" s="1269"/>
      <c r="R624" s="1269"/>
      <c r="S624" s="1269"/>
      <c r="T624" s="1269"/>
      <c r="U624" s="1269"/>
      <c r="V624" s="1269"/>
      <c r="W624" s="1269"/>
      <c r="X624" s="1269"/>
      <c r="Y624" s="1269"/>
    </row>
    <row r="625" spans="1:25">
      <c r="A625" s="1269"/>
      <c r="D625" s="1269"/>
      <c r="E625" s="1269"/>
      <c r="F625" s="1269"/>
      <c r="G625" s="1269"/>
      <c r="H625" s="1269"/>
      <c r="M625" s="1324"/>
      <c r="O625" s="1274"/>
      <c r="P625" s="1269"/>
      <c r="Q625" s="1269"/>
      <c r="R625" s="1269"/>
      <c r="S625" s="1269"/>
      <c r="T625" s="1269"/>
      <c r="U625" s="1269"/>
      <c r="V625" s="1269"/>
      <c r="W625" s="1269"/>
      <c r="X625" s="1269"/>
      <c r="Y625" s="1269"/>
    </row>
    <row r="626" spans="1:25">
      <c r="A626" s="1269"/>
      <c r="D626" s="1269"/>
      <c r="E626" s="1269"/>
      <c r="F626" s="1269"/>
      <c r="G626" s="1269"/>
      <c r="H626" s="1269"/>
      <c r="M626" s="1324"/>
      <c r="O626" s="1274"/>
      <c r="P626" s="1269"/>
      <c r="Q626" s="1269"/>
      <c r="R626" s="1269"/>
      <c r="S626" s="1269"/>
      <c r="T626" s="1269"/>
      <c r="U626" s="1269"/>
      <c r="V626" s="1269"/>
      <c r="W626" s="1269"/>
      <c r="X626" s="1269"/>
      <c r="Y626" s="1269"/>
    </row>
    <row r="627" spans="1:25">
      <c r="A627" s="1269"/>
      <c r="D627" s="1269"/>
      <c r="E627" s="1269"/>
      <c r="F627" s="1269"/>
      <c r="G627" s="1269"/>
      <c r="H627" s="1269"/>
      <c r="M627" s="1324"/>
      <c r="O627" s="1274"/>
      <c r="P627" s="1269"/>
      <c r="Q627" s="1269"/>
      <c r="R627" s="1269"/>
      <c r="S627" s="1269"/>
      <c r="T627" s="1269"/>
      <c r="U627" s="1269"/>
      <c r="V627" s="1269"/>
      <c r="W627" s="1269"/>
      <c r="X627" s="1269"/>
      <c r="Y627" s="1269"/>
    </row>
    <row r="628" spans="1:25">
      <c r="A628" s="1269"/>
      <c r="D628" s="1269"/>
      <c r="E628" s="1269"/>
      <c r="F628" s="1269"/>
      <c r="G628" s="1269"/>
      <c r="H628" s="1269"/>
      <c r="M628" s="1324"/>
      <c r="O628" s="1274"/>
      <c r="P628" s="1269"/>
      <c r="Q628" s="1269"/>
      <c r="R628" s="1269"/>
      <c r="S628" s="1269"/>
      <c r="T628" s="1269"/>
      <c r="U628" s="1269"/>
      <c r="V628" s="1269"/>
      <c r="W628" s="1269"/>
      <c r="X628" s="1269"/>
      <c r="Y628" s="1269"/>
    </row>
    <row r="629" spans="1:25">
      <c r="A629" s="1269"/>
      <c r="D629" s="1269"/>
      <c r="E629" s="1269"/>
      <c r="F629" s="1269"/>
      <c r="G629" s="1269"/>
      <c r="H629" s="1269"/>
      <c r="M629" s="1324"/>
      <c r="O629" s="1274"/>
      <c r="P629" s="1269"/>
      <c r="Q629" s="1269"/>
      <c r="R629" s="1269"/>
      <c r="S629" s="1269"/>
      <c r="T629" s="1269"/>
      <c r="U629" s="1269"/>
      <c r="V629" s="1269"/>
      <c r="W629" s="1269"/>
      <c r="X629" s="1269"/>
      <c r="Y629" s="1269"/>
    </row>
    <row r="630" spans="1:25">
      <c r="A630" s="1269"/>
      <c r="D630" s="1269"/>
      <c r="E630" s="1269"/>
      <c r="F630" s="1269"/>
      <c r="G630" s="1269"/>
      <c r="H630" s="1269"/>
      <c r="M630" s="1324"/>
      <c r="O630" s="1274"/>
      <c r="P630" s="1269"/>
      <c r="Q630" s="1269"/>
      <c r="R630" s="1269"/>
      <c r="S630" s="1269"/>
      <c r="T630" s="1269"/>
      <c r="U630" s="1269"/>
      <c r="V630" s="1269"/>
      <c r="W630" s="1269"/>
      <c r="X630" s="1269"/>
      <c r="Y630" s="1269"/>
    </row>
    <row r="631" spans="1:25">
      <c r="A631" s="1269"/>
      <c r="D631" s="1269"/>
      <c r="E631" s="1269"/>
      <c r="F631" s="1269"/>
      <c r="G631" s="1269"/>
      <c r="H631" s="1269"/>
      <c r="M631" s="1324"/>
      <c r="O631" s="1274"/>
      <c r="P631" s="1269"/>
      <c r="Q631" s="1269"/>
      <c r="R631" s="1269"/>
      <c r="S631" s="1269"/>
      <c r="T631" s="1269"/>
      <c r="U631" s="1269"/>
      <c r="V631" s="1269"/>
      <c r="W631" s="1269"/>
      <c r="X631" s="1269"/>
      <c r="Y631" s="1269"/>
    </row>
    <row r="632" spans="1:25">
      <c r="A632" s="1269"/>
      <c r="D632" s="1269"/>
      <c r="E632" s="1269"/>
      <c r="F632" s="1269"/>
      <c r="G632" s="1269"/>
      <c r="H632" s="1269"/>
      <c r="M632" s="1324"/>
      <c r="O632" s="1274"/>
      <c r="P632" s="1269"/>
      <c r="Q632" s="1269"/>
      <c r="R632" s="1269"/>
      <c r="S632" s="1269"/>
      <c r="T632" s="1269"/>
      <c r="U632" s="1269"/>
      <c r="V632" s="1269"/>
      <c r="W632" s="1269"/>
      <c r="X632" s="1269"/>
      <c r="Y632" s="1269"/>
    </row>
    <row r="633" spans="1:25">
      <c r="A633" s="1269"/>
      <c r="D633" s="1269"/>
      <c r="E633" s="1269"/>
      <c r="F633" s="1269"/>
      <c r="G633" s="1269"/>
      <c r="H633" s="1269"/>
      <c r="M633" s="1324"/>
      <c r="O633" s="1274"/>
      <c r="P633" s="1269"/>
      <c r="Q633" s="1269"/>
      <c r="R633" s="1269"/>
      <c r="S633" s="1269"/>
      <c r="T633" s="1269"/>
      <c r="U633" s="1269"/>
      <c r="V633" s="1269"/>
      <c r="W633" s="1269"/>
      <c r="X633" s="1269"/>
      <c r="Y633" s="1269"/>
    </row>
    <row r="634" spans="1:25">
      <c r="A634" s="1269"/>
      <c r="D634" s="1269"/>
      <c r="E634" s="1269"/>
      <c r="F634" s="1269"/>
      <c r="G634" s="1269"/>
      <c r="H634" s="1269"/>
      <c r="M634" s="1324"/>
      <c r="O634" s="1274"/>
      <c r="P634" s="1269"/>
      <c r="Q634" s="1269"/>
      <c r="R634" s="1269"/>
      <c r="S634" s="1269"/>
      <c r="T634" s="1269"/>
      <c r="U634" s="1269"/>
      <c r="V634" s="1269"/>
      <c r="W634" s="1269"/>
      <c r="X634" s="1269"/>
      <c r="Y634" s="1269"/>
    </row>
    <row r="635" spans="1:25">
      <c r="A635" s="1269"/>
      <c r="D635" s="1269"/>
      <c r="E635" s="1269"/>
      <c r="F635" s="1269"/>
      <c r="G635" s="1269"/>
      <c r="H635" s="1269"/>
      <c r="M635" s="1324"/>
      <c r="O635" s="1274"/>
      <c r="P635" s="1269"/>
      <c r="Q635" s="1269"/>
      <c r="R635" s="1269"/>
      <c r="S635" s="1269"/>
      <c r="T635" s="1269"/>
      <c r="U635" s="1269"/>
      <c r="V635" s="1269"/>
      <c r="W635" s="1269"/>
      <c r="X635" s="1269"/>
      <c r="Y635" s="1269"/>
    </row>
    <row r="636" spans="1:25">
      <c r="A636" s="1269"/>
      <c r="D636" s="1269"/>
      <c r="E636" s="1269"/>
      <c r="F636" s="1269"/>
      <c r="G636" s="1269"/>
      <c r="H636" s="1269"/>
      <c r="M636" s="1324"/>
      <c r="O636" s="1274"/>
      <c r="P636" s="1269"/>
      <c r="Q636" s="1269"/>
      <c r="R636" s="1269"/>
      <c r="S636" s="1269"/>
      <c r="T636" s="1269"/>
      <c r="U636" s="1269"/>
      <c r="V636" s="1269"/>
      <c r="W636" s="1269"/>
      <c r="X636" s="1269"/>
      <c r="Y636" s="1269"/>
    </row>
    <row r="637" spans="1:25">
      <c r="A637" s="1269"/>
      <c r="D637" s="1269"/>
      <c r="E637" s="1269"/>
      <c r="F637" s="1269"/>
      <c r="G637" s="1269"/>
      <c r="H637" s="1269"/>
      <c r="M637" s="1324"/>
      <c r="O637" s="1274"/>
      <c r="P637" s="1269"/>
      <c r="Q637" s="1269"/>
      <c r="R637" s="1269"/>
      <c r="S637" s="1269"/>
      <c r="T637" s="1269"/>
      <c r="U637" s="1269"/>
      <c r="V637" s="1269"/>
      <c r="W637" s="1269"/>
      <c r="X637" s="1269"/>
      <c r="Y637" s="1269"/>
    </row>
    <row r="638" spans="1:25">
      <c r="A638" s="1269"/>
      <c r="D638" s="1269"/>
      <c r="E638" s="1269"/>
      <c r="F638" s="1269"/>
      <c r="G638" s="1269"/>
      <c r="H638" s="1269"/>
      <c r="M638" s="1324"/>
      <c r="O638" s="1274"/>
      <c r="P638" s="1269"/>
      <c r="Q638" s="1269"/>
      <c r="R638" s="1269"/>
      <c r="S638" s="1269"/>
      <c r="T638" s="1269"/>
      <c r="U638" s="1269"/>
      <c r="V638" s="1269"/>
      <c r="W638" s="1269"/>
      <c r="X638" s="1269"/>
      <c r="Y638" s="1269"/>
    </row>
    <row r="639" spans="1:25">
      <c r="A639" s="1269"/>
      <c r="D639" s="1269"/>
      <c r="E639" s="1269"/>
      <c r="F639" s="1269"/>
      <c r="G639" s="1269"/>
      <c r="H639" s="1269"/>
      <c r="M639" s="1324"/>
      <c r="O639" s="1274"/>
      <c r="P639" s="1269"/>
      <c r="Q639" s="1269"/>
      <c r="R639" s="1269"/>
      <c r="S639" s="1269"/>
      <c r="T639" s="1269"/>
      <c r="U639" s="1269"/>
      <c r="V639" s="1269"/>
      <c r="W639" s="1269"/>
      <c r="X639" s="1269"/>
      <c r="Y639" s="1269"/>
    </row>
    <row r="640" spans="1:25">
      <c r="A640" s="1269"/>
      <c r="D640" s="1269"/>
      <c r="E640" s="1269"/>
      <c r="F640" s="1269"/>
      <c r="G640" s="1269"/>
      <c r="H640" s="1269"/>
      <c r="M640" s="1324"/>
      <c r="O640" s="1274"/>
      <c r="P640" s="1269"/>
      <c r="Q640" s="1269"/>
      <c r="R640" s="1269"/>
      <c r="S640" s="1269"/>
      <c r="T640" s="1269"/>
      <c r="U640" s="1269"/>
      <c r="V640" s="1269"/>
      <c r="W640" s="1269"/>
      <c r="X640" s="1269"/>
      <c r="Y640" s="1269"/>
    </row>
    <row r="641" spans="1:25">
      <c r="A641" s="1269"/>
      <c r="D641" s="1269"/>
      <c r="E641" s="1269"/>
      <c r="F641" s="1269"/>
      <c r="G641" s="1269"/>
      <c r="H641" s="1269"/>
      <c r="M641" s="1324"/>
      <c r="O641" s="1274"/>
      <c r="P641" s="1269"/>
      <c r="Q641" s="1269"/>
      <c r="R641" s="1269"/>
      <c r="S641" s="1269"/>
      <c r="T641" s="1269"/>
      <c r="U641" s="1269"/>
      <c r="V641" s="1269"/>
      <c r="W641" s="1269"/>
      <c r="X641" s="1269"/>
      <c r="Y641" s="1269"/>
    </row>
    <row r="642" spans="1:25">
      <c r="A642" s="1269"/>
      <c r="D642" s="1269"/>
      <c r="E642" s="1269"/>
      <c r="F642" s="1269"/>
      <c r="G642" s="1269"/>
      <c r="H642" s="1269"/>
      <c r="M642" s="1324"/>
      <c r="O642" s="1274"/>
      <c r="P642" s="1269"/>
      <c r="Q642" s="1269"/>
      <c r="R642" s="1269"/>
      <c r="S642" s="1269"/>
      <c r="T642" s="1269"/>
      <c r="U642" s="1269"/>
      <c r="V642" s="1269"/>
      <c r="W642" s="1269"/>
      <c r="X642" s="1269"/>
      <c r="Y642" s="1269"/>
    </row>
    <row r="643" spans="1:25">
      <c r="A643" s="1269"/>
      <c r="D643" s="1269"/>
      <c r="E643" s="1269"/>
      <c r="F643" s="1269"/>
      <c r="G643" s="1269"/>
      <c r="H643" s="1269"/>
      <c r="M643" s="1324"/>
      <c r="O643" s="1274"/>
      <c r="P643" s="1269"/>
      <c r="Q643" s="1269"/>
      <c r="R643" s="1269"/>
      <c r="S643" s="1269"/>
      <c r="T643" s="1269"/>
      <c r="U643" s="1269"/>
      <c r="V643" s="1269"/>
      <c r="W643" s="1269"/>
      <c r="X643" s="1269"/>
      <c r="Y643" s="1269"/>
    </row>
    <row r="644" spans="1:25">
      <c r="A644" s="1269"/>
      <c r="D644" s="1269"/>
      <c r="E644" s="1269"/>
      <c r="F644" s="1269"/>
      <c r="G644" s="1269"/>
      <c r="H644" s="1269"/>
      <c r="M644" s="1324"/>
      <c r="O644" s="1274"/>
      <c r="P644" s="1269"/>
      <c r="Q644" s="1269"/>
      <c r="R644" s="1269"/>
      <c r="S644" s="1269"/>
      <c r="T644" s="1269"/>
      <c r="U644" s="1269"/>
      <c r="V644" s="1269"/>
      <c r="W644" s="1269"/>
      <c r="X644" s="1269"/>
      <c r="Y644" s="1269"/>
    </row>
    <row r="645" spans="1:25">
      <c r="A645" s="1269"/>
      <c r="D645" s="1269"/>
      <c r="E645" s="1269"/>
      <c r="F645" s="1269"/>
      <c r="G645" s="1269"/>
      <c r="H645" s="1269"/>
      <c r="M645" s="1324"/>
      <c r="O645" s="1274"/>
      <c r="P645" s="1269"/>
      <c r="Q645" s="1269"/>
      <c r="R645" s="1269"/>
      <c r="S645" s="1269"/>
      <c r="T645" s="1269"/>
      <c r="U645" s="1269"/>
      <c r="V645" s="1269"/>
      <c r="W645" s="1269"/>
      <c r="X645" s="1269"/>
      <c r="Y645" s="1269"/>
    </row>
    <row r="646" spans="1:25">
      <c r="A646" s="1269"/>
      <c r="D646" s="1269"/>
      <c r="E646" s="1269"/>
      <c r="F646" s="1269"/>
      <c r="G646" s="1269"/>
      <c r="H646" s="1269"/>
      <c r="M646" s="1324"/>
      <c r="O646" s="1274"/>
      <c r="P646" s="1269"/>
      <c r="Q646" s="1269"/>
      <c r="R646" s="1269"/>
      <c r="S646" s="1269"/>
      <c r="T646" s="1269"/>
      <c r="U646" s="1269"/>
      <c r="V646" s="1269"/>
      <c r="W646" s="1269"/>
      <c r="X646" s="1269"/>
      <c r="Y646" s="1269"/>
    </row>
    <row r="647" spans="1:25">
      <c r="A647" s="1269"/>
      <c r="D647" s="1269"/>
      <c r="E647" s="1269"/>
      <c r="F647" s="1269"/>
      <c r="G647" s="1269"/>
      <c r="H647" s="1269"/>
      <c r="M647" s="1324"/>
      <c r="O647" s="1274"/>
      <c r="P647" s="1269"/>
      <c r="Q647" s="1269"/>
      <c r="R647" s="1269"/>
      <c r="S647" s="1269"/>
      <c r="T647" s="1269"/>
      <c r="U647" s="1269"/>
      <c r="V647" s="1269"/>
      <c r="W647" s="1269"/>
      <c r="X647" s="1269"/>
      <c r="Y647" s="1269"/>
    </row>
    <row r="648" spans="1:25">
      <c r="A648" s="1269"/>
      <c r="D648" s="1269"/>
      <c r="E648" s="1269"/>
      <c r="F648" s="1269"/>
      <c r="G648" s="1269"/>
      <c r="H648" s="1269"/>
      <c r="M648" s="1324"/>
      <c r="O648" s="1274"/>
      <c r="P648" s="1269"/>
      <c r="Q648" s="1269"/>
      <c r="R648" s="1269"/>
      <c r="S648" s="1269"/>
      <c r="T648" s="1269"/>
      <c r="U648" s="1269"/>
      <c r="V648" s="1269"/>
      <c r="W648" s="1269"/>
      <c r="X648" s="1269"/>
      <c r="Y648" s="1269"/>
    </row>
    <row r="649" spans="1:25">
      <c r="A649" s="1269"/>
      <c r="D649" s="1269"/>
      <c r="E649" s="1269"/>
      <c r="F649" s="1269"/>
      <c r="G649" s="1269"/>
      <c r="H649" s="1269"/>
      <c r="M649" s="1324"/>
      <c r="O649" s="1274"/>
      <c r="P649" s="1269"/>
      <c r="Q649" s="1269"/>
      <c r="R649" s="1269"/>
      <c r="S649" s="1269"/>
      <c r="T649" s="1269"/>
      <c r="U649" s="1269"/>
      <c r="V649" s="1269"/>
      <c r="W649" s="1269"/>
      <c r="X649" s="1269"/>
      <c r="Y649" s="1269"/>
    </row>
    <row r="650" spans="1:25">
      <c r="A650" s="1269"/>
      <c r="D650" s="1269"/>
      <c r="E650" s="1269"/>
      <c r="F650" s="1269"/>
      <c r="G650" s="1269"/>
      <c r="H650" s="1269"/>
      <c r="M650" s="1324"/>
      <c r="O650" s="1274"/>
      <c r="P650" s="1269"/>
      <c r="Q650" s="1269"/>
      <c r="R650" s="1269"/>
      <c r="S650" s="1269"/>
      <c r="T650" s="1269"/>
      <c r="U650" s="1269"/>
      <c r="V650" s="1269"/>
      <c r="W650" s="1269"/>
      <c r="X650" s="1269"/>
      <c r="Y650" s="1269"/>
    </row>
    <row r="651" spans="1:25">
      <c r="A651" s="1269"/>
      <c r="D651" s="1269"/>
      <c r="E651" s="1269"/>
      <c r="F651" s="1269"/>
      <c r="G651" s="1269"/>
      <c r="H651" s="1269"/>
      <c r="M651" s="1324"/>
      <c r="O651" s="1274"/>
      <c r="P651" s="1269"/>
      <c r="Q651" s="1269"/>
      <c r="R651" s="1269"/>
      <c r="S651" s="1269"/>
      <c r="T651" s="1269"/>
      <c r="U651" s="1269"/>
      <c r="V651" s="1269"/>
      <c r="W651" s="1269"/>
      <c r="X651" s="1269"/>
      <c r="Y651" s="1269"/>
    </row>
    <row r="652" spans="1:25">
      <c r="A652" s="1269"/>
      <c r="D652" s="1269"/>
      <c r="E652" s="1269"/>
      <c r="F652" s="1269"/>
      <c r="G652" s="1269"/>
      <c r="H652" s="1269"/>
      <c r="M652" s="1324"/>
      <c r="O652" s="1274"/>
      <c r="P652" s="1269"/>
      <c r="Q652" s="1269"/>
      <c r="R652" s="1269"/>
      <c r="S652" s="1269"/>
      <c r="T652" s="1269"/>
      <c r="U652" s="1269"/>
      <c r="V652" s="1269"/>
      <c r="W652" s="1269"/>
      <c r="X652" s="1269"/>
      <c r="Y652" s="1269"/>
    </row>
    <row r="653" spans="1:25">
      <c r="A653" s="1269"/>
      <c r="D653" s="1269"/>
      <c r="E653" s="1269"/>
      <c r="F653" s="1269"/>
      <c r="G653" s="1269"/>
      <c r="H653" s="1269"/>
      <c r="M653" s="1324"/>
      <c r="O653" s="1274"/>
      <c r="P653" s="1269"/>
      <c r="Q653" s="1269"/>
      <c r="R653" s="1269"/>
      <c r="S653" s="1269"/>
      <c r="T653" s="1269"/>
      <c r="U653" s="1269"/>
      <c r="V653" s="1269"/>
      <c r="W653" s="1269"/>
      <c r="X653" s="1269"/>
      <c r="Y653" s="1269"/>
    </row>
    <row r="654" spans="1:25">
      <c r="A654" s="1269"/>
      <c r="D654" s="1269"/>
      <c r="E654" s="1269"/>
      <c r="F654" s="1269"/>
      <c r="G654" s="1269"/>
      <c r="H654" s="1269"/>
      <c r="M654" s="1324"/>
      <c r="O654" s="1274"/>
      <c r="P654" s="1269"/>
      <c r="Q654" s="1269"/>
      <c r="R654" s="1269"/>
      <c r="S654" s="1269"/>
      <c r="T654" s="1269"/>
      <c r="U654" s="1269"/>
      <c r="V654" s="1269"/>
      <c r="W654" s="1269"/>
      <c r="X654" s="1269"/>
      <c r="Y654" s="1269"/>
    </row>
    <row r="655" spans="1:25">
      <c r="A655" s="1269"/>
      <c r="D655" s="1269"/>
      <c r="E655" s="1269"/>
      <c r="F655" s="1269"/>
      <c r="G655" s="1269"/>
      <c r="H655" s="1269"/>
      <c r="M655" s="1324"/>
      <c r="O655" s="1274"/>
      <c r="P655" s="1269"/>
      <c r="Q655" s="1269"/>
      <c r="R655" s="1269"/>
      <c r="S655" s="1269"/>
      <c r="T655" s="1269"/>
      <c r="U655" s="1269"/>
      <c r="V655" s="1269"/>
      <c r="W655" s="1269"/>
      <c r="X655" s="1269"/>
      <c r="Y655" s="1269"/>
    </row>
    <row r="656" spans="1:25">
      <c r="A656" s="1269"/>
      <c r="D656" s="1269"/>
      <c r="E656" s="1269"/>
      <c r="F656" s="1269"/>
      <c r="G656" s="1269"/>
      <c r="H656" s="1269"/>
      <c r="M656" s="1324"/>
      <c r="O656" s="1274"/>
      <c r="P656" s="1269"/>
      <c r="Q656" s="1269"/>
      <c r="R656" s="1269"/>
      <c r="S656" s="1269"/>
      <c r="T656" s="1269"/>
      <c r="U656" s="1269"/>
      <c r="V656" s="1269"/>
      <c r="W656" s="1269"/>
      <c r="X656" s="1269"/>
      <c r="Y656" s="1269"/>
    </row>
    <row r="657" spans="1:25">
      <c r="A657" s="1269"/>
      <c r="D657" s="1269"/>
      <c r="E657" s="1269"/>
      <c r="F657" s="1269"/>
      <c r="G657" s="1269"/>
      <c r="H657" s="1269"/>
      <c r="M657" s="1324"/>
      <c r="O657" s="1274"/>
      <c r="P657" s="1269"/>
      <c r="Q657" s="1269"/>
      <c r="R657" s="1269"/>
      <c r="S657" s="1269"/>
      <c r="T657" s="1269"/>
      <c r="U657" s="1269"/>
      <c r="V657" s="1269"/>
      <c r="W657" s="1269"/>
      <c r="X657" s="1269"/>
      <c r="Y657" s="1269"/>
    </row>
    <row r="658" spans="1:25">
      <c r="A658" s="1269"/>
      <c r="D658" s="1269"/>
      <c r="E658" s="1269"/>
      <c r="F658" s="1269"/>
      <c r="G658" s="1269"/>
      <c r="H658" s="1269"/>
      <c r="M658" s="1324"/>
      <c r="O658" s="1274"/>
      <c r="P658" s="1269"/>
      <c r="Q658" s="1269"/>
      <c r="R658" s="1269"/>
      <c r="S658" s="1269"/>
      <c r="T658" s="1269"/>
      <c r="U658" s="1269"/>
      <c r="V658" s="1269"/>
      <c r="W658" s="1269"/>
      <c r="X658" s="1269"/>
      <c r="Y658" s="1269"/>
    </row>
    <row r="659" spans="1:25">
      <c r="A659" s="1269"/>
      <c r="D659" s="1269"/>
      <c r="E659" s="1269"/>
      <c r="F659" s="1269"/>
      <c r="G659" s="1269"/>
      <c r="H659" s="1269"/>
      <c r="M659" s="1324"/>
      <c r="O659" s="1274"/>
      <c r="P659" s="1269"/>
      <c r="Q659" s="1269"/>
      <c r="R659" s="1269"/>
      <c r="S659" s="1269"/>
      <c r="T659" s="1269"/>
      <c r="U659" s="1269"/>
      <c r="V659" s="1269"/>
      <c r="W659" s="1269"/>
      <c r="X659" s="1269"/>
      <c r="Y659" s="1269"/>
    </row>
    <row r="660" spans="1:25">
      <c r="A660" s="1269"/>
      <c r="D660" s="1269"/>
      <c r="E660" s="1269"/>
      <c r="F660" s="1269"/>
      <c r="G660" s="1269"/>
      <c r="H660" s="1269"/>
      <c r="M660" s="1324"/>
      <c r="O660" s="1274"/>
      <c r="P660" s="1269"/>
      <c r="Q660" s="1269"/>
      <c r="R660" s="1269"/>
      <c r="S660" s="1269"/>
      <c r="T660" s="1269"/>
      <c r="U660" s="1269"/>
      <c r="V660" s="1269"/>
      <c r="W660" s="1269"/>
      <c r="X660" s="1269"/>
      <c r="Y660" s="1269"/>
    </row>
    <row r="661" spans="1:25">
      <c r="A661" s="1269"/>
      <c r="D661" s="1269"/>
      <c r="E661" s="1269"/>
      <c r="F661" s="1269"/>
      <c r="G661" s="1269"/>
      <c r="H661" s="1269"/>
      <c r="M661" s="1324"/>
      <c r="O661" s="1274"/>
      <c r="P661" s="1269"/>
      <c r="Q661" s="1269"/>
      <c r="R661" s="1269"/>
      <c r="S661" s="1269"/>
      <c r="T661" s="1269"/>
      <c r="U661" s="1269"/>
      <c r="V661" s="1269"/>
      <c r="W661" s="1269"/>
      <c r="X661" s="1269"/>
      <c r="Y661" s="1269"/>
    </row>
    <row r="662" spans="1:25">
      <c r="A662" s="1269"/>
      <c r="D662" s="1269"/>
      <c r="E662" s="1269"/>
      <c r="F662" s="1269"/>
      <c r="G662" s="1269"/>
      <c r="H662" s="1269"/>
      <c r="M662" s="1324"/>
      <c r="O662" s="1274"/>
      <c r="P662" s="1269"/>
      <c r="Q662" s="1269"/>
      <c r="R662" s="1269"/>
      <c r="S662" s="1269"/>
      <c r="T662" s="1269"/>
      <c r="U662" s="1269"/>
      <c r="V662" s="1269"/>
      <c r="W662" s="1269"/>
      <c r="X662" s="1269"/>
      <c r="Y662" s="1269"/>
    </row>
    <row r="663" spans="1:25">
      <c r="A663" s="1269"/>
      <c r="D663" s="1269"/>
      <c r="E663" s="1269"/>
      <c r="F663" s="1269"/>
      <c r="G663" s="1269"/>
      <c r="H663" s="1269"/>
      <c r="M663" s="1324"/>
      <c r="O663" s="1274"/>
      <c r="P663" s="1269"/>
      <c r="Q663" s="1269"/>
      <c r="R663" s="1269"/>
      <c r="S663" s="1269"/>
      <c r="T663" s="1269"/>
      <c r="U663" s="1269"/>
      <c r="V663" s="1269"/>
      <c r="W663" s="1269"/>
      <c r="X663" s="1269"/>
      <c r="Y663" s="1269"/>
    </row>
    <row r="664" spans="1:25">
      <c r="A664" s="1269"/>
      <c r="D664" s="1269"/>
      <c r="E664" s="1269"/>
      <c r="F664" s="1269"/>
      <c r="G664" s="1269"/>
      <c r="H664" s="1269"/>
      <c r="M664" s="1324"/>
      <c r="O664" s="1274"/>
      <c r="P664" s="1269"/>
      <c r="Q664" s="1269"/>
      <c r="R664" s="1269"/>
      <c r="S664" s="1269"/>
      <c r="T664" s="1269"/>
      <c r="U664" s="1269"/>
      <c r="V664" s="1269"/>
      <c r="W664" s="1269"/>
      <c r="X664" s="1269"/>
      <c r="Y664" s="1269"/>
    </row>
    <row r="665" spans="1:25">
      <c r="A665" s="1269"/>
      <c r="D665" s="1269"/>
      <c r="E665" s="1269"/>
      <c r="F665" s="1269"/>
      <c r="G665" s="1269"/>
      <c r="H665" s="1269"/>
      <c r="M665" s="1324"/>
      <c r="O665" s="1274"/>
      <c r="P665" s="1269"/>
      <c r="Q665" s="1269"/>
      <c r="R665" s="1269"/>
      <c r="S665" s="1269"/>
      <c r="T665" s="1269"/>
      <c r="U665" s="1269"/>
      <c r="V665" s="1269"/>
      <c r="W665" s="1269"/>
      <c r="X665" s="1269"/>
      <c r="Y665" s="1269"/>
    </row>
    <row r="666" spans="1:25">
      <c r="A666" s="1269"/>
      <c r="D666" s="1269"/>
      <c r="E666" s="1269"/>
      <c r="F666" s="1269"/>
      <c r="G666" s="1269"/>
      <c r="H666" s="1269"/>
      <c r="M666" s="1324"/>
      <c r="O666" s="1274"/>
      <c r="P666" s="1269"/>
      <c r="Q666" s="1269"/>
      <c r="R666" s="1269"/>
      <c r="S666" s="1269"/>
      <c r="T666" s="1269"/>
      <c r="U666" s="1269"/>
      <c r="V666" s="1269"/>
      <c r="W666" s="1269"/>
      <c r="X666" s="1269"/>
      <c r="Y666" s="1269"/>
    </row>
    <row r="667" spans="1:25">
      <c r="A667" s="1269"/>
      <c r="D667" s="1269"/>
      <c r="E667" s="1269"/>
      <c r="F667" s="1269"/>
      <c r="G667" s="1269"/>
      <c r="H667" s="1269"/>
      <c r="M667" s="1324"/>
      <c r="O667" s="1274"/>
      <c r="P667" s="1269"/>
      <c r="Q667" s="1269"/>
      <c r="R667" s="1269"/>
      <c r="S667" s="1269"/>
      <c r="T667" s="1269"/>
      <c r="U667" s="1269"/>
      <c r="V667" s="1269"/>
      <c r="W667" s="1269"/>
      <c r="X667" s="1269"/>
      <c r="Y667" s="1269"/>
    </row>
    <row r="668" spans="1:25">
      <c r="A668" s="1269"/>
      <c r="D668" s="1269"/>
      <c r="E668" s="1269"/>
      <c r="F668" s="1269"/>
      <c r="G668" s="1269"/>
      <c r="H668" s="1269"/>
      <c r="M668" s="1324"/>
      <c r="O668" s="1274"/>
      <c r="P668" s="1269"/>
      <c r="Q668" s="1269"/>
      <c r="R668" s="1269"/>
      <c r="S668" s="1269"/>
      <c r="T668" s="1269"/>
      <c r="U668" s="1269"/>
      <c r="V668" s="1269"/>
      <c r="W668" s="1269"/>
      <c r="X668" s="1269"/>
      <c r="Y668" s="1269"/>
    </row>
    <row r="669" spans="1:25">
      <c r="A669" s="1269"/>
      <c r="D669" s="1269"/>
      <c r="E669" s="1269"/>
      <c r="F669" s="1269"/>
      <c r="G669" s="1269"/>
      <c r="H669" s="1269"/>
      <c r="M669" s="1324"/>
      <c r="O669" s="1274"/>
      <c r="P669" s="1269"/>
      <c r="Q669" s="1269"/>
      <c r="R669" s="1269"/>
      <c r="S669" s="1269"/>
      <c r="T669" s="1269"/>
      <c r="U669" s="1269"/>
      <c r="V669" s="1269"/>
      <c r="W669" s="1269"/>
      <c r="X669" s="1269"/>
      <c r="Y669" s="1269"/>
    </row>
    <row r="670" spans="1:25">
      <c r="A670" s="1269"/>
      <c r="D670" s="1269"/>
      <c r="E670" s="1269"/>
      <c r="F670" s="1269"/>
      <c r="G670" s="1269"/>
      <c r="H670" s="1269"/>
      <c r="M670" s="1324"/>
      <c r="O670" s="1274"/>
      <c r="P670" s="1269"/>
      <c r="Q670" s="1269"/>
      <c r="R670" s="1269"/>
      <c r="S670" s="1269"/>
      <c r="T670" s="1269"/>
      <c r="U670" s="1269"/>
      <c r="V670" s="1269"/>
      <c r="W670" s="1269"/>
      <c r="X670" s="1269"/>
      <c r="Y670" s="1269"/>
    </row>
    <row r="671" spans="1:25">
      <c r="A671" s="1269"/>
      <c r="D671" s="1269"/>
      <c r="E671" s="1269"/>
      <c r="F671" s="1269"/>
      <c r="G671" s="1269"/>
      <c r="H671" s="1269"/>
      <c r="M671" s="1324"/>
      <c r="O671" s="1274"/>
      <c r="P671" s="1269"/>
      <c r="Q671" s="1269"/>
      <c r="R671" s="1269"/>
      <c r="S671" s="1269"/>
      <c r="T671" s="1269"/>
      <c r="U671" s="1269"/>
      <c r="V671" s="1269"/>
      <c r="W671" s="1269"/>
      <c r="X671" s="1269"/>
      <c r="Y671" s="1269"/>
    </row>
    <row r="672" spans="1:25">
      <c r="A672" s="1269"/>
      <c r="D672" s="1269"/>
      <c r="E672" s="1269"/>
      <c r="F672" s="1269"/>
      <c r="G672" s="1269"/>
      <c r="H672" s="1269"/>
      <c r="M672" s="1324"/>
      <c r="O672" s="1274"/>
      <c r="P672" s="1269"/>
      <c r="Q672" s="1269"/>
      <c r="R672" s="1269"/>
      <c r="S672" s="1269"/>
      <c r="T672" s="1269"/>
      <c r="U672" s="1269"/>
      <c r="V672" s="1269"/>
      <c r="W672" s="1269"/>
      <c r="X672" s="1269"/>
      <c r="Y672" s="1269"/>
    </row>
    <row r="673" spans="1:25">
      <c r="A673" s="1269"/>
      <c r="D673" s="1269"/>
      <c r="E673" s="1269"/>
      <c r="F673" s="1269"/>
      <c r="G673" s="1269"/>
      <c r="H673" s="1269"/>
      <c r="M673" s="1324"/>
      <c r="O673" s="1274"/>
      <c r="P673" s="1269"/>
      <c r="Q673" s="1269"/>
      <c r="R673" s="1269"/>
      <c r="S673" s="1269"/>
      <c r="T673" s="1269"/>
      <c r="U673" s="1269"/>
      <c r="V673" s="1269"/>
      <c r="W673" s="1269"/>
      <c r="X673" s="1269"/>
      <c r="Y673" s="1269"/>
    </row>
    <row r="674" spans="1:25">
      <c r="A674" s="1269"/>
      <c r="D674" s="1269"/>
      <c r="E674" s="1269"/>
      <c r="F674" s="1269"/>
      <c r="G674" s="1269"/>
      <c r="H674" s="1269"/>
      <c r="M674" s="1324"/>
      <c r="O674" s="1274"/>
      <c r="P674" s="1269"/>
      <c r="Q674" s="1269"/>
      <c r="R674" s="1269"/>
      <c r="S674" s="1269"/>
      <c r="T674" s="1269"/>
      <c r="U674" s="1269"/>
      <c r="V674" s="1269"/>
      <c r="W674" s="1269"/>
      <c r="X674" s="1269"/>
      <c r="Y674" s="1269"/>
    </row>
    <row r="675" spans="1:25">
      <c r="A675" s="1269"/>
      <c r="D675" s="1269"/>
      <c r="E675" s="1269"/>
      <c r="F675" s="1269"/>
      <c r="G675" s="1269"/>
      <c r="H675" s="1269"/>
      <c r="M675" s="1324"/>
      <c r="O675" s="1274"/>
      <c r="P675" s="1269"/>
      <c r="Q675" s="1269"/>
      <c r="R675" s="1269"/>
      <c r="S675" s="1269"/>
      <c r="T675" s="1269"/>
      <c r="U675" s="1269"/>
      <c r="V675" s="1269"/>
      <c r="W675" s="1269"/>
      <c r="X675" s="1269"/>
      <c r="Y675" s="1269"/>
    </row>
    <row r="676" spans="1:25">
      <c r="A676" s="1269"/>
      <c r="D676" s="1269"/>
      <c r="E676" s="1269"/>
      <c r="F676" s="1269"/>
      <c r="G676" s="1269"/>
      <c r="H676" s="1269"/>
      <c r="M676" s="1324"/>
      <c r="O676" s="1274"/>
      <c r="P676" s="1269"/>
      <c r="Q676" s="1269"/>
      <c r="R676" s="1269"/>
      <c r="S676" s="1269"/>
      <c r="T676" s="1269"/>
      <c r="U676" s="1269"/>
      <c r="V676" s="1269"/>
      <c r="W676" s="1269"/>
      <c r="X676" s="1269"/>
      <c r="Y676" s="1269"/>
    </row>
    <row r="677" spans="1:25">
      <c r="A677" s="1269"/>
      <c r="D677" s="1269"/>
      <c r="E677" s="1269"/>
      <c r="F677" s="1269"/>
      <c r="G677" s="1269"/>
      <c r="H677" s="1269"/>
      <c r="M677" s="1324"/>
      <c r="O677" s="1274"/>
      <c r="P677" s="1269"/>
      <c r="Q677" s="1269"/>
      <c r="R677" s="1269"/>
      <c r="S677" s="1269"/>
      <c r="T677" s="1269"/>
      <c r="U677" s="1269"/>
      <c r="V677" s="1269"/>
      <c r="W677" s="1269"/>
      <c r="X677" s="1269"/>
      <c r="Y677" s="1269"/>
    </row>
    <row r="678" spans="1:25">
      <c r="A678" s="1269"/>
      <c r="D678" s="1269"/>
      <c r="E678" s="1269"/>
      <c r="F678" s="1269"/>
      <c r="G678" s="1269"/>
      <c r="H678" s="1269"/>
      <c r="M678" s="1324"/>
      <c r="O678" s="1274"/>
      <c r="P678" s="1269"/>
      <c r="Q678" s="1269"/>
      <c r="R678" s="1269"/>
      <c r="S678" s="1269"/>
      <c r="T678" s="1269"/>
      <c r="U678" s="1269"/>
      <c r="V678" s="1269"/>
      <c r="W678" s="1269"/>
      <c r="X678" s="1269"/>
      <c r="Y678" s="1269"/>
    </row>
    <row r="679" spans="1:25">
      <c r="A679" s="1269"/>
      <c r="D679" s="1269"/>
      <c r="E679" s="1269"/>
      <c r="F679" s="1269"/>
      <c r="G679" s="1269"/>
      <c r="H679" s="1269"/>
      <c r="M679" s="1324"/>
      <c r="O679" s="1274"/>
      <c r="P679" s="1269"/>
      <c r="Q679" s="1269"/>
      <c r="R679" s="1269"/>
      <c r="S679" s="1269"/>
      <c r="T679" s="1269"/>
      <c r="U679" s="1269"/>
      <c r="V679" s="1269"/>
      <c r="W679" s="1269"/>
      <c r="X679" s="1269"/>
      <c r="Y679" s="1269"/>
    </row>
    <row r="680" spans="1:25">
      <c r="A680" s="1269"/>
      <c r="D680" s="1269"/>
      <c r="E680" s="1269"/>
      <c r="F680" s="1269"/>
      <c r="G680" s="1269"/>
      <c r="H680" s="1269"/>
      <c r="M680" s="1324"/>
      <c r="O680" s="1274"/>
      <c r="P680" s="1269"/>
      <c r="Q680" s="1269"/>
      <c r="R680" s="1269"/>
      <c r="S680" s="1269"/>
      <c r="T680" s="1269"/>
      <c r="U680" s="1269"/>
      <c r="V680" s="1269"/>
      <c r="W680" s="1269"/>
      <c r="X680" s="1269"/>
      <c r="Y680" s="1269"/>
    </row>
    <row r="681" spans="1:25">
      <c r="A681" s="1269"/>
      <c r="D681" s="1269"/>
      <c r="E681" s="1269"/>
      <c r="F681" s="1269"/>
      <c r="G681" s="1269"/>
      <c r="H681" s="1269"/>
      <c r="M681" s="1324"/>
      <c r="O681" s="1274"/>
      <c r="P681" s="1269"/>
      <c r="Q681" s="1269"/>
      <c r="R681" s="1269"/>
      <c r="S681" s="1269"/>
      <c r="T681" s="1269"/>
      <c r="U681" s="1269"/>
      <c r="V681" s="1269"/>
      <c r="W681" s="1269"/>
      <c r="X681" s="1269"/>
      <c r="Y681" s="1269"/>
    </row>
    <row r="682" spans="1:25">
      <c r="A682" s="1269"/>
      <c r="D682" s="1269"/>
      <c r="E682" s="1269"/>
      <c r="F682" s="1269"/>
      <c r="G682" s="1269"/>
      <c r="H682" s="1269"/>
      <c r="M682" s="1324"/>
      <c r="O682" s="1274"/>
      <c r="P682" s="1269"/>
      <c r="Q682" s="1269"/>
      <c r="R682" s="1269"/>
      <c r="S682" s="1269"/>
      <c r="T682" s="1269"/>
      <c r="U682" s="1269"/>
      <c r="V682" s="1269"/>
      <c r="W682" s="1269"/>
      <c r="X682" s="1269"/>
      <c r="Y682" s="1269"/>
    </row>
    <row r="683" spans="1:25">
      <c r="A683" s="1269"/>
      <c r="D683" s="1269"/>
      <c r="E683" s="1269"/>
      <c r="F683" s="1269"/>
      <c r="G683" s="1269"/>
      <c r="H683" s="1269"/>
      <c r="M683" s="1324"/>
      <c r="O683" s="1274"/>
      <c r="P683" s="1269"/>
      <c r="Q683" s="1269"/>
      <c r="R683" s="1269"/>
      <c r="S683" s="1269"/>
      <c r="T683" s="1269"/>
      <c r="U683" s="1269"/>
      <c r="V683" s="1269"/>
      <c r="W683" s="1269"/>
      <c r="X683" s="1269"/>
      <c r="Y683" s="1269"/>
    </row>
    <row r="684" spans="1:25">
      <c r="A684" s="1269"/>
      <c r="D684" s="1269"/>
      <c r="E684" s="1269"/>
      <c r="F684" s="1269"/>
      <c r="G684" s="1269"/>
      <c r="H684" s="1269"/>
      <c r="M684" s="1324"/>
      <c r="O684" s="1274"/>
      <c r="P684" s="1269"/>
      <c r="Q684" s="1269"/>
      <c r="R684" s="1269"/>
      <c r="S684" s="1269"/>
      <c r="T684" s="1269"/>
      <c r="U684" s="1269"/>
      <c r="V684" s="1269"/>
      <c r="W684" s="1269"/>
      <c r="X684" s="1269"/>
      <c r="Y684" s="1269"/>
    </row>
    <row r="685" spans="1:25">
      <c r="A685" s="1269"/>
      <c r="D685" s="1269"/>
      <c r="E685" s="1269"/>
      <c r="F685" s="1269"/>
      <c r="G685" s="1269"/>
      <c r="H685" s="1269"/>
      <c r="M685" s="1324"/>
      <c r="O685" s="1274"/>
      <c r="P685" s="1269"/>
      <c r="Q685" s="1269"/>
      <c r="R685" s="1269"/>
      <c r="S685" s="1269"/>
      <c r="T685" s="1269"/>
      <c r="U685" s="1269"/>
      <c r="V685" s="1269"/>
      <c r="W685" s="1269"/>
      <c r="X685" s="1269"/>
      <c r="Y685" s="1269"/>
    </row>
    <row r="686" spans="1:25">
      <c r="A686" s="1269"/>
      <c r="D686" s="1269"/>
      <c r="E686" s="1269"/>
      <c r="F686" s="1269"/>
      <c r="G686" s="1269"/>
      <c r="H686" s="1269"/>
      <c r="M686" s="1324"/>
      <c r="O686" s="1274"/>
      <c r="P686" s="1269"/>
      <c r="Q686" s="1269"/>
      <c r="R686" s="1269"/>
      <c r="S686" s="1269"/>
      <c r="T686" s="1269"/>
      <c r="U686" s="1269"/>
      <c r="V686" s="1269"/>
      <c r="W686" s="1269"/>
      <c r="X686" s="1269"/>
      <c r="Y686" s="1269"/>
    </row>
    <row r="687" spans="1:25">
      <c r="A687" s="1269"/>
      <c r="D687" s="1269"/>
      <c r="E687" s="1269"/>
      <c r="F687" s="1269"/>
      <c r="G687" s="1269"/>
      <c r="H687" s="1269"/>
      <c r="M687" s="1324"/>
      <c r="O687" s="1274"/>
      <c r="P687" s="1269"/>
      <c r="Q687" s="1269"/>
      <c r="R687" s="1269"/>
      <c r="S687" s="1269"/>
      <c r="T687" s="1269"/>
      <c r="U687" s="1269"/>
      <c r="V687" s="1269"/>
      <c r="W687" s="1269"/>
      <c r="X687" s="1269"/>
      <c r="Y687" s="1269"/>
    </row>
    <row r="688" spans="1:25">
      <c r="A688" s="1269"/>
      <c r="D688" s="1269"/>
      <c r="E688" s="1269"/>
      <c r="F688" s="1269"/>
      <c r="G688" s="1269"/>
      <c r="H688" s="1269"/>
      <c r="M688" s="1324"/>
      <c r="O688" s="1274"/>
      <c r="P688" s="1269"/>
      <c r="Q688" s="1269"/>
      <c r="R688" s="1269"/>
      <c r="S688" s="1269"/>
      <c r="T688" s="1269"/>
      <c r="U688" s="1269"/>
      <c r="V688" s="1269"/>
      <c r="W688" s="1269"/>
      <c r="X688" s="1269"/>
      <c r="Y688" s="1269"/>
    </row>
    <row r="689" spans="1:25">
      <c r="A689" s="1269"/>
      <c r="D689" s="1269"/>
      <c r="E689" s="1269"/>
      <c r="F689" s="1269"/>
      <c r="G689" s="1269"/>
      <c r="H689" s="1269"/>
      <c r="M689" s="1324"/>
      <c r="O689" s="1274"/>
      <c r="P689" s="1269"/>
      <c r="Q689" s="1269"/>
      <c r="R689" s="1269"/>
      <c r="S689" s="1269"/>
      <c r="T689" s="1269"/>
      <c r="U689" s="1269"/>
      <c r="V689" s="1269"/>
      <c r="W689" s="1269"/>
      <c r="X689" s="1269"/>
      <c r="Y689" s="1269"/>
    </row>
    <row r="690" spans="1:25">
      <c r="A690" s="1269"/>
      <c r="D690" s="1269"/>
      <c r="E690" s="1269"/>
      <c r="F690" s="1269"/>
      <c r="G690" s="1269"/>
      <c r="H690" s="1269"/>
      <c r="M690" s="1324"/>
      <c r="O690" s="1274"/>
      <c r="P690" s="1269"/>
      <c r="Q690" s="1269"/>
      <c r="R690" s="1269"/>
      <c r="S690" s="1269"/>
      <c r="T690" s="1269"/>
      <c r="U690" s="1269"/>
      <c r="V690" s="1269"/>
      <c r="W690" s="1269"/>
      <c r="X690" s="1269"/>
      <c r="Y690" s="1269"/>
    </row>
    <row r="691" spans="1:25">
      <c r="A691" s="1269"/>
      <c r="D691" s="1269"/>
      <c r="E691" s="1269"/>
      <c r="F691" s="1269"/>
      <c r="G691" s="1269"/>
      <c r="H691" s="1269"/>
      <c r="M691" s="1324"/>
      <c r="O691" s="1274"/>
      <c r="P691" s="1269"/>
      <c r="Q691" s="1269"/>
      <c r="R691" s="1269"/>
      <c r="S691" s="1269"/>
      <c r="T691" s="1269"/>
      <c r="U691" s="1269"/>
      <c r="V691" s="1269"/>
      <c r="W691" s="1269"/>
      <c r="X691" s="1269"/>
      <c r="Y691" s="1269"/>
    </row>
    <row r="692" spans="1:25">
      <c r="A692" s="1269"/>
      <c r="D692" s="1269"/>
      <c r="E692" s="1269"/>
      <c r="F692" s="1269"/>
      <c r="G692" s="1269"/>
      <c r="H692" s="1269"/>
      <c r="M692" s="1324"/>
      <c r="O692" s="1274"/>
      <c r="P692" s="1269"/>
      <c r="Q692" s="1269"/>
      <c r="R692" s="1269"/>
      <c r="S692" s="1269"/>
      <c r="T692" s="1269"/>
      <c r="U692" s="1269"/>
      <c r="V692" s="1269"/>
      <c r="W692" s="1269"/>
      <c r="X692" s="1269"/>
      <c r="Y692" s="1269"/>
    </row>
    <row r="693" spans="1:25">
      <c r="A693" s="1269"/>
      <c r="D693" s="1269"/>
      <c r="E693" s="1269"/>
      <c r="F693" s="1269"/>
      <c r="G693" s="1269"/>
      <c r="H693" s="1269"/>
      <c r="M693" s="1324"/>
      <c r="O693" s="1274"/>
      <c r="P693" s="1269"/>
      <c r="Q693" s="1269"/>
      <c r="R693" s="1269"/>
      <c r="S693" s="1269"/>
      <c r="T693" s="1269"/>
      <c r="U693" s="1269"/>
      <c r="V693" s="1269"/>
      <c r="W693" s="1269"/>
      <c r="X693" s="1269"/>
      <c r="Y693" s="1269"/>
    </row>
    <row r="694" spans="1:25">
      <c r="A694" s="1269"/>
      <c r="D694" s="1269"/>
      <c r="E694" s="1269"/>
      <c r="F694" s="1269"/>
      <c r="G694" s="1269"/>
      <c r="H694" s="1269"/>
      <c r="M694" s="1324"/>
      <c r="O694" s="1274"/>
      <c r="P694" s="1269"/>
      <c r="Q694" s="1269"/>
      <c r="R694" s="1269"/>
      <c r="S694" s="1269"/>
      <c r="T694" s="1269"/>
      <c r="U694" s="1269"/>
      <c r="V694" s="1269"/>
      <c r="W694" s="1269"/>
      <c r="X694" s="1269"/>
      <c r="Y694" s="1269"/>
    </row>
    <row r="695" spans="1:25">
      <c r="A695" s="1269"/>
      <c r="D695" s="1269"/>
      <c r="E695" s="1269"/>
      <c r="F695" s="1269"/>
      <c r="G695" s="1269"/>
      <c r="H695" s="1269"/>
      <c r="M695" s="1324"/>
      <c r="O695" s="1274"/>
      <c r="P695" s="1269"/>
      <c r="Q695" s="1269"/>
      <c r="R695" s="1269"/>
      <c r="S695" s="1269"/>
      <c r="T695" s="1269"/>
      <c r="U695" s="1269"/>
      <c r="V695" s="1269"/>
      <c r="W695" s="1269"/>
      <c r="X695" s="1269"/>
      <c r="Y695" s="1269"/>
    </row>
    <row r="696" spans="1:25">
      <c r="A696" s="1269"/>
      <c r="D696" s="1269"/>
      <c r="E696" s="1269"/>
      <c r="F696" s="1269"/>
      <c r="G696" s="1269"/>
      <c r="H696" s="1269"/>
      <c r="M696" s="1324"/>
      <c r="O696" s="1274"/>
      <c r="P696" s="1269"/>
      <c r="Q696" s="1269"/>
      <c r="R696" s="1269"/>
      <c r="S696" s="1269"/>
      <c r="T696" s="1269"/>
      <c r="U696" s="1269"/>
      <c r="V696" s="1269"/>
      <c r="W696" s="1269"/>
      <c r="X696" s="1269"/>
      <c r="Y696" s="1269"/>
    </row>
    <row r="697" spans="1:25">
      <c r="A697" s="1269"/>
      <c r="D697" s="1269"/>
      <c r="E697" s="1269"/>
      <c r="F697" s="1269"/>
      <c r="G697" s="1269"/>
      <c r="H697" s="1269"/>
      <c r="M697" s="1324"/>
      <c r="O697" s="1274"/>
      <c r="P697" s="1269"/>
      <c r="Q697" s="1269"/>
      <c r="R697" s="1269"/>
      <c r="S697" s="1269"/>
      <c r="T697" s="1269"/>
      <c r="U697" s="1269"/>
      <c r="V697" s="1269"/>
      <c r="W697" s="1269"/>
      <c r="X697" s="1269"/>
      <c r="Y697" s="1269"/>
    </row>
    <row r="698" spans="1:25">
      <c r="A698" s="1269"/>
      <c r="D698" s="1269"/>
      <c r="E698" s="1269"/>
      <c r="F698" s="1269"/>
      <c r="G698" s="1269"/>
      <c r="H698" s="1269"/>
      <c r="M698" s="1324"/>
      <c r="O698" s="1274"/>
      <c r="P698" s="1269"/>
      <c r="Q698" s="1269"/>
      <c r="R698" s="1269"/>
      <c r="S698" s="1269"/>
      <c r="T698" s="1269"/>
      <c r="U698" s="1269"/>
      <c r="V698" s="1269"/>
      <c r="W698" s="1269"/>
      <c r="X698" s="1269"/>
      <c r="Y698" s="1269"/>
    </row>
    <row r="699" spans="1:25">
      <c r="A699" s="1269"/>
      <c r="D699" s="1269"/>
      <c r="E699" s="1269"/>
      <c r="F699" s="1269"/>
      <c r="G699" s="1269"/>
      <c r="H699" s="1269"/>
      <c r="M699" s="1324"/>
      <c r="O699" s="1274"/>
      <c r="P699" s="1269"/>
      <c r="Q699" s="1269"/>
      <c r="R699" s="1269"/>
      <c r="S699" s="1269"/>
      <c r="T699" s="1269"/>
      <c r="U699" s="1269"/>
      <c r="V699" s="1269"/>
      <c r="W699" s="1269"/>
      <c r="X699" s="1269"/>
      <c r="Y699" s="1269"/>
    </row>
    <row r="700" spans="1:25">
      <c r="A700" s="1269"/>
      <c r="D700" s="1269"/>
      <c r="E700" s="1269"/>
      <c r="F700" s="1269"/>
      <c r="G700" s="1269"/>
      <c r="H700" s="1269"/>
      <c r="M700" s="1324"/>
      <c r="O700" s="1274"/>
      <c r="P700" s="1269"/>
      <c r="Q700" s="1269"/>
      <c r="R700" s="1269"/>
      <c r="S700" s="1269"/>
      <c r="T700" s="1269"/>
      <c r="U700" s="1269"/>
      <c r="V700" s="1269"/>
      <c r="W700" s="1269"/>
      <c r="X700" s="1269"/>
      <c r="Y700" s="1269"/>
    </row>
    <row r="701" spans="1:25">
      <c r="A701" s="1269"/>
      <c r="D701" s="1269"/>
      <c r="E701" s="1269"/>
      <c r="F701" s="1269"/>
      <c r="G701" s="1269"/>
      <c r="H701" s="1269"/>
      <c r="M701" s="1324"/>
      <c r="O701" s="1274"/>
      <c r="P701" s="1269"/>
      <c r="Q701" s="1269"/>
      <c r="R701" s="1269"/>
      <c r="S701" s="1269"/>
      <c r="T701" s="1269"/>
      <c r="U701" s="1269"/>
      <c r="V701" s="1269"/>
      <c r="W701" s="1269"/>
      <c r="X701" s="1269"/>
      <c r="Y701" s="1269"/>
    </row>
    <row r="702" spans="1:25">
      <c r="A702" s="1269"/>
      <c r="D702" s="1269"/>
      <c r="E702" s="1269"/>
      <c r="F702" s="1269"/>
      <c r="G702" s="1269"/>
      <c r="H702" s="1269"/>
      <c r="M702" s="1324"/>
      <c r="O702" s="1274"/>
      <c r="P702" s="1269"/>
      <c r="Q702" s="1269"/>
      <c r="R702" s="1269"/>
      <c r="S702" s="1269"/>
      <c r="T702" s="1269"/>
      <c r="U702" s="1269"/>
      <c r="V702" s="1269"/>
      <c r="W702" s="1269"/>
      <c r="X702" s="1269"/>
      <c r="Y702" s="1269"/>
    </row>
    <row r="703" spans="1:25">
      <c r="A703" s="1269"/>
      <c r="D703" s="1269"/>
      <c r="E703" s="1269"/>
      <c r="F703" s="1269"/>
      <c r="G703" s="1269"/>
      <c r="H703" s="1269"/>
      <c r="M703" s="1324"/>
      <c r="O703" s="1274"/>
      <c r="P703" s="1269"/>
      <c r="Q703" s="1269"/>
      <c r="R703" s="1269"/>
      <c r="S703" s="1269"/>
      <c r="T703" s="1269"/>
      <c r="U703" s="1269"/>
      <c r="V703" s="1269"/>
      <c r="W703" s="1269"/>
      <c r="X703" s="1269"/>
      <c r="Y703" s="1269"/>
    </row>
    <row r="704" spans="1:25">
      <c r="A704" s="1269"/>
      <c r="D704" s="1269"/>
      <c r="E704" s="1269"/>
      <c r="F704" s="1269"/>
      <c r="G704" s="1269"/>
      <c r="H704" s="1269"/>
      <c r="M704" s="1324"/>
      <c r="O704" s="1274"/>
      <c r="P704" s="1269"/>
      <c r="Q704" s="1269"/>
      <c r="R704" s="1269"/>
      <c r="S704" s="1269"/>
      <c r="T704" s="1269"/>
      <c r="U704" s="1269"/>
      <c r="V704" s="1269"/>
      <c r="W704" s="1269"/>
      <c r="X704" s="1269"/>
      <c r="Y704" s="1269"/>
    </row>
    <row r="705" spans="1:25">
      <c r="A705" s="1269"/>
      <c r="D705" s="1269"/>
      <c r="E705" s="1269"/>
      <c r="F705" s="1269"/>
      <c r="G705" s="1269"/>
      <c r="H705" s="1269"/>
      <c r="M705" s="1324"/>
      <c r="O705" s="1274"/>
      <c r="P705" s="1269"/>
      <c r="Q705" s="1269"/>
      <c r="R705" s="1269"/>
      <c r="S705" s="1269"/>
      <c r="T705" s="1269"/>
      <c r="U705" s="1269"/>
      <c r="V705" s="1269"/>
      <c r="W705" s="1269"/>
      <c r="X705" s="1269"/>
      <c r="Y705" s="1269"/>
    </row>
    <row r="706" spans="1:25">
      <c r="A706" s="1269"/>
      <c r="D706" s="1269"/>
      <c r="E706" s="1269"/>
      <c r="F706" s="1269"/>
      <c r="G706" s="1269"/>
      <c r="H706" s="1269"/>
      <c r="M706" s="1324"/>
      <c r="O706" s="1274"/>
      <c r="P706" s="1269"/>
      <c r="Q706" s="1269"/>
      <c r="R706" s="1269"/>
      <c r="S706" s="1269"/>
      <c r="T706" s="1269"/>
      <c r="U706" s="1269"/>
      <c r="V706" s="1269"/>
      <c r="W706" s="1269"/>
      <c r="X706" s="1269"/>
      <c r="Y706" s="1269"/>
    </row>
    <row r="707" spans="1:25">
      <c r="A707" s="1269"/>
      <c r="D707" s="1269"/>
      <c r="E707" s="1269"/>
      <c r="F707" s="1269"/>
      <c r="G707" s="1269"/>
      <c r="H707" s="1269"/>
      <c r="M707" s="1324"/>
      <c r="O707" s="1274"/>
      <c r="P707" s="1269"/>
      <c r="Q707" s="1269"/>
      <c r="R707" s="1269"/>
      <c r="S707" s="1269"/>
      <c r="T707" s="1269"/>
      <c r="U707" s="1269"/>
      <c r="V707" s="1269"/>
      <c r="W707" s="1269"/>
      <c r="X707" s="1269"/>
      <c r="Y707" s="1269"/>
    </row>
    <row r="708" spans="1:25">
      <c r="A708" s="1269"/>
      <c r="D708" s="1269"/>
      <c r="E708" s="1269"/>
      <c r="F708" s="1269"/>
      <c r="G708" s="1269"/>
      <c r="H708" s="1269"/>
      <c r="M708" s="1324"/>
      <c r="O708" s="1274"/>
      <c r="P708" s="1269"/>
      <c r="Q708" s="1269"/>
      <c r="R708" s="1269"/>
      <c r="S708" s="1269"/>
      <c r="T708" s="1269"/>
      <c r="U708" s="1269"/>
      <c r="V708" s="1269"/>
      <c r="W708" s="1269"/>
      <c r="X708" s="1269"/>
      <c r="Y708" s="1269"/>
    </row>
    <row r="709" spans="1:25">
      <c r="A709" s="1269"/>
      <c r="D709" s="1269"/>
      <c r="E709" s="1269"/>
      <c r="F709" s="1269"/>
      <c r="G709" s="1269"/>
      <c r="H709" s="1269"/>
      <c r="M709" s="1324"/>
      <c r="O709" s="1274"/>
      <c r="P709" s="1269"/>
      <c r="Q709" s="1269"/>
      <c r="R709" s="1269"/>
      <c r="S709" s="1269"/>
      <c r="T709" s="1269"/>
      <c r="U709" s="1269"/>
      <c r="V709" s="1269"/>
      <c r="W709" s="1269"/>
      <c r="X709" s="1269"/>
      <c r="Y709" s="1269"/>
    </row>
    <row r="710" spans="1:25">
      <c r="A710" s="1269"/>
      <c r="D710" s="1269"/>
      <c r="E710" s="1269"/>
      <c r="F710" s="1269"/>
      <c r="G710" s="1269"/>
      <c r="H710" s="1269"/>
      <c r="M710" s="1324"/>
      <c r="O710" s="1274"/>
      <c r="P710" s="1269"/>
      <c r="Q710" s="1269"/>
      <c r="R710" s="1269"/>
      <c r="S710" s="1269"/>
      <c r="T710" s="1269"/>
      <c r="U710" s="1269"/>
      <c r="V710" s="1269"/>
      <c r="W710" s="1269"/>
      <c r="X710" s="1269"/>
      <c r="Y710" s="1269"/>
    </row>
    <row r="711" spans="1:25">
      <c r="A711" s="1269"/>
      <c r="D711" s="1269"/>
      <c r="E711" s="1269"/>
      <c r="F711" s="1269"/>
      <c r="G711" s="1269"/>
      <c r="H711" s="1269"/>
      <c r="M711" s="1324"/>
      <c r="O711" s="1274"/>
      <c r="P711" s="1269"/>
      <c r="Q711" s="1269"/>
      <c r="R711" s="1269"/>
      <c r="S711" s="1269"/>
      <c r="T711" s="1269"/>
      <c r="U711" s="1269"/>
      <c r="V711" s="1269"/>
      <c r="W711" s="1269"/>
      <c r="X711" s="1269"/>
      <c r="Y711" s="1269"/>
    </row>
    <row r="712" spans="1:25">
      <c r="A712" s="1269"/>
      <c r="D712" s="1269"/>
      <c r="E712" s="1269"/>
      <c r="F712" s="1269"/>
      <c r="G712" s="1269"/>
      <c r="H712" s="1269"/>
      <c r="M712" s="1324"/>
      <c r="O712" s="1274"/>
      <c r="P712" s="1269"/>
      <c r="Q712" s="1269"/>
      <c r="R712" s="1269"/>
      <c r="S712" s="1269"/>
      <c r="T712" s="1269"/>
      <c r="U712" s="1269"/>
      <c r="V712" s="1269"/>
      <c r="W712" s="1269"/>
      <c r="X712" s="1269"/>
      <c r="Y712" s="1269"/>
    </row>
    <row r="713" spans="1:25">
      <c r="A713" s="1269"/>
      <c r="D713" s="1269"/>
      <c r="E713" s="1269"/>
      <c r="F713" s="1269"/>
      <c r="G713" s="1269"/>
      <c r="H713" s="1269"/>
      <c r="M713" s="1324"/>
      <c r="O713" s="1274"/>
      <c r="P713" s="1269"/>
      <c r="Q713" s="1269"/>
      <c r="R713" s="1269"/>
      <c r="S713" s="1269"/>
      <c r="T713" s="1269"/>
      <c r="U713" s="1269"/>
      <c r="V713" s="1269"/>
      <c r="W713" s="1269"/>
      <c r="X713" s="1269"/>
      <c r="Y713" s="1269"/>
    </row>
    <row r="714" spans="1:25">
      <c r="A714" s="1269"/>
      <c r="D714" s="1269"/>
      <c r="E714" s="1269"/>
      <c r="F714" s="1269"/>
      <c r="G714" s="1269"/>
      <c r="H714" s="1269"/>
      <c r="M714" s="1324"/>
      <c r="O714" s="1274"/>
      <c r="P714" s="1269"/>
      <c r="Q714" s="1269"/>
      <c r="R714" s="1269"/>
      <c r="S714" s="1269"/>
      <c r="T714" s="1269"/>
      <c r="U714" s="1269"/>
      <c r="V714" s="1269"/>
      <c r="W714" s="1269"/>
      <c r="X714" s="1269"/>
      <c r="Y714" s="1269"/>
    </row>
    <row r="715" spans="1:25">
      <c r="A715" s="1269"/>
      <c r="D715" s="1269"/>
      <c r="E715" s="1269"/>
      <c r="F715" s="1269"/>
      <c r="G715" s="1269"/>
      <c r="H715" s="1269"/>
      <c r="M715" s="1324"/>
      <c r="O715" s="1274"/>
      <c r="P715" s="1269"/>
      <c r="Q715" s="1269"/>
      <c r="R715" s="1269"/>
      <c r="S715" s="1269"/>
      <c r="T715" s="1269"/>
      <c r="U715" s="1269"/>
      <c r="V715" s="1269"/>
      <c r="W715" s="1269"/>
      <c r="X715" s="1269"/>
      <c r="Y715" s="1269"/>
    </row>
    <row r="716" spans="1:25">
      <c r="A716" s="1269"/>
      <c r="D716" s="1269"/>
      <c r="E716" s="1269"/>
      <c r="F716" s="1269"/>
      <c r="G716" s="1269"/>
      <c r="H716" s="1269"/>
      <c r="M716" s="1324"/>
      <c r="O716" s="1274"/>
      <c r="P716" s="1269"/>
      <c r="Q716" s="1269"/>
      <c r="R716" s="1269"/>
      <c r="S716" s="1269"/>
      <c r="T716" s="1269"/>
      <c r="U716" s="1269"/>
      <c r="V716" s="1269"/>
      <c r="W716" s="1269"/>
      <c r="X716" s="1269"/>
      <c r="Y716" s="1269"/>
    </row>
    <row r="717" spans="1:25">
      <c r="A717" s="1269"/>
      <c r="D717" s="1269"/>
      <c r="E717" s="1269"/>
      <c r="F717" s="1269"/>
      <c r="G717" s="1269"/>
      <c r="H717" s="1269"/>
      <c r="M717" s="1324"/>
      <c r="O717" s="1274"/>
      <c r="P717" s="1269"/>
      <c r="Q717" s="1269"/>
      <c r="R717" s="1269"/>
      <c r="S717" s="1269"/>
      <c r="T717" s="1269"/>
      <c r="U717" s="1269"/>
      <c r="V717" s="1269"/>
      <c r="W717" s="1269"/>
      <c r="X717" s="1269"/>
      <c r="Y717" s="1269"/>
    </row>
    <row r="718" spans="1:25">
      <c r="A718" s="1269"/>
      <c r="D718" s="1269"/>
      <c r="E718" s="1269"/>
      <c r="F718" s="1269"/>
      <c r="G718" s="1269"/>
      <c r="H718" s="1269"/>
      <c r="M718" s="1324"/>
      <c r="O718" s="1274"/>
      <c r="P718" s="1269"/>
      <c r="Q718" s="1269"/>
      <c r="R718" s="1269"/>
      <c r="S718" s="1269"/>
      <c r="T718" s="1269"/>
      <c r="U718" s="1269"/>
      <c r="V718" s="1269"/>
      <c r="W718" s="1269"/>
      <c r="X718" s="1269"/>
      <c r="Y718" s="1269"/>
    </row>
    <row r="719" spans="1:25">
      <c r="A719" s="1269"/>
      <c r="D719" s="1269"/>
      <c r="E719" s="1269"/>
      <c r="F719" s="1269"/>
      <c r="G719" s="1269"/>
      <c r="H719" s="1269"/>
      <c r="M719" s="1324"/>
      <c r="O719" s="1274"/>
      <c r="P719" s="1269"/>
      <c r="Q719" s="1269"/>
      <c r="R719" s="1269"/>
      <c r="S719" s="1269"/>
      <c r="T719" s="1269"/>
      <c r="U719" s="1269"/>
      <c r="V719" s="1269"/>
      <c r="W719" s="1269"/>
      <c r="X719" s="1269"/>
      <c r="Y719" s="1269"/>
    </row>
    <row r="720" spans="1:25">
      <c r="A720" s="1269"/>
      <c r="D720" s="1269"/>
      <c r="E720" s="1269"/>
      <c r="F720" s="1269"/>
      <c r="G720" s="1269"/>
      <c r="H720" s="1269"/>
      <c r="M720" s="1324"/>
      <c r="O720" s="1274"/>
      <c r="P720" s="1269"/>
      <c r="Q720" s="1269"/>
      <c r="R720" s="1269"/>
      <c r="S720" s="1269"/>
      <c r="T720" s="1269"/>
      <c r="U720" s="1269"/>
      <c r="V720" s="1269"/>
      <c r="W720" s="1269"/>
      <c r="X720" s="1269"/>
      <c r="Y720" s="1269"/>
    </row>
    <row r="721" spans="1:25">
      <c r="A721" s="1269"/>
      <c r="D721" s="1269"/>
      <c r="E721" s="1269"/>
      <c r="F721" s="1269"/>
      <c r="G721" s="1269"/>
      <c r="H721" s="1269"/>
      <c r="M721" s="1324"/>
      <c r="O721" s="1274"/>
      <c r="P721" s="1269"/>
      <c r="Q721" s="1269"/>
      <c r="R721" s="1269"/>
      <c r="S721" s="1269"/>
      <c r="T721" s="1269"/>
      <c r="U721" s="1269"/>
      <c r="V721" s="1269"/>
      <c r="W721" s="1269"/>
      <c r="X721" s="1269"/>
      <c r="Y721" s="1269"/>
    </row>
    <row r="722" spans="1:25">
      <c r="A722" s="1269"/>
      <c r="D722" s="1269"/>
      <c r="E722" s="1269"/>
      <c r="F722" s="1269"/>
      <c r="G722" s="1269"/>
      <c r="H722" s="1269"/>
      <c r="M722" s="1324"/>
      <c r="O722" s="1274"/>
      <c r="P722" s="1269"/>
      <c r="Q722" s="1269"/>
      <c r="R722" s="1269"/>
      <c r="S722" s="1269"/>
      <c r="T722" s="1269"/>
      <c r="U722" s="1269"/>
      <c r="V722" s="1269"/>
      <c r="W722" s="1269"/>
      <c r="X722" s="1269"/>
      <c r="Y722" s="1269"/>
    </row>
    <row r="723" spans="1:25">
      <c r="A723" s="1269"/>
      <c r="D723" s="1269"/>
      <c r="E723" s="1269"/>
      <c r="F723" s="1269"/>
      <c r="G723" s="1269"/>
      <c r="H723" s="1269"/>
      <c r="M723" s="1324"/>
      <c r="O723" s="1274"/>
      <c r="P723" s="1269"/>
      <c r="Q723" s="1269"/>
      <c r="R723" s="1269"/>
      <c r="S723" s="1269"/>
      <c r="T723" s="1269"/>
      <c r="U723" s="1269"/>
      <c r="V723" s="1269"/>
      <c r="W723" s="1269"/>
      <c r="X723" s="1269"/>
      <c r="Y723" s="1269"/>
    </row>
    <row r="724" spans="1:25">
      <c r="A724" s="1269"/>
      <c r="D724" s="1269"/>
      <c r="E724" s="1269"/>
      <c r="F724" s="1269"/>
      <c r="G724" s="1269"/>
      <c r="H724" s="1269"/>
      <c r="M724" s="1324"/>
      <c r="O724" s="1274"/>
      <c r="P724" s="1269"/>
      <c r="Q724" s="1269"/>
      <c r="R724" s="1269"/>
      <c r="S724" s="1269"/>
      <c r="T724" s="1269"/>
      <c r="U724" s="1269"/>
      <c r="V724" s="1269"/>
      <c r="W724" s="1269"/>
      <c r="X724" s="1269"/>
      <c r="Y724" s="1269"/>
    </row>
    <row r="725" spans="1:25">
      <c r="A725" s="1269"/>
      <c r="D725" s="1269"/>
      <c r="E725" s="1269"/>
      <c r="F725" s="1269"/>
      <c r="G725" s="1269"/>
      <c r="H725" s="1269"/>
      <c r="M725" s="1324"/>
      <c r="O725" s="1274"/>
      <c r="P725" s="1269"/>
      <c r="Q725" s="1269"/>
      <c r="R725" s="1269"/>
      <c r="S725" s="1269"/>
      <c r="T725" s="1269"/>
      <c r="U725" s="1269"/>
      <c r="V725" s="1269"/>
      <c r="W725" s="1269"/>
      <c r="X725" s="1269"/>
      <c r="Y725" s="1269"/>
    </row>
    <row r="726" spans="1:25">
      <c r="A726" s="1269"/>
      <c r="D726" s="1269"/>
      <c r="E726" s="1269"/>
      <c r="F726" s="1269"/>
      <c r="G726" s="1269"/>
      <c r="H726" s="1269"/>
      <c r="M726" s="1324"/>
      <c r="O726" s="1274"/>
      <c r="P726" s="1269"/>
      <c r="Q726" s="1269"/>
      <c r="R726" s="1269"/>
      <c r="S726" s="1269"/>
      <c r="T726" s="1269"/>
      <c r="U726" s="1269"/>
      <c r="V726" s="1269"/>
      <c r="W726" s="1269"/>
      <c r="X726" s="1269"/>
      <c r="Y726" s="1269"/>
    </row>
    <row r="727" spans="1:25">
      <c r="A727" s="1269"/>
      <c r="D727" s="1269"/>
      <c r="E727" s="1269"/>
      <c r="F727" s="1269"/>
      <c r="G727" s="1269"/>
      <c r="H727" s="1269"/>
      <c r="M727" s="1324"/>
      <c r="O727" s="1274"/>
      <c r="P727" s="1269"/>
      <c r="Q727" s="1269"/>
      <c r="R727" s="1269"/>
      <c r="S727" s="1269"/>
      <c r="T727" s="1269"/>
      <c r="U727" s="1269"/>
      <c r="V727" s="1269"/>
      <c r="W727" s="1269"/>
      <c r="X727" s="1269"/>
      <c r="Y727" s="1269"/>
    </row>
    <row r="728" spans="1:25">
      <c r="A728" s="1269"/>
      <c r="D728" s="1269"/>
      <c r="E728" s="1269"/>
      <c r="F728" s="1269"/>
      <c r="G728" s="1269"/>
      <c r="H728" s="1269"/>
      <c r="M728" s="1324"/>
      <c r="O728" s="1274"/>
      <c r="P728" s="1269"/>
      <c r="Q728" s="1269"/>
      <c r="R728" s="1269"/>
      <c r="S728" s="1269"/>
      <c r="T728" s="1269"/>
      <c r="U728" s="1269"/>
      <c r="V728" s="1269"/>
      <c r="W728" s="1269"/>
      <c r="X728" s="1269"/>
      <c r="Y728" s="1269"/>
    </row>
    <row r="729" spans="1:25">
      <c r="A729" s="1269"/>
      <c r="D729" s="1269"/>
      <c r="E729" s="1269"/>
      <c r="F729" s="1269"/>
      <c r="G729" s="1269"/>
      <c r="H729" s="1269"/>
      <c r="M729" s="1324"/>
      <c r="O729" s="1274"/>
      <c r="P729" s="1269"/>
      <c r="Q729" s="1269"/>
      <c r="R729" s="1269"/>
      <c r="S729" s="1269"/>
      <c r="T729" s="1269"/>
      <c r="U729" s="1269"/>
      <c r="V729" s="1269"/>
      <c r="W729" s="1269"/>
      <c r="X729" s="1269"/>
      <c r="Y729" s="1269"/>
    </row>
    <row r="730" spans="1:25">
      <c r="A730" s="1269"/>
      <c r="D730" s="1269"/>
      <c r="E730" s="1269"/>
      <c r="F730" s="1269"/>
      <c r="G730" s="1269"/>
      <c r="H730" s="1269"/>
      <c r="M730" s="1324"/>
      <c r="O730" s="1274"/>
      <c r="P730" s="1269"/>
      <c r="Q730" s="1269"/>
      <c r="R730" s="1269"/>
      <c r="S730" s="1269"/>
      <c r="T730" s="1269"/>
      <c r="U730" s="1269"/>
      <c r="V730" s="1269"/>
      <c r="W730" s="1269"/>
      <c r="X730" s="1269"/>
      <c r="Y730" s="1269"/>
    </row>
    <row r="731" spans="1:25">
      <c r="A731" s="1269"/>
      <c r="D731" s="1269"/>
      <c r="E731" s="1269"/>
      <c r="F731" s="1269"/>
      <c r="G731" s="1269"/>
      <c r="H731" s="1269"/>
      <c r="M731" s="1324"/>
      <c r="O731" s="1274"/>
      <c r="P731" s="1269"/>
      <c r="Q731" s="1269"/>
      <c r="R731" s="1269"/>
      <c r="S731" s="1269"/>
      <c r="T731" s="1269"/>
      <c r="U731" s="1269"/>
      <c r="V731" s="1269"/>
      <c r="W731" s="1269"/>
      <c r="X731" s="1269"/>
      <c r="Y731" s="1269"/>
    </row>
    <row r="732" spans="1:25">
      <c r="A732" s="1269"/>
      <c r="D732" s="1269"/>
      <c r="E732" s="1269"/>
      <c r="F732" s="1269"/>
      <c r="G732" s="1269"/>
      <c r="H732" s="1269"/>
      <c r="M732" s="1324"/>
      <c r="O732" s="1274"/>
      <c r="P732" s="1269"/>
      <c r="Q732" s="1269"/>
      <c r="R732" s="1269"/>
      <c r="S732" s="1269"/>
      <c r="T732" s="1269"/>
      <c r="U732" s="1269"/>
      <c r="V732" s="1269"/>
      <c r="W732" s="1269"/>
      <c r="X732" s="1269"/>
      <c r="Y732" s="1269"/>
    </row>
    <row r="733" spans="1:25">
      <c r="A733" s="1269"/>
      <c r="D733" s="1269"/>
      <c r="E733" s="1269"/>
      <c r="F733" s="1269"/>
      <c r="G733" s="1269"/>
      <c r="H733" s="1269"/>
      <c r="M733" s="1324"/>
      <c r="O733" s="1274"/>
      <c r="P733" s="1269"/>
      <c r="Q733" s="1269"/>
      <c r="R733" s="1269"/>
      <c r="S733" s="1269"/>
      <c r="T733" s="1269"/>
      <c r="U733" s="1269"/>
      <c r="V733" s="1269"/>
      <c r="W733" s="1269"/>
      <c r="X733" s="1269"/>
      <c r="Y733" s="1269"/>
    </row>
    <row r="734" spans="1:25">
      <c r="A734" s="1269"/>
      <c r="D734" s="1269"/>
      <c r="E734" s="1269"/>
      <c r="F734" s="1269"/>
      <c r="G734" s="1269"/>
      <c r="H734" s="1269"/>
      <c r="M734" s="1324"/>
      <c r="O734" s="1274"/>
      <c r="P734" s="1269"/>
      <c r="Q734" s="1269"/>
      <c r="R734" s="1269"/>
      <c r="S734" s="1269"/>
      <c r="T734" s="1269"/>
      <c r="U734" s="1269"/>
      <c r="V734" s="1269"/>
      <c r="W734" s="1269"/>
      <c r="X734" s="1269"/>
      <c r="Y734" s="1269"/>
    </row>
    <row r="735" spans="1:25">
      <c r="A735" s="1269"/>
      <c r="D735" s="1269"/>
      <c r="E735" s="1269"/>
      <c r="F735" s="1269"/>
      <c r="G735" s="1269"/>
      <c r="H735" s="1269"/>
      <c r="M735" s="1324"/>
      <c r="O735" s="1274"/>
      <c r="P735" s="1269"/>
      <c r="Q735" s="1269"/>
      <c r="R735" s="1269"/>
      <c r="S735" s="1269"/>
      <c r="T735" s="1269"/>
      <c r="U735" s="1269"/>
      <c r="V735" s="1269"/>
      <c r="W735" s="1269"/>
      <c r="X735" s="1269"/>
      <c r="Y735" s="1269"/>
    </row>
    <row r="736" spans="1:25">
      <c r="A736" s="1269"/>
      <c r="D736" s="1269"/>
      <c r="E736" s="1269"/>
      <c r="F736" s="1269"/>
      <c r="G736" s="1269"/>
      <c r="H736" s="1269"/>
      <c r="M736" s="1324"/>
      <c r="O736" s="1274"/>
      <c r="P736" s="1269"/>
      <c r="Q736" s="1269"/>
      <c r="R736" s="1269"/>
      <c r="S736" s="1269"/>
      <c r="T736" s="1269"/>
      <c r="U736" s="1269"/>
      <c r="V736" s="1269"/>
      <c r="W736" s="1269"/>
      <c r="X736" s="1269"/>
      <c r="Y736" s="1269"/>
    </row>
    <row r="737" spans="1:25">
      <c r="A737" s="1269"/>
      <c r="D737" s="1269"/>
      <c r="E737" s="1269"/>
      <c r="F737" s="1269"/>
      <c r="G737" s="1269"/>
      <c r="H737" s="1269"/>
      <c r="M737" s="1324"/>
      <c r="O737" s="1274"/>
      <c r="P737" s="1269"/>
      <c r="Q737" s="1269"/>
      <c r="R737" s="1269"/>
      <c r="S737" s="1269"/>
      <c r="T737" s="1269"/>
      <c r="U737" s="1269"/>
      <c r="V737" s="1269"/>
      <c r="W737" s="1269"/>
      <c r="X737" s="1269"/>
      <c r="Y737" s="1269"/>
    </row>
    <row r="738" spans="1:25">
      <c r="A738" s="1269"/>
      <c r="D738" s="1269"/>
      <c r="E738" s="1269"/>
      <c r="F738" s="1269"/>
      <c r="G738" s="1269"/>
      <c r="H738" s="1269"/>
      <c r="M738" s="1324"/>
      <c r="O738" s="1274"/>
      <c r="P738" s="1269"/>
      <c r="Q738" s="1269"/>
      <c r="R738" s="1269"/>
      <c r="S738" s="1269"/>
      <c r="T738" s="1269"/>
      <c r="U738" s="1269"/>
      <c r="V738" s="1269"/>
      <c r="W738" s="1269"/>
      <c r="X738" s="1269"/>
      <c r="Y738" s="1269"/>
    </row>
    <row r="739" spans="1:25">
      <c r="A739" s="1269"/>
      <c r="D739" s="1269"/>
      <c r="E739" s="1269"/>
      <c r="F739" s="1269"/>
      <c r="G739" s="1269"/>
      <c r="H739" s="1269"/>
      <c r="M739" s="1324"/>
      <c r="O739" s="1274"/>
      <c r="P739" s="1269"/>
      <c r="Q739" s="1269"/>
      <c r="R739" s="1269"/>
      <c r="S739" s="1269"/>
      <c r="T739" s="1269"/>
      <c r="U739" s="1269"/>
      <c r="V739" s="1269"/>
      <c r="W739" s="1269"/>
      <c r="X739" s="1269"/>
      <c r="Y739" s="1269"/>
    </row>
    <row r="740" spans="1:25">
      <c r="A740" s="1269"/>
      <c r="D740" s="1269"/>
      <c r="E740" s="1269"/>
      <c r="F740" s="1269"/>
      <c r="G740" s="1269"/>
      <c r="H740" s="1269"/>
      <c r="M740" s="1324"/>
      <c r="O740" s="1274"/>
      <c r="P740" s="1269"/>
      <c r="Q740" s="1269"/>
      <c r="R740" s="1269"/>
      <c r="S740" s="1269"/>
      <c r="T740" s="1269"/>
      <c r="U740" s="1269"/>
      <c r="V740" s="1269"/>
      <c r="W740" s="1269"/>
      <c r="X740" s="1269"/>
      <c r="Y740" s="1269"/>
    </row>
    <row r="741" spans="1:25">
      <c r="A741" s="1269"/>
      <c r="D741" s="1269"/>
      <c r="E741" s="1269"/>
      <c r="F741" s="1269"/>
      <c r="G741" s="1269"/>
      <c r="H741" s="1269"/>
      <c r="M741" s="1324"/>
      <c r="O741" s="1274"/>
      <c r="P741" s="1269"/>
      <c r="Q741" s="1269"/>
      <c r="R741" s="1269"/>
      <c r="S741" s="1269"/>
      <c r="T741" s="1269"/>
      <c r="U741" s="1269"/>
      <c r="V741" s="1269"/>
      <c r="W741" s="1269"/>
      <c r="X741" s="1269"/>
      <c r="Y741" s="1269"/>
    </row>
    <row r="742" spans="1:25">
      <c r="A742" s="1269"/>
      <c r="D742" s="1269"/>
      <c r="E742" s="1269"/>
      <c r="F742" s="1269"/>
      <c r="G742" s="1269"/>
      <c r="H742" s="1269"/>
      <c r="M742" s="1324"/>
      <c r="O742" s="1274"/>
      <c r="P742" s="1269"/>
      <c r="Q742" s="1269"/>
      <c r="R742" s="1269"/>
      <c r="S742" s="1269"/>
      <c r="T742" s="1269"/>
      <c r="U742" s="1269"/>
      <c r="V742" s="1269"/>
      <c r="W742" s="1269"/>
      <c r="X742" s="1269"/>
      <c r="Y742" s="1269"/>
    </row>
    <row r="743" spans="1:25">
      <c r="A743" s="1269"/>
      <c r="D743" s="1269"/>
      <c r="E743" s="1269"/>
      <c r="F743" s="1269"/>
      <c r="G743" s="1269"/>
      <c r="H743" s="1269"/>
      <c r="M743" s="1324"/>
      <c r="O743" s="1274"/>
      <c r="P743" s="1269"/>
      <c r="Q743" s="1269"/>
      <c r="R743" s="1269"/>
      <c r="S743" s="1269"/>
      <c r="T743" s="1269"/>
      <c r="U743" s="1269"/>
      <c r="V743" s="1269"/>
      <c r="W743" s="1269"/>
      <c r="X743" s="1269"/>
      <c r="Y743" s="1269"/>
    </row>
    <row r="744" spans="1:25">
      <c r="A744" s="1269"/>
      <c r="D744" s="1269"/>
      <c r="E744" s="1269"/>
      <c r="F744" s="1269"/>
      <c r="G744" s="1269"/>
      <c r="H744" s="1269"/>
      <c r="M744" s="1324"/>
      <c r="O744" s="1274"/>
      <c r="P744" s="1269"/>
      <c r="Q744" s="1269"/>
      <c r="R744" s="1269"/>
      <c r="S744" s="1269"/>
      <c r="T744" s="1269"/>
      <c r="U744" s="1269"/>
      <c r="V744" s="1269"/>
      <c r="W744" s="1269"/>
      <c r="X744" s="1269"/>
      <c r="Y744" s="1269"/>
    </row>
    <row r="745" spans="1:25">
      <c r="A745" s="1269"/>
      <c r="D745" s="1269"/>
      <c r="E745" s="1269"/>
      <c r="F745" s="1269"/>
      <c r="G745" s="1269"/>
      <c r="H745" s="1269"/>
      <c r="M745" s="1324"/>
      <c r="O745" s="1274"/>
      <c r="P745" s="1269"/>
      <c r="Q745" s="1269"/>
      <c r="R745" s="1269"/>
      <c r="S745" s="1269"/>
      <c r="T745" s="1269"/>
      <c r="U745" s="1269"/>
      <c r="V745" s="1269"/>
      <c r="W745" s="1269"/>
      <c r="X745" s="1269"/>
      <c r="Y745" s="1269"/>
    </row>
    <row r="746" spans="1:25">
      <c r="A746" s="1269"/>
      <c r="D746" s="1269"/>
      <c r="E746" s="1269"/>
      <c r="F746" s="1269"/>
      <c r="G746" s="1269"/>
      <c r="H746" s="1269"/>
      <c r="M746" s="1324"/>
      <c r="O746" s="1274"/>
      <c r="P746" s="1269"/>
      <c r="Q746" s="1269"/>
      <c r="R746" s="1269"/>
      <c r="S746" s="1269"/>
      <c r="T746" s="1269"/>
      <c r="U746" s="1269"/>
      <c r="V746" s="1269"/>
      <c r="W746" s="1269"/>
      <c r="X746" s="1269"/>
      <c r="Y746" s="1269"/>
    </row>
    <row r="747" spans="1:25">
      <c r="A747" s="1269"/>
      <c r="D747" s="1269"/>
      <c r="E747" s="1269"/>
      <c r="F747" s="1269"/>
      <c r="G747" s="1269"/>
      <c r="H747" s="1269"/>
      <c r="M747" s="1324"/>
      <c r="O747" s="1274"/>
      <c r="P747" s="1269"/>
      <c r="Q747" s="1269"/>
      <c r="R747" s="1269"/>
      <c r="S747" s="1269"/>
      <c r="T747" s="1269"/>
      <c r="U747" s="1269"/>
      <c r="V747" s="1269"/>
      <c r="W747" s="1269"/>
      <c r="X747" s="1269"/>
      <c r="Y747" s="1269"/>
    </row>
    <row r="748" spans="1:25">
      <c r="A748" s="1269"/>
      <c r="D748" s="1269"/>
      <c r="E748" s="1269"/>
      <c r="F748" s="1269"/>
      <c r="G748" s="1269"/>
      <c r="H748" s="1269"/>
      <c r="M748" s="1324"/>
      <c r="O748" s="1274"/>
      <c r="P748" s="1269"/>
      <c r="Q748" s="1269"/>
      <c r="R748" s="1269"/>
      <c r="S748" s="1269"/>
      <c r="T748" s="1269"/>
      <c r="U748" s="1269"/>
      <c r="V748" s="1269"/>
      <c r="W748" s="1269"/>
      <c r="X748" s="1269"/>
      <c r="Y748" s="1269"/>
    </row>
    <row r="749" spans="1:25">
      <c r="A749" s="1269"/>
      <c r="D749" s="1269"/>
      <c r="E749" s="1269"/>
      <c r="F749" s="1269"/>
      <c r="G749" s="1269"/>
      <c r="H749" s="1269"/>
      <c r="M749" s="1324"/>
      <c r="O749" s="1274"/>
      <c r="P749" s="1269"/>
      <c r="Q749" s="1269"/>
      <c r="R749" s="1269"/>
      <c r="S749" s="1269"/>
      <c r="T749" s="1269"/>
      <c r="U749" s="1269"/>
      <c r="V749" s="1269"/>
      <c r="W749" s="1269"/>
      <c r="X749" s="1269"/>
      <c r="Y749" s="1269"/>
    </row>
    <row r="750" spans="1:25">
      <c r="A750" s="1269"/>
      <c r="D750" s="1269"/>
      <c r="E750" s="1269"/>
      <c r="F750" s="1269"/>
      <c r="G750" s="1269"/>
      <c r="H750" s="1269"/>
      <c r="M750" s="1324"/>
      <c r="O750" s="1274"/>
      <c r="P750" s="1269"/>
      <c r="Q750" s="1269"/>
      <c r="R750" s="1269"/>
      <c r="S750" s="1269"/>
      <c r="T750" s="1269"/>
      <c r="U750" s="1269"/>
      <c r="V750" s="1269"/>
      <c r="W750" s="1269"/>
      <c r="X750" s="1269"/>
      <c r="Y750" s="1269"/>
    </row>
    <row r="751" spans="1:25">
      <c r="A751" s="1269"/>
      <c r="D751" s="1269"/>
      <c r="E751" s="1269"/>
      <c r="F751" s="1269"/>
      <c r="G751" s="1269"/>
      <c r="H751" s="1269"/>
      <c r="M751" s="1324"/>
      <c r="O751" s="1274"/>
      <c r="P751" s="1269"/>
      <c r="Q751" s="1269"/>
      <c r="R751" s="1269"/>
      <c r="S751" s="1269"/>
      <c r="T751" s="1269"/>
      <c r="U751" s="1269"/>
      <c r="V751" s="1269"/>
      <c r="W751" s="1269"/>
      <c r="X751" s="1269"/>
      <c r="Y751" s="1269"/>
    </row>
    <row r="752" spans="1:25">
      <c r="A752" s="1269"/>
      <c r="D752" s="1269"/>
      <c r="E752" s="1269"/>
      <c r="F752" s="1269"/>
      <c r="G752" s="1269"/>
      <c r="H752" s="1269"/>
      <c r="M752" s="1324"/>
      <c r="O752" s="1274"/>
      <c r="P752" s="1269"/>
      <c r="Q752" s="1269"/>
      <c r="R752" s="1269"/>
      <c r="S752" s="1269"/>
      <c r="T752" s="1269"/>
      <c r="U752" s="1269"/>
      <c r="V752" s="1269"/>
      <c r="W752" s="1269"/>
      <c r="X752" s="1269"/>
      <c r="Y752" s="1269"/>
    </row>
    <row r="753" spans="1:25">
      <c r="A753" s="1269"/>
      <c r="D753" s="1269"/>
      <c r="E753" s="1269"/>
      <c r="F753" s="1269"/>
      <c r="G753" s="1269"/>
      <c r="H753" s="1269"/>
      <c r="M753" s="1324"/>
      <c r="O753" s="1274"/>
      <c r="P753" s="1269"/>
      <c r="Q753" s="1269"/>
      <c r="R753" s="1269"/>
      <c r="S753" s="1269"/>
      <c r="T753" s="1269"/>
      <c r="U753" s="1269"/>
      <c r="V753" s="1269"/>
      <c r="W753" s="1269"/>
      <c r="X753" s="1269"/>
      <c r="Y753" s="1269"/>
    </row>
    <row r="754" spans="1:25">
      <c r="A754" s="1269"/>
      <c r="D754" s="1269"/>
      <c r="E754" s="1269"/>
      <c r="F754" s="1269"/>
      <c r="G754" s="1269"/>
      <c r="H754" s="1269"/>
      <c r="M754" s="1324"/>
      <c r="O754" s="1274"/>
      <c r="P754" s="1269"/>
      <c r="Q754" s="1269"/>
      <c r="R754" s="1269"/>
      <c r="S754" s="1269"/>
      <c r="T754" s="1269"/>
      <c r="U754" s="1269"/>
      <c r="V754" s="1269"/>
      <c r="W754" s="1269"/>
      <c r="X754" s="1269"/>
      <c r="Y754" s="1269"/>
    </row>
    <row r="755" spans="1:25">
      <c r="A755" s="1269"/>
      <c r="D755" s="1269"/>
      <c r="E755" s="1269"/>
      <c r="F755" s="1269"/>
      <c r="G755" s="1269"/>
      <c r="H755" s="1269"/>
      <c r="M755" s="1324"/>
      <c r="O755" s="1274"/>
      <c r="P755" s="1269"/>
      <c r="Q755" s="1269"/>
      <c r="R755" s="1269"/>
      <c r="S755" s="1269"/>
      <c r="T755" s="1269"/>
      <c r="U755" s="1269"/>
      <c r="V755" s="1269"/>
      <c r="W755" s="1269"/>
      <c r="X755" s="1269"/>
      <c r="Y755" s="1269"/>
    </row>
    <row r="756" spans="1:25">
      <c r="A756" s="1269"/>
      <c r="D756" s="1269"/>
      <c r="E756" s="1269"/>
      <c r="F756" s="1269"/>
      <c r="G756" s="1269"/>
      <c r="H756" s="1269"/>
      <c r="M756" s="1324"/>
      <c r="O756" s="1274"/>
      <c r="P756" s="1269"/>
      <c r="Q756" s="1269"/>
      <c r="R756" s="1269"/>
      <c r="S756" s="1269"/>
      <c r="T756" s="1269"/>
      <c r="U756" s="1269"/>
      <c r="V756" s="1269"/>
      <c r="W756" s="1269"/>
      <c r="X756" s="1269"/>
      <c r="Y756" s="1269"/>
    </row>
    <row r="757" spans="1:25">
      <c r="A757" s="1269"/>
      <c r="D757" s="1269"/>
      <c r="E757" s="1269"/>
      <c r="F757" s="1269"/>
      <c r="G757" s="1269"/>
      <c r="H757" s="1269"/>
      <c r="M757" s="1324"/>
      <c r="O757" s="1274"/>
      <c r="P757" s="1269"/>
      <c r="Q757" s="1269"/>
      <c r="R757" s="1269"/>
      <c r="S757" s="1269"/>
      <c r="T757" s="1269"/>
      <c r="U757" s="1269"/>
      <c r="V757" s="1269"/>
      <c r="W757" s="1269"/>
      <c r="X757" s="1269"/>
      <c r="Y757" s="1269"/>
    </row>
    <row r="758" spans="1:25">
      <c r="A758" s="1269"/>
      <c r="D758" s="1269"/>
      <c r="E758" s="1269"/>
      <c r="F758" s="1269"/>
      <c r="G758" s="1269"/>
      <c r="H758" s="1269"/>
      <c r="M758" s="1324"/>
      <c r="O758" s="1274"/>
      <c r="P758" s="1269"/>
      <c r="Q758" s="1269"/>
      <c r="R758" s="1269"/>
      <c r="S758" s="1269"/>
      <c r="T758" s="1269"/>
      <c r="U758" s="1269"/>
      <c r="V758" s="1269"/>
      <c r="W758" s="1269"/>
      <c r="X758" s="1269"/>
      <c r="Y758" s="1269"/>
    </row>
    <row r="759" spans="1:25">
      <c r="A759" s="1269"/>
      <c r="D759" s="1269"/>
      <c r="E759" s="1269"/>
      <c r="F759" s="1269"/>
      <c r="G759" s="1269"/>
      <c r="H759" s="1269"/>
      <c r="M759" s="1324"/>
      <c r="O759" s="1274"/>
      <c r="P759" s="1269"/>
      <c r="Q759" s="1269"/>
      <c r="R759" s="1269"/>
      <c r="S759" s="1269"/>
      <c r="T759" s="1269"/>
      <c r="U759" s="1269"/>
      <c r="V759" s="1269"/>
      <c r="W759" s="1269"/>
      <c r="X759" s="1269"/>
      <c r="Y759" s="1269"/>
    </row>
    <row r="760" spans="1:25">
      <c r="A760" s="1269"/>
      <c r="D760" s="1269"/>
      <c r="E760" s="1269"/>
      <c r="F760" s="1269"/>
      <c r="G760" s="1269"/>
      <c r="H760" s="1269"/>
      <c r="M760" s="1324"/>
      <c r="O760" s="1274"/>
      <c r="P760" s="1269"/>
      <c r="Q760" s="1269"/>
      <c r="R760" s="1269"/>
      <c r="S760" s="1269"/>
      <c r="T760" s="1269"/>
      <c r="U760" s="1269"/>
      <c r="V760" s="1269"/>
      <c r="W760" s="1269"/>
      <c r="X760" s="1269"/>
      <c r="Y760" s="1269"/>
    </row>
    <row r="761" spans="1:25">
      <c r="A761" s="1269"/>
      <c r="D761" s="1269"/>
      <c r="E761" s="1269"/>
      <c r="F761" s="1269"/>
      <c r="G761" s="1269"/>
      <c r="H761" s="1269"/>
      <c r="M761" s="1324"/>
      <c r="O761" s="1274"/>
      <c r="P761" s="1269"/>
      <c r="Q761" s="1269"/>
      <c r="R761" s="1269"/>
      <c r="S761" s="1269"/>
      <c r="T761" s="1269"/>
      <c r="U761" s="1269"/>
      <c r="V761" s="1269"/>
      <c r="W761" s="1269"/>
      <c r="X761" s="1269"/>
      <c r="Y761" s="1269"/>
    </row>
    <row r="762" spans="1:25">
      <c r="A762" s="1269"/>
      <c r="D762" s="1269"/>
      <c r="E762" s="1269"/>
      <c r="F762" s="1269"/>
      <c r="G762" s="1269"/>
      <c r="H762" s="1269"/>
      <c r="M762" s="1324"/>
      <c r="O762" s="1274"/>
      <c r="P762" s="1269"/>
      <c r="Q762" s="1269"/>
      <c r="R762" s="1269"/>
      <c r="S762" s="1269"/>
      <c r="T762" s="1269"/>
      <c r="U762" s="1269"/>
      <c r="V762" s="1269"/>
      <c r="W762" s="1269"/>
      <c r="X762" s="1269"/>
      <c r="Y762" s="1269"/>
    </row>
    <row r="763" spans="1:25">
      <c r="A763" s="1269"/>
      <c r="D763" s="1269"/>
      <c r="E763" s="1269"/>
      <c r="F763" s="1269"/>
      <c r="G763" s="1269"/>
      <c r="H763" s="1269"/>
      <c r="M763" s="1324"/>
      <c r="O763" s="1274"/>
      <c r="P763" s="1269"/>
      <c r="Q763" s="1269"/>
      <c r="R763" s="1269"/>
      <c r="S763" s="1269"/>
      <c r="T763" s="1269"/>
      <c r="U763" s="1269"/>
      <c r="V763" s="1269"/>
      <c r="W763" s="1269"/>
      <c r="X763" s="1269"/>
      <c r="Y763" s="1269"/>
    </row>
    <row r="764" spans="1:25">
      <c r="A764" s="1269"/>
      <c r="D764" s="1269"/>
      <c r="E764" s="1269"/>
      <c r="F764" s="1269"/>
      <c r="G764" s="1269"/>
      <c r="H764" s="1269"/>
      <c r="M764" s="1324"/>
      <c r="O764" s="1274"/>
      <c r="P764" s="1269"/>
      <c r="Q764" s="1269"/>
      <c r="R764" s="1269"/>
      <c r="S764" s="1269"/>
      <c r="T764" s="1269"/>
      <c r="U764" s="1269"/>
      <c r="V764" s="1269"/>
      <c r="W764" s="1269"/>
      <c r="X764" s="1269"/>
      <c r="Y764" s="1269"/>
    </row>
    <row r="765" spans="1:25">
      <c r="A765" s="1269"/>
      <c r="D765" s="1269"/>
      <c r="E765" s="1269"/>
      <c r="F765" s="1269"/>
      <c r="G765" s="1269"/>
      <c r="H765" s="1269"/>
      <c r="M765" s="1324"/>
      <c r="O765" s="1274"/>
      <c r="P765" s="1269"/>
      <c r="Q765" s="1269"/>
      <c r="R765" s="1269"/>
      <c r="S765" s="1269"/>
      <c r="T765" s="1269"/>
      <c r="U765" s="1269"/>
      <c r="V765" s="1269"/>
      <c r="W765" s="1269"/>
      <c r="X765" s="1269"/>
      <c r="Y765" s="1269"/>
    </row>
    <row r="766" spans="1:25">
      <c r="A766" s="1269"/>
      <c r="D766" s="1269"/>
      <c r="E766" s="1269"/>
      <c r="F766" s="1269"/>
      <c r="G766" s="1269"/>
      <c r="H766" s="1269"/>
      <c r="M766" s="1324"/>
      <c r="O766" s="1274"/>
      <c r="P766" s="1269"/>
      <c r="Q766" s="1269"/>
      <c r="R766" s="1269"/>
      <c r="S766" s="1269"/>
      <c r="T766" s="1269"/>
      <c r="U766" s="1269"/>
      <c r="V766" s="1269"/>
      <c r="W766" s="1269"/>
      <c r="X766" s="1269"/>
      <c r="Y766" s="1269"/>
    </row>
    <row r="767" spans="1:25">
      <c r="A767" s="1269"/>
      <c r="D767" s="1269"/>
      <c r="E767" s="1269"/>
      <c r="F767" s="1269"/>
      <c r="G767" s="1269"/>
      <c r="H767" s="1269"/>
      <c r="M767" s="1324"/>
      <c r="O767" s="1274"/>
      <c r="P767" s="1269"/>
      <c r="Q767" s="1269"/>
      <c r="R767" s="1269"/>
      <c r="S767" s="1269"/>
      <c r="T767" s="1269"/>
      <c r="U767" s="1269"/>
      <c r="V767" s="1269"/>
      <c r="W767" s="1269"/>
      <c r="X767" s="1269"/>
      <c r="Y767" s="1269"/>
    </row>
    <row r="768" spans="1:25">
      <c r="A768" s="1269"/>
      <c r="D768" s="1269"/>
      <c r="E768" s="1269"/>
      <c r="F768" s="1269"/>
      <c r="G768" s="1269"/>
      <c r="H768" s="1269"/>
      <c r="M768" s="1324"/>
      <c r="O768" s="1274"/>
      <c r="P768" s="1269"/>
      <c r="Q768" s="1269"/>
      <c r="R768" s="1269"/>
      <c r="S768" s="1269"/>
      <c r="T768" s="1269"/>
      <c r="U768" s="1269"/>
      <c r="V768" s="1269"/>
      <c r="W768" s="1269"/>
      <c r="X768" s="1269"/>
      <c r="Y768" s="1269"/>
    </row>
    <row r="769" spans="1:25">
      <c r="A769" s="1269"/>
      <c r="D769" s="1269"/>
      <c r="E769" s="1269"/>
      <c r="F769" s="1269"/>
      <c r="G769" s="1269"/>
      <c r="H769" s="1269"/>
      <c r="M769" s="1324"/>
      <c r="O769" s="1274"/>
      <c r="P769" s="1269"/>
      <c r="Q769" s="1269"/>
      <c r="R769" s="1269"/>
      <c r="S769" s="1269"/>
      <c r="T769" s="1269"/>
      <c r="U769" s="1269"/>
      <c r="V769" s="1269"/>
      <c r="W769" s="1269"/>
      <c r="X769" s="1269"/>
      <c r="Y769" s="1269"/>
    </row>
    <row r="770" spans="1:25">
      <c r="A770" s="1269"/>
      <c r="D770" s="1269"/>
      <c r="E770" s="1269"/>
      <c r="F770" s="1269"/>
      <c r="G770" s="1269"/>
      <c r="H770" s="1269"/>
      <c r="M770" s="1324"/>
      <c r="O770" s="1274"/>
      <c r="P770" s="1269"/>
      <c r="Q770" s="1269"/>
      <c r="R770" s="1269"/>
      <c r="S770" s="1269"/>
      <c r="T770" s="1269"/>
      <c r="U770" s="1269"/>
      <c r="V770" s="1269"/>
      <c r="W770" s="1269"/>
      <c r="X770" s="1269"/>
      <c r="Y770" s="1269"/>
    </row>
    <row r="771" spans="1:25">
      <c r="A771" s="1269"/>
      <c r="D771" s="1269"/>
      <c r="E771" s="1269"/>
      <c r="F771" s="1269"/>
      <c r="G771" s="1269"/>
      <c r="H771" s="1269"/>
      <c r="M771" s="1324"/>
      <c r="O771" s="1274"/>
      <c r="P771" s="1269"/>
      <c r="Q771" s="1269"/>
      <c r="R771" s="1269"/>
      <c r="S771" s="1269"/>
      <c r="T771" s="1269"/>
      <c r="U771" s="1269"/>
      <c r="V771" s="1269"/>
      <c r="W771" s="1269"/>
      <c r="X771" s="1269"/>
      <c r="Y771" s="1269"/>
    </row>
    <row r="772" spans="1:25">
      <c r="A772" s="1269"/>
      <c r="D772" s="1269"/>
      <c r="E772" s="1269"/>
      <c r="F772" s="1269"/>
      <c r="G772" s="1269"/>
      <c r="H772" s="1269"/>
      <c r="M772" s="1324"/>
      <c r="O772" s="1274"/>
      <c r="P772" s="1269"/>
      <c r="Q772" s="1269"/>
      <c r="R772" s="1269"/>
      <c r="S772" s="1269"/>
      <c r="T772" s="1269"/>
      <c r="U772" s="1269"/>
      <c r="V772" s="1269"/>
      <c r="W772" s="1269"/>
      <c r="X772" s="1269"/>
      <c r="Y772" s="1269"/>
    </row>
    <row r="773" spans="1:25">
      <c r="A773" s="1269"/>
      <c r="D773" s="1269"/>
      <c r="E773" s="1269"/>
      <c r="F773" s="1269"/>
      <c r="G773" s="1269"/>
      <c r="H773" s="1269"/>
      <c r="M773" s="1324"/>
      <c r="O773" s="1274"/>
      <c r="P773" s="1269"/>
      <c r="Q773" s="1269"/>
      <c r="R773" s="1269"/>
      <c r="S773" s="1269"/>
      <c r="T773" s="1269"/>
      <c r="U773" s="1269"/>
      <c r="V773" s="1269"/>
      <c r="W773" s="1269"/>
      <c r="X773" s="1269"/>
      <c r="Y773" s="1269"/>
    </row>
    <row r="774" spans="1:25">
      <c r="A774" s="1269"/>
      <c r="D774" s="1269"/>
      <c r="E774" s="1269"/>
      <c r="F774" s="1269"/>
      <c r="G774" s="1269"/>
      <c r="H774" s="1269"/>
      <c r="M774" s="1324"/>
      <c r="O774" s="1274"/>
      <c r="P774" s="1269"/>
      <c r="Q774" s="1269"/>
      <c r="R774" s="1269"/>
      <c r="S774" s="1269"/>
      <c r="T774" s="1269"/>
      <c r="U774" s="1269"/>
      <c r="V774" s="1269"/>
      <c r="W774" s="1269"/>
      <c r="X774" s="1269"/>
      <c r="Y774" s="1269"/>
    </row>
    <row r="775" spans="1:25">
      <c r="A775" s="1269"/>
      <c r="D775" s="1269"/>
      <c r="E775" s="1269"/>
      <c r="F775" s="1269"/>
      <c r="G775" s="1269"/>
      <c r="H775" s="1269"/>
      <c r="M775" s="1324"/>
      <c r="O775" s="1274"/>
      <c r="P775" s="1269"/>
      <c r="Q775" s="1269"/>
      <c r="R775" s="1269"/>
      <c r="S775" s="1269"/>
      <c r="T775" s="1269"/>
      <c r="U775" s="1269"/>
      <c r="V775" s="1269"/>
      <c r="W775" s="1269"/>
      <c r="X775" s="1269"/>
      <c r="Y775" s="1269"/>
    </row>
    <row r="776" spans="1:25">
      <c r="A776" s="1269"/>
      <c r="D776" s="1269"/>
      <c r="E776" s="1269"/>
      <c r="F776" s="1269"/>
      <c r="G776" s="1269"/>
      <c r="H776" s="1269"/>
      <c r="M776" s="1324"/>
      <c r="O776" s="1274"/>
      <c r="P776" s="1269"/>
      <c r="Q776" s="1269"/>
      <c r="R776" s="1269"/>
      <c r="S776" s="1269"/>
      <c r="T776" s="1269"/>
      <c r="U776" s="1269"/>
      <c r="V776" s="1269"/>
      <c r="W776" s="1269"/>
      <c r="X776" s="1269"/>
      <c r="Y776" s="1269"/>
    </row>
    <row r="777" spans="1:25">
      <c r="A777" s="1269"/>
      <c r="D777" s="1269"/>
      <c r="E777" s="1269"/>
      <c r="F777" s="1269"/>
      <c r="G777" s="1269"/>
      <c r="H777" s="1269"/>
      <c r="M777" s="1324"/>
      <c r="O777" s="1274"/>
      <c r="P777" s="1269"/>
      <c r="Q777" s="1269"/>
      <c r="R777" s="1269"/>
      <c r="S777" s="1269"/>
      <c r="T777" s="1269"/>
      <c r="U777" s="1269"/>
      <c r="V777" s="1269"/>
      <c r="W777" s="1269"/>
      <c r="X777" s="1269"/>
      <c r="Y777" s="1269"/>
    </row>
    <row r="778" spans="1:25">
      <c r="A778" s="1269"/>
      <c r="D778" s="1269"/>
      <c r="E778" s="1269"/>
      <c r="F778" s="1269"/>
      <c r="G778" s="1269"/>
      <c r="H778" s="1269"/>
      <c r="M778" s="1324"/>
      <c r="O778" s="1274"/>
      <c r="P778" s="1269"/>
      <c r="Q778" s="1269"/>
      <c r="R778" s="1269"/>
      <c r="S778" s="1269"/>
      <c r="T778" s="1269"/>
      <c r="U778" s="1269"/>
      <c r="V778" s="1269"/>
      <c r="W778" s="1269"/>
      <c r="X778" s="1269"/>
      <c r="Y778" s="1269"/>
    </row>
    <row r="779" spans="1:25">
      <c r="A779" s="1269"/>
      <c r="D779" s="1269"/>
      <c r="E779" s="1269"/>
      <c r="F779" s="1269"/>
      <c r="G779" s="1269"/>
      <c r="H779" s="1269"/>
      <c r="M779" s="1324"/>
      <c r="O779" s="1274"/>
      <c r="P779" s="1269"/>
      <c r="Q779" s="1269"/>
      <c r="R779" s="1269"/>
      <c r="S779" s="1269"/>
      <c r="T779" s="1269"/>
      <c r="U779" s="1269"/>
      <c r="V779" s="1269"/>
      <c r="W779" s="1269"/>
      <c r="X779" s="1269"/>
      <c r="Y779" s="1269"/>
    </row>
    <row r="780" spans="1:25">
      <c r="A780" s="1269"/>
      <c r="D780" s="1269"/>
      <c r="E780" s="1269"/>
      <c r="F780" s="1269"/>
      <c r="G780" s="1269"/>
      <c r="H780" s="1269"/>
      <c r="M780" s="1324"/>
      <c r="O780" s="1274"/>
      <c r="P780" s="1269"/>
      <c r="Q780" s="1269"/>
      <c r="R780" s="1269"/>
      <c r="S780" s="1269"/>
      <c r="T780" s="1269"/>
      <c r="U780" s="1269"/>
      <c r="V780" s="1269"/>
      <c r="W780" s="1269"/>
      <c r="X780" s="1269"/>
      <c r="Y780" s="1269"/>
    </row>
    <row r="781" spans="1:25">
      <c r="A781" s="1269"/>
      <c r="D781" s="1269"/>
      <c r="E781" s="1269"/>
      <c r="F781" s="1269"/>
      <c r="G781" s="1269"/>
      <c r="H781" s="1269"/>
      <c r="M781" s="1324"/>
      <c r="O781" s="1274"/>
      <c r="P781" s="1269"/>
      <c r="Q781" s="1269"/>
      <c r="R781" s="1269"/>
      <c r="S781" s="1269"/>
      <c r="T781" s="1269"/>
      <c r="U781" s="1269"/>
      <c r="V781" s="1269"/>
      <c r="W781" s="1269"/>
      <c r="X781" s="1269"/>
      <c r="Y781" s="1269"/>
    </row>
    <row r="782" spans="1:25">
      <c r="A782" s="1269"/>
      <c r="D782" s="1269"/>
      <c r="E782" s="1269"/>
      <c r="F782" s="1269"/>
      <c r="G782" s="1269"/>
      <c r="H782" s="1269"/>
      <c r="M782" s="1324"/>
      <c r="O782" s="1274"/>
      <c r="P782" s="1269"/>
      <c r="Q782" s="1269"/>
      <c r="R782" s="1269"/>
      <c r="S782" s="1269"/>
      <c r="T782" s="1269"/>
      <c r="U782" s="1269"/>
      <c r="V782" s="1269"/>
      <c r="W782" s="1269"/>
      <c r="X782" s="1269"/>
      <c r="Y782" s="1269"/>
    </row>
    <row r="783" spans="1:25">
      <c r="A783" s="1269"/>
      <c r="D783" s="1269"/>
      <c r="E783" s="1269"/>
      <c r="F783" s="1269"/>
      <c r="G783" s="1269"/>
      <c r="H783" s="1269"/>
      <c r="M783" s="1324"/>
      <c r="O783" s="1274"/>
      <c r="P783" s="1269"/>
      <c r="Q783" s="1269"/>
      <c r="R783" s="1269"/>
      <c r="S783" s="1269"/>
      <c r="T783" s="1269"/>
      <c r="U783" s="1269"/>
      <c r="V783" s="1269"/>
      <c r="W783" s="1269"/>
      <c r="X783" s="1269"/>
      <c r="Y783" s="1269"/>
    </row>
    <row r="784" spans="1:25">
      <c r="A784" s="1269"/>
      <c r="D784" s="1269"/>
      <c r="E784" s="1269"/>
      <c r="F784" s="1269"/>
      <c r="G784" s="1269"/>
      <c r="H784" s="1269"/>
      <c r="M784" s="1324"/>
      <c r="O784" s="1274"/>
      <c r="P784" s="1269"/>
      <c r="Q784" s="1269"/>
      <c r="R784" s="1269"/>
      <c r="S784" s="1269"/>
      <c r="T784" s="1269"/>
      <c r="U784" s="1269"/>
      <c r="V784" s="1269"/>
      <c r="W784" s="1269"/>
      <c r="X784" s="1269"/>
      <c r="Y784" s="1269"/>
    </row>
    <row r="785" spans="1:25">
      <c r="A785" s="1269"/>
      <c r="D785" s="1269"/>
      <c r="E785" s="1269"/>
      <c r="F785" s="1269"/>
      <c r="G785" s="1269"/>
      <c r="H785" s="1269"/>
      <c r="M785" s="1324"/>
      <c r="O785" s="1274"/>
      <c r="P785" s="1269"/>
      <c r="Q785" s="1269"/>
      <c r="R785" s="1269"/>
      <c r="S785" s="1269"/>
      <c r="T785" s="1269"/>
      <c r="U785" s="1269"/>
      <c r="V785" s="1269"/>
      <c r="W785" s="1269"/>
      <c r="X785" s="1269"/>
      <c r="Y785" s="1269"/>
    </row>
    <row r="786" spans="1:25">
      <c r="A786" s="1269"/>
      <c r="D786" s="1269"/>
      <c r="E786" s="1269"/>
      <c r="F786" s="1269"/>
      <c r="G786" s="1269"/>
      <c r="H786" s="1269"/>
      <c r="M786" s="1324"/>
      <c r="O786" s="1274"/>
      <c r="P786" s="1269"/>
      <c r="Q786" s="1269"/>
      <c r="R786" s="1269"/>
      <c r="S786" s="1269"/>
      <c r="T786" s="1269"/>
      <c r="U786" s="1269"/>
      <c r="V786" s="1269"/>
      <c r="W786" s="1269"/>
      <c r="X786" s="1269"/>
      <c r="Y786" s="1269"/>
    </row>
    <row r="787" spans="1:25">
      <c r="A787" s="1269"/>
      <c r="D787" s="1269"/>
      <c r="E787" s="1269"/>
      <c r="F787" s="1269"/>
      <c r="G787" s="1269"/>
      <c r="H787" s="1269"/>
      <c r="M787" s="1324"/>
      <c r="O787" s="1274"/>
      <c r="P787" s="1269"/>
      <c r="Q787" s="1269"/>
      <c r="R787" s="1269"/>
      <c r="S787" s="1269"/>
      <c r="T787" s="1269"/>
      <c r="U787" s="1269"/>
      <c r="V787" s="1269"/>
      <c r="W787" s="1269"/>
      <c r="X787" s="1269"/>
      <c r="Y787" s="1269"/>
    </row>
    <row r="788" spans="1:25">
      <c r="A788" s="1269"/>
      <c r="D788" s="1269"/>
      <c r="E788" s="1269"/>
      <c r="F788" s="1269"/>
      <c r="G788" s="1269"/>
      <c r="H788" s="1269"/>
      <c r="M788" s="1324"/>
      <c r="O788" s="1274"/>
      <c r="P788" s="1269"/>
      <c r="Q788" s="1269"/>
      <c r="R788" s="1269"/>
      <c r="S788" s="1269"/>
      <c r="T788" s="1269"/>
      <c r="U788" s="1269"/>
      <c r="V788" s="1269"/>
      <c r="W788" s="1269"/>
      <c r="X788" s="1269"/>
      <c r="Y788" s="1269"/>
    </row>
    <row r="789" spans="1:25">
      <c r="A789" s="1269"/>
      <c r="D789" s="1269"/>
      <c r="E789" s="1269"/>
      <c r="F789" s="1269"/>
      <c r="G789" s="1269"/>
      <c r="H789" s="1269"/>
      <c r="M789" s="1324"/>
      <c r="O789" s="1274"/>
      <c r="P789" s="1269"/>
      <c r="Q789" s="1269"/>
      <c r="R789" s="1269"/>
      <c r="S789" s="1269"/>
      <c r="T789" s="1269"/>
      <c r="U789" s="1269"/>
      <c r="V789" s="1269"/>
      <c r="W789" s="1269"/>
      <c r="X789" s="1269"/>
      <c r="Y789" s="1269"/>
    </row>
    <row r="790" spans="1:25">
      <c r="A790" s="1269"/>
      <c r="D790" s="1269"/>
      <c r="E790" s="1269"/>
      <c r="F790" s="1269"/>
      <c r="G790" s="1269"/>
      <c r="H790" s="1269"/>
      <c r="M790" s="1324"/>
      <c r="O790" s="1274"/>
      <c r="P790" s="1269"/>
      <c r="Q790" s="1269"/>
      <c r="R790" s="1269"/>
      <c r="S790" s="1269"/>
      <c r="T790" s="1269"/>
      <c r="U790" s="1269"/>
      <c r="V790" s="1269"/>
      <c r="W790" s="1269"/>
      <c r="X790" s="1269"/>
      <c r="Y790" s="1269"/>
    </row>
    <row r="791" spans="1:25">
      <c r="A791" s="1269"/>
      <c r="D791" s="1269"/>
      <c r="E791" s="1269"/>
      <c r="F791" s="1269"/>
      <c r="G791" s="1269"/>
      <c r="H791" s="1269"/>
      <c r="M791" s="1324"/>
      <c r="O791" s="1274"/>
      <c r="P791" s="1269"/>
      <c r="Q791" s="1269"/>
      <c r="R791" s="1269"/>
      <c r="S791" s="1269"/>
      <c r="T791" s="1269"/>
      <c r="U791" s="1269"/>
      <c r="V791" s="1269"/>
      <c r="W791" s="1269"/>
      <c r="X791" s="1269"/>
      <c r="Y791" s="1269"/>
    </row>
    <row r="792" spans="1:25">
      <c r="A792" s="1269"/>
      <c r="D792" s="1269"/>
      <c r="E792" s="1269"/>
      <c r="F792" s="1269"/>
      <c r="G792" s="1269"/>
      <c r="H792" s="1269"/>
      <c r="M792" s="1324"/>
      <c r="O792" s="1274"/>
      <c r="P792" s="1269"/>
      <c r="Q792" s="1269"/>
      <c r="R792" s="1269"/>
      <c r="S792" s="1269"/>
      <c r="T792" s="1269"/>
      <c r="U792" s="1269"/>
      <c r="V792" s="1269"/>
      <c r="W792" s="1269"/>
      <c r="X792" s="1269"/>
      <c r="Y792" s="1269"/>
    </row>
    <row r="793" spans="1:25">
      <c r="A793" s="1269"/>
      <c r="D793" s="1269"/>
      <c r="E793" s="1269"/>
      <c r="F793" s="1269"/>
      <c r="G793" s="1269"/>
      <c r="H793" s="1269"/>
      <c r="M793" s="1324"/>
      <c r="O793" s="1274"/>
      <c r="P793" s="1269"/>
      <c r="Q793" s="1269"/>
      <c r="R793" s="1269"/>
      <c r="S793" s="1269"/>
      <c r="T793" s="1269"/>
      <c r="U793" s="1269"/>
      <c r="V793" s="1269"/>
      <c r="W793" s="1269"/>
      <c r="X793" s="1269"/>
      <c r="Y793" s="1269"/>
    </row>
    <row r="794" spans="1:25">
      <c r="A794" s="1269"/>
      <c r="D794" s="1269"/>
      <c r="E794" s="1269"/>
      <c r="F794" s="1269"/>
      <c r="G794" s="1269"/>
      <c r="H794" s="1269"/>
      <c r="M794" s="1324"/>
      <c r="O794" s="1274"/>
      <c r="P794" s="1269"/>
      <c r="Q794" s="1269"/>
      <c r="R794" s="1269"/>
      <c r="S794" s="1269"/>
      <c r="T794" s="1269"/>
      <c r="U794" s="1269"/>
      <c r="V794" s="1269"/>
      <c r="W794" s="1269"/>
      <c r="X794" s="1269"/>
      <c r="Y794" s="1269"/>
    </row>
    <row r="795" spans="1:25">
      <c r="A795" s="1269"/>
      <c r="D795" s="1269"/>
      <c r="E795" s="1269"/>
      <c r="F795" s="1269"/>
      <c r="G795" s="1269"/>
      <c r="H795" s="1269"/>
      <c r="M795" s="1324"/>
      <c r="O795" s="1274"/>
      <c r="P795" s="1269"/>
      <c r="Q795" s="1269"/>
      <c r="R795" s="1269"/>
      <c r="S795" s="1269"/>
      <c r="T795" s="1269"/>
      <c r="U795" s="1269"/>
      <c r="V795" s="1269"/>
      <c r="W795" s="1269"/>
      <c r="X795" s="1269"/>
      <c r="Y795" s="1269"/>
    </row>
    <row r="796" spans="1:25">
      <c r="A796" s="1269"/>
      <c r="D796" s="1269"/>
      <c r="E796" s="1269"/>
      <c r="F796" s="1269"/>
      <c r="G796" s="1269"/>
      <c r="H796" s="1269"/>
      <c r="M796" s="1324"/>
      <c r="O796" s="1274"/>
      <c r="P796" s="1269"/>
      <c r="Q796" s="1269"/>
      <c r="R796" s="1269"/>
      <c r="S796" s="1269"/>
      <c r="T796" s="1269"/>
      <c r="U796" s="1269"/>
      <c r="V796" s="1269"/>
      <c r="W796" s="1269"/>
      <c r="X796" s="1269"/>
      <c r="Y796" s="1269"/>
    </row>
    <row r="797" spans="1:25">
      <c r="A797" s="1269"/>
      <c r="D797" s="1269"/>
      <c r="E797" s="1269"/>
      <c r="F797" s="1269"/>
      <c r="G797" s="1269"/>
      <c r="H797" s="1269"/>
      <c r="M797" s="1324"/>
      <c r="O797" s="1274"/>
      <c r="P797" s="1269"/>
      <c r="Q797" s="1269"/>
      <c r="R797" s="1269"/>
      <c r="S797" s="1269"/>
      <c r="T797" s="1269"/>
      <c r="U797" s="1269"/>
      <c r="V797" s="1269"/>
      <c r="W797" s="1269"/>
      <c r="X797" s="1269"/>
      <c r="Y797" s="1269"/>
    </row>
    <row r="798" spans="1:25">
      <c r="A798" s="1269"/>
      <c r="D798" s="1269"/>
      <c r="E798" s="1269"/>
      <c r="F798" s="1269"/>
      <c r="G798" s="1269"/>
      <c r="H798" s="1269"/>
      <c r="M798" s="1324"/>
      <c r="O798" s="1274"/>
      <c r="P798" s="1269"/>
      <c r="Q798" s="1269"/>
      <c r="R798" s="1269"/>
      <c r="S798" s="1269"/>
      <c r="T798" s="1269"/>
      <c r="U798" s="1269"/>
      <c r="V798" s="1269"/>
      <c r="W798" s="1269"/>
      <c r="X798" s="1269"/>
      <c r="Y798" s="1269"/>
    </row>
    <row r="799" spans="1:25">
      <c r="A799" s="1269"/>
      <c r="D799" s="1269"/>
      <c r="E799" s="1269"/>
      <c r="F799" s="1269"/>
      <c r="G799" s="1269"/>
      <c r="H799" s="1269"/>
      <c r="M799" s="1324"/>
      <c r="O799" s="1274"/>
      <c r="P799" s="1269"/>
      <c r="Q799" s="1269"/>
      <c r="R799" s="1269"/>
      <c r="S799" s="1269"/>
      <c r="T799" s="1269"/>
      <c r="U799" s="1269"/>
      <c r="V799" s="1269"/>
      <c r="W799" s="1269"/>
      <c r="X799" s="1269"/>
      <c r="Y799" s="1269"/>
    </row>
    <row r="800" spans="1:25">
      <c r="A800" s="1269"/>
      <c r="D800" s="1269"/>
      <c r="E800" s="1269"/>
      <c r="F800" s="1269"/>
      <c r="G800" s="1269"/>
      <c r="H800" s="1269"/>
      <c r="M800" s="1324"/>
      <c r="O800" s="1274"/>
      <c r="P800" s="1269"/>
      <c r="Q800" s="1269"/>
      <c r="R800" s="1269"/>
      <c r="S800" s="1269"/>
      <c r="T800" s="1269"/>
      <c r="U800" s="1269"/>
      <c r="V800" s="1269"/>
      <c r="W800" s="1269"/>
      <c r="X800" s="1269"/>
      <c r="Y800" s="1269"/>
    </row>
    <row r="801" spans="1:25">
      <c r="A801" s="1269"/>
      <c r="D801" s="1269"/>
      <c r="E801" s="1269"/>
      <c r="F801" s="1269"/>
      <c r="G801" s="1269"/>
      <c r="H801" s="1269"/>
      <c r="M801" s="1324"/>
      <c r="O801" s="1274"/>
      <c r="P801" s="1269"/>
      <c r="Q801" s="1269"/>
      <c r="R801" s="1269"/>
      <c r="S801" s="1269"/>
      <c r="T801" s="1269"/>
      <c r="U801" s="1269"/>
      <c r="V801" s="1269"/>
      <c r="W801" s="1269"/>
      <c r="X801" s="1269"/>
      <c r="Y801" s="1269"/>
    </row>
    <row r="802" spans="1:25">
      <c r="A802" s="1269"/>
      <c r="D802" s="1269"/>
      <c r="E802" s="1269"/>
      <c r="F802" s="1269"/>
      <c r="G802" s="1269"/>
      <c r="H802" s="1269"/>
      <c r="M802" s="1324"/>
      <c r="O802" s="1274"/>
      <c r="P802" s="1269"/>
      <c r="Q802" s="1269"/>
      <c r="R802" s="1269"/>
      <c r="S802" s="1269"/>
      <c r="T802" s="1269"/>
      <c r="U802" s="1269"/>
      <c r="V802" s="1269"/>
      <c r="W802" s="1269"/>
      <c r="X802" s="1269"/>
      <c r="Y802" s="1269"/>
    </row>
    <row r="803" spans="1:25">
      <c r="A803" s="1269"/>
      <c r="D803" s="1269"/>
      <c r="E803" s="1269"/>
      <c r="F803" s="1269"/>
      <c r="G803" s="1269"/>
      <c r="H803" s="1269"/>
      <c r="M803" s="1324"/>
      <c r="O803" s="1274"/>
      <c r="P803" s="1269"/>
      <c r="Q803" s="1269"/>
      <c r="R803" s="1269"/>
      <c r="S803" s="1269"/>
      <c r="T803" s="1269"/>
      <c r="U803" s="1269"/>
      <c r="V803" s="1269"/>
      <c r="W803" s="1269"/>
      <c r="X803" s="1269"/>
      <c r="Y803" s="1269"/>
    </row>
    <row r="804" spans="1:25">
      <c r="A804" s="1269"/>
      <c r="D804" s="1269"/>
      <c r="E804" s="1269"/>
      <c r="F804" s="1269"/>
      <c r="G804" s="1269"/>
      <c r="H804" s="1269"/>
      <c r="M804" s="1324"/>
      <c r="O804" s="1274"/>
      <c r="P804" s="1269"/>
      <c r="Q804" s="1269"/>
      <c r="R804" s="1269"/>
      <c r="S804" s="1269"/>
      <c r="T804" s="1269"/>
      <c r="U804" s="1269"/>
      <c r="V804" s="1269"/>
      <c r="W804" s="1269"/>
      <c r="X804" s="1269"/>
      <c r="Y804" s="1269"/>
    </row>
    <row r="805" spans="1:25">
      <c r="A805" s="1269"/>
      <c r="D805" s="1269"/>
      <c r="E805" s="1269"/>
      <c r="F805" s="1269"/>
      <c r="G805" s="1269"/>
      <c r="H805" s="1269"/>
      <c r="M805" s="1324"/>
      <c r="O805" s="1274"/>
      <c r="P805" s="1269"/>
      <c r="Q805" s="1269"/>
      <c r="R805" s="1269"/>
      <c r="S805" s="1269"/>
      <c r="T805" s="1269"/>
      <c r="U805" s="1269"/>
      <c r="V805" s="1269"/>
      <c r="W805" s="1269"/>
      <c r="X805" s="1269"/>
      <c r="Y805" s="1269"/>
    </row>
    <row r="806" spans="1:25">
      <c r="A806" s="1269"/>
      <c r="D806" s="1269"/>
      <c r="E806" s="1269"/>
      <c r="F806" s="1269"/>
      <c r="G806" s="1269"/>
      <c r="H806" s="1269"/>
      <c r="M806" s="1324"/>
      <c r="O806" s="1274"/>
      <c r="P806" s="1269"/>
      <c r="Q806" s="1269"/>
      <c r="R806" s="1269"/>
      <c r="S806" s="1269"/>
      <c r="T806" s="1269"/>
      <c r="U806" s="1269"/>
      <c r="V806" s="1269"/>
      <c r="W806" s="1269"/>
      <c r="X806" s="1269"/>
      <c r="Y806" s="1269"/>
    </row>
    <row r="807" spans="1:25">
      <c r="A807" s="1269"/>
      <c r="D807" s="1269"/>
      <c r="E807" s="1269"/>
      <c r="F807" s="1269"/>
      <c r="G807" s="1269"/>
      <c r="H807" s="1269"/>
      <c r="M807" s="1324"/>
      <c r="O807" s="1274"/>
      <c r="P807" s="1269"/>
      <c r="Q807" s="1269"/>
      <c r="R807" s="1269"/>
      <c r="S807" s="1269"/>
      <c r="T807" s="1269"/>
      <c r="U807" s="1269"/>
      <c r="V807" s="1269"/>
      <c r="W807" s="1269"/>
      <c r="X807" s="1269"/>
      <c r="Y807" s="1269"/>
    </row>
    <row r="808" spans="1:25">
      <c r="A808" s="1269"/>
      <c r="D808" s="1269"/>
      <c r="E808" s="1269"/>
      <c r="F808" s="1269"/>
      <c r="G808" s="1269"/>
      <c r="H808" s="1269"/>
      <c r="M808" s="1324"/>
      <c r="O808" s="1274"/>
      <c r="P808" s="1269"/>
      <c r="Q808" s="1269"/>
      <c r="R808" s="1269"/>
      <c r="S808" s="1269"/>
      <c r="T808" s="1269"/>
      <c r="U808" s="1269"/>
      <c r="V808" s="1269"/>
      <c r="W808" s="1269"/>
      <c r="X808" s="1269"/>
      <c r="Y808" s="1269"/>
    </row>
    <row r="809" spans="1:25">
      <c r="A809" s="1269"/>
      <c r="D809" s="1269"/>
      <c r="E809" s="1269"/>
      <c r="F809" s="1269"/>
      <c r="G809" s="1269"/>
      <c r="H809" s="1269"/>
      <c r="M809" s="1324"/>
      <c r="O809" s="1274"/>
      <c r="P809" s="1269"/>
      <c r="Q809" s="1269"/>
      <c r="R809" s="1269"/>
      <c r="S809" s="1269"/>
      <c r="T809" s="1269"/>
      <c r="U809" s="1269"/>
      <c r="V809" s="1269"/>
      <c r="W809" s="1269"/>
      <c r="X809" s="1269"/>
      <c r="Y809" s="1269"/>
    </row>
    <row r="810" spans="1:25">
      <c r="A810" s="1269"/>
      <c r="D810" s="1269"/>
      <c r="E810" s="1269"/>
      <c r="F810" s="1269"/>
      <c r="G810" s="1269"/>
      <c r="H810" s="1269"/>
      <c r="M810" s="1324"/>
      <c r="O810" s="1274"/>
      <c r="P810" s="1269"/>
      <c r="Q810" s="1269"/>
      <c r="R810" s="1269"/>
      <c r="S810" s="1269"/>
      <c r="T810" s="1269"/>
      <c r="U810" s="1269"/>
      <c r="V810" s="1269"/>
      <c r="W810" s="1269"/>
      <c r="X810" s="1269"/>
      <c r="Y810" s="1269"/>
    </row>
    <row r="811" spans="1:25">
      <c r="A811" s="1269"/>
      <c r="D811" s="1269"/>
      <c r="E811" s="1269"/>
      <c r="F811" s="1269"/>
      <c r="G811" s="1269"/>
      <c r="H811" s="1269"/>
      <c r="M811" s="1324"/>
      <c r="O811" s="1274"/>
      <c r="P811" s="1269"/>
      <c r="Q811" s="1269"/>
      <c r="R811" s="1269"/>
      <c r="S811" s="1269"/>
      <c r="T811" s="1269"/>
      <c r="U811" s="1269"/>
      <c r="V811" s="1269"/>
      <c r="W811" s="1269"/>
      <c r="X811" s="1269"/>
      <c r="Y811" s="1269"/>
    </row>
    <row r="812" spans="1:25">
      <c r="A812" s="1269"/>
      <c r="D812" s="1269"/>
      <c r="E812" s="1269"/>
      <c r="F812" s="1269"/>
      <c r="G812" s="1269"/>
      <c r="H812" s="1269"/>
      <c r="M812" s="1324"/>
      <c r="O812" s="1274"/>
      <c r="P812" s="1269"/>
      <c r="Q812" s="1269"/>
      <c r="R812" s="1269"/>
      <c r="S812" s="1269"/>
      <c r="T812" s="1269"/>
      <c r="U812" s="1269"/>
      <c r="V812" s="1269"/>
      <c r="W812" s="1269"/>
      <c r="X812" s="1269"/>
      <c r="Y812" s="1269"/>
    </row>
    <row r="813" spans="1:25">
      <c r="A813" s="1269"/>
      <c r="D813" s="1269"/>
      <c r="E813" s="1269"/>
      <c r="F813" s="1269"/>
      <c r="G813" s="1269"/>
      <c r="H813" s="1269"/>
      <c r="M813" s="1324"/>
      <c r="O813" s="1274"/>
      <c r="P813" s="1269"/>
      <c r="Q813" s="1269"/>
      <c r="R813" s="1269"/>
      <c r="S813" s="1269"/>
      <c r="T813" s="1269"/>
      <c r="U813" s="1269"/>
      <c r="V813" s="1269"/>
      <c r="W813" s="1269"/>
      <c r="X813" s="1269"/>
      <c r="Y813" s="1269"/>
    </row>
    <row r="814" spans="1:25">
      <c r="A814" s="1269"/>
      <c r="D814" s="1269"/>
      <c r="E814" s="1269"/>
      <c r="F814" s="1269"/>
      <c r="G814" s="1269"/>
      <c r="H814" s="1269"/>
      <c r="M814" s="1324"/>
      <c r="O814" s="1274"/>
      <c r="P814" s="1269"/>
      <c r="Q814" s="1269"/>
      <c r="R814" s="1269"/>
      <c r="S814" s="1269"/>
      <c r="T814" s="1269"/>
      <c r="U814" s="1269"/>
      <c r="V814" s="1269"/>
      <c r="W814" s="1269"/>
      <c r="X814" s="1269"/>
      <c r="Y814" s="1269"/>
    </row>
    <row r="815" spans="1:25">
      <c r="A815" s="1269"/>
      <c r="D815" s="1269"/>
      <c r="E815" s="1269"/>
      <c r="F815" s="1269"/>
      <c r="G815" s="1269"/>
      <c r="H815" s="1269"/>
      <c r="M815" s="1324"/>
      <c r="O815" s="1274"/>
      <c r="P815" s="1269"/>
      <c r="Q815" s="1269"/>
      <c r="R815" s="1269"/>
      <c r="S815" s="1269"/>
      <c r="T815" s="1269"/>
      <c r="U815" s="1269"/>
      <c r="V815" s="1269"/>
      <c r="W815" s="1269"/>
      <c r="X815" s="1269"/>
      <c r="Y815" s="1269"/>
    </row>
    <row r="816" spans="1:25">
      <c r="A816" s="1269"/>
      <c r="D816" s="1269"/>
      <c r="E816" s="1269"/>
      <c r="F816" s="1269"/>
      <c r="G816" s="1269"/>
      <c r="H816" s="1269"/>
      <c r="M816" s="1324"/>
      <c r="O816" s="1274"/>
      <c r="P816" s="1269"/>
      <c r="Q816" s="1269"/>
      <c r="R816" s="1269"/>
      <c r="S816" s="1269"/>
      <c r="T816" s="1269"/>
      <c r="U816" s="1269"/>
      <c r="V816" s="1269"/>
      <c r="W816" s="1269"/>
      <c r="X816" s="1269"/>
      <c r="Y816" s="1269"/>
    </row>
    <row r="817" spans="1:25">
      <c r="A817" s="1269"/>
      <c r="D817" s="1269"/>
      <c r="E817" s="1269"/>
      <c r="F817" s="1269"/>
      <c r="G817" s="1269"/>
      <c r="H817" s="1269"/>
      <c r="M817" s="1324"/>
      <c r="O817" s="1274"/>
      <c r="P817" s="1269"/>
      <c r="Q817" s="1269"/>
      <c r="R817" s="1269"/>
      <c r="S817" s="1269"/>
      <c r="T817" s="1269"/>
      <c r="U817" s="1269"/>
      <c r="V817" s="1269"/>
      <c r="W817" s="1269"/>
      <c r="X817" s="1269"/>
      <c r="Y817" s="1269"/>
    </row>
    <row r="818" spans="1:25">
      <c r="A818" s="1269"/>
      <c r="D818" s="1269"/>
      <c r="E818" s="1269"/>
      <c r="F818" s="1269"/>
      <c r="G818" s="1269"/>
      <c r="H818" s="1269"/>
      <c r="M818" s="1324"/>
      <c r="O818" s="1274"/>
      <c r="P818" s="1269"/>
      <c r="Q818" s="1269"/>
      <c r="R818" s="1269"/>
      <c r="S818" s="1269"/>
      <c r="T818" s="1269"/>
      <c r="U818" s="1269"/>
      <c r="V818" s="1269"/>
      <c r="W818" s="1269"/>
      <c r="X818" s="1269"/>
      <c r="Y818" s="1269"/>
    </row>
    <row r="819" spans="1:25">
      <c r="A819" s="1269"/>
      <c r="D819" s="1269"/>
      <c r="E819" s="1269"/>
      <c r="F819" s="1269"/>
      <c r="G819" s="1269"/>
      <c r="H819" s="1269"/>
      <c r="M819" s="1324"/>
      <c r="O819" s="1274"/>
      <c r="P819" s="1269"/>
      <c r="Q819" s="1269"/>
      <c r="R819" s="1269"/>
      <c r="S819" s="1269"/>
      <c r="T819" s="1269"/>
      <c r="U819" s="1269"/>
      <c r="V819" s="1269"/>
      <c r="W819" s="1269"/>
      <c r="X819" s="1269"/>
      <c r="Y819" s="1269"/>
    </row>
    <row r="820" spans="1:25">
      <c r="A820" s="1269"/>
      <c r="D820" s="1269"/>
      <c r="E820" s="1269"/>
      <c r="F820" s="1269"/>
      <c r="G820" s="1269"/>
      <c r="H820" s="1269"/>
      <c r="M820" s="1324"/>
      <c r="O820" s="1274"/>
      <c r="P820" s="1269"/>
      <c r="Q820" s="1269"/>
      <c r="R820" s="1269"/>
      <c r="S820" s="1269"/>
      <c r="T820" s="1269"/>
      <c r="U820" s="1269"/>
      <c r="V820" s="1269"/>
      <c r="W820" s="1269"/>
      <c r="X820" s="1269"/>
      <c r="Y820" s="1269"/>
    </row>
    <row r="821" spans="1:25">
      <c r="A821" s="1269"/>
      <c r="D821" s="1269"/>
      <c r="E821" s="1269"/>
      <c r="F821" s="1269"/>
      <c r="G821" s="1269"/>
      <c r="H821" s="1269"/>
      <c r="M821" s="1324"/>
      <c r="O821" s="1274"/>
      <c r="P821" s="1269"/>
      <c r="Q821" s="1269"/>
      <c r="R821" s="1269"/>
      <c r="S821" s="1269"/>
      <c r="T821" s="1269"/>
      <c r="U821" s="1269"/>
      <c r="V821" s="1269"/>
      <c r="W821" s="1269"/>
      <c r="X821" s="1269"/>
      <c r="Y821" s="1269"/>
    </row>
    <row r="822" spans="1:25">
      <c r="A822" s="1269"/>
      <c r="D822" s="1269"/>
      <c r="E822" s="1269"/>
      <c r="F822" s="1269"/>
      <c r="G822" s="1269"/>
      <c r="H822" s="1269"/>
      <c r="M822" s="1324"/>
      <c r="O822" s="1274"/>
      <c r="P822" s="1269"/>
      <c r="Q822" s="1269"/>
      <c r="R822" s="1269"/>
      <c r="S822" s="1269"/>
      <c r="T822" s="1269"/>
      <c r="U822" s="1269"/>
      <c r="V822" s="1269"/>
      <c r="W822" s="1269"/>
      <c r="X822" s="1269"/>
      <c r="Y822" s="1269"/>
    </row>
    <row r="823" spans="1:25">
      <c r="A823" s="1269"/>
      <c r="D823" s="1269"/>
      <c r="E823" s="1269"/>
      <c r="F823" s="1269"/>
      <c r="G823" s="1269"/>
      <c r="H823" s="1269"/>
      <c r="M823" s="1324"/>
      <c r="O823" s="1274"/>
      <c r="P823" s="1269"/>
      <c r="Q823" s="1269"/>
      <c r="R823" s="1269"/>
      <c r="S823" s="1269"/>
      <c r="T823" s="1269"/>
      <c r="U823" s="1269"/>
      <c r="V823" s="1269"/>
      <c r="W823" s="1269"/>
      <c r="X823" s="1269"/>
      <c r="Y823" s="1269"/>
    </row>
    <row r="824" spans="1:25">
      <c r="A824" s="1269"/>
      <c r="D824" s="1269"/>
      <c r="E824" s="1269"/>
      <c r="F824" s="1269"/>
      <c r="G824" s="1269"/>
      <c r="H824" s="1269"/>
      <c r="M824" s="1324"/>
      <c r="O824" s="1274"/>
      <c r="P824" s="1269"/>
      <c r="Q824" s="1269"/>
      <c r="R824" s="1269"/>
      <c r="S824" s="1269"/>
      <c r="T824" s="1269"/>
      <c r="U824" s="1269"/>
      <c r="V824" s="1269"/>
      <c r="W824" s="1269"/>
      <c r="X824" s="1269"/>
      <c r="Y824" s="1269"/>
    </row>
    <row r="825" spans="1:25">
      <c r="A825" s="1269"/>
      <c r="D825" s="1269"/>
      <c r="E825" s="1269"/>
      <c r="F825" s="1269"/>
      <c r="G825" s="1269"/>
      <c r="H825" s="1269"/>
      <c r="M825" s="1324"/>
      <c r="O825" s="1274"/>
      <c r="P825" s="1269"/>
      <c r="Q825" s="1269"/>
      <c r="R825" s="1269"/>
      <c r="S825" s="1269"/>
      <c r="T825" s="1269"/>
      <c r="U825" s="1269"/>
      <c r="V825" s="1269"/>
      <c r="W825" s="1269"/>
      <c r="X825" s="1269"/>
      <c r="Y825" s="1269"/>
    </row>
    <row r="826" spans="1:25">
      <c r="A826" s="1269"/>
      <c r="D826" s="1269"/>
      <c r="E826" s="1269"/>
      <c r="F826" s="1269"/>
      <c r="G826" s="1269"/>
      <c r="H826" s="1269"/>
      <c r="M826" s="1324"/>
      <c r="O826" s="1274"/>
      <c r="P826" s="1269"/>
      <c r="Q826" s="1269"/>
      <c r="R826" s="1269"/>
      <c r="S826" s="1269"/>
      <c r="T826" s="1269"/>
      <c r="U826" s="1269"/>
      <c r="V826" s="1269"/>
      <c r="W826" s="1269"/>
      <c r="X826" s="1269"/>
      <c r="Y826" s="1269"/>
    </row>
    <row r="827" spans="1:25">
      <c r="A827" s="1269"/>
      <c r="D827" s="1269"/>
      <c r="E827" s="1269"/>
      <c r="F827" s="1269"/>
      <c r="G827" s="1269"/>
      <c r="H827" s="1269"/>
      <c r="M827" s="1324"/>
      <c r="O827" s="1274"/>
      <c r="P827" s="1269"/>
      <c r="Q827" s="1269"/>
      <c r="R827" s="1269"/>
      <c r="S827" s="1269"/>
      <c r="T827" s="1269"/>
      <c r="U827" s="1269"/>
      <c r="V827" s="1269"/>
      <c r="W827" s="1269"/>
      <c r="X827" s="1269"/>
      <c r="Y827" s="1269"/>
    </row>
    <row r="828" spans="1:25">
      <c r="A828" s="1269"/>
      <c r="D828" s="1269"/>
      <c r="E828" s="1269"/>
      <c r="F828" s="1269"/>
      <c r="G828" s="1269"/>
      <c r="H828" s="1269"/>
      <c r="M828" s="1324"/>
      <c r="O828" s="1274"/>
      <c r="P828" s="1269"/>
      <c r="Q828" s="1269"/>
      <c r="R828" s="1269"/>
      <c r="S828" s="1269"/>
      <c r="T828" s="1269"/>
      <c r="U828" s="1269"/>
      <c r="V828" s="1269"/>
      <c r="W828" s="1269"/>
      <c r="X828" s="1269"/>
      <c r="Y828" s="1269"/>
    </row>
    <row r="829" spans="1:25">
      <c r="A829" s="1269"/>
      <c r="D829" s="1269"/>
      <c r="E829" s="1269"/>
      <c r="F829" s="1269"/>
      <c r="G829" s="1269"/>
      <c r="H829" s="1269"/>
      <c r="M829" s="1324"/>
      <c r="O829" s="1274"/>
      <c r="P829" s="1269"/>
      <c r="Q829" s="1269"/>
      <c r="R829" s="1269"/>
      <c r="S829" s="1269"/>
      <c r="T829" s="1269"/>
      <c r="U829" s="1269"/>
      <c r="V829" s="1269"/>
      <c r="W829" s="1269"/>
      <c r="X829" s="1269"/>
      <c r="Y829" s="1269"/>
    </row>
    <row r="830" spans="1:25">
      <c r="A830" s="1269"/>
      <c r="D830" s="1269"/>
      <c r="E830" s="1269"/>
      <c r="F830" s="1269"/>
      <c r="G830" s="1269"/>
      <c r="H830" s="1269"/>
      <c r="M830" s="1324"/>
      <c r="O830" s="1274"/>
      <c r="P830" s="1269"/>
      <c r="Q830" s="1269"/>
      <c r="R830" s="1269"/>
      <c r="S830" s="1269"/>
      <c r="T830" s="1269"/>
      <c r="U830" s="1269"/>
      <c r="V830" s="1269"/>
      <c r="W830" s="1269"/>
      <c r="X830" s="1269"/>
      <c r="Y830" s="1269"/>
    </row>
    <row r="831" spans="1:25">
      <c r="A831" s="1269"/>
      <c r="D831" s="1269"/>
      <c r="E831" s="1269"/>
      <c r="F831" s="1269"/>
      <c r="G831" s="1269"/>
      <c r="H831" s="1269"/>
      <c r="M831" s="1324"/>
      <c r="O831" s="1274"/>
      <c r="P831" s="1269"/>
      <c r="Q831" s="1269"/>
      <c r="R831" s="1269"/>
      <c r="S831" s="1269"/>
      <c r="T831" s="1269"/>
      <c r="U831" s="1269"/>
      <c r="V831" s="1269"/>
      <c r="W831" s="1269"/>
      <c r="X831" s="1269"/>
      <c r="Y831" s="1269"/>
    </row>
    <row r="832" spans="1:25">
      <c r="A832" s="1269"/>
      <c r="D832" s="1269"/>
      <c r="E832" s="1269"/>
      <c r="F832" s="1269"/>
      <c r="G832" s="1269"/>
      <c r="H832" s="1269"/>
      <c r="M832" s="1324"/>
      <c r="O832" s="1274"/>
      <c r="P832" s="1269"/>
      <c r="Q832" s="1269"/>
      <c r="R832" s="1269"/>
      <c r="S832" s="1269"/>
      <c r="T832" s="1269"/>
      <c r="U832" s="1269"/>
      <c r="V832" s="1269"/>
      <c r="W832" s="1269"/>
      <c r="X832" s="1269"/>
      <c r="Y832" s="1269"/>
    </row>
    <row r="833" spans="1:25">
      <c r="A833" s="1269"/>
      <c r="D833" s="1269"/>
      <c r="E833" s="1269"/>
      <c r="F833" s="1269"/>
      <c r="G833" s="1269"/>
      <c r="H833" s="1269"/>
      <c r="M833" s="1324"/>
      <c r="O833" s="1274"/>
      <c r="P833" s="1269"/>
      <c r="Q833" s="1269"/>
      <c r="R833" s="1269"/>
      <c r="S833" s="1269"/>
      <c r="T833" s="1269"/>
      <c r="U833" s="1269"/>
      <c r="V833" s="1269"/>
      <c r="W833" s="1269"/>
      <c r="X833" s="1269"/>
      <c r="Y833" s="1269"/>
    </row>
    <row r="834" spans="1:25">
      <c r="A834" s="1269"/>
      <c r="D834" s="1269"/>
      <c r="E834" s="1269"/>
      <c r="F834" s="1269"/>
      <c r="G834" s="1269"/>
      <c r="H834" s="1269"/>
      <c r="M834" s="1324"/>
      <c r="O834" s="1274"/>
      <c r="P834" s="1269"/>
      <c r="Q834" s="1269"/>
      <c r="R834" s="1269"/>
      <c r="S834" s="1269"/>
      <c r="T834" s="1269"/>
      <c r="U834" s="1269"/>
      <c r="V834" s="1269"/>
      <c r="W834" s="1269"/>
      <c r="X834" s="1269"/>
      <c r="Y834" s="1269"/>
    </row>
    <row r="835" spans="1:25">
      <c r="A835" s="1269"/>
      <c r="D835" s="1269"/>
      <c r="E835" s="1269"/>
      <c r="F835" s="1269"/>
      <c r="G835" s="1269"/>
      <c r="H835" s="1269"/>
      <c r="M835" s="1324"/>
      <c r="O835" s="1274"/>
      <c r="P835" s="1269"/>
      <c r="Q835" s="1269"/>
      <c r="R835" s="1269"/>
      <c r="S835" s="1269"/>
      <c r="T835" s="1269"/>
      <c r="U835" s="1269"/>
      <c r="V835" s="1269"/>
      <c r="W835" s="1269"/>
      <c r="X835" s="1269"/>
      <c r="Y835" s="1269"/>
    </row>
    <row r="836" spans="1:25">
      <c r="A836" s="1269"/>
      <c r="D836" s="1269"/>
      <c r="E836" s="1269"/>
      <c r="F836" s="1269"/>
      <c r="G836" s="1269"/>
      <c r="H836" s="1269"/>
      <c r="M836" s="1324"/>
      <c r="O836" s="1274"/>
      <c r="P836" s="1269"/>
      <c r="Q836" s="1269"/>
      <c r="R836" s="1269"/>
      <c r="S836" s="1269"/>
      <c r="T836" s="1269"/>
      <c r="U836" s="1269"/>
      <c r="V836" s="1269"/>
      <c r="W836" s="1269"/>
      <c r="X836" s="1269"/>
      <c r="Y836" s="1269"/>
    </row>
    <row r="837" spans="1:25">
      <c r="A837" s="1269"/>
      <c r="D837" s="1269"/>
      <c r="E837" s="1269"/>
      <c r="F837" s="1269"/>
      <c r="G837" s="1269"/>
      <c r="H837" s="1269"/>
      <c r="M837" s="1324"/>
      <c r="O837" s="1274"/>
      <c r="P837" s="1269"/>
      <c r="Q837" s="1269"/>
      <c r="R837" s="1269"/>
      <c r="S837" s="1269"/>
      <c r="T837" s="1269"/>
      <c r="U837" s="1269"/>
      <c r="V837" s="1269"/>
      <c r="W837" s="1269"/>
      <c r="X837" s="1269"/>
      <c r="Y837" s="1269"/>
    </row>
    <row r="838" spans="1:25">
      <c r="A838" s="1269"/>
      <c r="D838" s="1269"/>
      <c r="E838" s="1269"/>
      <c r="F838" s="1269"/>
      <c r="G838" s="1269"/>
      <c r="H838" s="1269"/>
      <c r="M838" s="1324"/>
      <c r="O838" s="1274"/>
      <c r="P838" s="1269"/>
      <c r="Q838" s="1269"/>
      <c r="R838" s="1269"/>
      <c r="S838" s="1269"/>
      <c r="T838" s="1269"/>
      <c r="U838" s="1269"/>
      <c r="V838" s="1269"/>
      <c r="W838" s="1269"/>
      <c r="X838" s="1269"/>
      <c r="Y838" s="1269"/>
    </row>
    <row r="839" spans="1:25">
      <c r="A839" s="1269"/>
      <c r="D839" s="1269"/>
      <c r="E839" s="1269"/>
      <c r="F839" s="1269"/>
      <c r="G839" s="1269"/>
      <c r="H839" s="1269"/>
      <c r="M839" s="1324"/>
      <c r="O839" s="1274"/>
      <c r="P839" s="1269"/>
      <c r="Q839" s="1269"/>
      <c r="R839" s="1269"/>
      <c r="S839" s="1269"/>
      <c r="T839" s="1269"/>
      <c r="U839" s="1269"/>
      <c r="V839" s="1269"/>
      <c r="W839" s="1269"/>
      <c r="X839" s="1269"/>
      <c r="Y839" s="1269"/>
    </row>
    <row r="840" spans="1:25">
      <c r="A840" s="1269"/>
      <c r="D840" s="1269"/>
      <c r="E840" s="1269"/>
      <c r="F840" s="1269"/>
      <c r="G840" s="1269"/>
      <c r="H840" s="1269"/>
      <c r="M840" s="1324"/>
      <c r="O840" s="1274"/>
      <c r="P840" s="1269"/>
      <c r="Q840" s="1269"/>
      <c r="R840" s="1269"/>
      <c r="S840" s="1269"/>
      <c r="T840" s="1269"/>
      <c r="U840" s="1269"/>
      <c r="V840" s="1269"/>
      <c r="W840" s="1269"/>
      <c r="X840" s="1269"/>
      <c r="Y840" s="1269"/>
    </row>
    <row r="841" spans="1:25">
      <c r="A841" s="1269"/>
      <c r="D841" s="1269"/>
      <c r="E841" s="1269"/>
      <c r="F841" s="1269"/>
      <c r="G841" s="1269"/>
      <c r="H841" s="1269"/>
      <c r="M841" s="1324"/>
      <c r="O841" s="1274"/>
      <c r="P841" s="1269"/>
      <c r="Q841" s="1269"/>
      <c r="R841" s="1269"/>
      <c r="S841" s="1269"/>
      <c r="T841" s="1269"/>
      <c r="U841" s="1269"/>
      <c r="V841" s="1269"/>
      <c r="W841" s="1269"/>
      <c r="X841" s="1269"/>
      <c r="Y841" s="1269"/>
    </row>
    <row r="842" spans="1:25">
      <c r="A842" s="1269"/>
      <c r="D842" s="1269"/>
      <c r="E842" s="1269"/>
      <c r="F842" s="1269"/>
      <c r="G842" s="1269"/>
      <c r="H842" s="1269"/>
      <c r="M842" s="1324"/>
      <c r="O842" s="1274"/>
      <c r="P842" s="1269"/>
      <c r="Q842" s="1269"/>
      <c r="R842" s="1269"/>
      <c r="S842" s="1269"/>
      <c r="T842" s="1269"/>
      <c r="U842" s="1269"/>
      <c r="V842" s="1269"/>
      <c r="W842" s="1269"/>
      <c r="X842" s="1269"/>
      <c r="Y842" s="1269"/>
    </row>
    <row r="843" spans="1:25">
      <c r="A843" s="1269"/>
      <c r="D843" s="1269"/>
      <c r="E843" s="1269"/>
      <c r="F843" s="1269"/>
      <c r="G843" s="1269"/>
      <c r="H843" s="1269"/>
      <c r="M843" s="1324"/>
      <c r="O843" s="1274"/>
      <c r="P843" s="1269"/>
      <c r="Q843" s="1269"/>
      <c r="R843" s="1269"/>
      <c r="S843" s="1269"/>
      <c r="T843" s="1269"/>
      <c r="U843" s="1269"/>
      <c r="V843" s="1269"/>
      <c r="W843" s="1269"/>
      <c r="X843" s="1269"/>
      <c r="Y843" s="1269"/>
    </row>
    <row r="844" spans="1:25">
      <c r="A844" s="1269"/>
      <c r="D844" s="1269"/>
      <c r="E844" s="1269"/>
      <c r="F844" s="1269"/>
      <c r="G844" s="1269"/>
      <c r="H844" s="1269"/>
      <c r="M844" s="1324"/>
      <c r="O844" s="1274"/>
      <c r="P844" s="1269"/>
      <c r="Q844" s="1269"/>
      <c r="R844" s="1269"/>
      <c r="S844" s="1269"/>
      <c r="T844" s="1269"/>
      <c r="U844" s="1269"/>
      <c r="V844" s="1269"/>
      <c r="W844" s="1269"/>
      <c r="X844" s="1269"/>
      <c r="Y844" s="1269"/>
    </row>
    <row r="845" spans="1:25">
      <c r="A845" s="1269"/>
      <c r="D845" s="1269"/>
      <c r="E845" s="1269"/>
      <c r="F845" s="1269"/>
      <c r="G845" s="1269"/>
      <c r="H845" s="1269"/>
      <c r="M845" s="1324"/>
      <c r="O845" s="1274"/>
      <c r="P845" s="1269"/>
      <c r="Q845" s="1269"/>
      <c r="R845" s="1269"/>
      <c r="S845" s="1269"/>
      <c r="T845" s="1269"/>
      <c r="U845" s="1269"/>
      <c r="V845" s="1269"/>
      <c r="W845" s="1269"/>
      <c r="X845" s="1269"/>
      <c r="Y845" s="1269"/>
    </row>
    <row r="846" spans="1:25">
      <c r="A846" s="1269"/>
      <c r="D846" s="1269"/>
      <c r="E846" s="1269"/>
      <c r="F846" s="1269"/>
      <c r="G846" s="1269"/>
      <c r="H846" s="1269"/>
      <c r="M846" s="1324"/>
      <c r="O846" s="1274"/>
      <c r="P846" s="1269"/>
      <c r="Q846" s="1269"/>
      <c r="R846" s="1269"/>
      <c r="S846" s="1269"/>
      <c r="T846" s="1269"/>
      <c r="U846" s="1269"/>
      <c r="V846" s="1269"/>
      <c r="W846" s="1269"/>
      <c r="X846" s="1269"/>
      <c r="Y846" s="1269"/>
    </row>
    <row r="847" spans="1:25">
      <c r="A847" s="1269"/>
      <c r="D847" s="1269"/>
      <c r="E847" s="1269"/>
      <c r="F847" s="1269"/>
      <c r="G847" s="1269"/>
      <c r="H847" s="1269"/>
      <c r="M847" s="1324"/>
      <c r="O847" s="1274"/>
      <c r="P847" s="1269"/>
      <c r="Q847" s="1269"/>
      <c r="R847" s="1269"/>
      <c r="S847" s="1269"/>
      <c r="T847" s="1269"/>
      <c r="U847" s="1269"/>
      <c r="V847" s="1269"/>
      <c r="W847" s="1269"/>
      <c r="X847" s="1269"/>
      <c r="Y847" s="1269"/>
    </row>
    <row r="848" spans="1:25">
      <c r="A848" s="1269"/>
      <c r="D848" s="1269"/>
      <c r="E848" s="1269"/>
      <c r="F848" s="1269"/>
      <c r="G848" s="1269"/>
      <c r="H848" s="1269"/>
      <c r="M848" s="1324"/>
      <c r="O848" s="1274"/>
      <c r="P848" s="1269"/>
      <c r="Q848" s="1269"/>
      <c r="R848" s="1269"/>
      <c r="S848" s="1269"/>
      <c r="T848" s="1269"/>
      <c r="U848" s="1269"/>
      <c r="V848" s="1269"/>
      <c r="W848" s="1269"/>
      <c r="X848" s="1269"/>
      <c r="Y848" s="1269"/>
    </row>
    <row r="849" spans="1:25">
      <c r="A849" s="1269"/>
      <c r="D849" s="1269"/>
      <c r="E849" s="1269"/>
      <c r="F849" s="1269"/>
      <c r="G849" s="1269"/>
      <c r="H849" s="1269"/>
      <c r="M849" s="1324"/>
      <c r="O849" s="1274"/>
      <c r="P849" s="1269"/>
      <c r="Q849" s="1269"/>
      <c r="R849" s="1269"/>
      <c r="S849" s="1269"/>
      <c r="T849" s="1269"/>
      <c r="U849" s="1269"/>
      <c r="V849" s="1269"/>
      <c r="W849" s="1269"/>
      <c r="X849" s="1269"/>
      <c r="Y849" s="1269"/>
    </row>
    <row r="850" spans="1:25">
      <c r="A850" s="1269"/>
      <c r="D850" s="1269"/>
      <c r="E850" s="1269"/>
      <c r="F850" s="1269"/>
      <c r="G850" s="1269"/>
      <c r="H850" s="1269"/>
      <c r="M850" s="1324"/>
      <c r="O850" s="1274"/>
      <c r="P850" s="1269"/>
      <c r="Q850" s="1269"/>
      <c r="R850" s="1269"/>
      <c r="S850" s="1269"/>
      <c r="T850" s="1269"/>
      <c r="U850" s="1269"/>
      <c r="V850" s="1269"/>
      <c r="W850" s="1269"/>
      <c r="X850" s="1269"/>
      <c r="Y850" s="1269"/>
    </row>
    <row r="851" spans="1:25">
      <c r="A851" s="1269"/>
      <c r="D851" s="1269"/>
      <c r="E851" s="1269"/>
      <c r="F851" s="1269"/>
      <c r="G851" s="1269"/>
      <c r="H851" s="1269"/>
      <c r="M851" s="1324"/>
      <c r="O851" s="1274"/>
      <c r="P851" s="1269"/>
      <c r="Q851" s="1269"/>
      <c r="R851" s="1269"/>
      <c r="S851" s="1269"/>
      <c r="T851" s="1269"/>
      <c r="U851" s="1269"/>
      <c r="V851" s="1269"/>
      <c r="W851" s="1269"/>
      <c r="X851" s="1269"/>
      <c r="Y851" s="1269"/>
    </row>
    <row r="852" spans="1:25">
      <c r="A852" s="1269"/>
      <c r="D852" s="1269"/>
      <c r="E852" s="1269"/>
      <c r="F852" s="1269"/>
      <c r="G852" s="1269"/>
      <c r="H852" s="1269"/>
      <c r="M852" s="1324"/>
      <c r="O852" s="1274"/>
      <c r="P852" s="1269"/>
      <c r="Q852" s="1269"/>
      <c r="R852" s="1269"/>
      <c r="S852" s="1269"/>
      <c r="T852" s="1269"/>
      <c r="U852" s="1269"/>
      <c r="V852" s="1269"/>
      <c r="W852" s="1269"/>
      <c r="X852" s="1269"/>
      <c r="Y852" s="1269"/>
    </row>
    <row r="853" spans="1:25">
      <c r="A853" s="1269"/>
      <c r="D853" s="1269"/>
      <c r="E853" s="1269"/>
      <c r="F853" s="1269"/>
      <c r="G853" s="1269"/>
      <c r="H853" s="1269"/>
      <c r="M853" s="1324"/>
      <c r="O853" s="1274"/>
      <c r="P853" s="1269"/>
      <c r="Q853" s="1269"/>
      <c r="R853" s="1269"/>
      <c r="S853" s="1269"/>
      <c r="T853" s="1269"/>
      <c r="U853" s="1269"/>
      <c r="V853" s="1269"/>
      <c r="W853" s="1269"/>
      <c r="X853" s="1269"/>
      <c r="Y853" s="1269"/>
    </row>
    <row r="854" spans="1:25">
      <c r="A854" s="1269"/>
      <c r="D854" s="1269"/>
      <c r="E854" s="1269"/>
      <c r="F854" s="1269"/>
      <c r="G854" s="1269"/>
      <c r="H854" s="1269"/>
      <c r="M854" s="1324"/>
      <c r="O854" s="1274"/>
      <c r="P854" s="1269"/>
      <c r="Q854" s="1269"/>
      <c r="R854" s="1269"/>
      <c r="S854" s="1269"/>
      <c r="T854" s="1269"/>
      <c r="U854" s="1269"/>
      <c r="V854" s="1269"/>
      <c r="W854" s="1269"/>
      <c r="X854" s="1269"/>
      <c r="Y854" s="1269"/>
    </row>
    <row r="855" spans="1:25">
      <c r="A855" s="1269"/>
      <c r="D855" s="1269"/>
      <c r="E855" s="1269"/>
      <c r="F855" s="1269"/>
      <c r="G855" s="1269"/>
      <c r="H855" s="1269"/>
      <c r="M855" s="1324"/>
      <c r="O855" s="1274"/>
      <c r="P855" s="1269"/>
      <c r="Q855" s="1269"/>
      <c r="R855" s="1269"/>
      <c r="S855" s="1269"/>
      <c r="T855" s="1269"/>
      <c r="U855" s="1269"/>
      <c r="V855" s="1269"/>
      <c r="W855" s="1269"/>
      <c r="X855" s="1269"/>
      <c r="Y855" s="1269"/>
    </row>
    <row r="856" spans="1:25">
      <c r="A856" s="1269"/>
      <c r="D856" s="1269"/>
      <c r="E856" s="1269"/>
      <c r="F856" s="1269"/>
      <c r="G856" s="1269"/>
      <c r="H856" s="1269"/>
      <c r="M856" s="1324"/>
      <c r="O856" s="1274"/>
      <c r="P856" s="1269"/>
      <c r="Q856" s="1269"/>
      <c r="R856" s="1269"/>
      <c r="S856" s="1269"/>
      <c r="T856" s="1269"/>
      <c r="U856" s="1269"/>
      <c r="V856" s="1269"/>
      <c r="W856" s="1269"/>
      <c r="X856" s="1269"/>
      <c r="Y856" s="1269"/>
    </row>
    <row r="857" spans="1:25">
      <c r="A857" s="1269"/>
      <c r="D857" s="1269"/>
      <c r="E857" s="1269"/>
      <c r="F857" s="1269"/>
      <c r="G857" s="1269"/>
      <c r="H857" s="1269"/>
      <c r="M857" s="1324"/>
      <c r="O857" s="1274"/>
      <c r="P857" s="1269"/>
      <c r="Q857" s="1269"/>
      <c r="R857" s="1269"/>
      <c r="S857" s="1269"/>
      <c r="T857" s="1269"/>
      <c r="U857" s="1269"/>
      <c r="V857" s="1269"/>
      <c r="W857" s="1269"/>
      <c r="X857" s="1269"/>
      <c r="Y857" s="1269"/>
    </row>
    <row r="858" spans="1:25">
      <c r="A858" s="1269"/>
      <c r="D858" s="1269"/>
      <c r="E858" s="1269"/>
      <c r="F858" s="1269"/>
      <c r="G858" s="1269"/>
      <c r="H858" s="1269"/>
      <c r="M858" s="1324"/>
      <c r="O858" s="1274"/>
      <c r="P858" s="1269"/>
      <c r="Q858" s="1269"/>
      <c r="R858" s="1269"/>
      <c r="S858" s="1269"/>
      <c r="T858" s="1269"/>
      <c r="U858" s="1269"/>
      <c r="V858" s="1269"/>
      <c r="W858" s="1269"/>
      <c r="X858" s="1269"/>
      <c r="Y858" s="1269"/>
    </row>
    <row r="859" spans="1:25">
      <c r="A859" s="1269"/>
      <c r="D859" s="1269"/>
      <c r="E859" s="1269"/>
      <c r="F859" s="1269"/>
      <c r="G859" s="1269"/>
      <c r="H859" s="1269"/>
      <c r="M859" s="1324"/>
      <c r="O859" s="1274"/>
      <c r="P859" s="1269"/>
      <c r="Q859" s="1269"/>
      <c r="R859" s="1269"/>
      <c r="S859" s="1269"/>
      <c r="T859" s="1269"/>
      <c r="U859" s="1269"/>
      <c r="V859" s="1269"/>
      <c r="W859" s="1269"/>
      <c r="X859" s="1269"/>
      <c r="Y859" s="1269"/>
    </row>
    <row r="860" spans="1:25">
      <c r="A860" s="1269"/>
      <c r="D860" s="1269"/>
      <c r="E860" s="1269"/>
      <c r="F860" s="1269"/>
      <c r="G860" s="1269"/>
      <c r="H860" s="1269"/>
      <c r="M860" s="1324"/>
      <c r="O860" s="1274"/>
      <c r="P860" s="1269"/>
      <c r="Q860" s="1269"/>
      <c r="R860" s="1269"/>
      <c r="S860" s="1269"/>
      <c r="T860" s="1269"/>
      <c r="U860" s="1269"/>
      <c r="V860" s="1269"/>
      <c r="W860" s="1269"/>
      <c r="X860" s="1269"/>
      <c r="Y860" s="1269"/>
    </row>
    <row r="861" spans="1:25">
      <c r="A861" s="1269"/>
      <c r="D861" s="1269"/>
      <c r="E861" s="1269"/>
      <c r="F861" s="1269"/>
      <c r="G861" s="1269"/>
      <c r="H861" s="1269"/>
      <c r="M861" s="1324"/>
      <c r="O861" s="1274"/>
      <c r="P861" s="1269"/>
      <c r="Q861" s="1269"/>
      <c r="R861" s="1269"/>
      <c r="S861" s="1269"/>
      <c r="T861" s="1269"/>
      <c r="U861" s="1269"/>
      <c r="V861" s="1269"/>
      <c r="W861" s="1269"/>
      <c r="X861" s="1269"/>
      <c r="Y861" s="1269"/>
    </row>
    <row r="862" spans="1:25">
      <c r="A862" s="1269"/>
      <c r="D862" s="1269"/>
      <c r="E862" s="1269"/>
      <c r="F862" s="1269"/>
      <c r="G862" s="1269"/>
      <c r="H862" s="1269"/>
      <c r="M862" s="1324"/>
      <c r="O862" s="1274"/>
      <c r="P862" s="1269"/>
      <c r="Q862" s="1269"/>
      <c r="R862" s="1269"/>
      <c r="S862" s="1269"/>
      <c r="T862" s="1269"/>
      <c r="U862" s="1269"/>
      <c r="V862" s="1269"/>
      <c r="W862" s="1269"/>
      <c r="X862" s="1269"/>
      <c r="Y862" s="1269"/>
    </row>
    <row r="863" spans="1:25">
      <c r="A863" s="1269"/>
      <c r="D863" s="1269"/>
      <c r="E863" s="1269"/>
      <c r="F863" s="1269"/>
      <c r="G863" s="1269"/>
      <c r="H863" s="1269"/>
      <c r="M863" s="1324"/>
      <c r="O863" s="1274"/>
      <c r="P863" s="1269"/>
      <c r="Q863" s="1269"/>
      <c r="R863" s="1269"/>
      <c r="S863" s="1269"/>
      <c r="T863" s="1269"/>
      <c r="U863" s="1269"/>
      <c r="V863" s="1269"/>
      <c r="W863" s="1269"/>
      <c r="X863" s="1269"/>
      <c r="Y863" s="1269"/>
    </row>
    <row r="864" spans="1:25">
      <c r="A864" s="1269"/>
      <c r="D864" s="1269"/>
      <c r="E864" s="1269"/>
      <c r="F864" s="1269"/>
      <c r="G864" s="1269"/>
      <c r="H864" s="1269"/>
      <c r="M864" s="1324"/>
      <c r="O864" s="1274"/>
      <c r="P864" s="1269"/>
      <c r="Q864" s="1269"/>
      <c r="R864" s="1269"/>
      <c r="S864" s="1269"/>
      <c r="T864" s="1269"/>
      <c r="U864" s="1269"/>
      <c r="V864" s="1269"/>
      <c r="W864" s="1269"/>
      <c r="X864" s="1269"/>
      <c r="Y864" s="1269"/>
    </row>
    <row r="865" spans="1:25">
      <c r="A865" s="1269"/>
      <c r="D865" s="1269"/>
      <c r="E865" s="1269"/>
      <c r="F865" s="1269"/>
      <c r="G865" s="1269"/>
      <c r="H865" s="1269"/>
      <c r="M865" s="1324"/>
      <c r="O865" s="1274"/>
      <c r="P865" s="1269"/>
      <c r="Q865" s="1269"/>
      <c r="R865" s="1269"/>
      <c r="S865" s="1269"/>
      <c r="T865" s="1269"/>
      <c r="U865" s="1269"/>
      <c r="V865" s="1269"/>
      <c r="W865" s="1269"/>
      <c r="X865" s="1269"/>
      <c r="Y865" s="1269"/>
    </row>
    <row r="866" spans="1:25">
      <c r="A866" s="1269"/>
      <c r="D866" s="1269"/>
      <c r="E866" s="1269"/>
      <c r="F866" s="1269"/>
      <c r="G866" s="1269"/>
      <c r="H866" s="1269"/>
      <c r="M866" s="1324"/>
      <c r="O866" s="1274"/>
      <c r="P866" s="1269"/>
      <c r="Q866" s="1269"/>
      <c r="R866" s="1269"/>
      <c r="S866" s="1269"/>
      <c r="T866" s="1269"/>
      <c r="U866" s="1269"/>
      <c r="V866" s="1269"/>
      <c r="W866" s="1269"/>
      <c r="X866" s="1269"/>
      <c r="Y866" s="1269"/>
    </row>
    <row r="867" spans="1:25">
      <c r="A867" s="1269"/>
      <c r="D867" s="1269"/>
      <c r="E867" s="1269"/>
      <c r="F867" s="1269"/>
      <c r="G867" s="1269"/>
      <c r="H867" s="1269"/>
      <c r="M867" s="1324"/>
      <c r="O867" s="1274"/>
      <c r="P867" s="1269"/>
      <c r="Q867" s="1269"/>
      <c r="R867" s="1269"/>
      <c r="S867" s="1269"/>
      <c r="T867" s="1269"/>
      <c r="U867" s="1269"/>
      <c r="V867" s="1269"/>
      <c r="W867" s="1269"/>
      <c r="X867" s="1269"/>
      <c r="Y867" s="1269"/>
    </row>
    <row r="868" spans="1:25">
      <c r="A868" s="1269"/>
      <c r="D868" s="1269"/>
      <c r="E868" s="1269"/>
      <c r="F868" s="1269"/>
      <c r="G868" s="1269"/>
      <c r="H868" s="1269"/>
      <c r="M868" s="1324"/>
      <c r="O868" s="1274"/>
      <c r="P868" s="1269"/>
      <c r="Q868" s="1269"/>
      <c r="R868" s="1269"/>
      <c r="S868" s="1269"/>
      <c r="T868" s="1269"/>
      <c r="U868" s="1269"/>
      <c r="V868" s="1269"/>
      <c r="W868" s="1269"/>
      <c r="X868" s="1269"/>
      <c r="Y868" s="1269"/>
    </row>
    <row r="869" spans="1:25">
      <c r="A869" s="1269"/>
      <c r="D869" s="1269"/>
      <c r="E869" s="1269"/>
      <c r="F869" s="1269"/>
      <c r="G869" s="1269"/>
      <c r="H869" s="1269"/>
      <c r="M869" s="1324"/>
      <c r="O869" s="1274"/>
      <c r="P869" s="1269"/>
      <c r="Q869" s="1269"/>
      <c r="R869" s="1269"/>
      <c r="S869" s="1269"/>
      <c r="T869" s="1269"/>
      <c r="U869" s="1269"/>
      <c r="V869" s="1269"/>
      <c r="W869" s="1269"/>
      <c r="X869" s="1269"/>
      <c r="Y869" s="1269"/>
    </row>
    <row r="870" spans="1:25">
      <c r="A870" s="1269"/>
      <c r="D870" s="1269"/>
      <c r="E870" s="1269"/>
      <c r="F870" s="1269"/>
      <c r="G870" s="1269"/>
      <c r="H870" s="1269"/>
      <c r="M870" s="1324"/>
      <c r="O870" s="1274"/>
      <c r="P870" s="1269"/>
      <c r="Q870" s="1269"/>
      <c r="R870" s="1269"/>
      <c r="S870" s="1269"/>
      <c r="T870" s="1269"/>
      <c r="U870" s="1269"/>
      <c r="V870" s="1269"/>
      <c r="W870" s="1269"/>
      <c r="X870" s="1269"/>
      <c r="Y870" s="1269"/>
    </row>
    <row r="871" spans="1:25">
      <c r="A871" s="1269"/>
      <c r="D871" s="1269"/>
      <c r="E871" s="1269"/>
      <c r="F871" s="1269"/>
      <c r="G871" s="1269"/>
      <c r="H871" s="1269"/>
      <c r="M871" s="1324"/>
      <c r="O871" s="1274"/>
      <c r="P871" s="1269"/>
      <c r="Q871" s="1269"/>
      <c r="R871" s="1269"/>
      <c r="S871" s="1269"/>
      <c r="T871" s="1269"/>
      <c r="U871" s="1269"/>
      <c r="V871" s="1269"/>
      <c r="W871" s="1269"/>
      <c r="X871" s="1269"/>
      <c r="Y871" s="1269"/>
    </row>
    <row r="872" spans="1:25">
      <c r="A872" s="1269"/>
      <c r="D872" s="1269"/>
      <c r="E872" s="1269"/>
      <c r="F872" s="1269"/>
      <c r="G872" s="1269"/>
      <c r="H872" s="1269"/>
      <c r="M872" s="1324"/>
      <c r="O872" s="1274"/>
      <c r="P872" s="1269"/>
      <c r="Q872" s="1269"/>
      <c r="R872" s="1269"/>
      <c r="S872" s="1269"/>
      <c r="T872" s="1269"/>
      <c r="U872" s="1269"/>
      <c r="V872" s="1269"/>
      <c r="W872" s="1269"/>
      <c r="X872" s="1269"/>
      <c r="Y872" s="1269"/>
    </row>
    <row r="873" spans="1:25">
      <c r="A873" s="1269"/>
      <c r="D873" s="1269"/>
      <c r="E873" s="1269"/>
      <c r="F873" s="1269"/>
      <c r="G873" s="1269"/>
      <c r="H873" s="1269"/>
      <c r="M873" s="1324"/>
      <c r="O873" s="1274"/>
      <c r="P873" s="1269"/>
      <c r="Q873" s="1269"/>
      <c r="R873" s="1269"/>
      <c r="S873" s="1269"/>
      <c r="T873" s="1269"/>
      <c r="U873" s="1269"/>
      <c r="V873" s="1269"/>
      <c r="W873" s="1269"/>
      <c r="X873" s="1269"/>
      <c r="Y873" s="1269"/>
    </row>
    <row r="874" spans="1:25">
      <c r="A874" s="1269"/>
      <c r="D874" s="1269"/>
      <c r="E874" s="1269"/>
      <c r="F874" s="1269"/>
      <c r="G874" s="1269"/>
      <c r="H874" s="1269"/>
      <c r="M874" s="1324"/>
      <c r="O874" s="1274"/>
      <c r="P874" s="1269"/>
      <c r="Q874" s="1269"/>
      <c r="R874" s="1269"/>
      <c r="S874" s="1269"/>
      <c r="T874" s="1269"/>
      <c r="U874" s="1269"/>
      <c r="V874" s="1269"/>
      <c r="W874" s="1269"/>
      <c r="X874" s="1269"/>
      <c r="Y874" s="1269"/>
    </row>
    <row r="875" spans="1:25">
      <c r="A875" s="1269"/>
      <c r="D875" s="1269"/>
      <c r="E875" s="1269"/>
      <c r="F875" s="1269"/>
      <c r="G875" s="1269"/>
      <c r="H875" s="1269"/>
      <c r="M875" s="1324"/>
      <c r="O875" s="1274"/>
      <c r="P875" s="1269"/>
      <c r="Q875" s="1269"/>
      <c r="R875" s="1269"/>
      <c r="S875" s="1269"/>
      <c r="T875" s="1269"/>
      <c r="U875" s="1269"/>
      <c r="V875" s="1269"/>
      <c r="W875" s="1269"/>
      <c r="X875" s="1269"/>
      <c r="Y875" s="1269"/>
    </row>
    <row r="876" spans="1:25">
      <c r="A876" s="1269"/>
      <c r="D876" s="1269"/>
      <c r="E876" s="1269"/>
      <c r="F876" s="1269"/>
      <c r="G876" s="1269"/>
      <c r="H876" s="1269"/>
      <c r="M876" s="1324"/>
      <c r="O876" s="1274"/>
      <c r="P876" s="1269"/>
      <c r="Q876" s="1269"/>
      <c r="R876" s="1269"/>
      <c r="S876" s="1269"/>
      <c r="T876" s="1269"/>
      <c r="U876" s="1269"/>
      <c r="V876" s="1269"/>
      <c r="W876" s="1269"/>
      <c r="X876" s="1269"/>
      <c r="Y876" s="1269"/>
    </row>
    <row r="877" spans="1:25">
      <c r="A877" s="1269"/>
      <c r="D877" s="1269"/>
      <c r="E877" s="1269"/>
      <c r="F877" s="1269"/>
      <c r="G877" s="1269"/>
      <c r="H877" s="1269"/>
      <c r="M877" s="1324"/>
      <c r="O877" s="1274"/>
      <c r="P877" s="1269"/>
      <c r="Q877" s="1269"/>
      <c r="R877" s="1269"/>
      <c r="S877" s="1269"/>
      <c r="T877" s="1269"/>
      <c r="U877" s="1269"/>
      <c r="V877" s="1269"/>
      <c r="W877" s="1269"/>
      <c r="X877" s="1269"/>
      <c r="Y877" s="1269"/>
    </row>
    <row r="878" spans="1:25">
      <c r="A878" s="1269"/>
      <c r="D878" s="1269"/>
      <c r="E878" s="1269"/>
      <c r="F878" s="1269"/>
      <c r="G878" s="1269"/>
      <c r="H878" s="1269"/>
      <c r="M878" s="1324"/>
      <c r="O878" s="1274"/>
      <c r="P878" s="1269"/>
      <c r="Q878" s="1269"/>
      <c r="R878" s="1269"/>
      <c r="S878" s="1269"/>
      <c r="T878" s="1269"/>
      <c r="U878" s="1269"/>
      <c r="V878" s="1269"/>
      <c r="W878" s="1269"/>
      <c r="X878" s="1269"/>
      <c r="Y878" s="1269"/>
    </row>
    <row r="879" spans="1:25">
      <c r="A879" s="1269"/>
      <c r="D879" s="1269"/>
      <c r="E879" s="1269"/>
      <c r="F879" s="1269"/>
      <c r="G879" s="1269"/>
      <c r="H879" s="1269"/>
      <c r="M879" s="1324"/>
      <c r="O879" s="1274"/>
      <c r="P879" s="1269"/>
      <c r="Q879" s="1269"/>
      <c r="R879" s="1269"/>
      <c r="S879" s="1269"/>
      <c r="T879" s="1269"/>
      <c r="U879" s="1269"/>
      <c r="V879" s="1269"/>
      <c r="W879" s="1269"/>
      <c r="X879" s="1269"/>
      <c r="Y879" s="1269"/>
    </row>
    <row r="880" spans="1:25">
      <c r="A880" s="1269"/>
      <c r="D880" s="1269"/>
      <c r="E880" s="1269"/>
      <c r="F880" s="1269"/>
      <c r="G880" s="1269"/>
      <c r="H880" s="1269"/>
      <c r="M880" s="1324"/>
      <c r="O880" s="1274"/>
      <c r="P880" s="1269"/>
      <c r="Q880" s="1269"/>
      <c r="R880" s="1269"/>
      <c r="S880" s="1269"/>
      <c r="T880" s="1269"/>
      <c r="U880" s="1269"/>
      <c r="V880" s="1269"/>
      <c r="W880" s="1269"/>
      <c r="X880" s="1269"/>
      <c r="Y880" s="1269"/>
    </row>
    <row r="881" spans="1:25">
      <c r="A881" s="1269"/>
      <c r="D881" s="1269"/>
      <c r="E881" s="1269"/>
      <c r="F881" s="1269"/>
      <c r="G881" s="1269"/>
      <c r="H881" s="1269"/>
      <c r="M881" s="1324"/>
      <c r="O881" s="1274"/>
      <c r="P881" s="1269"/>
      <c r="Q881" s="1269"/>
      <c r="R881" s="1269"/>
      <c r="S881" s="1269"/>
      <c r="T881" s="1269"/>
      <c r="U881" s="1269"/>
      <c r="V881" s="1269"/>
      <c r="W881" s="1269"/>
      <c r="X881" s="1269"/>
      <c r="Y881" s="1269"/>
    </row>
    <row r="882" spans="1:25">
      <c r="A882" s="1269"/>
      <c r="D882" s="1269"/>
      <c r="E882" s="1269"/>
      <c r="F882" s="1269"/>
      <c r="G882" s="1269"/>
      <c r="H882" s="1269"/>
      <c r="M882" s="1324"/>
      <c r="O882" s="1274"/>
      <c r="P882" s="1269"/>
      <c r="Q882" s="1269"/>
      <c r="R882" s="1269"/>
      <c r="S882" s="1269"/>
      <c r="T882" s="1269"/>
      <c r="U882" s="1269"/>
      <c r="V882" s="1269"/>
      <c r="W882" s="1269"/>
      <c r="X882" s="1269"/>
      <c r="Y882" s="1269"/>
    </row>
    <row r="883" spans="1:25">
      <c r="A883" s="1269"/>
      <c r="D883" s="1269"/>
      <c r="E883" s="1269"/>
      <c r="F883" s="1269"/>
      <c r="G883" s="1269"/>
      <c r="H883" s="1269"/>
      <c r="M883" s="1324"/>
      <c r="O883" s="1274"/>
      <c r="P883" s="1269"/>
      <c r="Q883" s="1269"/>
      <c r="R883" s="1269"/>
      <c r="S883" s="1269"/>
      <c r="T883" s="1269"/>
      <c r="U883" s="1269"/>
      <c r="V883" s="1269"/>
      <c r="W883" s="1269"/>
      <c r="X883" s="1269"/>
      <c r="Y883" s="1269"/>
    </row>
    <row r="884" spans="1:25">
      <c r="A884" s="1269"/>
      <c r="D884" s="1269"/>
      <c r="E884" s="1269"/>
      <c r="F884" s="1269"/>
      <c r="G884" s="1269"/>
      <c r="H884" s="1269"/>
      <c r="M884" s="1324"/>
      <c r="O884" s="1274"/>
      <c r="P884" s="1269"/>
      <c r="Q884" s="1269"/>
      <c r="R884" s="1269"/>
      <c r="S884" s="1269"/>
      <c r="T884" s="1269"/>
      <c r="U884" s="1269"/>
      <c r="V884" s="1269"/>
      <c r="W884" s="1269"/>
      <c r="X884" s="1269"/>
      <c r="Y884" s="1269"/>
    </row>
    <row r="885" spans="1:25">
      <c r="A885" s="1269"/>
      <c r="D885" s="1269"/>
      <c r="E885" s="1269"/>
      <c r="F885" s="1269"/>
      <c r="G885" s="1269"/>
      <c r="H885" s="1269"/>
      <c r="M885" s="1324"/>
      <c r="O885" s="1274"/>
      <c r="P885" s="1269"/>
      <c r="Q885" s="1269"/>
      <c r="R885" s="1269"/>
      <c r="S885" s="1269"/>
      <c r="T885" s="1269"/>
      <c r="U885" s="1269"/>
      <c r="V885" s="1269"/>
      <c r="W885" s="1269"/>
      <c r="X885" s="1269"/>
      <c r="Y885" s="1269"/>
    </row>
    <row r="886" spans="1:25">
      <c r="A886" s="1269"/>
      <c r="D886" s="1269"/>
      <c r="E886" s="1269"/>
      <c r="F886" s="1269"/>
      <c r="G886" s="1269"/>
      <c r="H886" s="1269"/>
      <c r="M886" s="1324"/>
      <c r="O886" s="1274"/>
      <c r="P886" s="1269"/>
      <c r="Q886" s="1269"/>
      <c r="R886" s="1269"/>
      <c r="S886" s="1269"/>
      <c r="T886" s="1269"/>
      <c r="U886" s="1269"/>
      <c r="V886" s="1269"/>
      <c r="W886" s="1269"/>
      <c r="X886" s="1269"/>
      <c r="Y886" s="1269"/>
    </row>
    <row r="887" spans="1:25">
      <c r="A887" s="1269"/>
      <c r="D887" s="1269"/>
      <c r="E887" s="1269"/>
      <c r="F887" s="1269"/>
      <c r="G887" s="1269"/>
      <c r="H887" s="1269"/>
      <c r="M887" s="1324"/>
      <c r="O887" s="1274"/>
      <c r="P887" s="1269"/>
      <c r="Q887" s="1269"/>
      <c r="R887" s="1269"/>
      <c r="S887" s="1269"/>
      <c r="T887" s="1269"/>
      <c r="U887" s="1269"/>
      <c r="V887" s="1269"/>
      <c r="W887" s="1269"/>
      <c r="X887" s="1269"/>
      <c r="Y887" s="1269"/>
    </row>
    <row r="888" spans="1:25">
      <c r="A888" s="1269"/>
      <c r="D888" s="1269"/>
      <c r="E888" s="1269"/>
      <c r="F888" s="1269"/>
      <c r="G888" s="1269"/>
      <c r="H888" s="1269"/>
      <c r="M888" s="1324"/>
      <c r="O888" s="1274"/>
      <c r="P888" s="1269"/>
      <c r="Q888" s="1269"/>
      <c r="R888" s="1269"/>
      <c r="S888" s="1269"/>
      <c r="T888" s="1269"/>
      <c r="U888" s="1269"/>
      <c r="V888" s="1269"/>
      <c r="W888" s="1269"/>
      <c r="X888" s="1269"/>
      <c r="Y888" s="1269"/>
    </row>
    <row r="889" spans="1:25">
      <c r="A889" s="1269"/>
      <c r="D889" s="1269"/>
      <c r="E889" s="1269"/>
      <c r="F889" s="1269"/>
      <c r="G889" s="1269"/>
      <c r="H889" s="1269"/>
      <c r="M889" s="1324"/>
      <c r="O889" s="1274"/>
      <c r="P889" s="1269"/>
      <c r="Q889" s="1269"/>
      <c r="R889" s="1269"/>
      <c r="S889" s="1269"/>
      <c r="T889" s="1269"/>
      <c r="U889" s="1269"/>
      <c r="V889" s="1269"/>
      <c r="W889" s="1269"/>
      <c r="X889" s="1269"/>
      <c r="Y889" s="1269"/>
    </row>
    <row r="890" spans="1:25">
      <c r="A890" s="1269"/>
      <c r="D890" s="1269"/>
      <c r="E890" s="1269"/>
      <c r="F890" s="1269"/>
      <c r="G890" s="1269"/>
      <c r="H890" s="1269"/>
      <c r="M890" s="1324"/>
      <c r="O890" s="1274"/>
      <c r="P890" s="1269"/>
      <c r="Q890" s="1269"/>
      <c r="R890" s="1269"/>
      <c r="S890" s="1269"/>
      <c r="T890" s="1269"/>
      <c r="U890" s="1269"/>
      <c r="V890" s="1269"/>
      <c r="W890" s="1269"/>
      <c r="X890" s="1269"/>
      <c r="Y890" s="1269"/>
    </row>
    <row r="891" spans="1:25">
      <c r="A891" s="1269"/>
      <c r="D891" s="1269"/>
      <c r="E891" s="1269"/>
      <c r="F891" s="1269"/>
      <c r="G891" s="1269"/>
      <c r="H891" s="1269"/>
      <c r="M891" s="1324"/>
      <c r="O891" s="1274"/>
      <c r="P891" s="1269"/>
      <c r="Q891" s="1269"/>
      <c r="R891" s="1269"/>
      <c r="S891" s="1269"/>
      <c r="T891" s="1269"/>
      <c r="U891" s="1269"/>
      <c r="V891" s="1269"/>
      <c r="W891" s="1269"/>
      <c r="X891" s="1269"/>
      <c r="Y891" s="1269"/>
    </row>
    <row r="892" spans="1:25">
      <c r="A892" s="1269"/>
      <c r="D892" s="1269"/>
      <c r="E892" s="1269"/>
      <c r="F892" s="1269"/>
      <c r="G892" s="1269"/>
      <c r="H892" s="1269"/>
      <c r="M892" s="1324"/>
      <c r="O892" s="1274"/>
      <c r="P892" s="1269"/>
      <c r="Q892" s="1269"/>
      <c r="R892" s="1269"/>
      <c r="S892" s="1269"/>
      <c r="T892" s="1269"/>
      <c r="U892" s="1269"/>
      <c r="V892" s="1269"/>
      <c r="W892" s="1269"/>
      <c r="X892" s="1269"/>
      <c r="Y892" s="1269"/>
    </row>
    <row r="893" spans="1:25">
      <c r="A893" s="1269"/>
      <c r="D893" s="1269"/>
      <c r="E893" s="1269"/>
      <c r="F893" s="1269"/>
      <c r="G893" s="1269"/>
      <c r="H893" s="1269"/>
      <c r="M893" s="1324"/>
      <c r="O893" s="1274"/>
      <c r="P893" s="1269"/>
      <c r="Q893" s="1269"/>
      <c r="R893" s="1269"/>
      <c r="S893" s="1269"/>
      <c r="T893" s="1269"/>
      <c r="U893" s="1269"/>
      <c r="V893" s="1269"/>
      <c r="W893" s="1269"/>
      <c r="X893" s="1269"/>
      <c r="Y893" s="1269"/>
    </row>
    <row r="894" spans="1:25">
      <c r="A894" s="1269"/>
      <c r="D894" s="1269"/>
      <c r="E894" s="1269"/>
      <c r="F894" s="1269"/>
      <c r="G894" s="1269"/>
      <c r="H894" s="1269"/>
      <c r="M894" s="1324"/>
      <c r="O894" s="1274"/>
      <c r="P894" s="1269"/>
      <c r="Q894" s="1269"/>
      <c r="R894" s="1269"/>
      <c r="S894" s="1269"/>
      <c r="T894" s="1269"/>
      <c r="U894" s="1269"/>
      <c r="V894" s="1269"/>
      <c r="W894" s="1269"/>
      <c r="X894" s="1269"/>
      <c r="Y894" s="1269"/>
    </row>
    <row r="895" spans="1:25">
      <c r="A895" s="1269"/>
      <c r="D895" s="1269"/>
      <c r="E895" s="1269"/>
      <c r="F895" s="1269"/>
      <c r="G895" s="1269"/>
      <c r="H895" s="1269"/>
      <c r="M895" s="1324"/>
      <c r="O895" s="1274"/>
      <c r="P895" s="1269"/>
      <c r="Q895" s="1269"/>
      <c r="R895" s="1269"/>
      <c r="S895" s="1269"/>
      <c r="T895" s="1269"/>
      <c r="U895" s="1269"/>
      <c r="V895" s="1269"/>
      <c r="W895" s="1269"/>
      <c r="X895" s="1269"/>
      <c r="Y895" s="1269"/>
    </row>
    <row r="896" spans="1:25">
      <c r="A896" s="1269"/>
      <c r="D896" s="1269"/>
      <c r="E896" s="1269"/>
      <c r="F896" s="1269"/>
      <c r="G896" s="1269"/>
      <c r="H896" s="1269"/>
      <c r="M896" s="1324"/>
      <c r="O896" s="1274"/>
      <c r="P896" s="1269"/>
      <c r="Q896" s="1269"/>
      <c r="R896" s="1269"/>
      <c r="S896" s="1269"/>
      <c r="T896" s="1269"/>
      <c r="U896" s="1269"/>
      <c r="V896" s="1269"/>
      <c r="W896" s="1269"/>
      <c r="X896" s="1269"/>
      <c r="Y896" s="1269"/>
    </row>
    <row r="897" spans="1:25">
      <c r="A897" s="1269"/>
      <c r="D897" s="1269"/>
      <c r="E897" s="1269"/>
      <c r="F897" s="1269"/>
      <c r="G897" s="1269"/>
      <c r="H897" s="1269"/>
      <c r="M897" s="1324"/>
      <c r="O897" s="1274"/>
      <c r="P897" s="1269"/>
      <c r="Q897" s="1269"/>
      <c r="R897" s="1269"/>
      <c r="S897" s="1269"/>
      <c r="T897" s="1269"/>
      <c r="U897" s="1269"/>
      <c r="V897" s="1269"/>
      <c r="W897" s="1269"/>
      <c r="X897" s="1269"/>
      <c r="Y897" s="1269"/>
    </row>
    <row r="898" spans="1:25">
      <c r="A898" s="1269"/>
      <c r="D898" s="1269"/>
      <c r="E898" s="1269"/>
      <c r="F898" s="1269"/>
      <c r="G898" s="1269"/>
      <c r="H898" s="1269"/>
      <c r="M898" s="1324"/>
      <c r="O898" s="1274"/>
      <c r="P898" s="1269"/>
      <c r="Q898" s="1269"/>
      <c r="R898" s="1269"/>
      <c r="S898" s="1269"/>
      <c r="T898" s="1269"/>
      <c r="U898" s="1269"/>
      <c r="V898" s="1269"/>
      <c r="W898" s="1269"/>
      <c r="X898" s="1269"/>
      <c r="Y898" s="1269"/>
    </row>
    <row r="899" spans="1:25">
      <c r="A899" s="1269"/>
      <c r="D899" s="1269"/>
      <c r="E899" s="1269"/>
      <c r="F899" s="1269"/>
      <c r="G899" s="1269"/>
      <c r="H899" s="1269"/>
      <c r="M899" s="1324"/>
      <c r="O899" s="1274"/>
      <c r="P899" s="1269"/>
      <c r="Q899" s="1269"/>
      <c r="R899" s="1269"/>
      <c r="S899" s="1269"/>
      <c r="T899" s="1269"/>
      <c r="U899" s="1269"/>
      <c r="V899" s="1269"/>
      <c r="W899" s="1269"/>
      <c r="X899" s="1269"/>
      <c r="Y899" s="1269"/>
    </row>
    <row r="900" spans="1:25">
      <c r="A900" s="1269"/>
      <c r="D900" s="1269"/>
      <c r="E900" s="1269"/>
      <c r="F900" s="1269"/>
      <c r="G900" s="1269"/>
      <c r="H900" s="1269"/>
      <c r="M900" s="1324"/>
      <c r="O900" s="1274"/>
      <c r="P900" s="1269"/>
      <c r="Q900" s="1269"/>
      <c r="R900" s="1269"/>
      <c r="S900" s="1269"/>
      <c r="T900" s="1269"/>
      <c r="U900" s="1269"/>
      <c r="V900" s="1269"/>
      <c r="W900" s="1269"/>
      <c r="X900" s="1269"/>
      <c r="Y900" s="1269"/>
    </row>
    <row r="901" spans="1:25">
      <c r="A901" s="1269"/>
      <c r="D901" s="1269"/>
      <c r="E901" s="1269"/>
      <c r="F901" s="1269"/>
      <c r="G901" s="1269"/>
      <c r="H901" s="1269"/>
      <c r="M901" s="1324"/>
      <c r="O901" s="1274"/>
      <c r="P901" s="1269"/>
      <c r="Q901" s="1269"/>
      <c r="R901" s="1269"/>
      <c r="S901" s="1269"/>
      <c r="T901" s="1269"/>
      <c r="U901" s="1269"/>
      <c r="V901" s="1269"/>
      <c r="W901" s="1269"/>
      <c r="X901" s="1269"/>
      <c r="Y901" s="1269"/>
    </row>
    <row r="902" spans="1:25">
      <c r="A902" s="1269"/>
      <c r="D902" s="1269"/>
      <c r="E902" s="1269"/>
      <c r="F902" s="1269"/>
      <c r="G902" s="1269"/>
      <c r="H902" s="1269"/>
      <c r="M902" s="1324"/>
      <c r="O902" s="1274"/>
      <c r="P902" s="1269"/>
      <c r="Q902" s="1269"/>
      <c r="R902" s="1269"/>
      <c r="S902" s="1269"/>
      <c r="T902" s="1269"/>
      <c r="U902" s="1269"/>
      <c r="V902" s="1269"/>
      <c r="W902" s="1269"/>
      <c r="X902" s="1269"/>
      <c r="Y902" s="1269"/>
    </row>
    <row r="903" spans="1:25">
      <c r="A903" s="1269"/>
      <c r="D903" s="1269"/>
      <c r="E903" s="1269"/>
      <c r="F903" s="1269"/>
      <c r="G903" s="1269"/>
      <c r="H903" s="1269"/>
      <c r="M903" s="1324"/>
      <c r="O903" s="1274"/>
      <c r="P903" s="1269"/>
      <c r="Q903" s="1269"/>
      <c r="R903" s="1269"/>
      <c r="S903" s="1269"/>
      <c r="T903" s="1269"/>
      <c r="U903" s="1269"/>
      <c r="V903" s="1269"/>
      <c r="W903" s="1269"/>
      <c r="X903" s="1269"/>
      <c r="Y903" s="1269"/>
    </row>
    <row r="904" spans="1:25">
      <c r="A904" s="1269"/>
      <c r="D904" s="1269"/>
      <c r="E904" s="1269"/>
      <c r="F904" s="1269"/>
      <c r="G904" s="1269"/>
      <c r="H904" s="1269"/>
      <c r="M904" s="1324"/>
      <c r="O904" s="1274"/>
      <c r="P904" s="1269"/>
      <c r="Q904" s="1269"/>
      <c r="R904" s="1269"/>
      <c r="S904" s="1269"/>
      <c r="T904" s="1269"/>
      <c r="U904" s="1269"/>
      <c r="V904" s="1269"/>
      <c r="W904" s="1269"/>
      <c r="X904" s="1269"/>
      <c r="Y904" s="1269"/>
    </row>
    <row r="905" spans="1:25">
      <c r="A905" s="1269"/>
      <c r="D905" s="1269"/>
      <c r="E905" s="1269"/>
      <c r="F905" s="1269"/>
      <c r="G905" s="1269"/>
      <c r="H905" s="1269"/>
      <c r="M905" s="1324"/>
      <c r="O905" s="1274"/>
      <c r="P905" s="1269"/>
      <c r="Q905" s="1269"/>
      <c r="R905" s="1269"/>
      <c r="S905" s="1269"/>
      <c r="T905" s="1269"/>
      <c r="U905" s="1269"/>
      <c r="V905" s="1269"/>
      <c r="W905" s="1269"/>
      <c r="X905" s="1269"/>
      <c r="Y905" s="1269"/>
    </row>
    <row r="906" spans="1:25">
      <c r="A906" s="1269"/>
      <c r="D906" s="1269"/>
      <c r="E906" s="1269"/>
      <c r="F906" s="1269"/>
      <c r="G906" s="1269"/>
      <c r="H906" s="1269"/>
      <c r="M906" s="1324"/>
      <c r="O906" s="1274"/>
      <c r="P906" s="1269"/>
      <c r="Q906" s="1269"/>
      <c r="R906" s="1269"/>
      <c r="S906" s="1269"/>
      <c r="T906" s="1269"/>
      <c r="U906" s="1269"/>
      <c r="V906" s="1269"/>
      <c r="W906" s="1269"/>
      <c r="X906" s="1269"/>
      <c r="Y906" s="1269"/>
    </row>
    <row r="907" spans="1:25">
      <c r="A907" s="1269"/>
      <c r="D907" s="1269"/>
      <c r="E907" s="1269"/>
      <c r="F907" s="1269"/>
      <c r="G907" s="1269"/>
      <c r="H907" s="1269"/>
      <c r="M907" s="1324"/>
      <c r="O907" s="1274"/>
      <c r="P907" s="1269"/>
      <c r="Q907" s="1269"/>
      <c r="R907" s="1269"/>
      <c r="S907" s="1269"/>
      <c r="T907" s="1269"/>
      <c r="U907" s="1269"/>
      <c r="V907" s="1269"/>
      <c r="W907" s="1269"/>
      <c r="X907" s="1269"/>
      <c r="Y907" s="1269"/>
    </row>
    <row r="908" spans="1:25">
      <c r="A908" s="1269"/>
      <c r="D908" s="1269"/>
      <c r="E908" s="1269"/>
      <c r="F908" s="1269"/>
      <c r="G908" s="1269"/>
      <c r="H908" s="1269"/>
      <c r="M908" s="1324"/>
      <c r="O908" s="1274"/>
      <c r="P908" s="1269"/>
      <c r="Q908" s="1269"/>
      <c r="R908" s="1269"/>
      <c r="S908" s="1269"/>
      <c r="T908" s="1269"/>
      <c r="U908" s="1269"/>
      <c r="V908" s="1269"/>
      <c r="W908" s="1269"/>
      <c r="X908" s="1269"/>
      <c r="Y908" s="1269"/>
    </row>
    <row r="909" spans="1:25">
      <c r="A909" s="1269"/>
      <c r="D909" s="1269"/>
      <c r="E909" s="1269"/>
      <c r="F909" s="1269"/>
      <c r="G909" s="1269"/>
      <c r="H909" s="1269"/>
      <c r="M909" s="1324"/>
      <c r="O909" s="1274"/>
      <c r="P909" s="1269"/>
      <c r="Q909" s="1269"/>
      <c r="R909" s="1269"/>
      <c r="S909" s="1269"/>
      <c r="T909" s="1269"/>
      <c r="U909" s="1269"/>
      <c r="V909" s="1269"/>
      <c r="W909" s="1269"/>
      <c r="X909" s="1269"/>
      <c r="Y909" s="1269"/>
    </row>
    <row r="910" spans="1:25">
      <c r="A910" s="1269"/>
      <c r="D910" s="1269"/>
      <c r="E910" s="1269"/>
      <c r="F910" s="1269"/>
      <c r="G910" s="1269"/>
      <c r="H910" s="1269"/>
      <c r="M910" s="1324"/>
      <c r="O910" s="1274"/>
      <c r="P910" s="1269"/>
      <c r="Q910" s="1269"/>
      <c r="R910" s="1269"/>
      <c r="S910" s="1269"/>
      <c r="T910" s="1269"/>
      <c r="U910" s="1269"/>
      <c r="V910" s="1269"/>
      <c r="W910" s="1269"/>
      <c r="X910" s="1269"/>
      <c r="Y910" s="1269"/>
    </row>
    <row r="911" spans="1:25">
      <c r="A911" s="1269"/>
      <c r="D911" s="1269"/>
      <c r="E911" s="1269"/>
      <c r="F911" s="1269"/>
      <c r="G911" s="1269"/>
      <c r="H911" s="1269"/>
      <c r="M911" s="1324"/>
      <c r="O911" s="1274"/>
      <c r="P911" s="1269"/>
      <c r="Q911" s="1269"/>
      <c r="R911" s="1269"/>
      <c r="S911" s="1269"/>
      <c r="T911" s="1269"/>
      <c r="U911" s="1269"/>
      <c r="V911" s="1269"/>
      <c r="W911" s="1269"/>
      <c r="X911" s="1269"/>
      <c r="Y911" s="1269"/>
    </row>
    <row r="912" spans="1:25">
      <c r="A912" s="1269"/>
      <c r="D912" s="1269"/>
      <c r="E912" s="1269"/>
      <c r="F912" s="1269"/>
      <c r="G912" s="1269"/>
      <c r="H912" s="1269"/>
      <c r="M912" s="1324"/>
      <c r="O912" s="1274"/>
      <c r="P912" s="1269"/>
      <c r="Q912" s="1269"/>
      <c r="R912" s="1269"/>
      <c r="S912" s="1269"/>
      <c r="T912" s="1269"/>
      <c r="U912" s="1269"/>
      <c r="V912" s="1269"/>
      <c r="W912" s="1269"/>
      <c r="X912" s="1269"/>
      <c r="Y912" s="1269"/>
    </row>
    <row r="913" spans="1:25">
      <c r="A913" s="1269"/>
      <c r="D913" s="1269"/>
      <c r="E913" s="1269"/>
      <c r="F913" s="1269"/>
      <c r="G913" s="1269"/>
      <c r="H913" s="1269"/>
      <c r="M913" s="1324"/>
      <c r="O913" s="1274"/>
      <c r="P913" s="1269"/>
      <c r="Q913" s="1269"/>
      <c r="R913" s="1269"/>
      <c r="S913" s="1269"/>
      <c r="T913" s="1269"/>
      <c r="U913" s="1269"/>
      <c r="V913" s="1269"/>
      <c r="W913" s="1269"/>
      <c r="X913" s="1269"/>
      <c r="Y913" s="1269"/>
    </row>
    <row r="914" spans="1:25">
      <c r="A914" s="1269"/>
      <c r="D914" s="1269"/>
      <c r="E914" s="1269"/>
      <c r="F914" s="1269"/>
      <c r="G914" s="1269"/>
      <c r="H914" s="1269"/>
      <c r="M914" s="1324"/>
      <c r="O914" s="1274"/>
      <c r="P914" s="1269"/>
      <c r="Q914" s="1269"/>
      <c r="R914" s="1269"/>
      <c r="S914" s="1269"/>
      <c r="T914" s="1269"/>
      <c r="U914" s="1269"/>
      <c r="V914" s="1269"/>
      <c r="W914" s="1269"/>
      <c r="X914" s="1269"/>
      <c r="Y914" s="1269"/>
    </row>
    <row r="915" spans="1:25">
      <c r="A915" s="1269"/>
      <c r="D915" s="1269"/>
      <c r="E915" s="1269"/>
      <c r="F915" s="1269"/>
      <c r="G915" s="1269"/>
      <c r="H915" s="1269"/>
      <c r="M915" s="1324"/>
      <c r="O915" s="1274"/>
      <c r="P915" s="1269"/>
      <c r="Q915" s="1269"/>
      <c r="R915" s="1269"/>
      <c r="S915" s="1269"/>
      <c r="T915" s="1269"/>
      <c r="U915" s="1269"/>
      <c r="V915" s="1269"/>
      <c r="W915" s="1269"/>
      <c r="X915" s="1269"/>
      <c r="Y915" s="1269"/>
    </row>
    <row r="916" spans="1:25">
      <c r="A916" s="1269"/>
      <c r="D916" s="1269"/>
      <c r="E916" s="1269"/>
      <c r="F916" s="1269"/>
      <c r="G916" s="1269"/>
      <c r="H916" s="1269"/>
      <c r="M916" s="1324"/>
      <c r="O916" s="1274"/>
      <c r="P916" s="1269"/>
      <c r="Q916" s="1269"/>
      <c r="R916" s="1269"/>
      <c r="S916" s="1269"/>
      <c r="T916" s="1269"/>
      <c r="U916" s="1269"/>
      <c r="V916" s="1269"/>
      <c r="W916" s="1269"/>
      <c r="X916" s="1269"/>
      <c r="Y916" s="1269"/>
    </row>
    <row r="917" spans="1:25">
      <c r="A917" s="1269"/>
      <c r="D917" s="1269"/>
      <c r="E917" s="1269"/>
      <c r="F917" s="1269"/>
      <c r="G917" s="1269"/>
      <c r="H917" s="1269"/>
      <c r="M917" s="1324"/>
      <c r="O917" s="1274"/>
      <c r="P917" s="1269"/>
      <c r="Q917" s="1269"/>
      <c r="R917" s="1269"/>
      <c r="S917" s="1269"/>
      <c r="T917" s="1269"/>
      <c r="U917" s="1269"/>
      <c r="V917" s="1269"/>
      <c r="W917" s="1269"/>
      <c r="X917" s="1269"/>
      <c r="Y917" s="1269"/>
    </row>
    <row r="918" spans="1:25">
      <c r="A918" s="1269"/>
      <c r="D918" s="1269"/>
      <c r="E918" s="1269"/>
      <c r="F918" s="1269"/>
      <c r="G918" s="1269"/>
      <c r="H918" s="1269"/>
      <c r="M918" s="1324"/>
      <c r="O918" s="1274"/>
      <c r="P918" s="1269"/>
      <c r="Q918" s="1269"/>
      <c r="R918" s="1269"/>
      <c r="S918" s="1269"/>
      <c r="T918" s="1269"/>
      <c r="U918" s="1269"/>
      <c r="V918" s="1269"/>
      <c r="W918" s="1269"/>
      <c r="X918" s="1269"/>
      <c r="Y918" s="1269"/>
    </row>
    <row r="919" spans="1:25">
      <c r="A919" s="1269"/>
      <c r="D919" s="1269"/>
      <c r="E919" s="1269"/>
      <c r="F919" s="1269"/>
      <c r="G919" s="1269"/>
      <c r="H919" s="1269"/>
      <c r="M919" s="1324"/>
      <c r="O919" s="1274"/>
      <c r="P919" s="1269"/>
      <c r="Q919" s="1269"/>
      <c r="R919" s="1269"/>
      <c r="S919" s="1269"/>
      <c r="T919" s="1269"/>
      <c r="U919" s="1269"/>
      <c r="V919" s="1269"/>
      <c r="W919" s="1269"/>
      <c r="X919" s="1269"/>
      <c r="Y919" s="1269"/>
    </row>
    <row r="920" spans="1:25">
      <c r="A920" s="1269"/>
      <c r="D920" s="1269"/>
      <c r="E920" s="1269"/>
      <c r="F920" s="1269"/>
      <c r="G920" s="1269"/>
      <c r="H920" s="1269"/>
      <c r="M920" s="1324"/>
      <c r="O920" s="1274"/>
      <c r="P920" s="1269"/>
      <c r="Q920" s="1269"/>
      <c r="R920" s="1269"/>
      <c r="S920" s="1269"/>
      <c r="T920" s="1269"/>
      <c r="U920" s="1269"/>
      <c r="V920" s="1269"/>
      <c r="W920" s="1269"/>
      <c r="X920" s="1269"/>
      <c r="Y920" s="1269"/>
    </row>
    <row r="921" spans="1:25">
      <c r="A921" s="1269"/>
      <c r="D921" s="1269"/>
      <c r="E921" s="1269"/>
      <c r="F921" s="1269"/>
      <c r="G921" s="1269"/>
      <c r="H921" s="1269"/>
      <c r="M921" s="1324"/>
      <c r="O921" s="1274"/>
      <c r="P921" s="1269"/>
      <c r="Q921" s="1269"/>
      <c r="R921" s="1269"/>
      <c r="S921" s="1269"/>
      <c r="T921" s="1269"/>
      <c r="U921" s="1269"/>
      <c r="V921" s="1269"/>
      <c r="W921" s="1269"/>
      <c r="X921" s="1269"/>
      <c r="Y921" s="1269"/>
    </row>
    <row r="922" spans="1:25">
      <c r="A922" s="1269"/>
      <c r="D922" s="1269"/>
      <c r="E922" s="1269"/>
      <c r="F922" s="1269"/>
      <c r="G922" s="1269"/>
      <c r="H922" s="1269"/>
      <c r="M922" s="1324"/>
      <c r="O922" s="1274"/>
      <c r="P922" s="1269"/>
      <c r="Q922" s="1269"/>
      <c r="R922" s="1269"/>
      <c r="S922" s="1269"/>
      <c r="T922" s="1269"/>
      <c r="U922" s="1269"/>
      <c r="V922" s="1269"/>
      <c r="W922" s="1269"/>
      <c r="X922" s="1269"/>
      <c r="Y922" s="1269"/>
    </row>
    <row r="923" spans="1:25">
      <c r="A923" s="1269"/>
      <c r="D923" s="1269"/>
      <c r="E923" s="1269"/>
      <c r="F923" s="1269"/>
      <c r="G923" s="1269"/>
      <c r="H923" s="1269"/>
      <c r="M923" s="1324"/>
      <c r="O923" s="1274"/>
      <c r="P923" s="1269"/>
      <c r="Q923" s="1269"/>
      <c r="R923" s="1269"/>
      <c r="S923" s="1269"/>
      <c r="T923" s="1269"/>
      <c r="U923" s="1269"/>
      <c r="V923" s="1269"/>
      <c r="W923" s="1269"/>
      <c r="X923" s="1269"/>
      <c r="Y923" s="1269"/>
    </row>
    <row r="924" spans="1:25">
      <c r="A924" s="1269"/>
      <c r="D924" s="1269"/>
      <c r="E924" s="1269"/>
      <c r="F924" s="1269"/>
      <c r="G924" s="1269"/>
      <c r="H924" s="1269"/>
      <c r="M924" s="1324"/>
      <c r="O924" s="1274"/>
      <c r="P924" s="1269"/>
      <c r="Q924" s="1269"/>
      <c r="R924" s="1269"/>
      <c r="S924" s="1269"/>
      <c r="T924" s="1269"/>
      <c r="U924" s="1269"/>
      <c r="V924" s="1269"/>
      <c r="W924" s="1269"/>
      <c r="X924" s="1269"/>
      <c r="Y924" s="1269"/>
    </row>
    <row r="925" spans="1:25">
      <c r="A925" s="1269"/>
      <c r="D925" s="1269"/>
      <c r="E925" s="1269"/>
      <c r="F925" s="1269"/>
      <c r="G925" s="1269"/>
      <c r="H925" s="1269"/>
      <c r="M925" s="1324"/>
      <c r="O925" s="1274"/>
      <c r="P925" s="1269"/>
      <c r="Q925" s="1269"/>
      <c r="R925" s="1269"/>
      <c r="S925" s="1269"/>
      <c r="T925" s="1269"/>
      <c r="U925" s="1269"/>
      <c r="V925" s="1269"/>
      <c r="W925" s="1269"/>
      <c r="X925" s="1269"/>
      <c r="Y925" s="1269"/>
    </row>
    <row r="926" spans="1:25">
      <c r="A926" s="1269"/>
      <c r="D926" s="1269"/>
      <c r="E926" s="1269"/>
      <c r="F926" s="1269"/>
      <c r="G926" s="1269"/>
      <c r="H926" s="1269"/>
      <c r="M926" s="1324"/>
      <c r="O926" s="1274"/>
      <c r="P926" s="1269"/>
      <c r="Q926" s="1269"/>
      <c r="R926" s="1269"/>
      <c r="S926" s="1269"/>
      <c r="T926" s="1269"/>
      <c r="U926" s="1269"/>
      <c r="V926" s="1269"/>
      <c r="W926" s="1269"/>
      <c r="X926" s="1269"/>
      <c r="Y926" s="1269"/>
    </row>
    <row r="927" spans="1:25">
      <c r="A927" s="1269"/>
      <c r="D927" s="1269"/>
      <c r="E927" s="1269"/>
      <c r="F927" s="1269"/>
      <c r="G927" s="1269"/>
      <c r="H927" s="1269"/>
      <c r="M927" s="1324"/>
      <c r="O927" s="1274"/>
      <c r="P927" s="1269"/>
      <c r="Q927" s="1269"/>
      <c r="R927" s="1269"/>
      <c r="S927" s="1269"/>
      <c r="T927" s="1269"/>
      <c r="U927" s="1269"/>
      <c r="V927" s="1269"/>
      <c r="W927" s="1269"/>
      <c r="X927" s="1269"/>
      <c r="Y927" s="1269"/>
    </row>
    <row r="928" spans="1:25">
      <c r="A928" s="1269"/>
      <c r="D928" s="1269"/>
      <c r="E928" s="1269"/>
      <c r="F928" s="1269"/>
      <c r="G928" s="1269"/>
      <c r="H928" s="1269"/>
      <c r="M928" s="1324"/>
      <c r="O928" s="1274"/>
      <c r="P928" s="1269"/>
      <c r="Q928" s="1269"/>
      <c r="R928" s="1269"/>
      <c r="S928" s="1269"/>
      <c r="T928" s="1269"/>
      <c r="U928" s="1269"/>
      <c r="V928" s="1269"/>
      <c r="W928" s="1269"/>
      <c r="X928" s="1269"/>
      <c r="Y928" s="1269"/>
    </row>
    <row r="929" spans="1:25">
      <c r="A929" s="1269"/>
      <c r="D929" s="1269"/>
      <c r="E929" s="1269"/>
      <c r="F929" s="1269"/>
      <c r="G929" s="1269"/>
      <c r="H929" s="1269"/>
      <c r="M929" s="1324"/>
      <c r="O929" s="1274"/>
      <c r="P929" s="1269"/>
      <c r="Q929" s="1269"/>
      <c r="R929" s="1269"/>
      <c r="S929" s="1269"/>
      <c r="T929" s="1269"/>
      <c r="U929" s="1269"/>
      <c r="V929" s="1269"/>
      <c r="W929" s="1269"/>
      <c r="X929" s="1269"/>
      <c r="Y929" s="1269"/>
    </row>
    <row r="930" spans="1:25">
      <c r="A930" s="1269"/>
      <c r="D930" s="1269"/>
      <c r="E930" s="1269"/>
      <c r="F930" s="1269"/>
      <c r="G930" s="1269"/>
      <c r="H930" s="1269"/>
      <c r="M930" s="1324"/>
      <c r="O930" s="1274"/>
      <c r="P930" s="1269"/>
      <c r="Q930" s="1269"/>
      <c r="R930" s="1269"/>
      <c r="S930" s="1269"/>
      <c r="T930" s="1269"/>
      <c r="U930" s="1269"/>
      <c r="V930" s="1269"/>
      <c r="W930" s="1269"/>
      <c r="X930" s="1269"/>
      <c r="Y930" s="1269"/>
    </row>
    <row r="931" spans="1:25">
      <c r="A931" s="1269"/>
      <c r="D931" s="1269"/>
      <c r="E931" s="1269"/>
      <c r="F931" s="1269"/>
      <c r="G931" s="1269"/>
      <c r="H931" s="1269"/>
      <c r="M931" s="1324"/>
      <c r="O931" s="1274"/>
      <c r="P931" s="1269"/>
      <c r="Q931" s="1269"/>
      <c r="R931" s="1269"/>
      <c r="S931" s="1269"/>
      <c r="T931" s="1269"/>
      <c r="U931" s="1269"/>
      <c r="V931" s="1269"/>
      <c r="W931" s="1269"/>
      <c r="X931" s="1269"/>
      <c r="Y931" s="1269"/>
    </row>
    <row r="932" spans="1:25">
      <c r="A932" s="1269"/>
      <c r="D932" s="1269"/>
      <c r="E932" s="1269"/>
      <c r="F932" s="1269"/>
      <c r="G932" s="1269"/>
      <c r="H932" s="1269"/>
      <c r="M932" s="1324"/>
      <c r="O932" s="1274"/>
      <c r="P932" s="1269"/>
      <c r="Q932" s="1269"/>
      <c r="R932" s="1269"/>
      <c r="S932" s="1269"/>
      <c r="T932" s="1269"/>
      <c r="U932" s="1269"/>
      <c r="V932" s="1269"/>
      <c r="W932" s="1269"/>
      <c r="X932" s="1269"/>
      <c r="Y932" s="1269"/>
    </row>
    <row r="933" spans="1:25">
      <c r="A933" s="1269"/>
      <c r="D933" s="1269"/>
      <c r="E933" s="1269"/>
      <c r="F933" s="1269"/>
      <c r="G933" s="1269"/>
      <c r="H933" s="1269"/>
      <c r="M933" s="1324"/>
      <c r="O933" s="1274"/>
      <c r="P933" s="1269"/>
      <c r="Q933" s="1269"/>
      <c r="R933" s="1269"/>
      <c r="S933" s="1269"/>
      <c r="T933" s="1269"/>
      <c r="U933" s="1269"/>
      <c r="V933" s="1269"/>
      <c r="W933" s="1269"/>
      <c r="X933" s="1269"/>
      <c r="Y933" s="1269"/>
    </row>
    <row r="934" spans="1:25">
      <c r="A934" s="1269"/>
      <c r="D934" s="1269"/>
      <c r="E934" s="1269"/>
      <c r="F934" s="1269"/>
      <c r="G934" s="1269"/>
      <c r="H934" s="1269"/>
      <c r="M934" s="1324"/>
      <c r="O934" s="1274"/>
      <c r="P934" s="1269"/>
      <c r="Q934" s="1269"/>
      <c r="R934" s="1269"/>
      <c r="S934" s="1269"/>
      <c r="T934" s="1269"/>
      <c r="U934" s="1269"/>
      <c r="V934" s="1269"/>
      <c r="W934" s="1269"/>
      <c r="X934" s="1269"/>
      <c r="Y934" s="1269"/>
    </row>
    <row r="935" spans="1:25">
      <c r="A935" s="1269"/>
      <c r="D935" s="1269"/>
      <c r="E935" s="1269"/>
      <c r="F935" s="1269"/>
      <c r="G935" s="1269"/>
      <c r="H935" s="1269"/>
      <c r="M935" s="1324"/>
      <c r="O935" s="1274"/>
      <c r="P935" s="1269"/>
      <c r="Q935" s="1269"/>
      <c r="R935" s="1269"/>
      <c r="S935" s="1269"/>
      <c r="T935" s="1269"/>
      <c r="U935" s="1269"/>
      <c r="V935" s="1269"/>
      <c r="W935" s="1269"/>
      <c r="X935" s="1269"/>
      <c r="Y935" s="1269"/>
    </row>
    <row r="936" spans="1:25">
      <c r="A936" s="1269"/>
      <c r="D936" s="1269"/>
      <c r="E936" s="1269"/>
      <c r="F936" s="1269"/>
      <c r="G936" s="1269"/>
      <c r="H936" s="1269"/>
      <c r="M936" s="1324"/>
      <c r="O936" s="1274"/>
      <c r="P936" s="1269"/>
      <c r="Q936" s="1269"/>
      <c r="R936" s="1269"/>
      <c r="S936" s="1269"/>
      <c r="T936" s="1269"/>
      <c r="U936" s="1269"/>
      <c r="V936" s="1269"/>
      <c r="W936" s="1269"/>
      <c r="X936" s="1269"/>
      <c r="Y936" s="1269"/>
    </row>
    <row r="937" spans="1:25">
      <c r="A937" s="1269"/>
      <c r="D937" s="1269"/>
      <c r="E937" s="1269"/>
      <c r="F937" s="1269"/>
      <c r="G937" s="1269"/>
      <c r="H937" s="1269"/>
      <c r="M937" s="1324"/>
      <c r="O937" s="1274"/>
      <c r="P937" s="1269"/>
      <c r="Q937" s="1269"/>
      <c r="R937" s="1269"/>
      <c r="S937" s="1269"/>
      <c r="T937" s="1269"/>
      <c r="U937" s="1269"/>
      <c r="V937" s="1269"/>
      <c r="W937" s="1269"/>
      <c r="X937" s="1269"/>
      <c r="Y937" s="1269"/>
    </row>
    <row r="938" spans="1:25">
      <c r="A938" s="1269"/>
      <c r="D938" s="1269"/>
      <c r="E938" s="1269"/>
      <c r="F938" s="1269"/>
      <c r="G938" s="1269"/>
      <c r="H938" s="1269"/>
      <c r="M938" s="1324"/>
      <c r="O938" s="1274"/>
      <c r="P938" s="1269"/>
      <c r="Q938" s="1269"/>
      <c r="R938" s="1269"/>
      <c r="S938" s="1269"/>
      <c r="T938" s="1269"/>
      <c r="U938" s="1269"/>
      <c r="V938" s="1269"/>
      <c r="W938" s="1269"/>
      <c r="X938" s="1269"/>
      <c r="Y938" s="1269"/>
    </row>
    <row r="939" spans="1:25">
      <c r="A939" s="1269"/>
      <c r="D939" s="1269"/>
      <c r="E939" s="1269"/>
      <c r="F939" s="1269"/>
      <c r="G939" s="1269"/>
      <c r="H939" s="1269"/>
      <c r="M939" s="1324"/>
      <c r="O939" s="1274"/>
      <c r="P939" s="1269"/>
      <c r="Q939" s="1269"/>
      <c r="R939" s="1269"/>
      <c r="S939" s="1269"/>
      <c r="T939" s="1269"/>
      <c r="U939" s="1269"/>
      <c r="V939" s="1269"/>
      <c r="W939" s="1269"/>
      <c r="X939" s="1269"/>
      <c r="Y939" s="1269"/>
    </row>
    <row r="940" spans="1:25">
      <c r="A940" s="1269"/>
      <c r="D940" s="1269"/>
      <c r="E940" s="1269"/>
      <c r="F940" s="1269"/>
      <c r="G940" s="1269"/>
      <c r="H940" s="1269"/>
      <c r="M940" s="1324"/>
      <c r="O940" s="1274"/>
      <c r="P940" s="1269"/>
      <c r="Q940" s="1269"/>
      <c r="R940" s="1269"/>
      <c r="S940" s="1269"/>
      <c r="T940" s="1269"/>
      <c r="U940" s="1269"/>
      <c r="V940" s="1269"/>
      <c r="W940" s="1269"/>
      <c r="X940" s="1269"/>
      <c r="Y940" s="1269"/>
    </row>
    <row r="941" spans="1:25">
      <c r="A941" s="1269"/>
      <c r="D941" s="1269"/>
      <c r="E941" s="1269"/>
      <c r="F941" s="1269"/>
      <c r="G941" s="1269"/>
      <c r="H941" s="1269"/>
      <c r="M941" s="1324"/>
      <c r="O941" s="1274"/>
      <c r="P941" s="1269"/>
      <c r="Q941" s="1269"/>
      <c r="R941" s="1269"/>
      <c r="S941" s="1269"/>
      <c r="T941" s="1269"/>
      <c r="U941" s="1269"/>
      <c r="V941" s="1269"/>
      <c r="W941" s="1269"/>
      <c r="X941" s="1269"/>
      <c r="Y941" s="1269"/>
    </row>
    <row r="942" spans="1:25">
      <c r="A942" s="1269"/>
      <c r="D942" s="1269"/>
      <c r="E942" s="1269"/>
      <c r="F942" s="1269"/>
      <c r="G942" s="1269"/>
      <c r="H942" s="1269"/>
      <c r="M942" s="1324"/>
      <c r="O942" s="1274"/>
      <c r="P942" s="1269"/>
      <c r="Q942" s="1269"/>
      <c r="R942" s="1269"/>
      <c r="S942" s="1269"/>
      <c r="T942" s="1269"/>
      <c r="U942" s="1269"/>
      <c r="V942" s="1269"/>
      <c r="W942" s="1269"/>
      <c r="X942" s="1269"/>
      <c r="Y942" s="1269"/>
    </row>
    <row r="943" spans="1:25">
      <c r="A943" s="1269"/>
      <c r="D943" s="1269"/>
      <c r="E943" s="1269"/>
      <c r="F943" s="1269"/>
      <c r="G943" s="1269"/>
      <c r="H943" s="1269"/>
      <c r="M943" s="1324"/>
      <c r="O943" s="1274"/>
      <c r="P943" s="1269"/>
      <c r="Q943" s="1269"/>
      <c r="R943" s="1269"/>
      <c r="S943" s="1269"/>
      <c r="T943" s="1269"/>
      <c r="U943" s="1269"/>
      <c r="V943" s="1269"/>
      <c r="W943" s="1269"/>
      <c r="X943" s="1269"/>
      <c r="Y943" s="1269"/>
    </row>
    <row r="944" spans="1:25">
      <c r="A944" s="1269"/>
      <c r="D944" s="1269"/>
      <c r="E944" s="1269"/>
      <c r="F944" s="1269"/>
      <c r="G944" s="1269"/>
      <c r="H944" s="1269"/>
      <c r="M944" s="1324"/>
      <c r="O944" s="1274"/>
      <c r="P944" s="1269"/>
      <c r="Q944" s="1269"/>
      <c r="R944" s="1269"/>
      <c r="S944" s="1269"/>
      <c r="T944" s="1269"/>
      <c r="U944" s="1269"/>
      <c r="V944" s="1269"/>
      <c r="W944" s="1269"/>
      <c r="X944" s="1269"/>
      <c r="Y944" s="1269"/>
    </row>
    <row r="945" spans="1:25">
      <c r="A945" s="1269"/>
      <c r="D945" s="1269"/>
      <c r="E945" s="1269"/>
      <c r="F945" s="1269"/>
      <c r="G945" s="1269"/>
      <c r="H945" s="1269"/>
      <c r="M945" s="1324"/>
      <c r="O945" s="1274"/>
      <c r="P945" s="1269"/>
      <c r="Q945" s="1269"/>
      <c r="R945" s="1269"/>
      <c r="S945" s="1269"/>
      <c r="T945" s="1269"/>
      <c r="U945" s="1269"/>
      <c r="V945" s="1269"/>
      <c r="W945" s="1269"/>
      <c r="X945" s="1269"/>
      <c r="Y945" s="1269"/>
    </row>
    <row r="946" spans="1:25">
      <c r="A946" s="1269"/>
      <c r="D946" s="1269"/>
      <c r="E946" s="1269"/>
      <c r="F946" s="1269"/>
      <c r="G946" s="1269"/>
      <c r="H946" s="1269"/>
      <c r="M946" s="1324"/>
      <c r="O946" s="1274"/>
      <c r="P946" s="1269"/>
      <c r="Q946" s="1269"/>
      <c r="R946" s="1269"/>
      <c r="S946" s="1269"/>
      <c r="T946" s="1269"/>
      <c r="U946" s="1269"/>
      <c r="V946" s="1269"/>
      <c r="W946" s="1269"/>
      <c r="X946" s="1269"/>
      <c r="Y946" s="1269"/>
    </row>
    <row r="947" spans="1:25">
      <c r="A947" s="1269"/>
      <c r="D947" s="1269"/>
      <c r="E947" s="1269"/>
      <c r="F947" s="1269"/>
      <c r="G947" s="1269"/>
      <c r="H947" s="1269"/>
      <c r="M947" s="1324"/>
      <c r="O947" s="1274"/>
      <c r="P947" s="1269"/>
      <c r="Q947" s="1269"/>
      <c r="R947" s="1269"/>
      <c r="S947" s="1269"/>
      <c r="T947" s="1269"/>
      <c r="U947" s="1269"/>
      <c r="V947" s="1269"/>
      <c r="W947" s="1269"/>
      <c r="X947" s="1269"/>
      <c r="Y947" s="1269"/>
    </row>
    <row r="948" spans="1:25">
      <c r="A948" s="1269"/>
      <c r="D948" s="1269"/>
      <c r="E948" s="1269"/>
      <c r="F948" s="1269"/>
      <c r="G948" s="1269"/>
      <c r="H948" s="1269"/>
      <c r="M948" s="1324"/>
      <c r="O948" s="1274"/>
      <c r="P948" s="1269"/>
      <c r="Q948" s="1269"/>
      <c r="R948" s="1269"/>
      <c r="S948" s="1269"/>
      <c r="T948" s="1269"/>
      <c r="U948" s="1269"/>
      <c r="V948" s="1269"/>
      <c r="W948" s="1269"/>
      <c r="X948" s="1269"/>
      <c r="Y948" s="1269"/>
    </row>
    <row r="949" spans="1:25">
      <c r="A949" s="1269"/>
      <c r="D949" s="1269"/>
      <c r="E949" s="1269"/>
      <c r="F949" s="1269"/>
      <c r="G949" s="1269"/>
      <c r="H949" s="1269"/>
      <c r="M949" s="1324"/>
      <c r="O949" s="1274"/>
      <c r="P949" s="1269"/>
      <c r="Q949" s="1269"/>
      <c r="R949" s="1269"/>
      <c r="S949" s="1269"/>
      <c r="T949" s="1269"/>
      <c r="U949" s="1269"/>
      <c r="V949" s="1269"/>
      <c r="W949" s="1269"/>
      <c r="X949" s="1269"/>
      <c r="Y949" s="1269"/>
    </row>
    <row r="950" spans="1:25">
      <c r="A950" s="1269"/>
      <c r="D950" s="1269"/>
      <c r="E950" s="1269"/>
      <c r="F950" s="1269"/>
      <c r="G950" s="1269"/>
      <c r="H950" s="1269"/>
      <c r="M950" s="1324"/>
      <c r="O950" s="1274"/>
      <c r="P950" s="1269"/>
      <c r="Q950" s="1269"/>
      <c r="R950" s="1269"/>
      <c r="S950" s="1269"/>
      <c r="T950" s="1269"/>
      <c r="U950" s="1269"/>
      <c r="V950" s="1269"/>
      <c r="W950" s="1269"/>
      <c r="X950" s="1269"/>
      <c r="Y950" s="1269"/>
    </row>
    <row r="951" spans="1:25">
      <c r="A951" s="1269"/>
      <c r="D951" s="1269"/>
      <c r="E951" s="1269"/>
      <c r="F951" s="1269"/>
      <c r="G951" s="1269"/>
      <c r="H951" s="1269"/>
      <c r="M951" s="1324"/>
      <c r="O951" s="1274"/>
      <c r="P951" s="1269"/>
      <c r="Q951" s="1269"/>
      <c r="R951" s="1269"/>
      <c r="S951" s="1269"/>
      <c r="T951" s="1269"/>
      <c r="U951" s="1269"/>
      <c r="V951" s="1269"/>
      <c r="W951" s="1269"/>
      <c r="X951" s="1269"/>
      <c r="Y951" s="1269"/>
    </row>
    <row r="952" spans="1:25">
      <c r="A952" s="1269"/>
      <c r="D952" s="1269"/>
      <c r="E952" s="1269"/>
      <c r="F952" s="1269"/>
      <c r="G952" s="1269"/>
      <c r="H952" s="1269"/>
      <c r="M952" s="1324"/>
      <c r="O952" s="1274"/>
      <c r="P952" s="1269"/>
      <c r="Q952" s="1269"/>
      <c r="R952" s="1269"/>
      <c r="S952" s="1269"/>
      <c r="T952" s="1269"/>
      <c r="U952" s="1269"/>
      <c r="V952" s="1269"/>
      <c r="W952" s="1269"/>
      <c r="X952" s="1269"/>
      <c r="Y952" s="1269"/>
    </row>
    <row r="953" spans="1:25">
      <c r="A953" s="1269"/>
      <c r="D953" s="1269"/>
      <c r="E953" s="1269"/>
      <c r="F953" s="1269"/>
      <c r="G953" s="1269"/>
      <c r="H953" s="1269"/>
      <c r="M953" s="1324"/>
      <c r="O953" s="1274"/>
      <c r="P953" s="1269"/>
      <c r="Q953" s="1269"/>
      <c r="R953" s="1269"/>
      <c r="S953" s="1269"/>
      <c r="T953" s="1269"/>
      <c r="U953" s="1269"/>
      <c r="V953" s="1269"/>
      <c r="W953" s="1269"/>
      <c r="X953" s="1269"/>
      <c r="Y953" s="1269"/>
    </row>
    <row r="954" spans="1:25">
      <c r="A954" s="1269"/>
      <c r="D954" s="1269"/>
      <c r="E954" s="1269"/>
      <c r="F954" s="1269"/>
      <c r="G954" s="1269"/>
      <c r="H954" s="1269"/>
      <c r="M954" s="1324"/>
      <c r="O954" s="1274"/>
      <c r="P954" s="1269"/>
      <c r="Q954" s="1269"/>
      <c r="R954" s="1269"/>
      <c r="S954" s="1269"/>
      <c r="T954" s="1269"/>
      <c r="U954" s="1269"/>
      <c r="V954" s="1269"/>
      <c r="W954" s="1269"/>
      <c r="X954" s="1269"/>
      <c r="Y954" s="1269"/>
    </row>
    <row r="955" spans="1:25">
      <c r="A955" s="1269"/>
      <c r="D955" s="1269"/>
      <c r="E955" s="1269"/>
      <c r="F955" s="1269"/>
      <c r="G955" s="1269"/>
      <c r="H955" s="1269"/>
      <c r="M955" s="1324"/>
      <c r="O955" s="1274"/>
      <c r="P955" s="1269"/>
      <c r="Q955" s="1269"/>
      <c r="R955" s="1269"/>
      <c r="S955" s="1269"/>
      <c r="T955" s="1269"/>
      <c r="U955" s="1269"/>
      <c r="V955" s="1269"/>
      <c r="W955" s="1269"/>
      <c r="X955" s="1269"/>
      <c r="Y955" s="1269"/>
    </row>
    <row r="956" spans="1:25">
      <c r="A956" s="1269"/>
      <c r="D956" s="1269"/>
      <c r="E956" s="1269"/>
      <c r="F956" s="1269"/>
      <c r="G956" s="1269"/>
      <c r="H956" s="1269"/>
      <c r="M956" s="1324"/>
      <c r="O956" s="1274"/>
      <c r="P956" s="1269"/>
      <c r="Q956" s="1269"/>
      <c r="R956" s="1269"/>
      <c r="S956" s="1269"/>
      <c r="T956" s="1269"/>
      <c r="U956" s="1269"/>
      <c r="V956" s="1269"/>
      <c r="W956" s="1269"/>
      <c r="X956" s="1269"/>
      <c r="Y956" s="1269"/>
    </row>
    <row r="957" spans="1:25">
      <c r="A957" s="1269"/>
      <c r="D957" s="1269"/>
      <c r="E957" s="1269"/>
      <c r="F957" s="1269"/>
      <c r="G957" s="1269"/>
      <c r="H957" s="1269"/>
      <c r="M957" s="1324"/>
      <c r="O957" s="1274"/>
      <c r="P957" s="1269"/>
      <c r="Q957" s="1269"/>
      <c r="R957" s="1269"/>
      <c r="S957" s="1269"/>
      <c r="T957" s="1269"/>
      <c r="U957" s="1269"/>
      <c r="V957" s="1269"/>
      <c r="W957" s="1269"/>
      <c r="X957" s="1269"/>
      <c r="Y957" s="1269"/>
    </row>
    <row r="958" spans="1:25">
      <c r="A958" s="1269"/>
      <c r="D958" s="1269"/>
      <c r="E958" s="1269"/>
      <c r="F958" s="1269"/>
      <c r="G958" s="1269"/>
      <c r="H958" s="1269"/>
      <c r="M958" s="1324"/>
      <c r="O958" s="1274"/>
      <c r="P958" s="1269"/>
      <c r="Q958" s="1269"/>
      <c r="R958" s="1269"/>
      <c r="S958" s="1269"/>
      <c r="T958" s="1269"/>
      <c r="U958" s="1269"/>
      <c r="V958" s="1269"/>
      <c r="W958" s="1269"/>
      <c r="X958" s="1269"/>
      <c r="Y958" s="1269"/>
    </row>
    <row r="959" spans="1:25">
      <c r="A959" s="1269"/>
      <c r="D959" s="1269"/>
      <c r="E959" s="1269"/>
      <c r="F959" s="1269"/>
      <c r="G959" s="1269"/>
      <c r="H959" s="1269"/>
      <c r="M959" s="1324"/>
      <c r="O959" s="1274"/>
      <c r="P959" s="1269"/>
      <c r="Q959" s="1269"/>
      <c r="R959" s="1269"/>
      <c r="S959" s="1269"/>
      <c r="T959" s="1269"/>
      <c r="U959" s="1269"/>
      <c r="V959" s="1269"/>
      <c r="W959" s="1269"/>
      <c r="X959" s="1269"/>
      <c r="Y959" s="1269"/>
    </row>
    <row r="960" spans="1:25">
      <c r="A960" s="1269"/>
      <c r="D960" s="1269"/>
      <c r="E960" s="1269"/>
      <c r="F960" s="1269"/>
      <c r="G960" s="1269"/>
      <c r="H960" s="1269"/>
      <c r="M960" s="1324"/>
      <c r="O960" s="1274"/>
      <c r="P960" s="1269"/>
      <c r="Q960" s="1269"/>
      <c r="R960" s="1269"/>
      <c r="S960" s="1269"/>
      <c r="T960" s="1269"/>
      <c r="U960" s="1269"/>
      <c r="V960" s="1269"/>
      <c r="W960" s="1269"/>
      <c r="X960" s="1269"/>
      <c r="Y960" s="1269"/>
    </row>
    <row r="961" spans="1:25">
      <c r="A961" s="1269"/>
      <c r="D961" s="1269"/>
      <c r="E961" s="1269"/>
      <c r="F961" s="1269"/>
      <c r="G961" s="1269"/>
      <c r="H961" s="1269"/>
      <c r="M961" s="1324"/>
      <c r="O961" s="1274"/>
      <c r="P961" s="1269"/>
      <c r="Q961" s="1269"/>
      <c r="R961" s="1269"/>
      <c r="S961" s="1269"/>
      <c r="T961" s="1269"/>
      <c r="U961" s="1269"/>
      <c r="V961" s="1269"/>
      <c r="W961" s="1269"/>
      <c r="X961" s="1269"/>
      <c r="Y961" s="1269"/>
    </row>
    <row r="962" spans="1:25">
      <c r="A962" s="1269"/>
      <c r="D962" s="1269"/>
      <c r="E962" s="1269"/>
      <c r="F962" s="1269"/>
      <c r="G962" s="1269"/>
      <c r="H962" s="1269"/>
      <c r="M962" s="1324"/>
      <c r="O962" s="1274"/>
      <c r="P962" s="1269"/>
      <c r="Q962" s="1269"/>
      <c r="R962" s="1269"/>
      <c r="S962" s="1269"/>
      <c r="T962" s="1269"/>
      <c r="U962" s="1269"/>
      <c r="V962" s="1269"/>
      <c r="W962" s="1269"/>
      <c r="X962" s="1269"/>
      <c r="Y962" s="1269"/>
    </row>
    <row r="963" spans="1:25">
      <c r="A963" s="1269"/>
      <c r="D963" s="1269"/>
      <c r="E963" s="1269"/>
      <c r="F963" s="1269"/>
      <c r="G963" s="1269"/>
      <c r="H963" s="1269"/>
      <c r="M963" s="1324"/>
      <c r="O963" s="1274"/>
      <c r="P963" s="1269"/>
      <c r="Q963" s="1269"/>
      <c r="R963" s="1269"/>
      <c r="S963" s="1269"/>
      <c r="T963" s="1269"/>
      <c r="U963" s="1269"/>
      <c r="V963" s="1269"/>
      <c r="W963" s="1269"/>
      <c r="X963" s="1269"/>
      <c r="Y963" s="1269"/>
    </row>
    <row r="964" spans="1:25">
      <c r="A964" s="1269"/>
      <c r="D964" s="1269"/>
      <c r="E964" s="1269"/>
      <c r="F964" s="1269"/>
      <c r="G964" s="1269"/>
      <c r="H964" s="1269"/>
      <c r="M964" s="1324"/>
      <c r="O964" s="1274"/>
      <c r="P964" s="1269"/>
      <c r="Q964" s="1269"/>
      <c r="R964" s="1269"/>
      <c r="S964" s="1269"/>
      <c r="T964" s="1269"/>
      <c r="U964" s="1269"/>
      <c r="V964" s="1269"/>
      <c r="W964" s="1269"/>
      <c r="X964" s="1269"/>
      <c r="Y964" s="1269"/>
    </row>
    <row r="965" spans="1:25">
      <c r="A965" s="1269"/>
      <c r="D965" s="1269"/>
      <c r="E965" s="1269"/>
      <c r="F965" s="1269"/>
      <c r="G965" s="1269"/>
      <c r="H965" s="1269"/>
      <c r="M965" s="1324"/>
      <c r="O965" s="1274"/>
      <c r="P965" s="1269"/>
      <c r="Q965" s="1269"/>
      <c r="R965" s="1269"/>
      <c r="S965" s="1269"/>
      <c r="T965" s="1269"/>
      <c r="U965" s="1269"/>
      <c r="V965" s="1269"/>
      <c r="W965" s="1269"/>
      <c r="X965" s="1269"/>
      <c r="Y965" s="1269"/>
    </row>
    <row r="966" spans="1:25">
      <c r="A966" s="1269"/>
      <c r="D966" s="1269"/>
      <c r="E966" s="1269"/>
      <c r="F966" s="1269"/>
      <c r="G966" s="1269"/>
      <c r="H966" s="1269"/>
      <c r="M966" s="1324"/>
      <c r="O966" s="1274"/>
      <c r="P966" s="1269"/>
      <c r="Q966" s="1269"/>
      <c r="R966" s="1269"/>
      <c r="S966" s="1269"/>
      <c r="T966" s="1269"/>
      <c r="U966" s="1269"/>
      <c r="V966" s="1269"/>
      <c r="W966" s="1269"/>
      <c r="X966" s="1269"/>
      <c r="Y966" s="1269"/>
    </row>
    <row r="967" spans="1:25">
      <c r="A967" s="1269"/>
      <c r="D967" s="1269"/>
      <c r="E967" s="1269"/>
      <c r="F967" s="1269"/>
      <c r="G967" s="1269"/>
      <c r="H967" s="1269"/>
      <c r="M967" s="1324"/>
      <c r="O967" s="1274"/>
      <c r="P967" s="1269"/>
      <c r="Q967" s="1269"/>
      <c r="R967" s="1269"/>
      <c r="S967" s="1269"/>
      <c r="T967" s="1269"/>
      <c r="U967" s="1269"/>
      <c r="V967" s="1269"/>
      <c r="W967" s="1269"/>
      <c r="X967" s="1269"/>
      <c r="Y967" s="1269"/>
    </row>
    <row r="968" spans="1:25">
      <c r="A968" s="1269"/>
      <c r="D968" s="1269"/>
      <c r="E968" s="1269"/>
      <c r="F968" s="1269"/>
      <c r="G968" s="1269"/>
      <c r="H968" s="1269"/>
      <c r="M968" s="1324"/>
      <c r="O968" s="1274"/>
      <c r="P968" s="1269"/>
      <c r="Q968" s="1269"/>
      <c r="R968" s="1269"/>
      <c r="S968" s="1269"/>
      <c r="T968" s="1269"/>
      <c r="U968" s="1269"/>
      <c r="V968" s="1269"/>
      <c r="W968" s="1269"/>
      <c r="X968" s="1269"/>
      <c r="Y968" s="1269"/>
    </row>
    <row r="969" spans="1:25">
      <c r="A969" s="1269"/>
      <c r="D969" s="1269"/>
      <c r="E969" s="1269"/>
      <c r="F969" s="1269"/>
      <c r="G969" s="1269"/>
      <c r="H969" s="1269"/>
      <c r="M969" s="1324"/>
      <c r="O969" s="1274"/>
      <c r="P969" s="1269"/>
      <c r="Q969" s="1269"/>
      <c r="R969" s="1269"/>
      <c r="S969" s="1269"/>
      <c r="T969" s="1269"/>
      <c r="U969" s="1269"/>
      <c r="V969" s="1269"/>
      <c r="W969" s="1269"/>
      <c r="X969" s="1269"/>
      <c r="Y969" s="1269"/>
    </row>
    <row r="970" spans="1:25">
      <c r="A970" s="1269"/>
      <c r="D970" s="1269"/>
      <c r="E970" s="1269"/>
      <c r="F970" s="1269"/>
      <c r="G970" s="1269"/>
      <c r="H970" s="1269"/>
      <c r="M970" s="1324"/>
      <c r="O970" s="1274"/>
      <c r="P970" s="1269"/>
      <c r="Q970" s="1269"/>
      <c r="R970" s="1269"/>
      <c r="S970" s="1269"/>
      <c r="T970" s="1269"/>
      <c r="U970" s="1269"/>
      <c r="V970" s="1269"/>
      <c r="W970" s="1269"/>
      <c r="X970" s="1269"/>
      <c r="Y970" s="1269"/>
    </row>
    <row r="971" spans="1:25">
      <c r="A971" s="1269"/>
      <c r="D971" s="1269"/>
      <c r="E971" s="1269"/>
      <c r="F971" s="1269"/>
      <c r="G971" s="1269"/>
      <c r="H971" s="1269"/>
      <c r="M971" s="1324"/>
      <c r="O971" s="1274"/>
      <c r="P971" s="1269"/>
      <c r="Q971" s="1269"/>
      <c r="R971" s="1269"/>
      <c r="S971" s="1269"/>
      <c r="T971" s="1269"/>
      <c r="U971" s="1269"/>
      <c r="V971" s="1269"/>
      <c r="W971" s="1269"/>
      <c r="X971" s="1269"/>
      <c r="Y971" s="1269"/>
    </row>
    <row r="972" spans="1:25">
      <c r="A972" s="1269"/>
      <c r="D972" s="1269"/>
      <c r="E972" s="1269"/>
      <c r="F972" s="1269"/>
      <c r="G972" s="1269"/>
      <c r="H972" s="1269"/>
      <c r="M972" s="1324"/>
      <c r="O972" s="1274"/>
      <c r="P972" s="1269"/>
      <c r="Q972" s="1269"/>
      <c r="R972" s="1269"/>
      <c r="S972" s="1269"/>
      <c r="T972" s="1269"/>
      <c r="U972" s="1269"/>
      <c r="V972" s="1269"/>
      <c r="W972" s="1269"/>
      <c r="X972" s="1269"/>
      <c r="Y972" s="1269"/>
    </row>
    <row r="973" spans="1:25">
      <c r="A973" s="1269"/>
      <c r="D973" s="1269"/>
      <c r="E973" s="1269"/>
      <c r="F973" s="1269"/>
      <c r="G973" s="1269"/>
      <c r="H973" s="1269"/>
      <c r="M973" s="1324"/>
      <c r="O973" s="1274"/>
      <c r="P973" s="1269"/>
      <c r="Q973" s="1269"/>
      <c r="R973" s="1269"/>
      <c r="S973" s="1269"/>
      <c r="T973" s="1269"/>
      <c r="U973" s="1269"/>
      <c r="V973" s="1269"/>
      <c r="W973" s="1269"/>
      <c r="X973" s="1269"/>
      <c r="Y973" s="1269"/>
    </row>
    <row r="974" spans="1:25">
      <c r="A974" s="1269"/>
      <c r="D974" s="1269"/>
      <c r="E974" s="1269"/>
      <c r="F974" s="1269"/>
      <c r="G974" s="1269"/>
      <c r="H974" s="1269"/>
      <c r="M974" s="1324"/>
      <c r="O974" s="1274"/>
      <c r="P974" s="1269"/>
      <c r="Q974" s="1269"/>
      <c r="R974" s="1269"/>
      <c r="S974" s="1269"/>
      <c r="T974" s="1269"/>
      <c r="U974" s="1269"/>
      <c r="V974" s="1269"/>
      <c r="W974" s="1269"/>
      <c r="X974" s="1269"/>
      <c r="Y974" s="1269"/>
    </row>
    <row r="975" spans="1:25">
      <c r="A975" s="1269"/>
      <c r="D975" s="1269"/>
      <c r="E975" s="1269"/>
      <c r="F975" s="1269"/>
      <c r="G975" s="1269"/>
      <c r="H975" s="1269"/>
      <c r="M975" s="1324"/>
      <c r="O975" s="1274"/>
      <c r="P975" s="1269"/>
      <c r="Q975" s="1269"/>
      <c r="R975" s="1269"/>
      <c r="S975" s="1269"/>
      <c r="T975" s="1269"/>
      <c r="U975" s="1269"/>
      <c r="V975" s="1269"/>
      <c r="W975" s="1269"/>
      <c r="X975" s="1269"/>
      <c r="Y975" s="1269"/>
    </row>
    <row r="976" spans="1:25">
      <c r="A976" s="1269"/>
      <c r="D976" s="1269"/>
      <c r="E976" s="1269"/>
      <c r="F976" s="1269"/>
      <c r="G976" s="1269"/>
      <c r="H976" s="1269"/>
      <c r="M976" s="1324"/>
      <c r="O976" s="1274"/>
      <c r="P976" s="1269"/>
      <c r="Q976" s="1269"/>
      <c r="R976" s="1269"/>
      <c r="S976" s="1269"/>
      <c r="T976" s="1269"/>
      <c r="U976" s="1269"/>
      <c r="V976" s="1269"/>
      <c r="W976" s="1269"/>
      <c r="X976" s="1269"/>
      <c r="Y976" s="1269"/>
    </row>
    <row r="977" spans="1:25">
      <c r="A977" s="1269"/>
      <c r="D977" s="1269"/>
      <c r="E977" s="1269"/>
      <c r="F977" s="1269"/>
      <c r="G977" s="1269"/>
      <c r="H977" s="1269"/>
      <c r="M977" s="1324"/>
      <c r="O977" s="1274"/>
      <c r="P977" s="1269"/>
      <c r="Q977" s="1269"/>
      <c r="R977" s="1269"/>
      <c r="S977" s="1269"/>
      <c r="T977" s="1269"/>
      <c r="U977" s="1269"/>
      <c r="V977" s="1269"/>
      <c r="W977" s="1269"/>
      <c r="X977" s="1269"/>
      <c r="Y977" s="1269"/>
    </row>
    <row r="978" spans="1:25">
      <c r="A978" s="1269"/>
      <c r="D978" s="1269"/>
      <c r="E978" s="1269"/>
      <c r="F978" s="1269"/>
      <c r="G978" s="1269"/>
      <c r="H978" s="1269"/>
      <c r="M978" s="1324"/>
      <c r="O978" s="1274"/>
      <c r="P978" s="1269"/>
      <c r="Q978" s="1269"/>
      <c r="R978" s="1269"/>
      <c r="S978" s="1269"/>
      <c r="T978" s="1269"/>
      <c r="U978" s="1269"/>
      <c r="V978" s="1269"/>
      <c r="W978" s="1269"/>
      <c r="X978" s="1269"/>
      <c r="Y978" s="1269"/>
    </row>
    <row r="979" spans="1:25">
      <c r="A979" s="1269"/>
      <c r="D979" s="1269"/>
      <c r="E979" s="1269"/>
      <c r="F979" s="1269"/>
      <c r="G979" s="1269"/>
      <c r="H979" s="1269"/>
      <c r="M979" s="1324"/>
      <c r="O979" s="1274"/>
      <c r="P979" s="1269"/>
      <c r="Q979" s="1269"/>
      <c r="R979" s="1269"/>
      <c r="S979" s="1269"/>
      <c r="T979" s="1269"/>
      <c r="U979" s="1269"/>
      <c r="V979" s="1269"/>
      <c r="W979" s="1269"/>
      <c r="X979" s="1269"/>
      <c r="Y979" s="1269"/>
    </row>
    <row r="980" spans="1:25">
      <c r="A980" s="1269"/>
      <c r="D980" s="1269"/>
      <c r="E980" s="1269"/>
      <c r="F980" s="1269"/>
      <c r="G980" s="1269"/>
      <c r="H980" s="1269"/>
      <c r="M980" s="1324"/>
      <c r="O980" s="1274"/>
      <c r="P980" s="1269"/>
      <c r="Q980" s="1269"/>
      <c r="R980" s="1269"/>
      <c r="S980" s="1269"/>
      <c r="T980" s="1269"/>
      <c r="U980" s="1269"/>
      <c r="V980" s="1269"/>
      <c r="W980" s="1269"/>
      <c r="X980" s="1269"/>
      <c r="Y980" s="1269"/>
    </row>
    <row r="981" spans="1:25">
      <c r="A981" s="1269"/>
      <c r="D981" s="1269"/>
      <c r="E981" s="1269"/>
      <c r="F981" s="1269"/>
      <c r="G981" s="1269"/>
      <c r="H981" s="1269"/>
      <c r="M981" s="1324"/>
      <c r="O981" s="1274"/>
      <c r="P981" s="1269"/>
      <c r="Q981" s="1269"/>
      <c r="R981" s="1269"/>
      <c r="S981" s="1269"/>
      <c r="T981" s="1269"/>
      <c r="U981" s="1269"/>
      <c r="V981" s="1269"/>
      <c r="W981" s="1269"/>
      <c r="X981" s="1269"/>
      <c r="Y981" s="1269"/>
    </row>
    <row r="982" spans="1:25">
      <c r="A982" s="1269"/>
      <c r="D982" s="1269"/>
      <c r="E982" s="1269"/>
      <c r="F982" s="1269"/>
      <c r="G982" s="1269"/>
      <c r="H982" s="1269"/>
      <c r="M982" s="1324"/>
      <c r="O982" s="1274"/>
      <c r="P982" s="1269"/>
      <c r="Q982" s="1269"/>
      <c r="R982" s="1269"/>
      <c r="S982" s="1269"/>
      <c r="T982" s="1269"/>
      <c r="U982" s="1269"/>
      <c r="V982" s="1269"/>
      <c r="W982" s="1269"/>
      <c r="X982" s="1269"/>
      <c r="Y982" s="1269"/>
    </row>
    <row r="983" spans="1:25">
      <c r="A983" s="1269"/>
      <c r="D983" s="1269"/>
      <c r="E983" s="1269"/>
      <c r="F983" s="1269"/>
      <c r="G983" s="1269"/>
      <c r="H983" s="1269"/>
      <c r="M983" s="1324"/>
      <c r="O983" s="1274"/>
      <c r="P983" s="1269"/>
      <c r="Q983" s="1269"/>
      <c r="R983" s="1269"/>
      <c r="S983" s="1269"/>
      <c r="T983" s="1269"/>
      <c r="U983" s="1269"/>
      <c r="V983" s="1269"/>
      <c r="W983" s="1269"/>
      <c r="X983" s="1269"/>
      <c r="Y983" s="1269"/>
    </row>
    <row r="984" spans="1:25">
      <c r="A984" s="1269"/>
      <c r="D984" s="1269"/>
      <c r="E984" s="1269"/>
      <c r="F984" s="1269"/>
      <c r="G984" s="1269"/>
      <c r="H984" s="1269"/>
      <c r="M984" s="1324"/>
      <c r="O984" s="1274"/>
      <c r="P984" s="1269"/>
      <c r="Q984" s="1269"/>
      <c r="R984" s="1269"/>
      <c r="S984" s="1269"/>
      <c r="T984" s="1269"/>
      <c r="U984" s="1269"/>
      <c r="V984" s="1269"/>
      <c r="W984" s="1269"/>
      <c r="X984" s="1269"/>
      <c r="Y984" s="1269"/>
    </row>
    <row r="985" spans="1:25">
      <c r="A985" s="1269"/>
      <c r="D985" s="1269"/>
      <c r="E985" s="1269"/>
      <c r="F985" s="1269"/>
      <c r="G985" s="1269"/>
      <c r="H985" s="1269"/>
      <c r="M985" s="1324"/>
      <c r="O985" s="1274"/>
      <c r="P985" s="1269"/>
      <c r="Q985" s="1269"/>
      <c r="R985" s="1269"/>
      <c r="S985" s="1269"/>
      <c r="T985" s="1269"/>
      <c r="U985" s="1269"/>
      <c r="V985" s="1269"/>
      <c r="W985" s="1269"/>
      <c r="X985" s="1269"/>
      <c r="Y985" s="1269"/>
    </row>
    <row r="986" spans="1:25">
      <c r="A986" s="1269"/>
      <c r="D986" s="1269"/>
      <c r="E986" s="1269"/>
      <c r="F986" s="1269"/>
      <c r="G986" s="1269"/>
      <c r="H986" s="1269"/>
      <c r="M986" s="1324"/>
      <c r="O986" s="1274"/>
      <c r="P986" s="1269"/>
      <c r="Q986" s="1269"/>
      <c r="R986" s="1269"/>
      <c r="S986" s="1269"/>
      <c r="T986" s="1269"/>
      <c r="U986" s="1269"/>
      <c r="V986" s="1269"/>
      <c r="W986" s="1269"/>
      <c r="X986" s="1269"/>
      <c r="Y986" s="1269"/>
    </row>
    <row r="987" spans="1:25">
      <c r="A987" s="1269"/>
      <c r="D987" s="1269"/>
      <c r="E987" s="1269"/>
      <c r="F987" s="1269"/>
      <c r="G987" s="1269"/>
      <c r="H987" s="1269"/>
      <c r="M987" s="1324"/>
      <c r="O987" s="1274"/>
      <c r="P987" s="1269"/>
      <c r="Q987" s="1269"/>
      <c r="R987" s="1269"/>
      <c r="S987" s="1269"/>
      <c r="T987" s="1269"/>
      <c r="U987" s="1269"/>
      <c r="V987" s="1269"/>
      <c r="W987" s="1269"/>
      <c r="X987" s="1269"/>
      <c r="Y987" s="1269"/>
    </row>
    <row r="988" spans="1:25">
      <c r="A988" s="1269"/>
      <c r="D988" s="1269"/>
      <c r="E988" s="1269"/>
      <c r="F988" s="1269"/>
      <c r="G988" s="1269"/>
      <c r="H988" s="1269"/>
      <c r="M988" s="1324"/>
      <c r="O988" s="1274"/>
      <c r="P988" s="1269"/>
      <c r="Q988" s="1269"/>
      <c r="R988" s="1269"/>
      <c r="S988" s="1269"/>
      <c r="T988" s="1269"/>
      <c r="U988" s="1269"/>
      <c r="V988" s="1269"/>
      <c r="W988" s="1269"/>
      <c r="X988" s="1269"/>
      <c r="Y988" s="1269"/>
    </row>
    <row r="989" spans="1:25">
      <c r="A989" s="1269"/>
      <c r="D989" s="1269"/>
      <c r="E989" s="1269"/>
      <c r="F989" s="1269"/>
      <c r="G989" s="1269"/>
      <c r="H989" s="1269"/>
      <c r="M989" s="1324"/>
      <c r="O989" s="1274"/>
      <c r="P989" s="1269"/>
      <c r="Q989" s="1269"/>
      <c r="R989" s="1269"/>
      <c r="S989" s="1269"/>
      <c r="T989" s="1269"/>
      <c r="U989" s="1269"/>
      <c r="V989" s="1269"/>
      <c r="W989" s="1269"/>
      <c r="X989" s="1269"/>
      <c r="Y989" s="1269"/>
    </row>
    <row r="990" spans="1:25">
      <c r="A990" s="1269"/>
      <c r="D990" s="1269"/>
      <c r="E990" s="1269"/>
      <c r="F990" s="1269"/>
      <c r="G990" s="1269"/>
      <c r="H990" s="1269"/>
      <c r="M990" s="1324"/>
      <c r="O990" s="1274"/>
      <c r="P990" s="1269"/>
      <c r="Q990" s="1269"/>
      <c r="R990" s="1269"/>
      <c r="S990" s="1269"/>
      <c r="T990" s="1269"/>
      <c r="U990" s="1269"/>
      <c r="V990" s="1269"/>
      <c r="W990" s="1269"/>
      <c r="X990" s="1269"/>
      <c r="Y990" s="1269"/>
    </row>
    <row r="991" spans="1:25">
      <c r="A991" s="1269"/>
      <c r="D991" s="1269"/>
      <c r="E991" s="1269"/>
      <c r="F991" s="1269"/>
      <c r="G991" s="1269"/>
      <c r="H991" s="1269"/>
      <c r="M991" s="1324"/>
      <c r="O991" s="1274"/>
      <c r="P991" s="1269"/>
      <c r="Q991" s="1269"/>
      <c r="R991" s="1269"/>
      <c r="S991" s="1269"/>
      <c r="T991" s="1269"/>
      <c r="U991" s="1269"/>
      <c r="V991" s="1269"/>
      <c r="W991" s="1269"/>
      <c r="X991" s="1269"/>
      <c r="Y991" s="1269"/>
    </row>
    <row r="992" spans="1:25">
      <c r="A992" s="1269"/>
      <c r="D992" s="1269"/>
      <c r="E992" s="1269"/>
      <c r="F992" s="1269"/>
      <c r="G992" s="1269"/>
      <c r="H992" s="1269"/>
      <c r="M992" s="1324"/>
      <c r="O992" s="1274"/>
      <c r="P992" s="1269"/>
      <c r="Q992" s="1269"/>
      <c r="R992" s="1269"/>
      <c r="S992" s="1269"/>
      <c r="T992" s="1269"/>
      <c r="U992" s="1269"/>
      <c r="V992" s="1269"/>
      <c r="W992" s="1269"/>
      <c r="X992" s="1269"/>
      <c r="Y992" s="1269"/>
    </row>
    <row r="993" spans="1:25">
      <c r="A993" s="1269"/>
      <c r="D993" s="1269"/>
      <c r="E993" s="1269"/>
      <c r="F993" s="1269"/>
      <c r="G993" s="1269"/>
      <c r="H993" s="1269"/>
      <c r="M993" s="1324"/>
      <c r="O993" s="1274"/>
      <c r="P993" s="1269"/>
      <c r="Q993" s="1269"/>
      <c r="R993" s="1269"/>
      <c r="S993" s="1269"/>
      <c r="T993" s="1269"/>
      <c r="U993" s="1269"/>
      <c r="V993" s="1269"/>
      <c r="W993" s="1269"/>
      <c r="X993" s="1269"/>
      <c r="Y993" s="1269"/>
    </row>
    <row r="994" spans="1:25">
      <c r="A994" s="1269"/>
      <c r="D994" s="1269"/>
      <c r="E994" s="1269"/>
      <c r="F994" s="1269"/>
      <c r="G994" s="1269"/>
      <c r="H994" s="1269"/>
      <c r="M994" s="1324"/>
      <c r="O994" s="1274"/>
      <c r="P994" s="1269"/>
      <c r="Q994" s="1269"/>
      <c r="R994" s="1269"/>
      <c r="S994" s="1269"/>
      <c r="T994" s="1269"/>
      <c r="U994" s="1269"/>
      <c r="V994" s="1269"/>
      <c r="W994" s="1269"/>
      <c r="X994" s="1269"/>
      <c r="Y994" s="1269"/>
    </row>
    <row r="995" spans="1:25">
      <c r="A995" s="1269"/>
      <c r="D995" s="1269"/>
      <c r="E995" s="1269"/>
      <c r="F995" s="1269"/>
      <c r="G995" s="1269"/>
      <c r="H995" s="1269"/>
      <c r="M995" s="1324"/>
      <c r="O995" s="1274"/>
      <c r="P995" s="1269"/>
      <c r="Q995" s="1269"/>
      <c r="R995" s="1269"/>
      <c r="S995" s="1269"/>
      <c r="T995" s="1269"/>
      <c r="U995" s="1269"/>
      <c r="V995" s="1269"/>
      <c r="W995" s="1269"/>
      <c r="X995" s="1269"/>
      <c r="Y995" s="1269"/>
    </row>
    <row r="996" spans="1:25">
      <c r="A996" s="1269"/>
      <c r="D996" s="1269"/>
      <c r="E996" s="1269"/>
      <c r="F996" s="1269"/>
      <c r="G996" s="1269"/>
      <c r="H996" s="1269"/>
      <c r="M996" s="1324"/>
      <c r="O996" s="1274"/>
      <c r="P996" s="1269"/>
      <c r="Q996" s="1269"/>
      <c r="R996" s="1269"/>
      <c r="S996" s="1269"/>
      <c r="T996" s="1269"/>
      <c r="U996" s="1269"/>
      <c r="V996" s="1269"/>
      <c r="W996" s="1269"/>
      <c r="X996" s="1269"/>
      <c r="Y996" s="1269"/>
    </row>
    <row r="997" spans="1:25">
      <c r="A997" s="1269"/>
      <c r="D997" s="1269"/>
      <c r="E997" s="1269"/>
      <c r="F997" s="1269"/>
      <c r="G997" s="1269"/>
      <c r="H997" s="1269"/>
      <c r="M997" s="1324"/>
      <c r="O997" s="1274"/>
      <c r="P997" s="1269"/>
      <c r="Q997" s="1269"/>
      <c r="R997" s="1269"/>
      <c r="S997" s="1269"/>
      <c r="T997" s="1269"/>
      <c r="U997" s="1269"/>
      <c r="V997" s="1269"/>
      <c r="W997" s="1269"/>
      <c r="X997" s="1269"/>
      <c r="Y997" s="1269"/>
    </row>
    <row r="998" spans="1:25">
      <c r="A998" s="1269"/>
      <c r="D998" s="1269"/>
      <c r="E998" s="1269"/>
      <c r="F998" s="1269"/>
      <c r="G998" s="1269"/>
      <c r="H998" s="1269"/>
      <c r="M998" s="1324"/>
      <c r="O998" s="1274"/>
      <c r="P998" s="1269"/>
      <c r="Q998" s="1269"/>
      <c r="R998" s="1269"/>
      <c r="S998" s="1269"/>
      <c r="T998" s="1269"/>
      <c r="U998" s="1269"/>
      <c r="V998" s="1269"/>
      <c r="W998" s="1269"/>
      <c r="X998" s="1269"/>
      <c r="Y998" s="1269"/>
    </row>
    <row r="999" spans="1:25">
      <c r="A999" s="1269"/>
      <c r="D999" s="1269"/>
      <c r="E999" s="1269"/>
      <c r="F999" s="1269"/>
      <c r="G999" s="1269"/>
      <c r="H999" s="1269"/>
      <c r="M999" s="1324"/>
      <c r="O999" s="1274"/>
      <c r="P999" s="1269"/>
      <c r="Q999" s="1269"/>
      <c r="R999" s="1269"/>
      <c r="S999" s="1269"/>
      <c r="T999" s="1269"/>
      <c r="U999" s="1269"/>
      <c r="V999" s="1269"/>
      <c r="W999" s="1269"/>
      <c r="X999" s="1269"/>
      <c r="Y999" s="1269"/>
    </row>
    <row r="1000" spans="1:25">
      <c r="A1000" s="1269"/>
      <c r="D1000" s="1269"/>
      <c r="E1000" s="1269"/>
      <c r="F1000" s="1269"/>
      <c r="G1000" s="1269"/>
      <c r="H1000" s="1269"/>
      <c r="M1000" s="1324"/>
      <c r="O1000" s="1274"/>
      <c r="P1000" s="1269"/>
      <c r="Q1000" s="1269"/>
      <c r="R1000" s="1269"/>
      <c r="S1000" s="1269"/>
      <c r="T1000" s="1269"/>
      <c r="U1000" s="1269"/>
      <c r="V1000" s="1269"/>
      <c r="W1000" s="1269"/>
      <c r="X1000" s="1269"/>
      <c r="Y1000" s="1269"/>
    </row>
    <row r="1001" spans="1:25">
      <c r="A1001" s="1269"/>
      <c r="D1001" s="1269"/>
      <c r="E1001" s="1269"/>
      <c r="F1001" s="1269"/>
      <c r="G1001" s="1269"/>
      <c r="H1001" s="1269"/>
      <c r="M1001" s="1324"/>
      <c r="O1001" s="1274"/>
      <c r="P1001" s="1269"/>
      <c r="Q1001" s="1269"/>
      <c r="R1001" s="1269"/>
      <c r="S1001" s="1269"/>
      <c r="T1001" s="1269"/>
      <c r="U1001" s="1269"/>
      <c r="V1001" s="1269"/>
      <c r="W1001" s="1269"/>
      <c r="X1001" s="1269"/>
      <c r="Y1001" s="1269"/>
    </row>
    <row r="1002" spans="1:25">
      <c r="A1002" s="1269"/>
      <c r="D1002" s="1269"/>
      <c r="E1002" s="1269"/>
      <c r="F1002" s="1269"/>
      <c r="G1002" s="1269"/>
      <c r="H1002" s="1269"/>
      <c r="M1002" s="1324"/>
      <c r="O1002" s="1274"/>
      <c r="P1002" s="1269"/>
      <c r="Q1002" s="1269"/>
      <c r="R1002" s="1269"/>
      <c r="S1002" s="1269"/>
      <c r="T1002" s="1269"/>
      <c r="U1002" s="1269"/>
      <c r="V1002" s="1269"/>
      <c r="W1002" s="1269"/>
      <c r="X1002" s="1269"/>
      <c r="Y1002" s="1269"/>
    </row>
    <row r="1003" spans="1:25">
      <c r="A1003" s="1269"/>
      <c r="D1003" s="1269"/>
      <c r="E1003" s="1269"/>
      <c r="F1003" s="1269"/>
      <c r="G1003" s="1269"/>
      <c r="H1003" s="1269"/>
      <c r="M1003" s="1324"/>
      <c r="O1003" s="1274"/>
      <c r="P1003" s="1269"/>
      <c r="Q1003" s="1269"/>
      <c r="R1003" s="1269"/>
      <c r="S1003" s="1269"/>
      <c r="T1003" s="1269"/>
      <c r="U1003" s="1269"/>
      <c r="V1003" s="1269"/>
      <c r="W1003" s="1269"/>
      <c r="X1003" s="1269"/>
      <c r="Y1003" s="1269"/>
    </row>
    <row r="1004" spans="1:25">
      <c r="A1004" s="1269"/>
      <c r="D1004" s="1269"/>
      <c r="E1004" s="1269"/>
      <c r="F1004" s="1269"/>
      <c r="G1004" s="1269"/>
      <c r="H1004" s="1269"/>
      <c r="M1004" s="1324"/>
      <c r="O1004" s="1274"/>
      <c r="P1004" s="1269"/>
      <c r="Q1004" s="1269"/>
      <c r="R1004" s="1269"/>
      <c r="S1004" s="1269"/>
      <c r="T1004" s="1269"/>
      <c r="U1004" s="1269"/>
      <c r="V1004" s="1269"/>
      <c r="W1004" s="1269"/>
      <c r="X1004" s="1269"/>
      <c r="Y1004" s="1269"/>
    </row>
    <row r="1005" spans="1:25">
      <c r="A1005" s="1269"/>
      <c r="D1005" s="1269"/>
      <c r="E1005" s="1269"/>
      <c r="F1005" s="1269"/>
      <c r="G1005" s="1269"/>
      <c r="H1005" s="1269"/>
      <c r="M1005" s="1324"/>
      <c r="O1005" s="1274"/>
      <c r="P1005" s="1269"/>
      <c r="Q1005" s="1269"/>
      <c r="R1005" s="1269"/>
      <c r="S1005" s="1269"/>
      <c r="T1005" s="1269"/>
      <c r="U1005" s="1269"/>
      <c r="V1005" s="1269"/>
      <c r="W1005" s="1269"/>
      <c r="X1005" s="1269"/>
      <c r="Y1005" s="1269"/>
    </row>
    <row r="1006" spans="1:25">
      <c r="A1006" s="1269"/>
      <c r="D1006" s="1269"/>
      <c r="E1006" s="1269"/>
      <c r="F1006" s="1269"/>
      <c r="G1006" s="1269"/>
      <c r="H1006" s="1269"/>
      <c r="M1006" s="1324"/>
      <c r="O1006" s="1274"/>
      <c r="P1006" s="1269"/>
      <c r="Q1006" s="1269"/>
      <c r="R1006" s="1269"/>
      <c r="S1006" s="1269"/>
      <c r="T1006" s="1269"/>
      <c r="U1006" s="1269"/>
      <c r="V1006" s="1269"/>
      <c r="W1006" s="1269"/>
      <c r="X1006" s="1269"/>
      <c r="Y1006" s="1269"/>
    </row>
    <row r="1007" spans="1:25">
      <c r="A1007" s="1269"/>
      <c r="D1007" s="1269"/>
      <c r="E1007" s="1269"/>
      <c r="F1007" s="1269"/>
      <c r="G1007" s="1269"/>
      <c r="H1007" s="1269"/>
      <c r="M1007" s="1324"/>
      <c r="O1007" s="1274"/>
      <c r="P1007" s="1269"/>
      <c r="Q1007" s="1269"/>
      <c r="R1007" s="1269"/>
      <c r="S1007" s="1269"/>
      <c r="T1007" s="1269"/>
      <c r="U1007" s="1269"/>
      <c r="V1007" s="1269"/>
      <c r="W1007" s="1269"/>
      <c r="X1007" s="1269"/>
      <c r="Y1007" s="1269"/>
    </row>
  </sheetData>
  <mergeCells count="2">
    <mergeCell ref="B18:B20"/>
    <mergeCell ref="B21:B23"/>
  </mergeCells>
  <dataValidations disablePrompts="1" count="1">
    <dataValidation type="list" allowBlank="1" sqref="D8" xr:uid="{00000000-0002-0000-0200-000000000000}">
      <formula1>"Yes,No"</formula1>
    </dataValidation>
  </dataValidations>
  <hyperlinks>
    <hyperlink ref="M23" r:id="rId1" location="adjustment" xr:uid="{00000000-0004-0000-0200-000000000000}"/>
  </hyperlinks>
  <pageMargins left="0.7" right="0.7" top="0.75" bottom="0.75" header="0.3" footer="0.3"/>
  <pageSetup paperSize="9"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002060"/>
  </sheetPr>
  <dimension ref="A3:R125"/>
  <sheetViews>
    <sheetView showGridLines="0" zoomScaleNormal="100" workbookViewId="0">
      <pane xSplit="1" ySplit="4" topLeftCell="H5" activePane="bottomRight" state="frozen"/>
      <selection pane="topRight" activeCell="B1" sqref="B1"/>
      <selection pane="bottomLeft" activeCell="A5" sqref="A5"/>
      <selection pane="bottomRight" activeCell="N19" sqref="N19"/>
    </sheetView>
  </sheetViews>
  <sheetFormatPr defaultColWidth="9.140625" defaultRowHeight="11.25"/>
  <cols>
    <col min="1" max="1" width="31.5703125" style="96" bestFit="1" customWidth="1"/>
    <col min="2" max="6" width="12" style="96" bestFit="1" customWidth="1"/>
    <col min="7" max="12" width="12.140625" style="96" bestFit="1" customWidth="1"/>
    <col min="13" max="14" width="11.140625" style="96" bestFit="1" customWidth="1"/>
    <col min="15" max="15" width="10.7109375" style="96" customWidth="1"/>
    <col min="16" max="16384" width="9.140625" style="96"/>
  </cols>
  <sheetData>
    <row r="3" spans="1:18">
      <c r="A3" s="96" t="str">
        <f>ticker</f>
        <v>DXG VN EQUITY</v>
      </c>
      <c r="B3" s="105" t="str">
        <f ca="1">"CY"&amp;year-12</f>
        <v>CY2013</v>
      </c>
    </row>
    <row r="4" spans="1:18" ht="12">
      <c r="A4" s="416" t="s">
        <v>269</v>
      </c>
      <c r="B4" s="422" t="e">
        <f ca="1">_xll.BDH($A$3,$A$5:$A$64,B3,"","Dir=H","Dts=S","Sort=A","Quote=C","QtTyp=Y","Days=A","Per=cy","DtFmt=D","Fill=0","UseDPDF=Y","cols=12;rows=61")</f>
        <v>#NAME?</v>
      </c>
      <c r="C4" s="417">
        <v>37986</v>
      </c>
      <c r="D4" s="417">
        <v>38352</v>
      </c>
      <c r="E4" s="417">
        <v>38716</v>
      </c>
      <c r="F4" s="417">
        <v>39080</v>
      </c>
      <c r="G4" s="417">
        <v>39444</v>
      </c>
      <c r="H4" s="417">
        <v>39813</v>
      </c>
      <c r="I4" s="417">
        <v>40178</v>
      </c>
      <c r="J4" s="417">
        <v>40543</v>
      </c>
      <c r="K4" s="417">
        <v>40907</v>
      </c>
      <c r="L4" s="417">
        <v>41274</v>
      </c>
      <c r="M4" s="417">
        <v>41639</v>
      </c>
      <c r="N4" s="1225">
        <v>42004</v>
      </c>
    </row>
    <row r="5" spans="1:18" ht="12">
      <c r="A5" s="108" t="s">
        <v>128</v>
      </c>
      <c r="B5" s="420">
        <v>0</v>
      </c>
      <c r="C5" s="420">
        <v>0</v>
      </c>
      <c r="D5" s="420">
        <v>0</v>
      </c>
      <c r="E5" s="420">
        <v>0</v>
      </c>
      <c r="F5" s="420">
        <v>0</v>
      </c>
      <c r="G5" s="420">
        <v>28607.3711</v>
      </c>
      <c r="H5" s="420">
        <v>28610.6767</v>
      </c>
      <c r="I5" s="420">
        <v>84909.410799999998</v>
      </c>
      <c r="J5" s="420">
        <v>374255.04119999998</v>
      </c>
      <c r="K5" s="420">
        <v>286386.26400000002</v>
      </c>
      <c r="L5" s="420">
        <v>403502.98389999999</v>
      </c>
      <c r="M5" s="420">
        <v>342591.14049999998</v>
      </c>
      <c r="N5" s="1226">
        <v>506180.65749999997</v>
      </c>
    </row>
    <row r="6" spans="1:18" ht="12">
      <c r="A6" s="108" t="s">
        <v>129</v>
      </c>
      <c r="B6" s="420">
        <v>0</v>
      </c>
      <c r="C6" s="420">
        <v>0</v>
      </c>
      <c r="D6" s="420">
        <v>0</v>
      </c>
      <c r="E6" s="420">
        <v>0</v>
      </c>
      <c r="F6" s="420">
        <v>0</v>
      </c>
      <c r="G6" s="420">
        <v>3518.2213999999999</v>
      </c>
      <c r="H6" s="420">
        <v>4046.6696999999999</v>
      </c>
      <c r="I6" s="420">
        <v>6118.7114000000001</v>
      </c>
      <c r="J6" s="420">
        <v>204977.94870000001</v>
      </c>
      <c r="K6" s="420">
        <v>80303.294599999994</v>
      </c>
      <c r="L6" s="420">
        <v>210618.19579999999</v>
      </c>
      <c r="M6" s="420">
        <v>136660.21280000001</v>
      </c>
      <c r="N6" s="1226">
        <v>204365.44889999999</v>
      </c>
    </row>
    <row r="7" spans="1:18" ht="12">
      <c r="A7" s="102" t="s">
        <v>130</v>
      </c>
      <c r="B7" s="420">
        <v>0</v>
      </c>
      <c r="C7" s="420">
        <v>0</v>
      </c>
      <c r="D7" s="420">
        <v>0</v>
      </c>
      <c r="E7" s="420">
        <v>0</v>
      </c>
      <c r="F7" s="420">
        <v>0</v>
      </c>
      <c r="G7" s="420">
        <v>5283.7240000000002</v>
      </c>
      <c r="H7" s="420">
        <v>7905.5888000000004</v>
      </c>
      <c r="I7" s="420">
        <v>18678.027699999999</v>
      </c>
      <c r="J7" s="420">
        <v>35836.083100000003</v>
      </c>
      <c r="K7" s="420">
        <v>45220.324800000002</v>
      </c>
      <c r="L7" s="420">
        <v>44045.724699999999</v>
      </c>
      <c r="M7" s="420">
        <v>62493.809500000003</v>
      </c>
      <c r="N7" s="1226">
        <v>54302.469700000001</v>
      </c>
      <c r="P7" s="420">
        <f>L7+L8</f>
        <v>122716.9644</v>
      </c>
      <c r="Q7" s="420">
        <f>M7+M8</f>
        <v>143739.85490000001</v>
      </c>
      <c r="R7" s="420">
        <f>N7+N8</f>
        <v>136630.0465</v>
      </c>
    </row>
    <row r="8" spans="1:18" ht="12">
      <c r="A8" s="102" t="s">
        <v>131</v>
      </c>
      <c r="B8" s="420">
        <v>0</v>
      </c>
      <c r="C8" s="420">
        <v>0</v>
      </c>
      <c r="D8" s="420">
        <v>0</v>
      </c>
      <c r="E8" s="420">
        <v>0</v>
      </c>
      <c r="F8" s="420">
        <v>0</v>
      </c>
      <c r="G8" s="420">
        <v>4482.1224000000002</v>
      </c>
      <c r="H8" s="420">
        <v>8711.7507999999998</v>
      </c>
      <c r="I8" s="420">
        <v>23742.199100000002</v>
      </c>
      <c r="J8" s="420">
        <v>54237.3194</v>
      </c>
      <c r="K8" s="420">
        <v>83735.938299999994</v>
      </c>
      <c r="L8" s="420">
        <v>78671.239700000006</v>
      </c>
      <c r="M8" s="420">
        <v>81246.045400000003</v>
      </c>
      <c r="N8" s="1226">
        <v>82327.576799999995</v>
      </c>
    </row>
    <row r="9" spans="1:18" ht="12">
      <c r="A9" s="108" t="s">
        <v>570</v>
      </c>
      <c r="B9" s="420">
        <v>0</v>
      </c>
      <c r="C9" s="420">
        <v>0</v>
      </c>
      <c r="D9" s="420">
        <v>0</v>
      </c>
      <c r="E9" s="420">
        <v>0</v>
      </c>
      <c r="F9" s="420">
        <v>0</v>
      </c>
      <c r="G9" s="420">
        <v>15323.3037</v>
      </c>
      <c r="H9" s="420">
        <v>7946.6674000000003</v>
      </c>
      <c r="I9" s="420">
        <v>36370.472600000001</v>
      </c>
      <c r="J9" s="420">
        <v>79203.69</v>
      </c>
      <c r="K9" s="420">
        <v>77126.706300000005</v>
      </c>
      <c r="L9" s="420">
        <v>70167.823699999994</v>
      </c>
      <c r="M9" s="420">
        <v>62191.072800000002</v>
      </c>
      <c r="N9" s="1226">
        <v>165185.16209999999</v>
      </c>
    </row>
    <row r="10" spans="1:18" ht="12">
      <c r="A10" s="108" t="s">
        <v>133</v>
      </c>
      <c r="B10" s="420">
        <v>0</v>
      </c>
      <c r="C10" s="420">
        <v>0</v>
      </c>
      <c r="D10" s="420">
        <v>0</v>
      </c>
      <c r="E10" s="420">
        <v>0</v>
      </c>
      <c r="F10" s="420">
        <v>0</v>
      </c>
      <c r="G10" s="420">
        <v>0</v>
      </c>
      <c r="H10" s="420">
        <v>0</v>
      </c>
      <c r="I10" s="420">
        <v>0</v>
      </c>
      <c r="J10" s="420">
        <v>0</v>
      </c>
      <c r="K10" s="420">
        <v>0</v>
      </c>
      <c r="L10" s="420">
        <v>-42.024999999999999</v>
      </c>
      <c r="M10" s="420">
        <v>0</v>
      </c>
      <c r="N10" s="1226">
        <v>0</v>
      </c>
    </row>
    <row r="11" spans="1:18" ht="12">
      <c r="A11" s="108" t="s">
        <v>134</v>
      </c>
      <c r="B11" s="420">
        <v>0</v>
      </c>
      <c r="C11" s="420">
        <v>0</v>
      </c>
      <c r="D11" s="420">
        <v>0</v>
      </c>
      <c r="E11" s="420">
        <v>0</v>
      </c>
      <c r="F11" s="420">
        <v>0</v>
      </c>
      <c r="G11" s="420">
        <v>-238.6071</v>
      </c>
      <c r="H11" s="420">
        <v>-1524.915</v>
      </c>
      <c r="I11" s="420">
        <v>-10921.238499999999</v>
      </c>
      <c r="J11" s="420">
        <v>-32021.182400000002</v>
      </c>
      <c r="K11" s="420">
        <v>-16821.033800000001</v>
      </c>
      <c r="L11" s="420">
        <v>-15520.406800000001</v>
      </c>
      <c r="M11" s="420">
        <v>-58637.8</v>
      </c>
      <c r="N11" s="1226">
        <v>-101263.15429999999</v>
      </c>
    </row>
    <row r="12" spans="1:18" ht="12">
      <c r="A12" s="108" t="s">
        <v>132</v>
      </c>
      <c r="B12" s="420">
        <v>0</v>
      </c>
      <c r="C12" s="420">
        <v>0</v>
      </c>
      <c r="D12" s="420">
        <v>0</v>
      </c>
      <c r="E12" s="420">
        <v>0</v>
      </c>
      <c r="F12" s="420">
        <v>0</v>
      </c>
      <c r="G12" s="420">
        <v>56.136699999999998</v>
      </c>
      <c r="H12" s="420">
        <v>0</v>
      </c>
      <c r="I12" s="420">
        <v>5.3628999999999998</v>
      </c>
      <c r="J12" s="420">
        <v>1033.1688999999999</v>
      </c>
      <c r="K12" s="420">
        <v>38554.054100000001</v>
      </c>
      <c r="L12" s="420">
        <v>6616.4557000000004</v>
      </c>
      <c r="M12" s="420">
        <v>342.82900000000001</v>
      </c>
      <c r="N12" s="1226">
        <v>79.290700000000001</v>
      </c>
    </row>
    <row r="13" spans="1:18" ht="12">
      <c r="A13" s="108" t="s">
        <v>135</v>
      </c>
      <c r="B13" s="420">
        <v>0</v>
      </c>
      <c r="C13" s="420">
        <v>0</v>
      </c>
      <c r="D13" s="420">
        <v>0</v>
      </c>
      <c r="E13" s="420">
        <v>0</v>
      </c>
      <c r="F13" s="420">
        <v>0</v>
      </c>
      <c r="G13" s="420">
        <v>4341.6166999999996</v>
      </c>
      <c r="H13" s="420">
        <v>2638.9703</v>
      </c>
      <c r="I13" s="420">
        <v>9269.2796999999991</v>
      </c>
      <c r="J13" s="420">
        <v>32336.9202</v>
      </c>
      <c r="K13" s="420">
        <v>22333.478999999999</v>
      </c>
      <c r="L13" s="420">
        <v>20018.9516</v>
      </c>
      <c r="M13" s="420">
        <v>30756.143899999999</v>
      </c>
      <c r="N13" s="1226">
        <v>53321.0052</v>
      </c>
    </row>
    <row r="14" spans="1:18" ht="12">
      <c r="A14" s="108" t="s">
        <v>136</v>
      </c>
      <c r="B14" s="420">
        <v>0</v>
      </c>
      <c r="C14" s="420">
        <v>0</v>
      </c>
      <c r="D14" s="420">
        <v>0</v>
      </c>
      <c r="E14" s="420">
        <v>0</v>
      </c>
      <c r="F14" s="420">
        <v>0</v>
      </c>
      <c r="G14" s="420">
        <v>0</v>
      </c>
      <c r="H14" s="420">
        <v>0</v>
      </c>
      <c r="I14" s="420">
        <v>-124.1939</v>
      </c>
      <c r="J14" s="420">
        <v>5775.4965000000002</v>
      </c>
      <c r="K14" s="420">
        <v>8468.7108000000007</v>
      </c>
      <c r="L14" s="420">
        <v>1234.8969999999999</v>
      </c>
      <c r="M14" s="420">
        <v>6965.9063999999998</v>
      </c>
      <c r="N14" s="1226">
        <v>45213.530899999998</v>
      </c>
    </row>
    <row r="15" spans="1:18" ht="12">
      <c r="A15" s="102" t="s">
        <v>4</v>
      </c>
      <c r="B15" s="420">
        <v>0</v>
      </c>
      <c r="C15" s="420">
        <v>0</v>
      </c>
      <c r="D15" s="420">
        <v>0</v>
      </c>
      <c r="E15" s="420">
        <v>0</v>
      </c>
      <c r="F15" s="420">
        <v>0</v>
      </c>
      <c r="G15" s="420">
        <v>15479.646199999999</v>
      </c>
      <c r="H15" s="420">
        <v>8384.3382999999994</v>
      </c>
      <c r="I15" s="420">
        <v>37359.174500000001</v>
      </c>
      <c r="J15" s="420">
        <v>81273.524699999994</v>
      </c>
      <c r="K15" s="420">
        <v>80987.137000000002</v>
      </c>
      <c r="L15" s="420">
        <v>74063.457200000004</v>
      </c>
      <c r="M15" s="420">
        <v>65730.593900000007</v>
      </c>
      <c r="N15" s="1226">
        <v>168474.60569999999</v>
      </c>
    </row>
    <row r="16" spans="1:18" ht="12">
      <c r="A16" s="102" t="s">
        <v>571</v>
      </c>
      <c r="B16" s="420">
        <v>0</v>
      </c>
      <c r="C16" s="420">
        <v>0</v>
      </c>
      <c r="D16" s="420">
        <v>0</v>
      </c>
      <c r="E16" s="420">
        <v>0</v>
      </c>
      <c r="F16" s="420">
        <v>0</v>
      </c>
      <c r="G16" s="420">
        <v>156.3425</v>
      </c>
      <c r="H16" s="420">
        <v>437.67099999999999</v>
      </c>
      <c r="I16" s="420">
        <v>916.07600000000002</v>
      </c>
      <c r="J16" s="420">
        <v>1995.1310000000001</v>
      </c>
      <c r="K16" s="420">
        <v>2917.0358999999999</v>
      </c>
      <c r="L16" s="420">
        <v>2959.1801</v>
      </c>
      <c r="M16" s="420">
        <v>2192.3539999999998</v>
      </c>
      <c r="N16" s="1226">
        <v>2297.6035000000002</v>
      </c>
    </row>
    <row r="17" spans="1:14" ht="12">
      <c r="A17" s="108" t="s">
        <v>137</v>
      </c>
      <c r="B17" s="420">
        <v>0</v>
      </c>
      <c r="C17" s="420">
        <v>0</v>
      </c>
      <c r="D17" s="420">
        <v>0</v>
      </c>
      <c r="E17" s="420">
        <v>0</v>
      </c>
      <c r="F17" s="420">
        <v>0</v>
      </c>
      <c r="G17" s="420">
        <v>31559.074199999999</v>
      </c>
      <c r="H17" s="420">
        <v>39657.925499999998</v>
      </c>
      <c r="I17" s="420">
        <v>78033.220199999996</v>
      </c>
      <c r="J17" s="420">
        <v>161564.4613</v>
      </c>
      <c r="K17" s="420">
        <v>107361.7996</v>
      </c>
      <c r="L17" s="420">
        <v>136052.65410000001</v>
      </c>
      <c r="M17" s="420">
        <v>72886.290099999998</v>
      </c>
      <c r="N17" s="1226">
        <v>776338.98670000001</v>
      </c>
    </row>
    <row r="18" spans="1:14" ht="12">
      <c r="A18" s="108" t="s">
        <v>138</v>
      </c>
      <c r="B18" s="420">
        <v>0</v>
      </c>
      <c r="C18" s="420">
        <v>0</v>
      </c>
      <c r="D18" s="420">
        <v>0</v>
      </c>
      <c r="E18" s="420">
        <v>0</v>
      </c>
      <c r="F18" s="420">
        <v>0</v>
      </c>
      <c r="G18" s="420">
        <v>0</v>
      </c>
      <c r="H18" s="420">
        <v>0</v>
      </c>
      <c r="I18" s="420">
        <v>0</v>
      </c>
      <c r="J18" s="420">
        <v>0</v>
      </c>
      <c r="K18" s="420">
        <v>0</v>
      </c>
      <c r="L18" s="420">
        <v>0</v>
      </c>
      <c r="M18" s="420">
        <v>0</v>
      </c>
      <c r="N18" s="1226">
        <v>0</v>
      </c>
    </row>
    <row r="19" spans="1:14" ht="12">
      <c r="A19" s="108" t="s">
        <v>139</v>
      </c>
      <c r="B19" s="420">
        <v>0</v>
      </c>
      <c r="C19" s="420">
        <v>0</v>
      </c>
      <c r="D19" s="420">
        <v>0</v>
      </c>
      <c r="E19" s="420">
        <v>0</v>
      </c>
      <c r="F19" s="420">
        <v>0</v>
      </c>
      <c r="G19" s="420">
        <v>0</v>
      </c>
      <c r="H19" s="420">
        <v>3332.8330000000001</v>
      </c>
      <c r="I19" s="420">
        <v>1684.5235</v>
      </c>
      <c r="J19" s="420">
        <v>51946.890399999997</v>
      </c>
      <c r="K19" s="420">
        <v>137804.6263</v>
      </c>
      <c r="L19" s="420">
        <v>125808.6845</v>
      </c>
      <c r="M19" s="420">
        <v>131245.30309999999</v>
      </c>
      <c r="N19" s="1226">
        <v>119201.1257</v>
      </c>
    </row>
    <row r="20" spans="1:14" ht="12">
      <c r="A20" s="108" t="s">
        <v>140</v>
      </c>
      <c r="B20" s="420">
        <v>0</v>
      </c>
      <c r="C20" s="420">
        <v>0</v>
      </c>
      <c r="D20" s="420">
        <v>0</v>
      </c>
      <c r="E20" s="420">
        <v>0</v>
      </c>
      <c r="F20" s="420">
        <v>0</v>
      </c>
      <c r="G20" s="420">
        <v>11029.0908</v>
      </c>
      <c r="H20" s="420">
        <v>47387.504000000001</v>
      </c>
      <c r="I20" s="420">
        <v>167479.09719999999</v>
      </c>
      <c r="J20" s="420">
        <v>249439.49350000001</v>
      </c>
      <c r="K20" s="420">
        <v>84098.752600000007</v>
      </c>
      <c r="L20" s="420">
        <v>129207.42509999999</v>
      </c>
      <c r="M20" s="420">
        <v>432787.26329999999</v>
      </c>
      <c r="N20" s="1226">
        <v>499214.3138</v>
      </c>
    </row>
    <row r="21" spans="1:14" ht="12">
      <c r="A21" s="108" t="s">
        <v>141</v>
      </c>
      <c r="B21" s="420">
        <v>0</v>
      </c>
      <c r="C21" s="420">
        <v>0</v>
      </c>
      <c r="D21" s="420">
        <v>0</v>
      </c>
      <c r="E21" s="420">
        <v>0</v>
      </c>
      <c r="F21" s="420">
        <v>0</v>
      </c>
      <c r="G21" s="420">
        <v>19645.767599999999</v>
      </c>
      <c r="H21" s="420">
        <v>178419.9682</v>
      </c>
      <c r="I21" s="420">
        <v>205530.5344</v>
      </c>
      <c r="J21" s="420">
        <v>77914.041100000002</v>
      </c>
      <c r="K21" s="420">
        <v>256668.86900000001</v>
      </c>
      <c r="L21" s="420">
        <v>189556.1918</v>
      </c>
      <c r="M21" s="420">
        <v>297113.6262</v>
      </c>
      <c r="N21" s="1226">
        <v>284116.38919999998</v>
      </c>
    </row>
    <row r="22" spans="1:14" ht="12">
      <c r="A22" s="108" t="s">
        <v>142</v>
      </c>
      <c r="B22" s="420">
        <v>0</v>
      </c>
      <c r="C22" s="420">
        <v>0</v>
      </c>
      <c r="D22" s="420">
        <v>0</v>
      </c>
      <c r="E22" s="420">
        <v>0</v>
      </c>
      <c r="F22" s="420">
        <v>0</v>
      </c>
      <c r="G22" s="420">
        <v>62233.933599999997</v>
      </c>
      <c r="H22" s="420">
        <v>268798.23060000001</v>
      </c>
      <c r="I22" s="420">
        <v>452727.37520000001</v>
      </c>
      <c r="J22" s="420">
        <v>540864.88630000001</v>
      </c>
      <c r="K22" s="420">
        <v>585934.04749999999</v>
      </c>
      <c r="L22" s="420">
        <v>580624.95550000004</v>
      </c>
      <c r="M22" s="420">
        <v>934032.48270000005</v>
      </c>
      <c r="N22" s="1226">
        <v>1678870.8155</v>
      </c>
    </row>
    <row r="23" spans="1:14" ht="12">
      <c r="A23" s="108" t="s">
        <v>143</v>
      </c>
      <c r="B23" s="420">
        <v>0</v>
      </c>
      <c r="C23" s="420">
        <v>0</v>
      </c>
      <c r="D23" s="420">
        <v>0</v>
      </c>
      <c r="E23" s="420">
        <v>0</v>
      </c>
      <c r="F23" s="420">
        <v>0</v>
      </c>
      <c r="G23" s="420">
        <v>1368.6669999999999</v>
      </c>
      <c r="H23" s="420">
        <v>2928.9247999999998</v>
      </c>
      <c r="I23" s="420">
        <v>11021.8735</v>
      </c>
      <c r="J23" s="420">
        <v>17300.8691</v>
      </c>
      <c r="K23" s="420">
        <v>45656.9012</v>
      </c>
      <c r="L23" s="420">
        <v>46413.282299999999</v>
      </c>
      <c r="M23" s="420">
        <v>44852.804900000003</v>
      </c>
      <c r="N23" s="1226">
        <v>42124.220800000003</v>
      </c>
    </row>
    <row r="24" spans="1:14" ht="12">
      <c r="A24" s="108" t="s">
        <v>144</v>
      </c>
      <c r="B24" s="420">
        <v>0</v>
      </c>
      <c r="C24" s="420">
        <v>0</v>
      </c>
      <c r="D24" s="420">
        <v>0</v>
      </c>
      <c r="E24" s="420">
        <v>0</v>
      </c>
      <c r="F24" s="420">
        <v>0</v>
      </c>
      <c r="G24" s="420">
        <v>235.1129</v>
      </c>
      <c r="H24" s="420">
        <v>644.83529999999996</v>
      </c>
      <c r="I24" s="420">
        <v>1560.9110000000001</v>
      </c>
      <c r="J24" s="420">
        <v>3548.6410000000001</v>
      </c>
      <c r="K24" s="420">
        <v>5719.5432000000001</v>
      </c>
      <c r="L24" s="420">
        <v>8924.8649000000005</v>
      </c>
      <c r="M24" s="420">
        <v>9284.3747000000003</v>
      </c>
      <c r="N24" s="1226">
        <v>9841.2945999999993</v>
      </c>
    </row>
    <row r="25" spans="1:14" ht="12">
      <c r="A25" s="108" t="s">
        <v>145</v>
      </c>
      <c r="B25" s="420">
        <v>0</v>
      </c>
      <c r="C25" s="420">
        <v>0</v>
      </c>
      <c r="D25" s="420">
        <v>0</v>
      </c>
      <c r="E25" s="420">
        <v>0</v>
      </c>
      <c r="F25" s="420">
        <v>0</v>
      </c>
      <c r="G25" s="420">
        <v>1133.5542</v>
      </c>
      <c r="H25" s="420">
        <v>2284.0895</v>
      </c>
      <c r="I25" s="420">
        <v>9460.9624999999996</v>
      </c>
      <c r="J25" s="420">
        <v>13752.2281</v>
      </c>
      <c r="K25" s="420">
        <v>39937.358</v>
      </c>
      <c r="L25" s="420">
        <v>37488.417399999998</v>
      </c>
      <c r="M25" s="420">
        <v>35568.4303</v>
      </c>
      <c r="N25" s="1226">
        <v>32282.926200000002</v>
      </c>
    </row>
    <row r="26" spans="1:14" ht="12">
      <c r="A26" s="108" t="s">
        <v>146</v>
      </c>
      <c r="B26" s="420">
        <v>0</v>
      </c>
      <c r="C26" s="420">
        <v>0</v>
      </c>
      <c r="D26" s="420">
        <v>0</v>
      </c>
      <c r="E26" s="420">
        <v>0</v>
      </c>
      <c r="F26" s="420">
        <v>0</v>
      </c>
      <c r="G26" s="420">
        <v>0</v>
      </c>
      <c r="H26" s="420">
        <v>0</v>
      </c>
      <c r="I26" s="420">
        <v>0</v>
      </c>
      <c r="J26" s="420">
        <v>0</v>
      </c>
      <c r="K26" s="420">
        <v>174179.17670000001</v>
      </c>
      <c r="L26" s="420">
        <v>110144.64969999999</v>
      </c>
      <c r="M26" s="420">
        <v>110144.64969999999</v>
      </c>
      <c r="N26" s="1226">
        <v>0</v>
      </c>
    </row>
    <row r="27" spans="1:14" ht="12">
      <c r="A27" s="108" t="s">
        <v>147</v>
      </c>
      <c r="B27" s="420">
        <v>0</v>
      </c>
      <c r="C27" s="420">
        <v>0</v>
      </c>
      <c r="D27" s="420">
        <v>0</v>
      </c>
      <c r="E27" s="420">
        <v>0</v>
      </c>
      <c r="F27" s="420">
        <v>0</v>
      </c>
      <c r="G27" s="420">
        <v>336.25630000000001</v>
      </c>
      <c r="H27" s="420">
        <v>34157.265599999999</v>
      </c>
      <c r="I27" s="420">
        <v>85354.977499999994</v>
      </c>
      <c r="J27" s="420">
        <v>133141.50210000001</v>
      </c>
      <c r="K27" s="420">
        <v>86193.071500000005</v>
      </c>
      <c r="L27" s="420">
        <v>88194.153699999995</v>
      </c>
      <c r="M27" s="420">
        <v>188469.50469999999</v>
      </c>
      <c r="N27" s="1226">
        <v>449299.0906</v>
      </c>
    </row>
    <row r="28" spans="1:14" ht="12">
      <c r="A28" s="108" t="s">
        <v>148</v>
      </c>
      <c r="B28" s="420">
        <v>0</v>
      </c>
      <c r="C28" s="420">
        <v>0</v>
      </c>
      <c r="D28" s="420">
        <v>0</v>
      </c>
      <c r="E28" s="420">
        <v>0</v>
      </c>
      <c r="F28" s="420">
        <v>0</v>
      </c>
      <c r="G28" s="420">
        <v>1469.8105</v>
      </c>
      <c r="H28" s="420">
        <v>36441.355100000001</v>
      </c>
      <c r="I28" s="420">
        <v>94815.94</v>
      </c>
      <c r="J28" s="420">
        <v>146893.73019999999</v>
      </c>
      <c r="K28" s="420">
        <v>300309.60609999998</v>
      </c>
      <c r="L28" s="420">
        <v>235827.22089999999</v>
      </c>
      <c r="M28" s="420">
        <v>334182.58470000001</v>
      </c>
      <c r="N28" s="1226">
        <v>481582.01679999998</v>
      </c>
    </row>
    <row r="29" spans="1:14" ht="12">
      <c r="A29" s="108" t="s">
        <v>149</v>
      </c>
      <c r="B29" s="420">
        <v>0</v>
      </c>
      <c r="C29" s="420">
        <v>0</v>
      </c>
      <c r="D29" s="420">
        <v>0</v>
      </c>
      <c r="E29" s="420">
        <v>0</v>
      </c>
      <c r="F29" s="420">
        <v>0</v>
      </c>
      <c r="G29" s="420">
        <v>63703.742200000001</v>
      </c>
      <c r="H29" s="420">
        <v>305239.5857</v>
      </c>
      <c r="I29" s="420">
        <v>547543.31519999995</v>
      </c>
      <c r="J29" s="420">
        <v>687758.6165</v>
      </c>
      <c r="K29" s="420">
        <v>886243.65359999996</v>
      </c>
      <c r="L29" s="420">
        <v>816452.17649999994</v>
      </c>
      <c r="M29" s="420">
        <v>1268215.0674999999</v>
      </c>
      <c r="N29" s="1226">
        <v>2160452.8322999999</v>
      </c>
    </row>
    <row r="30" spans="1:14" ht="12">
      <c r="A30" s="108" t="s">
        <v>150</v>
      </c>
      <c r="B30" s="420">
        <v>0</v>
      </c>
      <c r="C30" s="420">
        <v>0</v>
      </c>
      <c r="D30" s="420">
        <v>0</v>
      </c>
      <c r="E30" s="420">
        <v>0</v>
      </c>
      <c r="F30" s="420">
        <v>0</v>
      </c>
      <c r="G30" s="420">
        <v>0</v>
      </c>
      <c r="H30" s="420">
        <v>9996.9010999999991</v>
      </c>
      <c r="I30" s="420">
        <v>883.45979999999997</v>
      </c>
      <c r="J30" s="420">
        <v>1433.143</v>
      </c>
      <c r="K30" s="420">
        <v>4291.3145999999997</v>
      </c>
      <c r="L30" s="420">
        <v>35762.860399999998</v>
      </c>
      <c r="M30" s="420">
        <v>21303.074199999999</v>
      </c>
      <c r="N30" s="1226">
        <v>55022.481800000001</v>
      </c>
    </row>
    <row r="31" spans="1:14" ht="12">
      <c r="A31" s="108" t="s">
        <v>151</v>
      </c>
      <c r="B31" s="420">
        <v>0</v>
      </c>
      <c r="C31" s="420">
        <v>0</v>
      </c>
      <c r="D31" s="420">
        <v>0</v>
      </c>
      <c r="E31" s="420">
        <v>0</v>
      </c>
      <c r="F31" s="420">
        <v>0</v>
      </c>
      <c r="G31" s="420">
        <v>0</v>
      </c>
      <c r="H31" s="420">
        <v>16000</v>
      </c>
      <c r="I31" s="420">
        <v>120205.6</v>
      </c>
      <c r="J31" s="420">
        <v>179722.4</v>
      </c>
      <c r="K31" s="420">
        <v>108850</v>
      </c>
      <c r="L31" s="420">
        <v>450</v>
      </c>
      <c r="M31" s="420">
        <v>0</v>
      </c>
      <c r="N31" s="1226">
        <v>1000</v>
      </c>
    </row>
    <row r="32" spans="1:14" ht="12">
      <c r="A32" s="108" t="s">
        <v>152</v>
      </c>
      <c r="B32" s="420">
        <v>0</v>
      </c>
      <c r="C32" s="420">
        <v>0</v>
      </c>
      <c r="D32" s="420">
        <v>0</v>
      </c>
      <c r="E32" s="420">
        <v>0</v>
      </c>
      <c r="F32" s="420">
        <v>0</v>
      </c>
      <c r="G32" s="420">
        <v>37192.941400000003</v>
      </c>
      <c r="H32" s="420">
        <v>160546.34270000001</v>
      </c>
      <c r="I32" s="420">
        <v>265792.21879999997</v>
      </c>
      <c r="J32" s="420">
        <v>199780.61619999999</v>
      </c>
      <c r="K32" s="420">
        <v>300587.55800000002</v>
      </c>
      <c r="L32" s="420">
        <v>196745.777</v>
      </c>
      <c r="M32" s="420">
        <v>509923.34600000002</v>
      </c>
      <c r="N32" s="1226">
        <v>909340.66830000002</v>
      </c>
    </row>
    <row r="33" spans="1:14" ht="12">
      <c r="A33" s="108" t="s">
        <v>153</v>
      </c>
      <c r="B33" s="420">
        <v>0</v>
      </c>
      <c r="C33" s="420">
        <v>0</v>
      </c>
      <c r="D33" s="420">
        <v>0</v>
      </c>
      <c r="E33" s="420">
        <v>0</v>
      </c>
      <c r="F33" s="420">
        <v>0</v>
      </c>
      <c r="G33" s="420">
        <v>37192.941400000003</v>
      </c>
      <c r="H33" s="420">
        <v>186543.2438</v>
      </c>
      <c r="I33" s="420">
        <v>386881.27860000002</v>
      </c>
      <c r="J33" s="420">
        <v>380936.15919999999</v>
      </c>
      <c r="K33" s="420">
        <v>413728.8726</v>
      </c>
      <c r="L33" s="420">
        <v>232958.63740000001</v>
      </c>
      <c r="M33" s="420">
        <v>531226.42020000005</v>
      </c>
      <c r="N33" s="1226">
        <v>965363.15009999997</v>
      </c>
    </row>
    <row r="34" spans="1:14" ht="12">
      <c r="A34" s="108" t="s">
        <v>154</v>
      </c>
      <c r="B34" s="420">
        <v>0</v>
      </c>
      <c r="C34" s="420">
        <v>0</v>
      </c>
      <c r="D34" s="420">
        <v>0</v>
      </c>
      <c r="E34" s="420">
        <v>0</v>
      </c>
      <c r="F34" s="420">
        <v>0</v>
      </c>
      <c r="G34" s="420">
        <v>0</v>
      </c>
      <c r="H34" s="420">
        <v>60</v>
      </c>
      <c r="I34" s="420">
        <v>7206.6</v>
      </c>
      <c r="J34" s="420">
        <v>12662.196</v>
      </c>
      <c r="K34" s="420">
        <v>12114.816000000001</v>
      </c>
      <c r="L34" s="420">
        <v>115.76</v>
      </c>
      <c r="M34" s="420">
        <v>69714</v>
      </c>
      <c r="N34" s="1226">
        <v>119109.4134</v>
      </c>
    </row>
    <row r="35" spans="1:14" ht="12">
      <c r="A35" s="108" t="s">
        <v>155</v>
      </c>
      <c r="B35" s="420">
        <v>0</v>
      </c>
      <c r="C35" s="420">
        <v>0</v>
      </c>
      <c r="D35" s="420">
        <v>0</v>
      </c>
      <c r="E35" s="420">
        <v>0</v>
      </c>
      <c r="F35" s="420">
        <v>0</v>
      </c>
      <c r="G35" s="420">
        <v>245.95</v>
      </c>
      <c r="H35" s="420">
        <v>3000</v>
      </c>
      <c r="I35" s="420">
        <v>3080.6747999999998</v>
      </c>
      <c r="J35" s="420">
        <v>5168.7367999999997</v>
      </c>
      <c r="K35" s="420">
        <v>3224.4895000000001</v>
      </c>
      <c r="L35" s="420">
        <v>3783.6345000000001</v>
      </c>
      <c r="M35" s="420">
        <v>3659.8595999999998</v>
      </c>
      <c r="N35" s="1226">
        <v>3752.779</v>
      </c>
    </row>
    <row r="36" spans="1:14" ht="12">
      <c r="A36" s="108" t="s">
        <v>156</v>
      </c>
      <c r="B36" s="420">
        <v>0</v>
      </c>
      <c r="C36" s="420">
        <v>0</v>
      </c>
      <c r="D36" s="420">
        <v>0</v>
      </c>
      <c r="E36" s="420">
        <v>0</v>
      </c>
      <c r="F36" s="420">
        <v>0</v>
      </c>
      <c r="G36" s="420">
        <v>245.95</v>
      </c>
      <c r="H36" s="420">
        <v>3060</v>
      </c>
      <c r="I36" s="420">
        <v>10287.274799999999</v>
      </c>
      <c r="J36" s="420">
        <v>17830.932799999999</v>
      </c>
      <c r="K36" s="420">
        <v>15339.3055</v>
      </c>
      <c r="L36" s="420">
        <v>3899.3944999999999</v>
      </c>
      <c r="M36" s="420">
        <v>73373.859599999996</v>
      </c>
      <c r="N36" s="1226">
        <v>122862.1924</v>
      </c>
    </row>
    <row r="37" spans="1:14" ht="12">
      <c r="A37" s="108" t="s">
        <v>157</v>
      </c>
      <c r="B37" s="420">
        <v>0</v>
      </c>
      <c r="C37" s="420">
        <v>0</v>
      </c>
      <c r="D37" s="420">
        <v>0</v>
      </c>
      <c r="E37" s="420">
        <v>0</v>
      </c>
      <c r="F37" s="420">
        <v>0</v>
      </c>
      <c r="G37" s="420">
        <v>37438.8914</v>
      </c>
      <c r="H37" s="420">
        <v>189603.2438</v>
      </c>
      <c r="I37" s="420">
        <v>397168.55339999998</v>
      </c>
      <c r="J37" s="420">
        <v>398767.092</v>
      </c>
      <c r="K37" s="420">
        <v>429068.17800000001</v>
      </c>
      <c r="L37" s="420">
        <v>236858.0318</v>
      </c>
      <c r="M37" s="420">
        <v>604600.27980000002</v>
      </c>
      <c r="N37" s="1226">
        <v>1088225.3425</v>
      </c>
    </row>
    <row r="38" spans="1:14" ht="12">
      <c r="A38" s="108" t="s">
        <v>158</v>
      </c>
      <c r="B38" s="420">
        <v>0</v>
      </c>
      <c r="C38" s="420">
        <v>0</v>
      </c>
      <c r="D38" s="420">
        <v>0</v>
      </c>
      <c r="E38" s="420">
        <v>0</v>
      </c>
      <c r="F38" s="420">
        <v>0</v>
      </c>
      <c r="G38" s="420">
        <v>0</v>
      </c>
      <c r="H38" s="420">
        <v>0</v>
      </c>
      <c r="I38" s="420">
        <v>0</v>
      </c>
      <c r="J38" s="420">
        <v>0</v>
      </c>
      <c r="K38" s="420">
        <v>0</v>
      </c>
      <c r="L38" s="420">
        <v>0</v>
      </c>
      <c r="M38" s="420">
        <v>0</v>
      </c>
      <c r="N38" s="1226">
        <v>0</v>
      </c>
    </row>
    <row r="39" spans="1:14" ht="12">
      <c r="A39" s="108" t="s">
        <v>159</v>
      </c>
      <c r="B39" s="420">
        <v>0</v>
      </c>
      <c r="C39" s="420">
        <v>0</v>
      </c>
      <c r="D39" s="420">
        <v>0</v>
      </c>
      <c r="E39" s="420">
        <v>0</v>
      </c>
      <c r="F39" s="420">
        <v>0</v>
      </c>
      <c r="G39" s="420">
        <v>0</v>
      </c>
      <c r="H39" s="420">
        <v>3420</v>
      </c>
      <c r="I39" s="420">
        <v>3420</v>
      </c>
      <c r="J39" s="420">
        <v>5280</v>
      </c>
      <c r="K39" s="420">
        <v>32185.270799999998</v>
      </c>
      <c r="L39" s="420">
        <v>31980.270799999998</v>
      </c>
      <c r="M39" s="420">
        <v>10982.380800000001</v>
      </c>
      <c r="N39" s="1226">
        <v>10867.980799999999</v>
      </c>
    </row>
    <row r="40" spans="1:14" ht="12">
      <c r="A40" s="108" t="s">
        <v>160</v>
      </c>
      <c r="B40" s="420">
        <v>0</v>
      </c>
      <c r="C40" s="420">
        <v>0</v>
      </c>
      <c r="D40" s="420">
        <v>0</v>
      </c>
      <c r="E40" s="420">
        <v>0</v>
      </c>
      <c r="F40" s="420">
        <v>0</v>
      </c>
      <c r="G40" s="420">
        <v>15000</v>
      </c>
      <c r="H40" s="420">
        <v>80000</v>
      </c>
      <c r="I40" s="420">
        <v>80000</v>
      </c>
      <c r="J40" s="420">
        <v>160000</v>
      </c>
      <c r="K40" s="420">
        <v>320000</v>
      </c>
      <c r="L40" s="420">
        <v>420000</v>
      </c>
      <c r="M40" s="420">
        <v>527996.81000000006</v>
      </c>
      <c r="N40" s="1226">
        <v>750000</v>
      </c>
    </row>
    <row r="41" spans="1:14" ht="12">
      <c r="A41" s="108" t="s">
        <v>161</v>
      </c>
      <c r="B41" s="420">
        <v>0</v>
      </c>
      <c r="C41" s="420">
        <v>0</v>
      </c>
      <c r="D41" s="420">
        <v>0</v>
      </c>
      <c r="E41" s="420">
        <v>0</v>
      </c>
      <c r="F41" s="420">
        <v>0</v>
      </c>
      <c r="G41" s="420">
        <v>11264.852500000001</v>
      </c>
      <c r="H41" s="420">
        <v>7223.0934999999999</v>
      </c>
      <c r="I41" s="420">
        <v>39786.703999999998</v>
      </c>
      <c r="J41" s="420">
        <v>78317.970100000006</v>
      </c>
      <c r="K41" s="420">
        <v>49204.694300000003</v>
      </c>
      <c r="L41" s="420">
        <v>103755.82859999999</v>
      </c>
      <c r="M41" s="420">
        <v>94153.803799999994</v>
      </c>
      <c r="N41" s="1226">
        <v>241892.13329999999</v>
      </c>
    </row>
    <row r="42" spans="1:14" ht="12">
      <c r="A42" s="108" t="s">
        <v>162</v>
      </c>
      <c r="B42" s="420">
        <v>0</v>
      </c>
      <c r="C42" s="420">
        <v>0</v>
      </c>
      <c r="D42" s="420">
        <v>0</v>
      </c>
      <c r="E42" s="420">
        <v>0</v>
      </c>
      <c r="F42" s="420">
        <v>0</v>
      </c>
      <c r="G42" s="420">
        <v>0</v>
      </c>
      <c r="H42" s="420">
        <v>24993.2484</v>
      </c>
      <c r="I42" s="420">
        <v>27168.057799999999</v>
      </c>
      <c r="J42" s="420">
        <v>45393.554400000001</v>
      </c>
      <c r="K42" s="420">
        <v>55785.510399999999</v>
      </c>
      <c r="L42" s="420">
        <v>23858.0452</v>
      </c>
      <c r="M42" s="420">
        <v>30481.793000000001</v>
      </c>
      <c r="N42" s="1226">
        <v>69467.375700000004</v>
      </c>
    </row>
    <row r="43" spans="1:14" ht="12">
      <c r="A43" s="108" t="s">
        <v>163</v>
      </c>
      <c r="B43" s="420">
        <v>0</v>
      </c>
      <c r="C43" s="420">
        <v>0</v>
      </c>
      <c r="D43" s="420">
        <v>0</v>
      </c>
      <c r="E43" s="420">
        <v>0</v>
      </c>
      <c r="F43" s="420">
        <v>0</v>
      </c>
      <c r="G43" s="420">
        <v>26264.852500000001</v>
      </c>
      <c r="H43" s="420">
        <v>115636.3419</v>
      </c>
      <c r="I43" s="420">
        <v>150374.76180000001</v>
      </c>
      <c r="J43" s="420">
        <v>288991.5245</v>
      </c>
      <c r="K43" s="420">
        <v>457175.47560000001</v>
      </c>
      <c r="L43" s="420">
        <v>579594.1446</v>
      </c>
      <c r="M43" s="420">
        <v>663614.78769999999</v>
      </c>
      <c r="N43" s="1226">
        <v>1072227.4898000001</v>
      </c>
    </row>
    <row r="44" spans="1:14" ht="12">
      <c r="A44" s="108" t="s">
        <v>164</v>
      </c>
      <c r="B44" s="420">
        <v>0</v>
      </c>
      <c r="C44" s="420">
        <v>0</v>
      </c>
      <c r="D44" s="420">
        <v>0</v>
      </c>
      <c r="E44" s="420">
        <v>0</v>
      </c>
      <c r="F44" s="420">
        <v>0</v>
      </c>
      <c r="G44" s="420">
        <v>63703.743900000001</v>
      </c>
      <c r="H44" s="420">
        <v>305239.5857</v>
      </c>
      <c r="I44" s="420">
        <v>547543.31519999995</v>
      </c>
      <c r="J44" s="420">
        <v>687758.6165</v>
      </c>
      <c r="K44" s="420">
        <v>886243.65359999996</v>
      </c>
      <c r="L44" s="420">
        <v>816452.17649999994</v>
      </c>
      <c r="M44" s="420">
        <v>1268215.0674999999</v>
      </c>
      <c r="N44" s="1226">
        <v>2160452.8322999999</v>
      </c>
    </row>
    <row r="45" spans="1:14" ht="12">
      <c r="A45" s="108" t="s">
        <v>165</v>
      </c>
      <c r="B45" s="420">
        <v>0</v>
      </c>
      <c r="C45" s="420">
        <v>0</v>
      </c>
      <c r="D45" s="420">
        <v>0</v>
      </c>
      <c r="E45" s="420">
        <v>0</v>
      </c>
      <c r="F45" s="420">
        <v>0</v>
      </c>
      <c r="G45" s="420">
        <v>11164.1572</v>
      </c>
      <c r="H45" s="420">
        <v>6832.6121999999996</v>
      </c>
      <c r="I45" s="420">
        <v>38141.262499999997</v>
      </c>
      <c r="J45" s="420">
        <v>72079.286800000002</v>
      </c>
      <c r="K45" s="420">
        <v>24591.4961</v>
      </c>
      <c r="L45" s="420">
        <v>57859.951099999998</v>
      </c>
      <c r="M45" s="420">
        <v>82763.993600000002</v>
      </c>
      <c r="N45" s="1226">
        <v>167834.4896</v>
      </c>
    </row>
    <row r="46" spans="1:14" ht="12">
      <c r="A46" s="108" t="s">
        <v>166</v>
      </c>
      <c r="B46" s="420">
        <v>0</v>
      </c>
      <c r="C46" s="420">
        <v>0</v>
      </c>
      <c r="D46" s="420">
        <v>0</v>
      </c>
      <c r="E46" s="420">
        <v>0</v>
      </c>
      <c r="F46" s="420">
        <v>0</v>
      </c>
      <c r="G46" s="420">
        <v>156.3425</v>
      </c>
      <c r="H46" s="420">
        <v>437.67099999999999</v>
      </c>
      <c r="I46" s="420">
        <v>988.70190000000002</v>
      </c>
      <c r="J46" s="420">
        <v>2069.8346999999999</v>
      </c>
      <c r="K46" s="420">
        <v>3860.4306999999999</v>
      </c>
      <c r="L46" s="420">
        <v>3895.6334999999999</v>
      </c>
      <c r="M46" s="420">
        <v>3539.5210000000002</v>
      </c>
      <c r="N46" s="1226">
        <v>3289.4436999999998</v>
      </c>
    </row>
    <row r="47" spans="1:14" ht="12">
      <c r="A47" s="108" t="s">
        <v>167</v>
      </c>
      <c r="B47" s="420">
        <v>0</v>
      </c>
      <c r="C47" s="420">
        <v>0</v>
      </c>
      <c r="D47" s="420">
        <v>0</v>
      </c>
      <c r="E47" s="420">
        <v>0</v>
      </c>
      <c r="F47" s="420">
        <v>0</v>
      </c>
      <c r="G47" s="420">
        <v>2210.7296999999999</v>
      </c>
      <c r="H47" s="420">
        <v>-10123.7444</v>
      </c>
      <c r="I47" s="420">
        <v>-81320.281400000007</v>
      </c>
      <c r="J47" s="420">
        <v>51006.002099999998</v>
      </c>
      <c r="K47" s="420">
        <v>-14251.3562</v>
      </c>
      <c r="L47" s="420">
        <v>-38137.383600000001</v>
      </c>
      <c r="M47" s="420">
        <v>-41166.667999999998</v>
      </c>
      <c r="N47" s="1226">
        <v>-312168.98070000001</v>
      </c>
    </row>
    <row r="48" spans="1:14" ht="12">
      <c r="A48" s="108" t="s">
        <v>168</v>
      </c>
      <c r="B48" s="420">
        <v>0</v>
      </c>
      <c r="C48" s="420">
        <v>0</v>
      </c>
      <c r="D48" s="420">
        <v>0</v>
      </c>
      <c r="E48" s="420">
        <v>0</v>
      </c>
      <c r="F48" s="420">
        <v>0</v>
      </c>
      <c r="G48" s="420">
        <v>4054.6044999999999</v>
      </c>
      <c r="H48" s="420">
        <v>-53044.004999999997</v>
      </c>
      <c r="I48" s="420">
        <v>9751.7795000000006</v>
      </c>
      <c r="J48" s="420">
        <v>-125757.5468</v>
      </c>
      <c r="K48" s="420">
        <v>-17764.2912</v>
      </c>
      <c r="L48" s="420">
        <v>91698.899099999995</v>
      </c>
      <c r="M48" s="420">
        <v>-126033.56479999999</v>
      </c>
      <c r="N48" s="1226">
        <v>473604.12400000001</v>
      </c>
    </row>
    <row r="49" spans="1:14" ht="12">
      <c r="A49" s="108" t="s">
        <v>169</v>
      </c>
      <c r="B49" s="420">
        <v>0</v>
      </c>
      <c r="C49" s="420">
        <v>0</v>
      </c>
      <c r="D49" s="420">
        <v>0</v>
      </c>
      <c r="E49" s="420">
        <v>0</v>
      </c>
      <c r="F49" s="420">
        <v>0</v>
      </c>
      <c r="G49" s="420">
        <v>17585.833999999999</v>
      </c>
      <c r="H49" s="420">
        <v>-55897.4663</v>
      </c>
      <c r="I49" s="420">
        <v>-32438.5376</v>
      </c>
      <c r="J49" s="420">
        <v>-602.42319999999995</v>
      </c>
      <c r="K49" s="420">
        <v>-3563.7206999999999</v>
      </c>
      <c r="L49" s="420">
        <v>115317.1002</v>
      </c>
      <c r="M49" s="420">
        <v>-80896.718200000003</v>
      </c>
      <c r="N49" s="1226">
        <v>332559.07659999997</v>
      </c>
    </row>
    <row r="50" spans="1:14" ht="12">
      <c r="A50" s="108" t="s">
        <v>170</v>
      </c>
      <c r="B50" s="420">
        <v>0</v>
      </c>
      <c r="C50" s="420">
        <v>0</v>
      </c>
      <c r="D50" s="420">
        <v>0</v>
      </c>
      <c r="E50" s="420">
        <v>0</v>
      </c>
      <c r="F50" s="420">
        <v>0</v>
      </c>
      <c r="G50" s="420">
        <v>0</v>
      </c>
      <c r="H50" s="420">
        <v>0</v>
      </c>
      <c r="I50" s="420">
        <v>0</v>
      </c>
      <c r="J50" s="420">
        <v>0</v>
      </c>
      <c r="K50" s="420">
        <v>675.04369999999994</v>
      </c>
      <c r="L50" s="420">
        <v>17.545500000000001</v>
      </c>
      <c r="M50" s="420">
        <v>668.97280000000001</v>
      </c>
      <c r="N50" s="1226">
        <v>1500</v>
      </c>
    </row>
    <row r="51" spans="1:14" ht="12">
      <c r="A51" s="108" t="s">
        <v>171</v>
      </c>
      <c r="B51" s="420">
        <v>0</v>
      </c>
      <c r="C51" s="420">
        <v>0</v>
      </c>
      <c r="D51" s="420">
        <v>0</v>
      </c>
      <c r="E51" s="420">
        <v>0</v>
      </c>
      <c r="F51" s="420">
        <v>0</v>
      </c>
      <c r="G51" s="420">
        <v>-843.53110000000004</v>
      </c>
      <c r="H51" s="420">
        <v>-1783.8461</v>
      </c>
      <c r="I51" s="420">
        <v>-8082.2487000000001</v>
      </c>
      <c r="J51" s="420">
        <v>-6324.2338</v>
      </c>
      <c r="K51" s="420">
        <v>-5300.2708000000002</v>
      </c>
      <c r="L51" s="420">
        <v>-2783.3427999999999</v>
      </c>
      <c r="M51" s="420">
        <v>-2483.8598000000002</v>
      </c>
      <c r="N51" s="1226">
        <v>-3083.3069</v>
      </c>
    </row>
    <row r="52" spans="1:14" ht="12">
      <c r="A52" s="108" t="s">
        <v>172</v>
      </c>
      <c r="B52" s="420">
        <v>0</v>
      </c>
      <c r="C52" s="420">
        <v>0</v>
      </c>
      <c r="D52" s="420">
        <v>0</v>
      </c>
      <c r="E52" s="420">
        <v>0</v>
      </c>
      <c r="F52" s="420">
        <v>0</v>
      </c>
      <c r="G52" s="420">
        <v>0</v>
      </c>
      <c r="H52" s="420">
        <v>0</v>
      </c>
      <c r="I52" s="420">
        <v>0</v>
      </c>
      <c r="J52" s="420">
        <v>0</v>
      </c>
      <c r="K52" s="420">
        <v>0</v>
      </c>
      <c r="L52" s="420">
        <v>0</v>
      </c>
      <c r="M52" s="420">
        <v>0</v>
      </c>
      <c r="N52" s="1226">
        <v>0</v>
      </c>
    </row>
    <row r="53" spans="1:14" ht="12">
      <c r="A53" s="108" t="s">
        <v>173</v>
      </c>
      <c r="B53" s="420">
        <v>0</v>
      </c>
      <c r="C53" s="420">
        <v>0</v>
      </c>
      <c r="D53" s="420">
        <v>0</v>
      </c>
      <c r="E53" s="420">
        <v>0</v>
      </c>
      <c r="F53" s="420">
        <v>0</v>
      </c>
      <c r="G53" s="420">
        <v>0</v>
      </c>
      <c r="H53" s="420">
        <v>0</v>
      </c>
      <c r="I53" s="420">
        <v>0</v>
      </c>
      <c r="J53" s="420">
        <v>0</v>
      </c>
      <c r="K53" s="420">
        <v>0</v>
      </c>
      <c r="L53" s="420">
        <v>0</v>
      </c>
      <c r="M53" s="420">
        <v>0</v>
      </c>
      <c r="N53" s="1226">
        <v>0</v>
      </c>
    </row>
    <row r="54" spans="1:14" ht="12">
      <c r="A54" s="108" t="s">
        <v>174</v>
      </c>
      <c r="B54" s="420">
        <v>0</v>
      </c>
      <c r="C54" s="420">
        <v>0</v>
      </c>
      <c r="D54" s="420">
        <v>0</v>
      </c>
      <c r="E54" s="420">
        <v>0</v>
      </c>
      <c r="F54" s="420">
        <v>0</v>
      </c>
      <c r="G54" s="420">
        <v>0</v>
      </c>
      <c r="H54" s="420">
        <v>-58510</v>
      </c>
      <c r="I54" s="420">
        <v>-25796.799999999999</v>
      </c>
      <c r="J54" s="420">
        <v>-40761.251300000004</v>
      </c>
      <c r="K54" s="420">
        <v>-41894.526599999997</v>
      </c>
      <c r="L54" s="420">
        <v>-43103.909</v>
      </c>
      <c r="M54" s="420">
        <v>-165646.0722</v>
      </c>
      <c r="N54" s="1226">
        <v>102198.1554</v>
      </c>
    </row>
    <row r="55" spans="1:14" ht="12">
      <c r="A55" s="108" t="s">
        <v>175</v>
      </c>
      <c r="B55" s="420">
        <v>0</v>
      </c>
      <c r="C55" s="420">
        <v>0</v>
      </c>
      <c r="D55" s="420">
        <v>0</v>
      </c>
      <c r="E55" s="420">
        <v>0</v>
      </c>
      <c r="F55" s="420">
        <v>0</v>
      </c>
      <c r="G55" s="420">
        <v>-843.53110000000004</v>
      </c>
      <c r="H55" s="420">
        <v>-60293.846100000002</v>
      </c>
      <c r="I55" s="420">
        <v>-33879.048699999999</v>
      </c>
      <c r="J55" s="420">
        <v>-47085.485099999998</v>
      </c>
      <c r="K55" s="420">
        <v>-46519.753700000001</v>
      </c>
      <c r="L55" s="420">
        <v>-45869.706299999998</v>
      </c>
      <c r="M55" s="420">
        <v>-167460.95920000001</v>
      </c>
      <c r="N55" s="1226">
        <v>100614.84849999999</v>
      </c>
    </row>
    <row r="56" spans="1:14" ht="12">
      <c r="A56" s="108" t="s">
        <v>176</v>
      </c>
      <c r="B56" s="420">
        <v>0</v>
      </c>
      <c r="C56" s="420">
        <v>0</v>
      </c>
      <c r="D56" s="420">
        <v>0</v>
      </c>
      <c r="E56" s="420">
        <v>0</v>
      </c>
      <c r="F56" s="420">
        <v>0</v>
      </c>
      <c r="G56" s="420">
        <v>0</v>
      </c>
      <c r="H56" s="420">
        <v>-9943.8855000000003</v>
      </c>
      <c r="I56" s="420">
        <v>-4699.3190000000004</v>
      </c>
      <c r="J56" s="420">
        <v>-28005.856899999999</v>
      </c>
      <c r="K56" s="420">
        <v>-51254.341099999998</v>
      </c>
      <c r="L56" s="420">
        <v>-5261.1494000000002</v>
      </c>
      <c r="M56" s="420">
        <v>-2087.4</v>
      </c>
      <c r="N56" s="1226">
        <v>-15779.832</v>
      </c>
    </row>
    <row r="57" spans="1:14" ht="12">
      <c r="A57" s="108" t="s">
        <v>177</v>
      </c>
      <c r="B57" s="420">
        <v>0</v>
      </c>
      <c r="C57" s="420">
        <v>0</v>
      </c>
      <c r="D57" s="420">
        <v>0</v>
      </c>
      <c r="E57" s="420">
        <v>0</v>
      </c>
      <c r="F57" s="420">
        <v>0</v>
      </c>
      <c r="G57" s="420">
        <v>9200</v>
      </c>
      <c r="H57" s="420">
        <v>134420</v>
      </c>
      <c r="I57" s="420">
        <v>2040</v>
      </c>
      <c r="J57" s="420">
        <v>94252.6103</v>
      </c>
      <c r="K57" s="420">
        <v>117357.7138</v>
      </c>
      <c r="L57" s="420">
        <v>101392</v>
      </c>
      <c r="M57" s="420">
        <v>113542.048</v>
      </c>
      <c r="N57" s="1226">
        <v>235663.19</v>
      </c>
    </row>
    <row r="58" spans="1:14" ht="12">
      <c r="A58" s="108" t="s">
        <v>178</v>
      </c>
      <c r="B58" s="420">
        <v>0</v>
      </c>
      <c r="C58" s="420">
        <v>0</v>
      </c>
      <c r="D58" s="420">
        <v>0</v>
      </c>
      <c r="E58" s="420">
        <v>0</v>
      </c>
      <c r="F58" s="420">
        <v>0</v>
      </c>
      <c r="G58" s="420">
        <v>0</v>
      </c>
      <c r="H58" s="420">
        <v>-185.95</v>
      </c>
      <c r="I58" s="420">
        <v>0</v>
      </c>
      <c r="J58" s="420">
        <v>0</v>
      </c>
      <c r="K58" s="420">
        <v>0</v>
      </c>
      <c r="L58" s="420">
        <v>-3101.7301000000002</v>
      </c>
      <c r="M58" s="420">
        <v>0</v>
      </c>
      <c r="N58" s="1226">
        <v>0</v>
      </c>
    </row>
    <row r="59" spans="1:14" ht="12">
      <c r="A59" s="108" t="s">
        <v>179</v>
      </c>
      <c r="B59" s="420">
        <v>0</v>
      </c>
      <c r="C59" s="420">
        <v>0</v>
      </c>
      <c r="D59" s="420">
        <v>0</v>
      </c>
      <c r="E59" s="420">
        <v>0</v>
      </c>
      <c r="F59" s="420">
        <v>0</v>
      </c>
      <c r="G59" s="420">
        <v>0</v>
      </c>
      <c r="H59" s="420">
        <v>0</v>
      </c>
      <c r="I59" s="420">
        <v>0</v>
      </c>
      <c r="J59" s="420">
        <v>0</v>
      </c>
      <c r="K59" s="420">
        <v>0</v>
      </c>
      <c r="L59" s="420">
        <v>0</v>
      </c>
      <c r="M59" s="420">
        <v>0</v>
      </c>
      <c r="N59" s="1226">
        <v>0</v>
      </c>
    </row>
    <row r="60" spans="1:14" ht="12">
      <c r="A60" s="108" t="s">
        <v>180</v>
      </c>
      <c r="B60" s="420">
        <v>0</v>
      </c>
      <c r="C60" s="420">
        <v>0</v>
      </c>
      <c r="D60" s="420">
        <v>0</v>
      </c>
      <c r="E60" s="420">
        <v>0</v>
      </c>
      <c r="F60" s="420">
        <v>0</v>
      </c>
      <c r="G60" s="420">
        <v>9266.5995999999996</v>
      </c>
      <c r="H60" s="420">
        <v>124290.1645</v>
      </c>
      <c r="I60" s="420">
        <v>104692.88099999999</v>
      </c>
      <c r="J60" s="420">
        <v>131219.14939999999</v>
      </c>
      <c r="K60" s="420">
        <v>-4119.1872999999996</v>
      </c>
      <c r="L60" s="420">
        <v>-40756.539400000001</v>
      </c>
      <c r="M60" s="420">
        <v>185191.31349999999</v>
      </c>
      <c r="N60" s="1226">
        <v>270278.77140000003</v>
      </c>
    </row>
    <row r="61" spans="1:14" ht="12">
      <c r="A61" s="108" t="s">
        <v>181</v>
      </c>
      <c r="B61" s="420">
        <v>0</v>
      </c>
      <c r="C61" s="420">
        <v>0</v>
      </c>
      <c r="D61" s="420">
        <v>0</v>
      </c>
      <c r="E61" s="420">
        <v>0</v>
      </c>
      <c r="F61" s="420">
        <v>0</v>
      </c>
      <c r="G61" s="420">
        <v>26008.902300000002</v>
      </c>
      <c r="H61" s="420">
        <v>8098.8521000000001</v>
      </c>
      <c r="I61" s="420">
        <v>38375.294699999999</v>
      </c>
      <c r="J61" s="420">
        <v>83531.241099999999</v>
      </c>
      <c r="K61" s="420">
        <v>-54202.661699999997</v>
      </c>
      <c r="L61" s="420">
        <v>28690.854500000001</v>
      </c>
      <c r="M61" s="420">
        <v>-63166.364000000001</v>
      </c>
      <c r="N61" s="1226">
        <v>703452.69649999996</v>
      </c>
    </row>
    <row r="62" spans="1:14" ht="12">
      <c r="A62" s="108" t="s">
        <v>574</v>
      </c>
      <c r="B62" s="420">
        <v>0</v>
      </c>
      <c r="C62" s="420">
        <v>0</v>
      </c>
      <c r="D62" s="420">
        <v>0</v>
      </c>
      <c r="E62" s="420">
        <v>0</v>
      </c>
      <c r="F62" s="420">
        <v>0</v>
      </c>
      <c r="G62" s="420">
        <v>0</v>
      </c>
      <c r="H62" s="420">
        <v>0</v>
      </c>
      <c r="I62" s="420">
        <v>22016.95</v>
      </c>
      <c r="J62" s="420">
        <v>15895.93</v>
      </c>
      <c r="K62" s="420">
        <v>5407.72</v>
      </c>
      <c r="L62" s="420">
        <v>8343.33</v>
      </c>
      <c r="M62" s="420">
        <v>12500</v>
      </c>
      <c r="N62" s="1226">
        <v>11894.65</v>
      </c>
    </row>
    <row r="63" spans="1:14" ht="12">
      <c r="A63" s="96" t="s">
        <v>582</v>
      </c>
      <c r="B63" s="371">
        <v>0</v>
      </c>
      <c r="C63" s="371">
        <v>0</v>
      </c>
      <c r="D63" s="371">
        <v>0</v>
      </c>
      <c r="E63" s="371">
        <v>0</v>
      </c>
      <c r="F63" s="371">
        <v>0</v>
      </c>
      <c r="G63" s="371">
        <v>0</v>
      </c>
      <c r="H63" s="371">
        <v>0</v>
      </c>
      <c r="I63" s="371">
        <v>6.3434999999999997</v>
      </c>
      <c r="J63" s="371">
        <v>11.9392</v>
      </c>
      <c r="K63" s="371">
        <v>0</v>
      </c>
      <c r="L63" s="371">
        <v>0</v>
      </c>
      <c r="M63" s="371">
        <v>0</v>
      </c>
      <c r="N63" s="1227">
        <v>0</v>
      </c>
    </row>
    <row r="64" spans="1:14" ht="12">
      <c r="A64" s="96" t="s">
        <v>583</v>
      </c>
      <c r="B64" s="96">
        <v>0</v>
      </c>
      <c r="C64" s="371">
        <v>0</v>
      </c>
      <c r="D64" s="371">
        <v>0</v>
      </c>
      <c r="E64" s="371">
        <v>0</v>
      </c>
      <c r="F64" s="371">
        <v>0</v>
      </c>
      <c r="G64" s="371">
        <v>0</v>
      </c>
      <c r="H64" s="371">
        <v>0</v>
      </c>
      <c r="I64" s="371">
        <v>73.411299999999997</v>
      </c>
      <c r="J64" s="371">
        <v>59.2181</v>
      </c>
      <c r="K64" s="371">
        <v>0</v>
      </c>
      <c r="L64" s="371">
        <v>0</v>
      </c>
      <c r="M64" s="371">
        <v>0</v>
      </c>
      <c r="N64" s="1227">
        <v>0</v>
      </c>
    </row>
    <row r="65" spans="1:15">
      <c r="B65" s="371"/>
      <c r="C65" s="371"/>
      <c r="D65" s="371"/>
      <c r="E65" s="371"/>
      <c r="F65" s="371"/>
      <c r="G65" s="371"/>
      <c r="H65" s="371"/>
      <c r="I65" s="371"/>
      <c r="J65" s="371"/>
      <c r="K65" s="371"/>
      <c r="L65" s="371"/>
      <c r="M65" s="371"/>
    </row>
    <row r="66" spans="1:15">
      <c r="B66" s="418" t="str">
        <f ca="1">"CQ4"&amp;year-3</f>
        <v>CQ42022</v>
      </c>
      <c r="C66" s="426" t="str">
        <f ca="1">"CQ4"&amp;year</f>
        <v>CQ42025</v>
      </c>
      <c r="D66" s="371"/>
      <c r="E66" s="371"/>
      <c r="F66" s="371"/>
      <c r="G66" s="371"/>
      <c r="H66" s="371"/>
      <c r="I66" s="371"/>
      <c r="J66" s="371"/>
      <c r="K66" s="371"/>
      <c r="L66" s="371"/>
      <c r="M66" s="371"/>
    </row>
    <row r="67" spans="1:15" ht="12">
      <c r="A67" s="416"/>
      <c r="B67" s="421" t="e">
        <f ca="1">_xll.BDH(ticker,$A$68:$A$125,B66,C66,"Dir=H","Dts=S","Sort=A","Quote=C","QtTyp=Y","Days=A","Per=cq","DtFmt=D","Fill=0","UseDPDF=Y","cols=12;rows=59")</f>
        <v>#NAME?</v>
      </c>
      <c r="C67" s="417">
        <v>40998</v>
      </c>
      <c r="D67" s="417">
        <v>41089</v>
      </c>
      <c r="E67" s="417">
        <v>41180</v>
      </c>
      <c r="F67" s="417">
        <v>41274</v>
      </c>
      <c r="G67" s="417">
        <v>41362</v>
      </c>
      <c r="H67" s="417">
        <v>41453</v>
      </c>
      <c r="I67" s="417">
        <v>41547</v>
      </c>
      <c r="J67" s="417">
        <v>41639</v>
      </c>
      <c r="K67" s="417">
        <v>41729</v>
      </c>
      <c r="L67" s="1225">
        <v>41820</v>
      </c>
      <c r="M67" s="1225">
        <v>41912</v>
      </c>
      <c r="N67" s="1225">
        <v>42004</v>
      </c>
      <c r="O67" s="1225">
        <v>42094</v>
      </c>
    </row>
    <row r="68" spans="1:15" ht="12">
      <c r="A68" s="108" t="s">
        <v>128</v>
      </c>
      <c r="B68" s="424">
        <v>45976.5242</v>
      </c>
      <c r="C68" s="420">
        <v>34725.550499999998</v>
      </c>
      <c r="D68" s="420">
        <v>94877.759000000005</v>
      </c>
      <c r="E68" s="420">
        <v>152942.416</v>
      </c>
      <c r="F68" s="420">
        <v>120957.2585</v>
      </c>
      <c r="G68" s="420">
        <v>48773.071000000004</v>
      </c>
      <c r="H68" s="420">
        <v>139055.1433</v>
      </c>
      <c r="I68" s="420">
        <v>31324.253400000001</v>
      </c>
      <c r="J68" s="420">
        <v>123438.6727</v>
      </c>
      <c r="K68" s="420">
        <v>92389.558499999999</v>
      </c>
      <c r="L68" s="1226">
        <v>117633.0644</v>
      </c>
      <c r="M68" s="1226">
        <v>57464.836900000002</v>
      </c>
      <c r="N68" s="1226">
        <v>238693.19769999999</v>
      </c>
      <c r="O68" s="1226">
        <v>171599.67120000001</v>
      </c>
    </row>
    <row r="69" spans="1:15" ht="12">
      <c r="A69" s="108" t="s">
        <v>129</v>
      </c>
      <c r="B69" s="424">
        <v>4822.3274000000001</v>
      </c>
      <c r="C69" s="420">
        <v>3821.4099000000001</v>
      </c>
      <c r="D69" s="420">
        <v>46378.935799999999</v>
      </c>
      <c r="E69" s="420">
        <v>89321.595300000001</v>
      </c>
      <c r="F69" s="420">
        <v>71096.254799999995</v>
      </c>
      <c r="G69" s="420">
        <v>19581.2372</v>
      </c>
      <c r="H69" s="420">
        <v>65363.035000000003</v>
      </c>
      <c r="I69" s="420">
        <v>5599.4087</v>
      </c>
      <c r="J69" s="420">
        <v>46116.531799999997</v>
      </c>
      <c r="K69" s="420">
        <v>42966.623399999997</v>
      </c>
      <c r="L69" s="1226">
        <v>34341.225299999998</v>
      </c>
      <c r="M69" s="1226">
        <v>20105.175299999999</v>
      </c>
      <c r="N69" s="1226">
        <v>106952.425</v>
      </c>
      <c r="O69" s="1226">
        <v>71341.776599999997</v>
      </c>
    </row>
    <row r="70" spans="1:15" ht="12">
      <c r="A70" s="102" t="s">
        <v>130</v>
      </c>
      <c r="B70" s="424">
        <v>15881.563899999999</v>
      </c>
      <c r="C70" s="420">
        <v>6718.8995000000004</v>
      </c>
      <c r="D70" s="420">
        <v>13199.600700000001</v>
      </c>
      <c r="E70" s="420">
        <v>11821.989</v>
      </c>
      <c r="F70" s="420">
        <v>12305.235500000001</v>
      </c>
      <c r="G70" s="420">
        <v>11643.5137</v>
      </c>
      <c r="H70" s="420">
        <v>26212.991300000002</v>
      </c>
      <c r="I70" s="420">
        <v>10077.196400000001</v>
      </c>
      <c r="J70" s="420">
        <v>14560.108099999999</v>
      </c>
      <c r="K70" s="420">
        <v>6828.6184999999996</v>
      </c>
      <c r="L70" s="1226">
        <v>12496.4874</v>
      </c>
      <c r="M70" s="1226">
        <v>10398.0062</v>
      </c>
      <c r="N70" s="1226">
        <v>24579.357599999999</v>
      </c>
      <c r="O70" s="1226">
        <v>14572.179899999999</v>
      </c>
    </row>
    <row r="71" spans="1:15" ht="12">
      <c r="A71" s="102" t="s">
        <v>131</v>
      </c>
      <c r="B71" s="424">
        <v>29180.805400000001</v>
      </c>
      <c r="C71" s="420">
        <v>19319.280299999999</v>
      </c>
      <c r="D71" s="420">
        <v>19337.477299999999</v>
      </c>
      <c r="E71" s="420">
        <v>18828.2444</v>
      </c>
      <c r="F71" s="420">
        <v>21186.237700000001</v>
      </c>
      <c r="G71" s="420">
        <v>17635.770700000001</v>
      </c>
      <c r="H71" s="420">
        <v>18224.652399999999</v>
      </c>
      <c r="I71" s="420">
        <v>20001.8397</v>
      </c>
      <c r="J71" s="420">
        <v>25383.782599999999</v>
      </c>
      <c r="K71" s="420">
        <v>15070.2065</v>
      </c>
      <c r="L71" s="1226">
        <v>19021.670600000001</v>
      </c>
      <c r="M71" s="1226">
        <v>17674.5128</v>
      </c>
      <c r="N71" s="1226">
        <v>30561.186900000001</v>
      </c>
      <c r="O71" s="1226">
        <v>24895.741399999999</v>
      </c>
    </row>
    <row r="72" spans="1:15" ht="12">
      <c r="A72" s="108" t="s">
        <v>570</v>
      </c>
      <c r="B72" s="424">
        <v>-3908.1723999999999</v>
      </c>
      <c r="C72" s="420">
        <v>4865.9607999999998</v>
      </c>
      <c r="D72" s="420">
        <v>15961.7451</v>
      </c>
      <c r="E72" s="420">
        <v>32970.587299999999</v>
      </c>
      <c r="F72" s="420">
        <v>16369.530500000001</v>
      </c>
      <c r="G72" s="420">
        <v>-87.450599999999994</v>
      </c>
      <c r="H72" s="420">
        <v>29254.4647</v>
      </c>
      <c r="I72" s="420">
        <v>-4354.1913999999997</v>
      </c>
      <c r="J72" s="420">
        <v>37378.250200000002</v>
      </c>
      <c r="K72" s="420">
        <v>27524.110100000002</v>
      </c>
      <c r="L72" s="1226">
        <v>51773.681100000002</v>
      </c>
      <c r="M72" s="1226">
        <v>9287.1427000000003</v>
      </c>
      <c r="N72" s="1226">
        <v>76600.228199999998</v>
      </c>
      <c r="O72" s="1226">
        <v>60789.9732</v>
      </c>
    </row>
    <row r="73" spans="1:15" ht="12">
      <c r="A73" s="108" t="s">
        <v>133</v>
      </c>
      <c r="B73" s="424">
        <v>0</v>
      </c>
      <c r="C73" s="420">
        <v>0</v>
      </c>
      <c r="D73" s="420">
        <v>0</v>
      </c>
      <c r="E73" s="420">
        <v>0</v>
      </c>
      <c r="F73" s="420">
        <v>0</v>
      </c>
      <c r="G73" s="420">
        <v>0</v>
      </c>
      <c r="H73" s="420">
        <v>0</v>
      </c>
      <c r="I73" s="420">
        <v>0</v>
      </c>
      <c r="J73" s="420">
        <v>0</v>
      </c>
      <c r="K73" s="420">
        <v>0</v>
      </c>
      <c r="L73" s="1226">
        <v>0</v>
      </c>
      <c r="M73" s="1226">
        <v>0</v>
      </c>
      <c r="N73" s="1226">
        <v>0</v>
      </c>
      <c r="O73" s="1226">
        <v>0</v>
      </c>
    </row>
    <row r="74" spans="1:15" ht="12">
      <c r="A74" s="108" t="s">
        <v>134</v>
      </c>
      <c r="B74" s="424">
        <v>-1800.6132</v>
      </c>
      <c r="C74" s="420">
        <v>-1554.492</v>
      </c>
      <c r="D74" s="420">
        <v>397.82380000000001</v>
      </c>
      <c r="E74" s="420">
        <v>-2357.5704000000001</v>
      </c>
      <c r="F74" s="420">
        <v>-12048.1931</v>
      </c>
      <c r="G74" s="420">
        <v>-1982.2023999999999</v>
      </c>
      <c r="H74" s="420">
        <v>-1484.1765</v>
      </c>
      <c r="I74" s="420">
        <v>-43705.189599999998</v>
      </c>
      <c r="J74" s="420">
        <v>-11466.2315</v>
      </c>
      <c r="K74" s="420">
        <v>-1336.4532999999999</v>
      </c>
      <c r="L74" s="1226">
        <v>-5666.0596999999998</v>
      </c>
      <c r="M74" s="1226">
        <v>-5999.0715</v>
      </c>
      <c r="N74" s="1226">
        <v>-88261.569799999997</v>
      </c>
      <c r="O74" s="1226">
        <v>-10696.5915</v>
      </c>
    </row>
    <row r="75" spans="1:15" ht="12">
      <c r="A75" s="108" t="s">
        <v>132</v>
      </c>
      <c r="B75" s="424">
        <v>14047.062599999999</v>
      </c>
      <c r="C75" s="420">
        <v>3709.7559999999999</v>
      </c>
      <c r="D75" s="420">
        <v>1776.8341</v>
      </c>
      <c r="E75" s="420">
        <v>1073.3553999999999</v>
      </c>
      <c r="F75" s="420">
        <v>56.510199999999998</v>
      </c>
      <c r="G75" s="420">
        <v>45.523099999999999</v>
      </c>
      <c r="H75" s="420">
        <v>55.175199999999997</v>
      </c>
      <c r="I75" s="420">
        <v>32.271099999999997</v>
      </c>
      <c r="J75" s="420">
        <v>209.8597</v>
      </c>
      <c r="K75" s="420">
        <v>33.608800000000002</v>
      </c>
      <c r="L75" s="1226">
        <v>11.0954</v>
      </c>
      <c r="M75" s="1226">
        <v>9.8985000000000003</v>
      </c>
      <c r="N75" s="1226">
        <v>24.688099999999999</v>
      </c>
      <c r="O75" s="1226">
        <v>25.3813</v>
      </c>
    </row>
    <row r="76" spans="1:15" ht="12">
      <c r="A76" s="108" t="s">
        <v>135</v>
      </c>
      <c r="B76" s="424">
        <v>1196.5996</v>
      </c>
      <c r="C76" s="420">
        <v>4032.2640999999999</v>
      </c>
      <c r="D76" s="420">
        <v>4465.5487000000003</v>
      </c>
      <c r="E76" s="420">
        <v>7039.2748000000001</v>
      </c>
      <c r="F76" s="420">
        <v>4481.8639999999996</v>
      </c>
      <c r="G76" s="420">
        <v>1939.8140000000001</v>
      </c>
      <c r="H76" s="420">
        <v>10032.336799999999</v>
      </c>
      <c r="I76" s="420">
        <v>9490.7922999999992</v>
      </c>
      <c r="J76" s="420">
        <v>9293.2006999999994</v>
      </c>
      <c r="K76" s="420">
        <v>6650.3024999999998</v>
      </c>
      <c r="L76" s="1226">
        <v>12662.512699999999</v>
      </c>
      <c r="M76" s="1226">
        <v>4485.0402999999997</v>
      </c>
      <c r="N76" s="1226">
        <v>29523.149600000001</v>
      </c>
      <c r="O76" s="1226">
        <v>12201.29</v>
      </c>
    </row>
    <row r="77" spans="1:15" ht="12">
      <c r="A77" s="108" t="s">
        <v>136</v>
      </c>
      <c r="B77" s="424">
        <v>413.24770000000001</v>
      </c>
      <c r="C77" s="420">
        <v>-3875.8879999999999</v>
      </c>
      <c r="D77" s="420">
        <v>3633.6453000000001</v>
      </c>
      <c r="E77" s="420">
        <v>1722.1895</v>
      </c>
      <c r="F77" s="420">
        <v>-245.0498</v>
      </c>
      <c r="G77" s="420">
        <v>-1495.3462999999999</v>
      </c>
      <c r="H77" s="420">
        <v>576.19579999999996</v>
      </c>
      <c r="I77" s="420">
        <v>-251.3511</v>
      </c>
      <c r="J77" s="420">
        <v>8136.4080000000004</v>
      </c>
      <c r="K77" s="420">
        <v>859.71379999999999</v>
      </c>
      <c r="L77" s="1226">
        <v>13436</v>
      </c>
      <c r="M77" s="1226">
        <v>9823.3076999999994</v>
      </c>
      <c r="N77" s="1226">
        <v>21094.509399999999</v>
      </c>
      <c r="O77" s="1226">
        <v>22664.507900000001</v>
      </c>
    </row>
    <row r="78" spans="1:15" ht="12">
      <c r="A78" s="102" t="s">
        <v>4</v>
      </c>
      <c r="B78" s="424">
        <v>-3302.6433000000002</v>
      </c>
      <c r="C78" s="420">
        <v>5825.6679999999997</v>
      </c>
      <c r="D78" s="420">
        <v>16666.082200000001</v>
      </c>
      <c r="E78" s="420">
        <v>33755.9447</v>
      </c>
      <c r="F78" s="420">
        <v>18034.842000000001</v>
      </c>
      <c r="G78" s="420">
        <v>927.5444</v>
      </c>
      <c r="H78" s="420">
        <v>30202.270100000002</v>
      </c>
      <c r="I78" s="420">
        <v>-3472.8279000000002</v>
      </c>
      <c r="J78" s="420">
        <v>38073.607300000003</v>
      </c>
      <c r="K78" s="420">
        <v>28342.567299999999</v>
      </c>
      <c r="L78" s="1226">
        <v>52592.4136</v>
      </c>
      <c r="M78" s="1226">
        <v>10101.104300000001</v>
      </c>
      <c r="N78" s="1226">
        <v>77438.520600000003</v>
      </c>
      <c r="O78" s="1226">
        <v>61546.4015</v>
      </c>
    </row>
    <row r="79" spans="1:15" ht="12">
      <c r="A79" s="102" t="s">
        <v>571</v>
      </c>
      <c r="B79" s="424">
        <v>597.10469999999998</v>
      </c>
      <c r="C79" s="420">
        <v>725.59379999999999</v>
      </c>
      <c r="D79" s="420">
        <v>689.30340000000001</v>
      </c>
      <c r="E79" s="420">
        <v>770.32370000000003</v>
      </c>
      <c r="F79" s="420">
        <v>773.95929999999998</v>
      </c>
      <c r="G79" s="420">
        <v>780.54840000000002</v>
      </c>
      <c r="H79" s="420">
        <v>713.32219999999995</v>
      </c>
      <c r="I79" s="420">
        <v>648.14059999999995</v>
      </c>
      <c r="J79" s="420">
        <v>50.342799999999997</v>
      </c>
      <c r="K79" s="420">
        <v>577.31769999999995</v>
      </c>
      <c r="L79" s="1226">
        <v>577.59299999999996</v>
      </c>
      <c r="M79" s="1226">
        <v>566.89210000000003</v>
      </c>
      <c r="N79" s="1226">
        <v>575.80070000000001</v>
      </c>
      <c r="O79" s="1226">
        <v>643.09040000000005</v>
      </c>
    </row>
    <row r="80" spans="1:15" ht="12">
      <c r="A80" s="108" t="s">
        <v>137</v>
      </c>
      <c r="B80" s="424">
        <v>107361.7996</v>
      </c>
      <c r="C80" s="420">
        <v>53750.6495</v>
      </c>
      <c r="D80" s="420">
        <v>55688.726000000002</v>
      </c>
      <c r="E80" s="420">
        <v>68524.9522</v>
      </c>
      <c r="F80" s="420">
        <v>136052.65410000001</v>
      </c>
      <c r="G80" s="420">
        <v>110708.9258</v>
      </c>
      <c r="H80" s="420">
        <v>120159.1746</v>
      </c>
      <c r="I80" s="420">
        <v>59468.311900000001</v>
      </c>
      <c r="J80" s="420">
        <v>72886.290099999998</v>
      </c>
      <c r="K80" s="420">
        <v>306749.87939999998</v>
      </c>
      <c r="L80" s="1226">
        <v>305370.01150000002</v>
      </c>
      <c r="M80" s="1226">
        <v>373821.4902</v>
      </c>
      <c r="N80" s="1226">
        <v>776338.98670000001</v>
      </c>
      <c r="O80" s="1226">
        <v>840425.62179999996</v>
      </c>
    </row>
    <row r="81" spans="1:15" ht="12">
      <c r="A81" s="108" t="s">
        <v>138</v>
      </c>
      <c r="B81" s="424">
        <v>0</v>
      </c>
      <c r="C81" s="420">
        <v>0</v>
      </c>
      <c r="D81" s="420">
        <v>0</v>
      </c>
      <c r="E81" s="420">
        <v>0</v>
      </c>
      <c r="F81" s="420">
        <v>0</v>
      </c>
      <c r="G81" s="420">
        <v>0</v>
      </c>
      <c r="H81" s="420">
        <v>0</v>
      </c>
      <c r="I81" s="420">
        <v>2500</v>
      </c>
      <c r="J81" s="420">
        <v>0</v>
      </c>
      <c r="K81" s="420">
        <v>0</v>
      </c>
      <c r="L81" s="1226">
        <v>0</v>
      </c>
      <c r="M81" s="1226">
        <v>6025.8333000000002</v>
      </c>
      <c r="N81" s="1226">
        <v>0</v>
      </c>
      <c r="O81" s="1226">
        <v>0</v>
      </c>
    </row>
    <row r="82" spans="1:15" ht="12">
      <c r="A82" s="108" t="s">
        <v>139</v>
      </c>
      <c r="B82" s="424">
        <v>137804.6263</v>
      </c>
      <c r="C82" s="420">
        <v>65074.779000000002</v>
      </c>
      <c r="D82" s="420">
        <v>90663.914099999995</v>
      </c>
      <c r="E82" s="420">
        <v>110775.804</v>
      </c>
      <c r="F82" s="420">
        <v>125808.6845</v>
      </c>
      <c r="G82" s="420">
        <v>95291.497600000002</v>
      </c>
      <c r="H82" s="420">
        <v>130270.0567</v>
      </c>
      <c r="I82" s="420">
        <v>111404.45940000001</v>
      </c>
      <c r="J82" s="420">
        <v>131245.30309999999</v>
      </c>
      <c r="K82" s="420">
        <v>118930.0159</v>
      </c>
      <c r="L82" s="1226">
        <v>150955.85399999999</v>
      </c>
      <c r="M82" s="1226">
        <v>118951.3361</v>
      </c>
      <c r="N82" s="1226">
        <v>119201.1257</v>
      </c>
      <c r="O82" s="1226">
        <v>161165.25690000001</v>
      </c>
    </row>
    <row r="83" spans="1:15" ht="12">
      <c r="A83" s="108" t="s">
        <v>140</v>
      </c>
      <c r="B83" s="424">
        <v>84098.752600000007</v>
      </c>
      <c r="C83" s="420">
        <v>96877.542300000001</v>
      </c>
      <c r="D83" s="420">
        <v>243359.69750000001</v>
      </c>
      <c r="E83" s="420">
        <v>168316.93429999999</v>
      </c>
      <c r="F83" s="420">
        <v>129207.42509999999</v>
      </c>
      <c r="G83" s="420">
        <v>327792.13189999998</v>
      </c>
      <c r="H83" s="420">
        <v>288101.47269999998</v>
      </c>
      <c r="I83" s="420">
        <v>296155.2782</v>
      </c>
      <c r="J83" s="420">
        <v>432787.26329999999</v>
      </c>
      <c r="K83" s="420">
        <v>449351.62589999998</v>
      </c>
      <c r="L83" s="1226">
        <v>452490.04790000001</v>
      </c>
      <c r="M83" s="1226">
        <v>484180.97019999998</v>
      </c>
      <c r="N83" s="1226">
        <v>499214.3138</v>
      </c>
      <c r="O83" s="1226">
        <v>535177.64080000005</v>
      </c>
    </row>
    <row r="84" spans="1:15" ht="12">
      <c r="A84" s="108" t="s">
        <v>141</v>
      </c>
      <c r="B84" s="424">
        <v>256668.86900000001</v>
      </c>
      <c r="C84" s="420">
        <v>276791.23460000003</v>
      </c>
      <c r="D84" s="420">
        <v>184184.6078</v>
      </c>
      <c r="E84" s="420">
        <v>190948.64439999999</v>
      </c>
      <c r="F84" s="420">
        <v>189556.1918</v>
      </c>
      <c r="G84" s="420">
        <v>236161.215</v>
      </c>
      <c r="H84" s="420">
        <v>141253.3559</v>
      </c>
      <c r="I84" s="420">
        <v>322656.21789999999</v>
      </c>
      <c r="J84" s="420">
        <v>297113.6262</v>
      </c>
      <c r="K84" s="420">
        <v>147607.04269999999</v>
      </c>
      <c r="L84" s="1226">
        <v>171250.2389</v>
      </c>
      <c r="M84" s="1226">
        <v>227805.63579999999</v>
      </c>
      <c r="N84" s="1226">
        <v>284116.38919999998</v>
      </c>
      <c r="O84" s="1226">
        <v>511059.55450000003</v>
      </c>
    </row>
    <row r="85" spans="1:15" ht="12">
      <c r="A85" s="108" t="s">
        <v>142</v>
      </c>
      <c r="B85" s="424">
        <v>585934.04749999999</v>
      </c>
      <c r="C85" s="420">
        <v>492494.20539999998</v>
      </c>
      <c r="D85" s="420">
        <v>573896.94539999997</v>
      </c>
      <c r="E85" s="420">
        <v>538566.33479999995</v>
      </c>
      <c r="F85" s="420">
        <v>580624.95550000004</v>
      </c>
      <c r="G85" s="420">
        <v>769953.77020000003</v>
      </c>
      <c r="H85" s="420">
        <v>679784.05989999999</v>
      </c>
      <c r="I85" s="420">
        <v>792184.26749999996</v>
      </c>
      <c r="J85" s="420">
        <v>934032.48270000005</v>
      </c>
      <c r="K85" s="420">
        <v>1022638.5639</v>
      </c>
      <c r="L85" s="1226">
        <v>1080066.1523</v>
      </c>
      <c r="M85" s="1226">
        <v>1210785.2656</v>
      </c>
      <c r="N85" s="1226">
        <v>1678870.8155</v>
      </c>
      <c r="O85" s="1226">
        <v>2047828.0741000001</v>
      </c>
    </row>
    <row r="86" spans="1:15" ht="12">
      <c r="A86" s="108" t="s">
        <v>143</v>
      </c>
      <c r="B86" s="424">
        <v>45656.9012</v>
      </c>
      <c r="C86" s="420">
        <v>45365.042399999998</v>
      </c>
      <c r="D86" s="420">
        <v>46600.329400000002</v>
      </c>
      <c r="E86" s="420">
        <v>46602.027000000002</v>
      </c>
      <c r="F86" s="420">
        <v>46413.282299999999</v>
      </c>
      <c r="G86" s="420">
        <v>46368.974699999999</v>
      </c>
      <c r="H86" s="420">
        <v>45064.212800000001</v>
      </c>
      <c r="I86" s="420">
        <v>46540.188099999999</v>
      </c>
      <c r="J86" s="420">
        <v>44852.804900000003</v>
      </c>
      <c r="K86" s="420">
        <v>44905.157500000001</v>
      </c>
      <c r="L86" s="1226">
        <v>42717.1633</v>
      </c>
      <c r="M86" s="1226">
        <v>41078.980499999998</v>
      </c>
      <c r="N86" s="1226">
        <v>42124.220800000003</v>
      </c>
      <c r="O86" s="1226">
        <v>45642.5821</v>
      </c>
    </row>
    <row r="87" spans="1:15" ht="12">
      <c r="A87" s="108" t="s">
        <v>144</v>
      </c>
      <c r="B87" s="424">
        <v>5719.5432000000001</v>
      </c>
      <c r="C87" s="420">
        <v>6445.1369999999997</v>
      </c>
      <c r="D87" s="420">
        <v>7405.7501000000002</v>
      </c>
      <c r="E87" s="420">
        <v>8176.0738000000001</v>
      </c>
      <c r="F87" s="420">
        <v>8924.8649000000005</v>
      </c>
      <c r="G87" s="420">
        <v>9705.4133000000002</v>
      </c>
      <c r="H87" s="420">
        <v>9658.0491999999995</v>
      </c>
      <c r="I87" s="420">
        <v>10638.8305</v>
      </c>
      <c r="J87" s="420">
        <v>9284.3747000000003</v>
      </c>
      <c r="K87" s="420">
        <v>9815.7870999999996</v>
      </c>
      <c r="L87" s="1226">
        <v>10393.379999999999</v>
      </c>
      <c r="M87" s="1226">
        <v>9265.4938999999995</v>
      </c>
      <c r="N87" s="1226">
        <v>9841.2945999999993</v>
      </c>
      <c r="O87" s="1226">
        <v>10448.9557</v>
      </c>
    </row>
    <row r="88" spans="1:15" ht="12">
      <c r="A88" s="108" t="s">
        <v>145</v>
      </c>
      <c r="B88" s="424">
        <v>39937.358</v>
      </c>
      <c r="C88" s="420">
        <v>38919.905400000003</v>
      </c>
      <c r="D88" s="420">
        <v>39194.579299999998</v>
      </c>
      <c r="E88" s="420">
        <v>38425.953200000004</v>
      </c>
      <c r="F88" s="420">
        <v>37488.417399999998</v>
      </c>
      <c r="G88" s="420">
        <v>36663.561399999999</v>
      </c>
      <c r="H88" s="420">
        <v>35406.1636</v>
      </c>
      <c r="I88" s="420">
        <v>35901.357600000003</v>
      </c>
      <c r="J88" s="420">
        <v>35568.4303</v>
      </c>
      <c r="K88" s="420">
        <v>35089.370499999997</v>
      </c>
      <c r="L88" s="1226">
        <v>32323.783200000002</v>
      </c>
      <c r="M88" s="1226">
        <v>31813.486499999999</v>
      </c>
      <c r="N88" s="1226">
        <v>32282.926200000002</v>
      </c>
      <c r="O88" s="1226">
        <v>35193.626400000001</v>
      </c>
    </row>
    <row r="89" spans="1:15" ht="12">
      <c r="A89" s="108" t="s">
        <v>146</v>
      </c>
      <c r="B89" s="424">
        <v>174179.17670000001</v>
      </c>
      <c r="C89" s="420">
        <v>180270.82209999999</v>
      </c>
      <c r="D89" s="420">
        <v>151316.76459999999</v>
      </c>
      <c r="E89" s="420">
        <v>179726.26360000001</v>
      </c>
      <c r="F89" s="420">
        <v>110144.64969999999</v>
      </c>
      <c r="G89" s="420">
        <v>110144.64969999999</v>
      </c>
      <c r="H89" s="420">
        <v>155692.58809999999</v>
      </c>
      <c r="I89" s="420">
        <v>110258.0154</v>
      </c>
      <c r="J89" s="420">
        <v>110144.64969999999</v>
      </c>
      <c r="K89" s="420">
        <v>82062.776199999993</v>
      </c>
      <c r="L89" s="1226">
        <v>82062.776199999993</v>
      </c>
      <c r="M89" s="1226">
        <v>82062.776199999993</v>
      </c>
      <c r="N89" s="1226">
        <v>0</v>
      </c>
      <c r="O89" s="1226">
        <v>712.16849999999999</v>
      </c>
    </row>
    <row r="90" spans="1:15" ht="12">
      <c r="A90" s="108" t="s">
        <v>147</v>
      </c>
      <c r="B90" s="424">
        <v>86193.071500000005</v>
      </c>
      <c r="C90" s="420">
        <v>82844.039000000004</v>
      </c>
      <c r="D90" s="420">
        <v>109542.7539</v>
      </c>
      <c r="E90" s="420">
        <v>87667.519499999995</v>
      </c>
      <c r="F90" s="420">
        <v>88194.153699999995</v>
      </c>
      <c r="G90" s="420">
        <v>87027.956099999996</v>
      </c>
      <c r="H90" s="420">
        <v>167852.7138</v>
      </c>
      <c r="I90" s="420">
        <v>176442.5839</v>
      </c>
      <c r="J90" s="420">
        <v>188469.50469999999</v>
      </c>
      <c r="K90" s="420">
        <v>358267.33610000001</v>
      </c>
      <c r="L90" s="1226">
        <v>383197.23590000003</v>
      </c>
      <c r="M90" s="1226">
        <v>359795.49949999998</v>
      </c>
      <c r="N90" s="1226">
        <v>449299.0906</v>
      </c>
      <c r="O90" s="1226">
        <v>425553.56339999998</v>
      </c>
    </row>
    <row r="91" spans="1:15" ht="12">
      <c r="A91" s="108" t="s">
        <v>148</v>
      </c>
      <c r="B91" s="424">
        <v>300309.60609999998</v>
      </c>
      <c r="C91" s="420">
        <v>302034.76650000003</v>
      </c>
      <c r="D91" s="420">
        <v>300054.09779999999</v>
      </c>
      <c r="E91" s="420">
        <v>305819.73629999999</v>
      </c>
      <c r="F91" s="420">
        <v>235827.22089999999</v>
      </c>
      <c r="G91" s="420">
        <v>233836.1672</v>
      </c>
      <c r="H91" s="420">
        <v>358951.46549999999</v>
      </c>
      <c r="I91" s="420">
        <v>322601.95699999999</v>
      </c>
      <c r="J91" s="420">
        <v>334182.58470000001</v>
      </c>
      <c r="K91" s="420">
        <v>475419.4828</v>
      </c>
      <c r="L91" s="1226">
        <v>497583.7954</v>
      </c>
      <c r="M91" s="1226">
        <v>473671.7622</v>
      </c>
      <c r="N91" s="1226">
        <v>481582.01679999998</v>
      </c>
      <c r="O91" s="1226">
        <v>461459.35830000002</v>
      </c>
    </row>
    <row r="92" spans="1:15" ht="12">
      <c r="A92" s="108" t="s">
        <v>149</v>
      </c>
      <c r="B92" s="424">
        <v>886243.65359999996</v>
      </c>
      <c r="C92" s="420">
        <v>794528.97180000006</v>
      </c>
      <c r="D92" s="420">
        <v>873951.04319999996</v>
      </c>
      <c r="E92" s="420">
        <v>844386.07109999994</v>
      </c>
      <c r="F92" s="420">
        <v>816452.17649999994</v>
      </c>
      <c r="G92" s="420">
        <v>1003789.9374000001</v>
      </c>
      <c r="H92" s="420">
        <v>1038735.5255</v>
      </c>
      <c r="I92" s="420">
        <v>1114786.2245</v>
      </c>
      <c r="J92" s="420">
        <v>1268215.0674999999</v>
      </c>
      <c r="K92" s="420">
        <v>1498058.0467000001</v>
      </c>
      <c r="L92" s="1226">
        <v>1577649.9476000001</v>
      </c>
      <c r="M92" s="1226">
        <v>1684457.0278</v>
      </c>
      <c r="N92" s="1226">
        <v>2160452.8322999999</v>
      </c>
      <c r="O92" s="1226">
        <v>2509287.4323999998</v>
      </c>
    </row>
    <row r="93" spans="1:15" ht="12">
      <c r="A93" s="108" t="s">
        <v>150</v>
      </c>
      <c r="B93" s="424">
        <v>4291.3145999999997</v>
      </c>
      <c r="C93" s="420">
        <v>4599.9853999999996</v>
      </c>
      <c r="D93" s="420">
        <v>22244.769400000001</v>
      </c>
      <c r="E93" s="420">
        <v>27617.7929</v>
      </c>
      <c r="F93" s="420">
        <v>35762.860399999998</v>
      </c>
      <c r="G93" s="420">
        <v>26918.7343</v>
      </c>
      <c r="H93" s="420">
        <v>22456.058700000001</v>
      </c>
      <c r="I93" s="420">
        <v>15647.812900000001</v>
      </c>
      <c r="J93" s="420">
        <v>21303.074199999999</v>
      </c>
      <c r="K93" s="420">
        <v>19729.196800000002</v>
      </c>
      <c r="L93" s="1226">
        <v>23233.8573</v>
      </c>
      <c r="M93" s="1226">
        <v>28476.543000000001</v>
      </c>
      <c r="N93" s="1226">
        <v>55022.481800000001</v>
      </c>
      <c r="O93" s="1226">
        <v>44978.851300000002</v>
      </c>
    </row>
    <row r="94" spans="1:15" ht="12">
      <c r="A94" s="108" t="s">
        <v>151</v>
      </c>
      <c r="B94" s="424">
        <v>108850</v>
      </c>
      <c r="C94" s="420">
        <v>71950</v>
      </c>
      <c r="D94" s="420">
        <v>24950</v>
      </c>
      <c r="E94" s="420">
        <v>24950</v>
      </c>
      <c r="F94" s="420">
        <v>450</v>
      </c>
      <c r="G94" s="420">
        <v>1180</v>
      </c>
      <c r="H94" s="420">
        <v>250</v>
      </c>
      <c r="I94" s="420">
        <v>250</v>
      </c>
      <c r="J94" s="420">
        <v>0</v>
      </c>
      <c r="K94" s="420">
        <v>0</v>
      </c>
      <c r="L94" s="1226">
        <v>0</v>
      </c>
      <c r="M94" s="1226">
        <v>0</v>
      </c>
      <c r="N94" s="1226">
        <v>1000</v>
      </c>
      <c r="O94" s="1226">
        <v>1144</v>
      </c>
    </row>
    <row r="95" spans="1:15" ht="12">
      <c r="A95" s="108" t="s">
        <v>152</v>
      </c>
      <c r="B95" s="424">
        <v>300587.55800000002</v>
      </c>
      <c r="C95" s="420">
        <v>251829.16819999999</v>
      </c>
      <c r="D95" s="420">
        <v>352349.43930000003</v>
      </c>
      <c r="E95" s="420">
        <v>290142.19650000002</v>
      </c>
      <c r="F95" s="420">
        <v>196745.777</v>
      </c>
      <c r="G95" s="420">
        <v>395074.31349999999</v>
      </c>
      <c r="H95" s="420">
        <v>413661.9044</v>
      </c>
      <c r="I95" s="420">
        <v>464622.47379999998</v>
      </c>
      <c r="J95" s="420">
        <v>509923.34600000002</v>
      </c>
      <c r="K95" s="420">
        <v>505549.75599999999</v>
      </c>
      <c r="L95" s="1226">
        <v>540228.04989999998</v>
      </c>
      <c r="M95" s="1226">
        <v>635127.43649999995</v>
      </c>
      <c r="N95" s="1226">
        <v>909340.66830000002</v>
      </c>
      <c r="O95" s="1226">
        <v>869293.8175</v>
      </c>
    </row>
    <row r="96" spans="1:15" ht="12">
      <c r="A96" s="108" t="s">
        <v>153</v>
      </c>
      <c r="B96" s="424">
        <v>413728.8726</v>
      </c>
      <c r="C96" s="420">
        <v>328379.15350000001</v>
      </c>
      <c r="D96" s="420">
        <v>399544.20870000002</v>
      </c>
      <c r="E96" s="420">
        <v>342709.98940000002</v>
      </c>
      <c r="F96" s="420">
        <v>232958.63740000001</v>
      </c>
      <c r="G96" s="420">
        <v>423173.0478</v>
      </c>
      <c r="H96" s="420">
        <v>436367.96309999999</v>
      </c>
      <c r="I96" s="420">
        <v>480520.28659999999</v>
      </c>
      <c r="J96" s="420">
        <v>531226.42020000005</v>
      </c>
      <c r="K96" s="420">
        <v>525278.95279999997</v>
      </c>
      <c r="L96" s="1226">
        <v>563461.90729999996</v>
      </c>
      <c r="M96" s="1226">
        <v>663603.97939999995</v>
      </c>
      <c r="N96" s="1226">
        <v>965363.15009999997</v>
      </c>
      <c r="O96" s="1226">
        <v>915416.66879999998</v>
      </c>
    </row>
    <row r="97" spans="1:15" ht="12">
      <c r="A97" s="108" t="s">
        <v>154</v>
      </c>
      <c r="B97" s="424">
        <v>12114.816000000001</v>
      </c>
      <c r="C97" s="420">
        <v>12088.175999999999</v>
      </c>
      <c r="D97" s="420">
        <v>12061.536</v>
      </c>
      <c r="E97" s="420">
        <v>12034.896000000001</v>
      </c>
      <c r="F97" s="420">
        <v>115.76</v>
      </c>
      <c r="G97" s="420">
        <v>89.12</v>
      </c>
      <c r="H97" s="420">
        <v>62.48</v>
      </c>
      <c r="I97" s="420">
        <v>350</v>
      </c>
      <c r="J97" s="420">
        <v>69714</v>
      </c>
      <c r="K97" s="420">
        <v>69684</v>
      </c>
      <c r="L97" s="1226">
        <v>69654</v>
      </c>
      <c r="M97" s="1226">
        <v>69624</v>
      </c>
      <c r="N97" s="1226">
        <v>119109.4134</v>
      </c>
      <c r="O97" s="1226">
        <v>177923.1385</v>
      </c>
    </row>
    <row r="98" spans="1:15" ht="12">
      <c r="A98" s="108" t="s">
        <v>155</v>
      </c>
      <c r="B98" s="424">
        <v>3224.4895000000001</v>
      </c>
      <c r="C98" s="420">
        <v>3247.1992</v>
      </c>
      <c r="D98" s="420">
        <v>3230.8047000000001</v>
      </c>
      <c r="E98" s="420">
        <v>3262.1644000000001</v>
      </c>
      <c r="F98" s="420">
        <v>3783.6345000000001</v>
      </c>
      <c r="G98" s="420">
        <v>3795.1907000000001</v>
      </c>
      <c r="H98" s="420">
        <v>3696.7469000000001</v>
      </c>
      <c r="I98" s="420">
        <v>3678.3031999999998</v>
      </c>
      <c r="J98" s="420">
        <v>3659.8595999999998</v>
      </c>
      <c r="K98" s="420">
        <v>3641.4158000000002</v>
      </c>
      <c r="L98" s="1226">
        <v>3763.2928000000002</v>
      </c>
      <c r="M98" s="1226">
        <v>3744.8488000000002</v>
      </c>
      <c r="N98" s="1226">
        <v>3752.779</v>
      </c>
      <c r="O98" s="1226">
        <v>41198.764799999997</v>
      </c>
    </row>
    <row r="99" spans="1:15" ht="12">
      <c r="A99" s="108" t="s">
        <v>156</v>
      </c>
      <c r="B99" s="424">
        <v>15339.3055</v>
      </c>
      <c r="C99" s="420">
        <v>15335.3752</v>
      </c>
      <c r="D99" s="420">
        <v>15292.340700000001</v>
      </c>
      <c r="E99" s="420">
        <v>15297.060299999999</v>
      </c>
      <c r="F99" s="420">
        <v>3899.3944999999999</v>
      </c>
      <c r="G99" s="420">
        <v>3884.3107</v>
      </c>
      <c r="H99" s="420">
        <v>3759.2269000000001</v>
      </c>
      <c r="I99" s="420">
        <v>4028.3031999999998</v>
      </c>
      <c r="J99" s="420">
        <v>73373.859599999996</v>
      </c>
      <c r="K99" s="420">
        <v>73325.415800000002</v>
      </c>
      <c r="L99" s="1226">
        <v>73417.292799999996</v>
      </c>
      <c r="M99" s="1226">
        <v>73368.848800000007</v>
      </c>
      <c r="N99" s="1226">
        <v>122862.1924</v>
      </c>
      <c r="O99" s="1226">
        <v>219121.90330000001</v>
      </c>
    </row>
    <row r="100" spans="1:15" ht="12">
      <c r="A100" s="108" t="s">
        <v>157</v>
      </c>
      <c r="B100" s="424">
        <v>429068.17800000001</v>
      </c>
      <c r="C100" s="420">
        <v>343714.52870000002</v>
      </c>
      <c r="D100" s="420">
        <v>414836.54940000002</v>
      </c>
      <c r="E100" s="420">
        <v>358007.04969999997</v>
      </c>
      <c r="F100" s="420">
        <v>236858.0318</v>
      </c>
      <c r="G100" s="420">
        <v>427057.35849999997</v>
      </c>
      <c r="H100" s="420">
        <v>440127.19010000001</v>
      </c>
      <c r="I100" s="420">
        <v>484548.58980000002</v>
      </c>
      <c r="J100" s="420">
        <v>604600.27980000002</v>
      </c>
      <c r="K100" s="420">
        <v>598604.36860000005</v>
      </c>
      <c r="L100" s="1226">
        <v>636879.19999999995</v>
      </c>
      <c r="M100" s="1226">
        <v>736972.82819999999</v>
      </c>
      <c r="N100" s="1226">
        <v>1088225.3425</v>
      </c>
      <c r="O100" s="1226">
        <v>1134538.5721</v>
      </c>
    </row>
    <row r="101" spans="1:15" ht="12">
      <c r="A101" s="108" t="s">
        <v>158</v>
      </c>
      <c r="B101" s="424">
        <v>0</v>
      </c>
      <c r="C101" s="420">
        <v>0</v>
      </c>
      <c r="D101" s="420">
        <v>0</v>
      </c>
      <c r="E101" s="420">
        <v>0</v>
      </c>
      <c r="F101" s="420">
        <v>0</v>
      </c>
      <c r="G101" s="420">
        <v>0</v>
      </c>
      <c r="H101" s="420">
        <v>0</v>
      </c>
      <c r="I101" s="420">
        <v>0</v>
      </c>
      <c r="J101" s="420">
        <v>0</v>
      </c>
      <c r="K101" s="420">
        <v>0</v>
      </c>
      <c r="L101" s="1226">
        <v>0</v>
      </c>
      <c r="M101" s="1226">
        <v>0</v>
      </c>
      <c r="N101" s="1226">
        <v>0</v>
      </c>
      <c r="O101" s="1226">
        <v>0</v>
      </c>
    </row>
    <row r="102" spans="1:15" ht="12">
      <c r="A102" s="108" t="s">
        <v>159</v>
      </c>
      <c r="B102" s="424">
        <v>32185.270799999998</v>
      </c>
      <c r="C102" s="420">
        <v>32185.270799999998</v>
      </c>
      <c r="D102" s="420">
        <v>32185.270799999998</v>
      </c>
      <c r="E102" s="420">
        <v>32185.270799999998</v>
      </c>
      <c r="F102" s="420">
        <v>31980.270799999998</v>
      </c>
      <c r="G102" s="420">
        <v>31980.270799999998</v>
      </c>
      <c r="H102" s="420">
        <v>10982.380800000001</v>
      </c>
      <c r="I102" s="420">
        <v>10982.380800000001</v>
      </c>
      <c r="J102" s="420">
        <v>10982.380800000001</v>
      </c>
      <c r="K102" s="420">
        <v>10867.980799999999</v>
      </c>
      <c r="L102" s="1226">
        <v>10867.980799999999</v>
      </c>
      <c r="M102" s="1226">
        <v>10867.980799999999</v>
      </c>
      <c r="N102" s="1226">
        <v>10867.980799999999</v>
      </c>
      <c r="O102" s="1226">
        <v>10867.980799999999</v>
      </c>
    </row>
    <row r="103" spans="1:15" ht="12">
      <c r="A103" s="108" t="s">
        <v>160</v>
      </c>
      <c r="B103" s="424">
        <v>320000</v>
      </c>
      <c r="C103" s="420">
        <v>320000</v>
      </c>
      <c r="D103" s="420">
        <v>320000</v>
      </c>
      <c r="E103" s="420">
        <v>320000</v>
      </c>
      <c r="F103" s="420">
        <v>420000</v>
      </c>
      <c r="G103" s="420">
        <v>420000</v>
      </c>
      <c r="H103" s="420">
        <v>524996.81000000006</v>
      </c>
      <c r="I103" s="420">
        <v>527996.81000000006</v>
      </c>
      <c r="J103" s="420">
        <v>527996.81000000006</v>
      </c>
      <c r="K103" s="420">
        <v>750000</v>
      </c>
      <c r="L103" s="1226">
        <v>750000</v>
      </c>
      <c r="M103" s="1226">
        <v>750000</v>
      </c>
      <c r="N103" s="1226">
        <v>750000</v>
      </c>
      <c r="O103" s="1226">
        <v>1007000</v>
      </c>
    </row>
    <row r="104" spans="1:15" ht="12">
      <c r="A104" s="108" t="s">
        <v>161</v>
      </c>
      <c r="B104" s="424">
        <v>49204.694300000003</v>
      </c>
      <c r="C104" s="420">
        <v>49229.1829</v>
      </c>
      <c r="D104" s="420">
        <v>54917.076000000001</v>
      </c>
      <c r="E104" s="420">
        <v>80410.414000000004</v>
      </c>
      <c r="F104" s="420">
        <v>103755.82859999999</v>
      </c>
      <c r="G104" s="420">
        <v>102324.8412</v>
      </c>
      <c r="H104" s="420">
        <v>38400.854599999999</v>
      </c>
      <c r="I104" s="420">
        <v>65480.140500000001</v>
      </c>
      <c r="J104" s="420">
        <v>94153.803799999994</v>
      </c>
      <c r="K104" s="420">
        <v>107244.19040000001</v>
      </c>
      <c r="L104" s="1226">
        <v>135125.2599</v>
      </c>
      <c r="M104" s="1226">
        <v>136048.5141</v>
      </c>
      <c r="N104" s="1226">
        <v>241892.13329999999</v>
      </c>
      <c r="O104" s="1226">
        <v>266456.92719999998</v>
      </c>
    </row>
    <row r="105" spans="1:15" ht="12">
      <c r="A105" s="108" t="s">
        <v>162</v>
      </c>
      <c r="B105" s="424">
        <v>55785.510399999999</v>
      </c>
      <c r="C105" s="420">
        <v>49399.989399999999</v>
      </c>
      <c r="D105" s="420">
        <v>52012.146999999997</v>
      </c>
      <c r="E105" s="420">
        <v>53783.336499999998</v>
      </c>
      <c r="F105" s="420">
        <v>23858.0452</v>
      </c>
      <c r="G105" s="420">
        <v>22427.467000000001</v>
      </c>
      <c r="H105" s="420">
        <v>24228.29</v>
      </c>
      <c r="I105" s="420">
        <v>25778.3033</v>
      </c>
      <c r="J105" s="420">
        <v>30481.793000000001</v>
      </c>
      <c r="K105" s="420">
        <v>31341.506799999999</v>
      </c>
      <c r="L105" s="1226">
        <v>44777.5069</v>
      </c>
      <c r="M105" s="1226">
        <v>50567.704700000002</v>
      </c>
      <c r="N105" s="1226">
        <v>69467.375700000004</v>
      </c>
      <c r="O105" s="1226">
        <v>90423.952300000004</v>
      </c>
    </row>
    <row r="106" spans="1:15" ht="12">
      <c r="A106" s="108" t="s">
        <v>163</v>
      </c>
      <c r="B106" s="424">
        <v>457175.47560000001</v>
      </c>
      <c r="C106" s="420">
        <v>450814.44309999997</v>
      </c>
      <c r="D106" s="420">
        <v>459114.4938</v>
      </c>
      <c r="E106" s="420">
        <v>486379.02130000002</v>
      </c>
      <c r="F106" s="420">
        <v>579594.1446</v>
      </c>
      <c r="G106" s="420">
        <v>576732.57889999996</v>
      </c>
      <c r="H106" s="420">
        <v>598608.33539999998</v>
      </c>
      <c r="I106" s="420">
        <v>630237.63470000005</v>
      </c>
      <c r="J106" s="420">
        <v>663614.78769999999</v>
      </c>
      <c r="K106" s="420">
        <v>899453.67810000002</v>
      </c>
      <c r="L106" s="1226">
        <v>940770.7476</v>
      </c>
      <c r="M106" s="1226">
        <v>947484.19960000005</v>
      </c>
      <c r="N106" s="1226">
        <v>1072227.4898000001</v>
      </c>
      <c r="O106" s="1226">
        <v>1374748.8603000001</v>
      </c>
    </row>
    <row r="107" spans="1:15" ht="12">
      <c r="A107" s="108" t="s">
        <v>164</v>
      </c>
      <c r="B107" s="424">
        <v>886243.65359999996</v>
      </c>
      <c r="C107" s="420">
        <v>794528.97180000006</v>
      </c>
      <c r="D107" s="420">
        <v>873951.04319999996</v>
      </c>
      <c r="E107" s="420">
        <v>844386.07109999994</v>
      </c>
      <c r="F107" s="420">
        <v>816452.17649999994</v>
      </c>
      <c r="G107" s="420">
        <v>1003789.9374000001</v>
      </c>
      <c r="H107" s="420">
        <v>1038735.5255</v>
      </c>
      <c r="I107" s="420">
        <v>1114786.2245</v>
      </c>
      <c r="J107" s="420">
        <v>1268215.0674999999</v>
      </c>
      <c r="K107" s="420">
        <v>1498058.0467000001</v>
      </c>
      <c r="L107" s="1226">
        <v>1577649.9476000001</v>
      </c>
      <c r="M107" s="1226">
        <v>1684457.0278</v>
      </c>
      <c r="N107" s="1226">
        <v>2160452.8322999999</v>
      </c>
      <c r="O107" s="1226">
        <v>2509287.4323999998</v>
      </c>
    </row>
    <row r="108" spans="1:15" ht="12">
      <c r="A108" s="108" t="s">
        <v>165</v>
      </c>
      <c r="B108" s="424">
        <v>-17764.469099999998</v>
      </c>
      <c r="C108" s="420">
        <v>2554.3208</v>
      </c>
      <c r="D108" s="420">
        <v>5687.8931000000002</v>
      </c>
      <c r="E108" s="420">
        <v>25493.338</v>
      </c>
      <c r="F108" s="420">
        <v>24124.3992</v>
      </c>
      <c r="G108" s="420">
        <v>1404.7609</v>
      </c>
      <c r="H108" s="420">
        <v>20074.933499999999</v>
      </c>
      <c r="I108" s="420">
        <v>30079.285899999999</v>
      </c>
      <c r="J108" s="420">
        <v>31205.0134</v>
      </c>
      <c r="K108" s="420">
        <v>21316.938300000002</v>
      </c>
      <c r="L108" s="1226">
        <v>31330.132600000001</v>
      </c>
      <c r="M108" s="1226">
        <v>967.96770000000004</v>
      </c>
      <c r="N108" s="1226">
        <v>114219.451</v>
      </c>
      <c r="O108" s="1226">
        <v>36595.385600000001</v>
      </c>
    </row>
    <row r="109" spans="1:15" ht="12">
      <c r="A109" s="108" t="s">
        <v>166</v>
      </c>
      <c r="B109" s="424">
        <v>605.52909999999997</v>
      </c>
      <c r="C109" s="420">
        <v>959.70709999999997</v>
      </c>
      <c r="D109" s="420">
        <v>704.33709999999996</v>
      </c>
      <c r="E109" s="420">
        <v>785.35739999999998</v>
      </c>
      <c r="F109" s="420">
        <v>1665.3115</v>
      </c>
      <c r="G109" s="420">
        <v>1014.9951</v>
      </c>
      <c r="H109" s="420">
        <v>947.80539999999996</v>
      </c>
      <c r="I109" s="420">
        <v>881.36339999999996</v>
      </c>
      <c r="J109" s="420">
        <v>695.35709999999995</v>
      </c>
      <c r="K109" s="420">
        <v>818.45719999999994</v>
      </c>
      <c r="L109" s="1226">
        <v>818.73249999999996</v>
      </c>
      <c r="M109" s="1226">
        <v>813.96159999999998</v>
      </c>
      <c r="N109" s="1226">
        <v>838.29240000000004</v>
      </c>
      <c r="O109" s="1226">
        <v>756.42830000000004</v>
      </c>
    </row>
    <row r="110" spans="1:15" ht="12">
      <c r="A110" s="108" t="s">
        <v>167</v>
      </c>
      <c r="B110" s="424">
        <v>66842.936000000002</v>
      </c>
      <c r="C110" s="420">
        <v>-6586.6421</v>
      </c>
      <c r="D110" s="420">
        <v>11088.2541</v>
      </c>
      <c r="E110" s="420">
        <v>-38797.2601</v>
      </c>
      <c r="F110" s="420">
        <v>-4060.8150999999998</v>
      </c>
      <c r="G110" s="420">
        <v>-7951.8320000000003</v>
      </c>
      <c r="H110" s="420">
        <v>-442.43509999999998</v>
      </c>
      <c r="I110" s="420">
        <v>-133435.57459999999</v>
      </c>
      <c r="J110" s="420">
        <v>100663.17359999999</v>
      </c>
      <c r="K110" s="420">
        <v>7234.0200999999997</v>
      </c>
      <c r="L110" s="1226">
        <v>-66662.555300000007</v>
      </c>
      <c r="M110" s="1226">
        <v>5226.0284000000001</v>
      </c>
      <c r="N110" s="1226">
        <v>-257966.47380000001</v>
      </c>
      <c r="O110" s="1226">
        <v>-8405.0313000000006</v>
      </c>
    </row>
    <row r="111" spans="1:15" ht="12">
      <c r="A111" s="108" t="s">
        <v>168</v>
      </c>
      <c r="B111" s="424">
        <v>-37061.313399999999</v>
      </c>
      <c r="C111" s="420">
        <v>-2613.7703000000001</v>
      </c>
      <c r="D111" s="420">
        <v>34196.131600000001</v>
      </c>
      <c r="E111" s="420">
        <v>26203.230500000001</v>
      </c>
      <c r="F111" s="420">
        <v>33913.307200000003</v>
      </c>
      <c r="G111" s="420">
        <v>-20369.7857</v>
      </c>
      <c r="H111" s="420">
        <v>78666.343399999998</v>
      </c>
      <c r="I111" s="420">
        <v>-78861.430300000007</v>
      </c>
      <c r="J111" s="420">
        <v>-105468.6921</v>
      </c>
      <c r="K111" s="420">
        <v>12437.8338</v>
      </c>
      <c r="L111" s="1226">
        <v>13022.0191</v>
      </c>
      <c r="M111" s="1226">
        <v>65730.927500000005</v>
      </c>
      <c r="N111" s="1226">
        <v>382413.34360000002</v>
      </c>
      <c r="O111" s="1226">
        <v>-15954.345300000001</v>
      </c>
    </row>
    <row r="112" spans="1:15" ht="12">
      <c r="A112" s="108" t="s">
        <v>169</v>
      </c>
      <c r="B112" s="424">
        <v>12622.6826</v>
      </c>
      <c r="C112" s="420">
        <v>-5686.3843999999999</v>
      </c>
      <c r="D112" s="420">
        <v>51676.615899999997</v>
      </c>
      <c r="E112" s="420">
        <v>13684.665800000001</v>
      </c>
      <c r="F112" s="420">
        <v>55642.202899999997</v>
      </c>
      <c r="G112" s="420">
        <v>-25901.861700000001</v>
      </c>
      <c r="H112" s="420">
        <v>99246.647200000007</v>
      </c>
      <c r="I112" s="420">
        <v>-181336.35560000001</v>
      </c>
      <c r="J112" s="420">
        <v>27094.851900000001</v>
      </c>
      <c r="K112" s="420">
        <v>41807.249300000003</v>
      </c>
      <c r="L112" s="1226">
        <v>-21491.6711</v>
      </c>
      <c r="M112" s="1226">
        <v>72738.885200000004</v>
      </c>
      <c r="N112" s="1226">
        <v>239504.61309999999</v>
      </c>
      <c r="O112" s="1226">
        <v>12992.4373</v>
      </c>
    </row>
    <row r="113" spans="1:17" ht="12">
      <c r="A113" s="108" t="s">
        <v>170</v>
      </c>
      <c r="B113" s="424">
        <v>248.0932</v>
      </c>
      <c r="C113" s="420">
        <v>0</v>
      </c>
      <c r="D113" s="420">
        <v>14.545500000000001</v>
      </c>
      <c r="E113" s="420">
        <v>0</v>
      </c>
      <c r="F113" s="420">
        <v>3</v>
      </c>
      <c r="G113" s="420">
        <v>0</v>
      </c>
      <c r="H113" s="420">
        <v>184.15459999999999</v>
      </c>
      <c r="I113" s="420">
        <v>0</v>
      </c>
      <c r="J113" s="420">
        <v>484.81819999999999</v>
      </c>
      <c r="K113" s="420">
        <v>0</v>
      </c>
      <c r="L113" s="1226">
        <v>1500</v>
      </c>
      <c r="M113" s="1226">
        <v>0</v>
      </c>
      <c r="N113" s="1226">
        <v>0</v>
      </c>
      <c r="O113" s="1226">
        <v>404.5455</v>
      </c>
    </row>
    <row r="114" spans="1:17" ht="12">
      <c r="A114" s="108" t="s">
        <v>171</v>
      </c>
      <c r="B114" s="424">
        <v>0</v>
      </c>
      <c r="C114" s="420">
        <v>-36.072699999999998</v>
      </c>
      <c r="D114" s="420">
        <v>-1420.8486</v>
      </c>
      <c r="E114" s="420">
        <v>-128.9487</v>
      </c>
      <c r="F114" s="420">
        <v>-1197.4727</v>
      </c>
      <c r="G114" s="420">
        <v>-145.22649999999999</v>
      </c>
      <c r="H114" s="420">
        <v>-581.01800000000003</v>
      </c>
      <c r="I114" s="420">
        <v>-133</v>
      </c>
      <c r="J114" s="420">
        <v>-1624.6152</v>
      </c>
      <c r="K114" s="420">
        <v>-116</v>
      </c>
      <c r="L114" s="1226">
        <v>-346.33749999999998</v>
      </c>
      <c r="M114" s="1226">
        <v>-803.44949999999994</v>
      </c>
      <c r="N114" s="1226">
        <v>-1817.5199</v>
      </c>
      <c r="O114" s="1226">
        <v>-3998.5727000000002</v>
      </c>
    </row>
    <row r="115" spans="1:17" ht="12">
      <c r="A115" s="108" t="s">
        <v>172</v>
      </c>
      <c r="B115" s="424">
        <v>0</v>
      </c>
      <c r="C115" s="420">
        <v>0</v>
      </c>
      <c r="D115" s="420">
        <v>0</v>
      </c>
      <c r="E115" s="420">
        <v>0</v>
      </c>
      <c r="F115" s="420">
        <v>0</v>
      </c>
      <c r="G115" s="420">
        <v>0</v>
      </c>
      <c r="H115" s="420">
        <v>0</v>
      </c>
      <c r="I115" s="420">
        <v>0</v>
      </c>
      <c r="J115" s="420">
        <v>0</v>
      </c>
      <c r="K115" s="420">
        <v>0</v>
      </c>
      <c r="L115" s="1226">
        <v>0</v>
      </c>
      <c r="M115" s="1226">
        <v>0</v>
      </c>
      <c r="N115" s="1226">
        <v>0</v>
      </c>
      <c r="O115" s="1226">
        <v>0</v>
      </c>
    </row>
    <row r="116" spans="1:17" ht="12">
      <c r="A116" s="108" t="s">
        <v>173</v>
      </c>
      <c r="B116" s="424">
        <v>0</v>
      </c>
      <c r="C116" s="420">
        <v>0</v>
      </c>
      <c r="D116" s="420">
        <v>0</v>
      </c>
      <c r="E116" s="420">
        <v>0</v>
      </c>
      <c r="F116" s="420">
        <v>0</v>
      </c>
      <c r="G116" s="420">
        <v>0</v>
      </c>
      <c r="H116" s="420">
        <v>0</v>
      </c>
      <c r="I116" s="420">
        <v>0</v>
      </c>
      <c r="J116" s="420">
        <v>0</v>
      </c>
      <c r="K116" s="420">
        <v>0</v>
      </c>
      <c r="L116" s="1226">
        <v>0</v>
      </c>
      <c r="M116" s="1226">
        <v>0</v>
      </c>
      <c r="N116" s="1226">
        <v>0</v>
      </c>
      <c r="O116" s="1226">
        <v>0</v>
      </c>
    </row>
    <row r="117" spans="1:17" ht="12">
      <c r="A117" s="108" t="s">
        <v>174</v>
      </c>
      <c r="B117" s="424">
        <v>17814.7</v>
      </c>
      <c r="C117" s="420">
        <v>-6378.6454999999996</v>
      </c>
      <c r="D117" s="420">
        <v>-178.816</v>
      </c>
      <c r="E117" s="420">
        <v>-328.23149999999998</v>
      </c>
      <c r="F117" s="420">
        <v>-36218.216</v>
      </c>
      <c r="G117" s="420">
        <v>0</v>
      </c>
      <c r="H117" s="420">
        <v>-92682.240999999995</v>
      </c>
      <c r="I117" s="420">
        <v>122751.356</v>
      </c>
      <c r="J117" s="420">
        <v>-195715.18719999999</v>
      </c>
      <c r="K117" s="420">
        <v>-29800</v>
      </c>
      <c r="L117" s="1226">
        <v>18894.771199999999</v>
      </c>
      <c r="M117" s="1226">
        <v>-2815.9647</v>
      </c>
      <c r="N117" s="1226">
        <v>115919.3489</v>
      </c>
      <c r="O117" s="1226">
        <v>-4000</v>
      </c>
    </row>
    <row r="118" spans="1:17" ht="12">
      <c r="A118" s="108" t="s">
        <v>175</v>
      </c>
      <c r="B118" s="424">
        <v>18062.7932</v>
      </c>
      <c r="C118" s="420">
        <v>-6414.7182000000003</v>
      </c>
      <c r="D118" s="420">
        <v>-1585.1190999999999</v>
      </c>
      <c r="E118" s="420">
        <v>-457.18020000000001</v>
      </c>
      <c r="F118" s="420">
        <v>-37412.688800000004</v>
      </c>
      <c r="G118" s="420">
        <v>-145.22649999999999</v>
      </c>
      <c r="H118" s="420">
        <v>-93079.104399999997</v>
      </c>
      <c r="I118" s="420">
        <v>122618.356</v>
      </c>
      <c r="J118" s="420">
        <v>-196854.98420000001</v>
      </c>
      <c r="K118" s="420">
        <v>-29916</v>
      </c>
      <c r="L118" s="1226">
        <v>20048.433700000001</v>
      </c>
      <c r="M118" s="1226">
        <v>-3619.4142000000002</v>
      </c>
      <c r="N118" s="1226">
        <v>114101.8291</v>
      </c>
      <c r="O118" s="1226">
        <v>-7594.0272999999997</v>
      </c>
    </row>
    <row r="119" spans="1:17" ht="12">
      <c r="A119" s="108" t="s">
        <v>176</v>
      </c>
      <c r="B119" s="424">
        <v>-48759.322800000002</v>
      </c>
      <c r="C119" s="420">
        <v>-2281.4074999999998</v>
      </c>
      <c r="D119" s="420">
        <v>-906.33399999999995</v>
      </c>
      <c r="E119" s="420">
        <v>-413.61939999999998</v>
      </c>
      <c r="F119" s="420">
        <v>-1659.7886000000001</v>
      </c>
      <c r="G119" s="420">
        <v>0</v>
      </c>
      <c r="H119" s="420">
        <v>-1205.4000000000001</v>
      </c>
      <c r="I119" s="420">
        <v>-144</v>
      </c>
      <c r="J119" s="420">
        <v>-738</v>
      </c>
      <c r="K119" s="420">
        <v>0</v>
      </c>
      <c r="L119" s="1226">
        <v>0</v>
      </c>
      <c r="M119" s="1226">
        <v>-545.47289999999998</v>
      </c>
      <c r="N119" s="1226">
        <v>-15234.3591</v>
      </c>
      <c r="O119" s="1226">
        <v>-5169.5</v>
      </c>
    </row>
    <row r="120" spans="1:17" ht="12">
      <c r="A120" s="108" t="s">
        <v>177</v>
      </c>
      <c r="B120" s="424">
        <v>110227.7138</v>
      </c>
      <c r="C120" s="420">
        <v>260</v>
      </c>
      <c r="D120" s="420">
        <v>370</v>
      </c>
      <c r="E120" s="420">
        <v>49</v>
      </c>
      <c r="F120" s="420">
        <v>100713</v>
      </c>
      <c r="G120" s="420">
        <v>0</v>
      </c>
      <c r="H120" s="420">
        <v>0</v>
      </c>
      <c r="I120" s="420">
        <v>100</v>
      </c>
      <c r="J120" s="420">
        <v>113442.048</v>
      </c>
      <c r="K120" s="420">
        <v>222002.64</v>
      </c>
      <c r="L120" s="1226">
        <v>0.55000000000000004</v>
      </c>
      <c r="M120" s="1226">
        <v>0</v>
      </c>
      <c r="N120" s="1226">
        <v>13660</v>
      </c>
      <c r="O120" s="1226">
        <v>4900</v>
      </c>
    </row>
    <row r="121" spans="1:17" ht="12">
      <c r="A121" s="108" t="s">
        <v>178</v>
      </c>
      <c r="B121" s="424">
        <v>0</v>
      </c>
      <c r="C121" s="420">
        <v>0</v>
      </c>
      <c r="D121" s="420">
        <v>0</v>
      </c>
      <c r="E121" s="420">
        <v>0</v>
      </c>
      <c r="F121" s="420">
        <v>-3101.7301000000002</v>
      </c>
      <c r="G121" s="420">
        <v>0</v>
      </c>
      <c r="H121" s="420">
        <v>0</v>
      </c>
      <c r="I121" s="420">
        <v>0</v>
      </c>
      <c r="J121" s="420">
        <v>0</v>
      </c>
      <c r="K121" s="420">
        <v>0</v>
      </c>
      <c r="L121" s="1226">
        <v>0</v>
      </c>
      <c r="M121" s="1226">
        <v>0</v>
      </c>
      <c r="N121" s="1226">
        <v>0</v>
      </c>
      <c r="O121" s="1226">
        <v>0</v>
      </c>
    </row>
    <row r="122" spans="1:17" ht="12">
      <c r="A122" s="108" t="s">
        <v>179</v>
      </c>
      <c r="B122" s="424">
        <v>-940.83630000000005</v>
      </c>
      <c r="C122" s="420">
        <v>0</v>
      </c>
      <c r="D122" s="420">
        <v>0</v>
      </c>
      <c r="E122" s="420">
        <v>0</v>
      </c>
      <c r="F122" s="420">
        <v>0</v>
      </c>
      <c r="G122" s="420">
        <v>0</v>
      </c>
      <c r="H122" s="420">
        <v>0</v>
      </c>
      <c r="I122" s="420">
        <v>0</v>
      </c>
      <c r="J122" s="420">
        <v>0</v>
      </c>
      <c r="K122" s="420">
        <v>0</v>
      </c>
      <c r="L122" s="1226">
        <v>0</v>
      </c>
      <c r="M122" s="1226">
        <v>0</v>
      </c>
      <c r="N122" s="1226">
        <v>0</v>
      </c>
      <c r="O122" s="1226">
        <v>0</v>
      </c>
    </row>
    <row r="123" spans="1:17" ht="12">
      <c r="A123" s="108" t="s">
        <v>180</v>
      </c>
      <c r="B123" s="424">
        <v>-179247.1384</v>
      </c>
      <c r="C123" s="420">
        <v>-41510.047500000001</v>
      </c>
      <c r="D123" s="420">
        <v>-48153.420299999998</v>
      </c>
      <c r="E123" s="420">
        <v>-391.25940000000003</v>
      </c>
      <c r="F123" s="420">
        <v>49298.1878</v>
      </c>
      <c r="G123" s="420">
        <v>703.36</v>
      </c>
      <c r="H123" s="420">
        <v>3282.7060000000001</v>
      </c>
      <c r="I123" s="420">
        <v>-5692.5110000000004</v>
      </c>
      <c r="J123" s="420">
        <v>186897.7585</v>
      </c>
      <c r="K123" s="420">
        <v>221972.34</v>
      </c>
      <c r="L123" s="1226">
        <v>63.389499999999998</v>
      </c>
      <c r="M123" s="1226">
        <v>-668.01229999999998</v>
      </c>
      <c r="N123" s="1226">
        <v>48911.054300000003</v>
      </c>
      <c r="O123" s="1226">
        <v>58688.225100000003</v>
      </c>
    </row>
    <row r="124" spans="1:17" ht="12">
      <c r="A124" s="108" t="s">
        <v>181</v>
      </c>
      <c r="B124" s="424">
        <v>-148561.66250000001</v>
      </c>
      <c r="C124" s="420">
        <v>-53611.150099999999</v>
      </c>
      <c r="D124" s="420">
        <v>1938.0764999999999</v>
      </c>
      <c r="E124" s="420">
        <v>12836.226199999999</v>
      </c>
      <c r="F124" s="420">
        <v>67527.7019</v>
      </c>
      <c r="G124" s="420">
        <v>-25343.728299999999</v>
      </c>
      <c r="H124" s="420">
        <v>9450.2487999999994</v>
      </c>
      <c r="I124" s="420">
        <v>-64410.510600000001</v>
      </c>
      <c r="J124" s="420">
        <v>17137.626100000001</v>
      </c>
      <c r="K124" s="420">
        <v>233863.58929999999</v>
      </c>
      <c r="L124" s="1226">
        <v>-1379.8479</v>
      </c>
      <c r="M124" s="1226">
        <v>68451.458700000003</v>
      </c>
      <c r="N124" s="1226">
        <v>402517.49650000001</v>
      </c>
      <c r="O124" s="1226">
        <v>64086.6351</v>
      </c>
    </row>
    <row r="125" spans="1:17" ht="12">
      <c r="A125" s="419" t="s">
        <v>574</v>
      </c>
      <c r="B125" s="424">
        <v>5407.72</v>
      </c>
      <c r="C125" s="420">
        <v>6643.77</v>
      </c>
      <c r="D125" s="420">
        <v>7339.04</v>
      </c>
      <c r="E125" s="420">
        <v>5871.24</v>
      </c>
      <c r="F125" s="420">
        <v>8343.33</v>
      </c>
      <c r="G125" s="420">
        <v>8806.85</v>
      </c>
      <c r="H125" s="420">
        <v>9149.86</v>
      </c>
      <c r="I125" s="420">
        <v>8565.82</v>
      </c>
      <c r="J125" s="420">
        <v>12500</v>
      </c>
      <c r="K125" s="420">
        <v>16300</v>
      </c>
      <c r="L125" s="1226">
        <v>12659.3</v>
      </c>
      <c r="M125" s="1226">
        <v>13084.11</v>
      </c>
      <c r="N125" s="1226">
        <v>11894.65</v>
      </c>
      <c r="O125" s="1226">
        <v>15454.55</v>
      </c>
      <c r="P125" s="420"/>
      <c r="Q125" s="420"/>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tabColor rgb="FF002060"/>
  </sheetPr>
  <dimension ref="A1:Z281"/>
  <sheetViews>
    <sheetView showGridLines="0" zoomScale="130" zoomScaleNormal="130" workbookViewId="0">
      <pane xSplit="2" ySplit="9" topLeftCell="M37" activePane="bottomRight" state="frozen"/>
      <selection activeCell="C25" sqref="C25"/>
      <selection pane="topRight" activeCell="C25" sqref="C25"/>
      <selection pane="bottomLeft" activeCell="C25" sqref="C25"/>
      <selection pane="bottomRight" activeCell="M9" sqref="M9"/>
    </sheetView>
  </sheetViews>
  <sheetFormatPr defaultColWidth="9.140625" defaultRowHeight="12.75" customHeight="1" outlineLevelCol="1"/>
  <cols>
    <col min="1" max="1" width="3.7109375" style="5" customWidth="1"/>
    <col min="2" max="2" width="41.5703125" style="5" customWidth="1"/>
    <col min="3" max="3" width="10.85546875" style="5" bestFit="1" customWidth="1"/>
    <col min="4" max="10" width="9.7109375" style="1" hidden="1" customWidth="1" outlineLevel="1"/>
    <col min="11" max="11" width="9.7109375" style="1" customWidth="1" collapsed="1"/>
    <col min="12" max="13" width="9.7109375" style="1" customWidth="1"/>
    <col min="14" max="14" width="10.42578125" style="1" bestFit="1" customWidth="1"/>
    <col min="15" max="15" width="10.42578125" style="1" customWidth="1"/>
    <col min="16" max="16" width="9.140625" style="1" hidden="1" customWidth="1" outlineLevel="1"/>
    <col min="17" max="25" width="9.140625" style="1" customWidth="1" outlineLevel="1"/>
    <col min="26" max="16384" width="9.140625" style="5"/>
  </cols>
  <sheetData>
    <row r="1" spans="2:25" ht="12.75" customHeight="1">
      <c r="C1" s="5" t="s">
        <v>632</v>
      </c>
      <c r="D1" s="526">
        <v>15900</v>
      </c>
    </row>
    <row r="2" spans="2:25" ht="12.75" customHeight="1">
      <c r="D2" s="1">
        <f>'Valuation summary'!P47</f>
        <v>14309.04</v>
      </c>
      <c r="L2" s="1">
        <f>32*1.25</f>
        <v>40</v>
      </c>
      <c r="M2" s="1">
        <f>42*1.25</f>
        <v>52.5</v>
      </c>
      <c r="N2" s="1">
        <f>52.8*1.25</f>
        <v>66</v>
      </c>
      <c r="O2" s="1">
        <v>75</v>
      </c>
      <c r="P2" s="1">
        <v>75</v>
      </c>
      <c r="Q2" s="1">
        <v>125</v>
      </c>
      <c r="R2" s="1">
        <v>125</v>
      </c>
      <c r="T2" s="1">
        <v>17400</v>
      </c>
    </row>
    <row r="3" spans="2:25" ht="12.75" customHeight="1">
      <c r="L3" s="851">
        <v>25000</v>
      </c>
      <c r="M3" s="851">
        <v>58000</v>
      </c>
      <c r="N3" s="852">
        <v>83000</v>
      </c>
      <c r="O3" s="852"/>
      <c r="P3" s="1">
        <f>135*1000</f>
        <v>135000</v>
      </c>
      <c r="Q3" s="1">
        <f>Q24*1000</f>
        <v>336.99999999999994</v>
      </c>
      <c r="R3" s="1">
        <f>R24*1000</f>
        <v>503.05051029700019</v>
      </c>
      <c r="T3" s="902">
        <f>$T$2/M142</f>
        <v>1.6437658107620854</v>
      </c>
      <c r="U3" s="902">
        <f>$T$2/N142</f>
        <v>1.8138369183304863</v>
      </c>
      <c r="V3" s="902" t="e">
        <f>$T$2/P142</f>
        <v>#DIV/0!</v>
      </c>
      <c r="W3" s="902" t="e">
        <f>$T$2/Q142</f>
        <v>#DIV/0!</v>
      </c>
      <c r="X3" s="902" t="e">
        <f>$T$2/R142</f>
        <v>#DIV/0!</v>
      </c>
    </row>
    <row r="4" spans="2:25" ht="12.75" customHeight="1">
      <c r="L4" s="853">
        <f t="shared" ref="L4:R4" si="0">L3/L2</f>
        <v>625</v>
      </c>
      <c r="M4" s="853">
        <f t="shared" si="0"/>
        <v>1104.7619047619048</v>
      </c>
      <c r="N4" s="853">
        <f t="shared" si="0"/>
        <v>1257.5757575757575</v>
      </c>
      <c r="O4" s="853"/>
      <c r="P4" s="853">
        <f t="shared" si="0"/>
        <v>1800</v>
      </c>
      <c r="Q4" s="853">
        <f t="shared" si="0"/>
        <v>2.6959999999999997</v>
      </c>
      <c r="R4" s="853">
        <f t="shared" si="0"/>
        <v>4.0244040823760017</v>
      </c>
    </row>
    <row r="5" spans="2:25" ht="12.75" customHeight="1">
      <c r="L5" s="854">
        <f>$D$1/L4</f>
        <v>25.44</v>
      </c>
      <c r="M5" s="854">
        <f>$D$1/M4</f>
        <v>14.392241379310343</v>
      </c>
      <c r="N5" s="854">
        <f>$D$1/N4</f>
        <v>12.643373493975904</v>
      </c>
      <c r="O5" s="854"/>
      <c r="P5" s="854">
        <f>$D$2/P4</f>
        <v>7.9494666666666669</v>
      </c>
      <c r="Q5" s="854">
        <f>$D$2/Q4</f>
        <v>5307.5074183976267</v>
      </c>
      <c r="R5" s="854">
        <f>$D$2/R4</f>
        <v>3555.5674100081837</v>
      </c>
    </row>
    <row r="6" spans="2:25" ht="12.75" customHeight="1">
      <c r="N6" s="926">
        <f>(N4-M4)/M4</f>
        <v>0.13832288401253906</v>
      </c>
      <c r="O6" s="926"/>
      <c r="P6" s="926">
        <f>(P4-N4)/N4</f>
        <v>0.43132530120481938</v>
      </c>
      <c r="Q6" s="926">
        <f>(Q4-P4)/P4</f>
        <v>-0.99850222222222229</v>
      </c>
      <c r="R6" s="926">
        <f>(R4-Q4)/Q4</f>
        <v>0.49273148456083166</v>
      </c>
    </row>
    <row r="7" spans="2:25" ht="12.75" customHeight="1">
      <c r="B7" s="38" t="str">
        <f>ticker</f>
        <v>DXG VN EQUITY</v>
      </c>
      <c r="C7" s="8"/>
      <c r="D7" s="2"/>
      <c r="E7" s="2"/>
      <c r="F7" s="2"/>
      <c r="G7" s="2"/>
      <c r="H7" s="100"/>
      <c r="I7" s="2"/>
      <c r="J7" s="2"/>
      <c r="K7" s="2"/>
      <c r="L7" s="129"/>
      <c r="M7" s="2"/>
      <c r="N7" s="2">
        <v>1.25</v>
      </c>
      <c r="O7" s="2"/>
      <c r="R7" s="1">
        <f>((R4/P4)^(1/3))-1</f>
        <v>-0.86923956442309147</v>
      </c>
    </row>
    <row r="8" spans="2:25" ht="12.75" customHeight="1">
      <c r="B8" s="26">
        <v>1000</v>
      </c>
      <c r="D8" s="303"/>
      <c r="E8" s="303"/>
      <c r="F8" s="303"/>
      <c r="G8" s="303"/>
      <c r="H8" s="303"/>
      <c r="I8" s="303"/>
      <c r="J8" s="303"/>
      <c r="K8" s="303"/>
      <c r="L8" s="303"/>
      <c r="M8" s="303"/>
      <c r="N8" s="303"/>
      <c r="O8" s="303"/>
    </row>
    <row r="9" spans="2:25" ht="12.75" customHeight="1">
      <c r="B9" s="19" t="s">
        <v>25</v>
      </c>
      <c r="C9" s="20"/>
      <c r="D9" s="349">
        <f ca="1">year-12</f>
        <v>2013</v>
      </c>
      <c r="E9" s="349">
        <f ca="1">D9+1</f>
        <v>2014</v>
      </c>
      <c r="F9" s="349">
        <f t="shared" ref="F9:Y9" ca="1" si="1">E9+1</f>
        <v>2015</v>
      </c>
      <c r="G9" s="349">
        <f t="shared" ca="1" si="1"/>
        <v>2016</v>
      </c>
      <c r="H9" s="349">
        <f t="shared" ca="1" si="1"/>
        <v>2017</v>
      </c>
      <c r="I9" s="349">
        <f t="shared" ca="1" si="1"/>
        <v>2018</v>
      </c>
      <c r="J9" s="349">
        <f t="shared" ca="1" si="1"/>
        <v>2019</v>
      </c>
      <c r="K9" s="349">
        <f t="shared" ca="1" si="1"/>
        <v>2020</v>
      </c>
      <c r="L9" s="349">
        <f t="shared" ca="1" si="1"/>
        <v>2021</v>
      </c>
      <c r="M9" s="349">
        <f t="shared" ca="1" si="1"/>
        <v>2022</v>
      </c>
      <c r="N9" s="349">
        <f t="shared" ca="1" si="1"/>
        <v>2023</v>
      </c>
      <c r="O9" s="349" t="s">
        <v>1188</v>
      </c>
      <c r="P9" s="349">
        <f ca="1">N9+1</f>
        <v>2024</v>
      </c>
      <c r="Q9" s="349">
        <f ca="1">P9+1</f>
        <v>2025</v>
      </c>
      <c r="R9" s="349">
        <f t="shared" ca="1" si="1"/>
        <v>2026</v>
      </c>
      <c r="S9" s="349">
        <f t="shared" ca="1" si="1"/>
        <v>2027</v>
      </c>
      <c r="T9" s="349">
        <f t="shared" ca="1" si="1"/>
        <v>2028</v>
      </c>
      <c r="U9" s="349">
        <f t="shared" ca="1" si="1"/>
        <v>2029</v>
      </c>
      <c r="V9" s="349">
        <f t="shared" ca="1" si="1"/>
        <v>2030</v>
      </c>
      <c r="W9" s="349">
        <f t="shared" ca="1" si="1"/>
        <v>2031</v>
      </c>
      <c r="X9" s="349">
        <f t="shared" ca="1" si="1"/>
        <v>2032</v>
      </c>
      <c r="Y9" s="349">
        <f t="shared" ca="1" si="1"/>
        <v>2033</v>
      </c>
    </row>
    <row r="10" spans="2:25" ht="12.75" customHeight="1">
      <c r="B10" s="18" t="s">
        <v>26</v>
      </c>
      <c r="C10" s="18"/>
      <c r="D10" s="287">
        <f>Bloomberg!C5/unit</f>
        <v>0</v>
      </c>
      <c r="E10" s="287">
        <f>Bloomberg!D5/unit</f>
        <v>0</v>
      </c>
      <c r="F10" s="287">
        <f>Bloomberg!E5/unit</f>
        <v>0</v>
      </c>
      <c r="G10" s="287">
        <f>Bloomberg!F5/unit</f>
        <v>0</v>
      </c>
      <c r="H10" s="287">
        <f>Bloomberg!G5/unit</f>
        <v>28.607371100000002</v>
      </c>
      <c r="I10" s="287">
        <f>Bloomberg!H5/unit</f>
        <v>28.610676699999999</v>
      </c>
      <c r="J10" s="287">
        <f>Bloomberg!I5/unit</f>
        <v>84.909410800000003</v>
      </c>
      <c r="K10" s="287">
        <f>Bloomberg!J5/unit</f>
        <v>374.25504119999999</v>
      </c>
      <c r="L10" s="287">
        <f>Bloomberg!K5/unit</f>
        <v>286.38626400000004</v>
      </c>
      <c r="M10" s="287">
        <f>Bloomberg!L5/unit</f>
        <v>403.5029839</v>
      </c>
      <c r="N10" s="287">
        <f>Bloomberg!M5/unit</f>
        <v>342.59114049999999</v>
      </c>
      <c r="O10" s="287">
        <f>Bloomberg!N5/unit</f>
        <v>506.1806575</v>
      </c>
      <c r="P10" s="335" t="e">
        <f>'P&amp;L'!#REF!</f>
        <v>#REF!</v>
      </c>
      <c r="Q10" s="335">
        <f>'P&amp;L'!H10</f>
        <v>1.395</v>
      </c>
      <c r="R10" s="335">
        <f>'P&amp;L'!I10</f>
        <v>2.5065168574600003</v>
      </c>
      <c r="S10" s="335">
        <f>'P&amp;L'!J10</f>
        <v>2.879241389947</v>
      </c>
      <c r="T10" s="335">
        <f>'P&amp;L'!K10</f>
        <v>4.6453185625320002</v>
      </c>
      <c r="U10" s="335">
        <f>'P&amp;L'!L10</f>
        <v>5.8135777320179995</v>
      </c>
      <c r="V10" s="335">
        <f>'P&amp;L'!M10</f>
        <v>0</v>
      </c>
      <c r="W10" s="335">
        <f ca="1">'P&amp;L'!N10</f>
        <v>0</v>
      </c>
      <c r="X10" s="335">
        <f ca="1">'P&amp;L'!O10</f>
        <v>0</v>
      </c>
      <c r="Y10" s="335">
        <f ca="1">'P&amp;L'!P10</f>
        <v>0</v>
      </c>
    </row>
    <row r="11" spans="2:25" ht="12.75" customHeight="1">
      <c r="B11" s="18" t="s">
        <v>465</v>
      </c>
      <c r="C11" s="18"/>
      <c r="D11" s="287">
        <f>-Bloomberg!C6/unit</f>
        <v>0</v>
      </c>
      <c r="E11" s="287">
        <f>-Bloomberg!D6/unit</f>
        <v>0</v>
      </c>
      <c r="F11" s="287">
        <f>-Bloomberg!E6/unit</f>
        <v>0</v>
      </c>
      <c r="G11" s="287">
        <f>-Bloomberg!F6/unit</f>
        <v>0</v>
      </c>
      <c r="H11" s="287">
        <f>-Bloomberg!G6/unit</f>
        <v>-3.5182213999999998</v>
      </c>
      <c r="I11" s="287">
        <f>-Bloomberg!H6/unit</f>
        <v>-4.0466696999999998</v>
      </c>
      <c r="J11" s="287">
        <f>-Bloomberg!I6/unit</f>
        <v>-6.1187114000000005</v>
      </c>
      <c r="K11" s="287">
        <f>-Bloomberg!J6/unit</f>
        <v>-204.97794870000001</v>
      </c>
      <c r="L11" s="287">
        <f>-Bloomberg!K6/unit</f>
        <v>-80.303294599999987</v>
      </c>
      <c r="M11" s="287">
        <f>-Bloomberg!L6/unit</f>
        <v>-210.6181958</v>
      </c>
      <c r="N11" s="287">
        <f>-Bloomberg!M6/unit</f>
        <v>-136.66021280000001</v>
      </c>
      <c r="O11" s="287">
        <f>-Bloomberg!N6/unit</f>
        <v>-204.36544889999999</v>
      </c>
      <c r="P11" s="335" t="e">
        <f>'P&amp;L'!#REF!</f>
        <v>#REF!</v>
      </c>
      <c r="Q11" s="335">
        <f>'P&amp;L'!H11</f>
        <v>-0.73499999999999999</v>
      </c>
      <c r="R11" s="335">
        <f>'P&amp;L'!I11</f>
        <v>-1.4548795920350002</v>
      </c>
      <c r="S11" s="335">
        <f>'P&amp;L'!J11</f>
        <v>-1.149440021123</v>
      </c>
      <c r="T11" s="335">
        <f>'P&amp;L'!K11</f>
        <v>-2.0305443785900001</v>
      </c>
      <c r="U11" s="335">
        <f>'P&amp;L'!L11</f>
        <v>-2.7299755085970001</v>
      </c>
      <c r="V11" s="335">
        <f>'P&amp;L'!M11</f>
        <v>0</v>
      </c>
      <c r="W11" s="335">
        <f ca="1">'P&amp;L'!N11</f>
        <v>0</v>
      </c>
      <c r="X11" s="335">
        <f ca="1">'P&amp;L'!O11</f>
        <v>0</v>
      </c>
      <c r="Y11" s="335">
        <f ca="1">'P&amp;L'!P11</f>
        <v>0</v>
      </c>
    </row>
    <row r="12" spans="2:25" ht="12.75" customHeight="1">
      <c r="B12" s="18" t="s">
        <v>28</v>
      </c>
      <c r="C12" s="18"/>
      <c r="D12" s="287">
        <f>SUM(D10:D11)</f>
        <v>0</v>
      </c>
      <c r="E12" s="287">
        <f t="shared" ref="E12:N12" si="2">SUM(E10:E11)</f>
        <v>0</v>
      </c>
      <c r="F12" s="287">
        <f t="shared" si="2"/>
        <v>0</v>
      </c>
      <c r="G12" s="287">
        <f t="shared" si="2"/>
        <v>0</v>
      </c>
      <c r="H12" s="287">
        <f t="shared" si="2"/>
        <v>25.0891497</v>
      </c>
      <c r="I12" s="287">
        <f t="shared" si="2"/>
        <v>24.564007</v>
      </c>
      <c r="J12" s="287">
        <f t="shared" si="2"/>
        <v>78.790699400000008</v>
      </c>
      <c r="K12" s="287">
        <f t="shared" si="2"/>
        <v>169.27709249999998</v>
      </c>
      <c r="L12" s="287">
        <f t="shared" si="2"/>
        <v>206.08296940000005</v>
      </c>
      <c r="M12" s="287">
        <f t="shared" si="2"/>
        <v>192.88478810000001</v>
      </c>
      <c r="N12" s="287">
        <f t="shared" si="2"/>
        <v>205.93092769999998</v>
      </c>
      <c r="O12" s="287">
        <f>SUM(O10:O11)</f>
        <v>301.81520860000001</v>
      </c>
      <c r="P12" s="335" t="e">
        <f>'P&amp;L'!#REF!</f>
        <v>#REF!</v>
      </c>
      <c r="Q12" s="335">
        <f>'P&amp;L'!H12</f>
        <v>0.66</v>
      </c>
      <c r="R12" s="335">
        <f>'P&amp;L'!I12</f>
        <v>1.0516372654250001</v>
      </c>
      <c r="S12" s="335">
        <f>'P&amp;L'!J12</f>
        <v>1.7298013688239999</v>
      </c>
      <c r="T12" s="335">
        <f>'P&amp;L'!K12</f>
        <v>2.614774183942</v>
      </c>
      <c r="U12" s="335">
        <f>'P&amp;L'!L12</f>
        <v>3.0836022234209994</v>
      </c>
      <c r="V12" s="335">
        <f>'P&amp;L'!M12</f>
        <v>0</v>
      </c>
      <c r="W12" s="335">
        <f ca="1">'P&amp;L'!N12</f>
        <v>0</v>
      </c>
      <c r="X12" s="335">
        <f ca="1">'P&amp;L'!O12</f>
        <v>0</v>
      </c>
      <c r="Y12" s="335">
        <f ca="1">'P&amp;L'!P12</f>
        <v>0</v>
      </c>
    </row>
    <row r="13" spans="2:25" ht="12.75" customHeight="1">
      <c r="B13" s="15" t="s">
        <v>544</v>
      </c>
      <c r="C13" s="15"/>
      <c r="D13" s="287">
        <f>-Bloomberg!C7/unit</f>
        <v>0</v>
      </c>
      <c r="E13" s="287">
        <f>-Bloomberg!D7/unit</f>
        <v>0</v>
      </c>
      <c r="F13" s="287">
        <f>-Bloomberg!E7/unit</f>
        <v>0</v>
      </c>
      <c r="G13" s="287">
        <f>-Bloomberg!F7/unit</f>
        <v>0</v>
      </c>
      <c r="H13" s="287">
        <f>-Bloomberg!G7/unit</f>
        <v>-5.2837240000000003</v>
      </c>
      <c r="I13" s="287">
        <f>-Bloomberg!H7/unit</f>
        <v>-7.9055888000000003</v>
      </c>
      <c r="J13" s="287">
        <f>-Bloomberg!I7/unit</f>
        <v>-18.678027699999998</v>
      </c>
      <c r="K13" s="287">
        <f>-Bloomberg!J7/unit</f>
        <v>-35.836083100000003</v>
      </c>
      <c r="L13" s="287">
        <f>-Bloomberg!K7/unit</f>
        <v>-45.2203248</v>
      </c>
      <c r="M13" s="287">
        <f>-Bloomberg!L7/unit</f>
        <v>-44.045724700000001</v>
      </c>
      <c r="N13" s="287">
        <f>-Bloomberg!M7/unit</f>
        <v>-62.493809500000005</v>
      </c>
      <c r="O13" s="287">
        <f>-Bloomberg!N7/unit</f>
        <v>-54.302469700000003</v>
      </c>
      <c r="P13" s="335" t="e">
        <f>'P&amp;L'!#REF!</f>
        <v>#REF!</v>
      </c>
      <c r="Q13" s="335">
        <f>'P&amp;L'!H14</f>
        <v>-0.16200000000000001</v>
      </c>
      <c r="R13" s="335">
        <f>'P&amp;L'!I14</f>
        <v>-0.25330222103047995</v>
      </c>
      <c r="S13" s="335">
        <f>'P&amp;L'!J14</f>
        <v>-0.34785493189824002</v>
      </c>
      <c r="T13" s="335">
        <f>'P&amp;L'!K14</f>
        <v>-0.51462340490550007</v>
      </c>
      <c r="U13" s="335">
        <f>'P&amp;L'!L14</f>
        <v>-0.66952142183640007</v>
      </c>
      <c r="V13" s="335">
        <f>'P&amp;L'!M14</f>
        <v>0</v>
      </c>
      <c r="W13" s="335">
        <f ca="1">'P&amp;L'!N14</f>
        <v>0</v>
      </c>
      <c r="X13" s="335">
        <f ca="1">'P&amp;L'!O14</f>
        <v>0</v>
      </c>
      <c r="Y13" s="335">
        <f ca="1">'P&amp;L'!P14</f>
        <v>0</v>
      </c>
    </row>
    <row r="14" spans="2:25" ht="12.75" customHeight="1">
      <c r="B14" s="15" t="s">
        <v>545</v>
      </c>
      <c r="C14" s="15"/>
      <c r="D14" s="287">
        <f>-Bloomberg!C8/unit</f>
        <v>0</v>
      </c>
      <c r="E14" s="287">
        <f>-Bloomberg!D8/unit</f>
        <v>0</v>
      </c>
      <c r="F14" s="287">
        <f>-Bloomberg!E8/unit</f>
        <v>0</v>
      </c>
      <c r="G14" s="287">
        <f>-Bloomberg!F8/unit</f>
        <v>0</v>
      </c>
      <c r="H14" s="287">
        <f>-Bloomberg!G8/unit</f>
        <v>-4.4821224000000006</v>
      </c>
      <c r="I14" s="287">
        <f>-Bloomberg!H8/unit</f>
        <v>-8.711750799999999</v>
      </c>
      <c r="J14" s="287">
        <f>-Bloomberg!I8/unit</f>
        <v>-23.742199100000001</v>
      </c>
      <c r="K14" s="287">
        <f>-Bloomberg!J8/unit</f>
        <v>-54.237319399999997</v>
      </c>
      <c r="L14" s="287">
        <f>-Bloomberg!K8/unit</f>
        <v>-83.735938300000001</v>
      </c>
      <c r="M14" s="287">
        <f>-Bloomberg!L8/unit</f>
        <v>-78.671239700000001</v>
      </c>
      <c r="N14" s="287">
        <f>-Bloomberg!M8/unit</f>
        <v>-81.2460454</v>
      </c>
      <c r="O14" s="287">
        <f>-Bloomberg!N8/unit</f>
        <v>-82.327576799999989</v>
      </c>
      <c r="P14" s="335" t="e">
        <f>'P&amp;L'!#REF!</f>
        <v>#REF!</v>
      </c>
      <c r="Q14" s="335">
        <f>'P&amp;L'!H16</f>
        <v>-0.10800000000000001</v>
      </c>
      <c r="R14" s="335">
        <f>'P&amp;L'!I16</f>
        <v>-0.15524974837351999</v>
      </c>
      <c r="S14" s="335">
        <f>'P&amp;L'!J16</f>
        <v>-0.19566839919276</v>
      </c>
      <c r="T14" s="335">
        <f>'P&amp;L'!K16</f>
        <v>-0.26510902676949999</v>
      </c>
      <c r="U14" s="335">
        <f>'P&amp;L'!L16</f>
        <v>-0.31506890439359997</v>
      </c>
      <c r="V14" s="335">
        <f>'P&amp;L'!M16</f>
        <v>0</v>
      </c>
      <c r="W14" s="335">
        <f ca="1">'P&amp;L'!N16</f>
        <v>0</v>
      </c>
      <c r="X14" s="335">
        <f ca="1">'P&amp;L'!O16</f>
        <v>0</v>
      </c>
      <c r="Y14" s="335">
        <f ca="1">'P&amp;L'!P16</f>
        <v>0</v>
      </c>
    </row>
    <row r="15" spans="2:25" ht="12.75" customHeight="1">
      <c r="B15" s="18" t="s">
        <v>287</v>
      </c>
      <c r="C15" s="18"/>
      <c r="D15" s="287">
        <f t="shared" ref="D15:N15" si="3">SUM(D12:D14)</f>
        <v>0</v>
      </c>
      <c r="E15" s="287">
        <f t="shared" si="3"/>
        <v>0</v>
      </c>
      <c r="F15" s="287">
        <f t="shared" si="3"/>
        <v>0</v>
      </c>
      <c r="G15" s="287">
        <f t="shared" si="3"/>
        <v>0</v>
      </c>
      <c r="H15" s="287">
        <f t="shared" si="3"/>
        <v>15.323303299999999</v>
      </c>
      <c r="I15" s="287">
        <f t="shared" si="3"/>
        <v>7.9466674000000008</v>
      </c>
      <c r="J15" s="287">
        <f t="shared" si="3"/>
        <v>36.370472600000006</v>
      </c>
      <c r="K15" s="287">
        <f t="shared" si="3"/>
        <v>79.203689999999995</v>
      </c>
      <c r="L15" s="287">
        <f t="shared" si="3"/>
        <v>77.126706300000066</v>
      </c>
      <c r="M15" s="287">
        <f t="shared" si="3"/>
        <v>70.167823700000014</v>
      </c>
      <c r="N15" s="287">
        <f t="shared" si="3"/>
        <v>62.191072799999986</v>
      </c>
      <c r="O15" s="287">
        <f>SUM(O12:O14)</f>
        <v>165.18516210000001</v>
      </c>
      <c r="P15" s="335" t="e">
        <f t="shared" ref="P15:Y15" si="4">P12+P13+P14</f>
        <v>#REF!</v>
      </c>
      <c r="Q15" s="335">
        <f t="shared" si="4"/>
        <v>0.39</v>
      </c>
      <c r="R15" s="335">
        <f t="shared" si="4"/>
        <v>0.64308529602100017</v>
      </c>
      <c r="S15" s="335">
        <f t="shared" si="4"/>
        <v>1.186278037733</v>
      </c>
      <c r="T15" s="335">
        <f t="shared" si="4"/>
        <v>1.8350417522669999</v>
      </c>
      <c r="U15" s="335">
        <f t="shared" si="4"/>
        <v>2.0990118971909992</v>
      </c>
      <c r="V15" s="335">
        <f t="shared" si="4"/>
        <v>0</v>
      </c>
      <c r="W15" s="335">
        <f t="shared" ca="1" si="4"/>
        <v>0</v>
      </c>
      <c r="X15" s="335">
        <f t="shared" ca="1" si="4"/>
        <v>0</v>
      </c>
      <c r="Y15" s="335">
        <f t="shared" ca="1" si="4"/>
        <v>0</v>
      </c>
    </row>
    <row r="16" spans="2:25" ht="12.75" customHeight="1">
      <c r="B16" s="18" t="s">
        <v>546</v>
      </c>
      <c r="C16" s="18"/>
      <c r="D16" s="287">
        <f>-Bloomberg!C10/unit</f>
        <v>0</v>
      </c>
      <c r="E16" s="287">
        <f>-Bloomberg!D10/unit</f>
        <v>0</v>
      </c>
      <c r="F16" s="287">
        <f>-Bloomberg!E10/unit</f>
        <v>0</v>
      </c>
      <c r="G16" s="287">
        <f>-Bloomberg!F10/unit</f>
        <v>0</v>
      </c>
      <c r="H16" s="287">
        <f>-Bloomberg!G10/unit</f>
        <v>0</v>
      </c>
      <c r="I16" s="287">
        <f>-Bloomberg!H10/unit</f>
        <v>0</v>
      </c>
      <c r="J16" s="287">
        <f>-Bloomberg!I10/unit</f>
        <v>0</v>
      </c>
      <c r="K16" s="287">
        <f>-Bloomberg!J10/unit</f>
        <v>0</v>
      </c>
      <c r="L16" s="287">
        <f>-Bloomberg!K10/unit</f>
        <v>0</v>
      </c>
      <c r="M16" s="287">
        <f>-Bloomberg!L10/unit</f>
        <v>4.2025E-2</v>
      </c>
      <c r="N16" s="287">
        <f>-Bloomberg!M10/unit</f>
        <v>0</v>
      </c>
      <c r="O16" s="287">
        <f>-Bloomberg!N10/unit</f>
        <v>0</v>
      </c>
      <c r="P16" s="335" t="e">
        <f>'P&amp;L'!#REF!</f>
        <v>#REF!</v>
      </c>
      <c r="Q16" s="335">
        <f>'P&amp;L'!H21</f>
        <v>9.2999999999999999E-2</v>
      </c>
      <c r="R16" s="335">
        <f>'P&amp;L'!I21</f>
        <v>0.10465974561199999</v>
      </c>
      <c r="S16" s="335">
        <f>'P&amp;L'!J21</f>
        <v>6.6074831665999992E-2</v>
      </c>
      <c r="T16" s="335">
        <f>'P&amp;L'!K21</f>
        <v>0.206731318326</v>
      </c>
      <c r="U16" s="335">
        <f>'P&amp;L'!L21</f>
        <v>0.27047204475600001</v>
      </c>
      <c r="V16" s="335">
        <f>'P&amp;L'!M21</f>
        <v>0</v>
      </c>
      <c r="W16" s="335">
        <f>'P&amp;L'!N21</f>
        <v>0</v>
      </c>
      <c r="X16" s="335">
        <f>'P&amp;L'!O21</f>
        <v>0</v>
      </c>
      <c r="Y16" s="335">
        <f>'P&amp;L'!P21</f>
        <v>0</v>
      </c>
    </row>
    <row r="17" spans="2:25" ht="12.75" customHeight="1">
      <c r="B17" s="18" t="s">
        <v>547</v>
      </c>
      <c r="C17" s="18"/>
      <c r="D17" s="287">
        <f>-Bloomberg!C11/unit</f>
        <v>0</v>
      </c>
      <c r="E17" s="287">
        <f>-Bloomberg!D11/unit</f>
        <v>0</v>
      </c>
      <c r="F17" s="287">
        <f>-Bloomberg!E11/unit</f>
        <v>0</v>
      </c>
      <c r="G17" s="287">
        <f>-Bloomberg!F11/unit</f>
        <v>0</v>
      </c>
      <c r="H17" s="287">
        <f>-Bloomberg!G11/unit</f>
        <v>0.23860710000000002</v>
      </c>
      <c r="I17" s="287">
        <f>-Bloomberg!H11/unit</f>
        <v>1.524915</v>
      </c>
      <c r="J17" s="287">
        <f>-Bloomberg!I11/unit</f>
        <v>10.921238499999999</v>
      </c>
      <c r="K17" s="287">
        <f>-Bloomberg!J11/unit</f>
        <v>32.021182400000001</v>
      </c>
      <c r="L17" s="287">
        <f>-Bloomberg!K11/unit</f>
        <v>16.821033800000002</v>
      </c>
      <c r="M17" s="287">
        <f>-Bloomberg!L11/unit</f>
        <v>15.5204068</v>
      </c>
      <c r="N17" s="287">
        <f>-Bloomberg!M11/unit</f>
        <v>58.637800000000006</v>
      </c>
      <c r="O17" s="287">
        <f>-Bloomberg!N11/unit</f>
        <v>101.2631543</v>
      </c>
      <c r="P17" s="335" t="e">
        <f>'P&amp;L'!#REF!</f>
        <v>#REF!</v>
      </c>
      <c r="Q17" s="335">
        <f>'P&amp;L'!H22+'P&amp;L'!H24+'P&amp;L'!H25</f>
        <v>0.123</v>
      </c>
      <c r="R17" s="335">
        <f>'P&amp;L'!I22+'P&amp;L'!I24+'P&amp;L'!I25</f>
        <v>0.106195690792</v>
      </c>
      <c r="S17" s="335">
        <f>'P&amp;L'!J22+'P&amp;L'!J24+'P&amp;L'!J25</f>
        <v>0.145632115274</v>
      </c>
      <c r="T17" s="335">
        <f>'P&amp;L'!K22+'P&amp;L'!K24+'P&amp;L'!K25</f>
        <v>0.25076594538500002</v>
      </c>
      <c r="U17" s="335">
        <f>'P&amp;L'!L22+'P&amp;L'!L24+'P&amp;L'!L25</f>
        <v>0.22806084749300001</v>
      </c>
      <c r="V17" s="335">
        <f>'P&amp;L'!M22+'P&amp;L'!M24+'P&amp;L'!M25</f>
        <v>0</v>
      </c>
      <c r="W17" s="335">
        <f>'P&amp;L'!N22+'P&amp;L'!N24+'P&amp;L'!N25</f>
        <v>0</v>
      </c>
      <c r="X17" s="335">
        <f>'P&amp;L'!O22+'P&amp;L'!O24+'P&amp;L'!O25</f>
        <v>0</v>
      </c>
      <c r="Y17" s="335">
        <f>'P&amp;L'!P22+'P&amp;L'!P24+'P&amp;L'!P25</f>
        <v>0</v>
      </c>
    </row>
    <row r="18" spans="2:25" ht="12.75" customHeight="1">
      <c r="B18" s="5" t="s">
        <v>288</v>
      </c>
      <c r="D18" s="304">
        <f>SUM(D15:D17)</f>
        <v>0</v>
      </c>
      <c r="E18" s="304">
        <f t="shared" ref="E18:N18" si="5">SUM(E15:E17)</f>
        <v>0</v>
      </c>
      <c r="F18" s="304">
        <f t="shared" si="5"/>
        <v>0</v>
      </c>
      <c r="G18" s="304">
        <f t="shared" si="5"/>
        <v>0</v>
      </c>
      <c r="H18" s="304">
        <f t="shared" si="5"/>
        <v>15.561910399999999</v>
      </c>
      <c r="I18" s="304">
        <f t="shared" si="5"/>
        <v>9.4715824000000008</v>
      </c>
      <c r="J18" s="304">
        <f t="shared" si="5"/>
        <v>47.291711100000008</v>
      </c>
      <c r="K18" s="304">
        <f t="shared" si="5"/>
        <v>111.2248724</v>
      </c>
      <c r="L18" s="304">
        <f t="shared" si="5"/>
        <v>93.947740100000061</v>
      </c>
      <c r="M18" s="304">
        <f t="shared" si="5"/>
        <v>85.730255500000013</v>
      </c>
      <c r="N18" s="304">
        <f t="shared" si="5"/>
        <v>120.8288728</v>
      </c>
      <c r="O18" s="304">
        <f>SUM(O15:O17)</f>
        <v>266.44831640000001</v>
      </c>
      <c r="P18" s="335" t="e">
        <f>SUM(P15:P17)</f>
        <v>#REF!</v>
      </c>
      <c r="Q18" s="335">
        <f>SUM(Q15:Q17)</f>
        <v>0.60599999999999998</v>
      </c>
      <c r="R18" s="335">
        <f t="shared" ref="R18:Y18" si="6">SUM(R15:R17)</f>
        <v>0.85394073242500013</v>
      </c>
      <c r="S18" s="335">
        <f t="shared" si="6"/>
        <v>1.3979849846730001</v>
      </c>
      <c r="T18" s="335">
        <f t="shared" si="6"/>
        <v>2.2925390159779999</v>
      </c>
      <c r="U18" s="335">
        <f t="shared" si="6"/>
        <v>2.5975447894399992</v>
      </c>
      <c r="V18" s="335">
        <f t="shared" si="6"/>
        <v>0</v>
      </c>
      <c r="W18" s="335">
        <f t="shared" ca="1" si="6"/>
        <v>0</v>
      </c>
      <c r="X18" s="335">
        <f t="shared" ca="1" si="6"/>
        <v>0</v>
      </c>
      <c r="Y18" s="335">
        <f t="shared" ca="1" si="6"/>
        <v>0</v>
      </c>
    </row>
    <row r="19" spans="2:25" ht="12.75" customHeight="1">
      <c r="B19" s="18" t="s">
        <v>548</v>
      </c>
      <c r="C19" s="18"/>
      <c r="D19" s="287">
        <f>-Bloomberg!C12/unit</f>
        <v>0</v>
      </c>
      <c r="E19" s="287">
        <f>-Bloomberg!D12/unit</f>
        <v>0</v>
      </c>
      <c r="F19" s="287">
        <f>-Bloomberg!E12/unit</f>
        <v>0</v>
      </c>
      <c r="G19" s="287">
        <f>-Bloomberg!F12/unit</f>
        <v>0</v>
      </c>
      <c r="H19" s="287">
        <f>-Bloomberg!G12/unit</f>
        <v>-5.6136699999999998E-2</v>
      </c>
      <c r="I19" s="287">
        <f>-Bloomberg!H12/unit</f>
        <v>0</v>
      </c>
      <c r="J19" s="287">
        <f>-Bloomberg!I12/unit</f>
        <v>-5.3628999999999994E-3</v>
      </c>
      <c r="K19" s="287">
        <f>-Bloomberg!J12/unit</f>
        <v>-1.0331688999999999</v>
      </c>
      <c r="L19" s="287">
        <f>-Bloomberg!K12/unit</f>
        <v>-38.554054100000002</v>
      </c>
      <c r="M19" s="287">
        <f>-Bloomberg!L12/unit</f>
        <v>-6.6164557000000004</v>
      </c>
      <c r="N19" s="287">
        <f>-Bloomberg!M12/unit</f>
        <v>-0.34282899999999999</v>
      </c>
      <c r="O19" s="287">
        <f>-Bloomberg!N12/unit</f>
        <v>-7.9290700000000006E-2</v>
      </c>
      <c r="P19" s="335" t="e">
        <f>'P&amp;L'!#REF!</f>
        <v>#REF!</v>
      </c>
      <c r="Q19" s="335">
        <f>'P&amp;L'!H23</f>
        <v>-8.9999999999999993E-3</v>
      </c>
      <c r="R19" s="335">
        <f>'P&amp;L'!I23</f>
        <v>-3.2702590721999998E-2</v>
      </c>
      <c r="S19" s="335">
        <f>'P&amp;L'!J23</f>
        <v>-6.2664889037000002E-2</v>
      </c>
      <c r="T19" s="335">
        <f>'P&amp;L'!K23</f>
        <v>-0.19075452392</v>
      </c>
      <c r="U19" s="335">
        <f>'P&amp;L'!L23</f>
        <v>-0.20903102946499999</v>
      </c>
      <c r="V19" s="335">
        <f>'P&amp;L'!M23</f>
        <v>0</v>
      </c>
      <c r="W19" s="335">
        <f>'P&amp;L'!N23</f>
        <v>0</v>
      </c>
      <c r="X19" s="335">
        <f>'P&amp;L'!O23</f>
        <v>0</v>
      </c>
      <c r="Y19" s="335">
        <f>'P&amp;L'!P23</f>
        <v>0</v>
      </c>
    </row>
    <row r="20" spans="2:25" ht="12.75" customHeight="1">
      <c r="B20" s="18" t="s">
        <v>34</v>
      </c>
      <c r="C20" s="18"/>
      <c r="D20" s="287">
        <f>SUM(D18:D19)</f>
        <v>0</v>
      </c>
      <c r="E20" s="287">
        <f t="shared" ref="E20:N20" si="7">SUM(E18:E19)</f>
        <v>0</v>
      </c>
      <c r="F20" s="287">
        <f t="shared" si="7"/>
        <v>0</v>
      </c>
      <c r="G20" s="287">
        <f t="shared" si="7"/>
        <v>0</v>
      </c>
      <c r="H20" s="287">
        <f t="shared" si="7"/>
        <v>15.505773699999999</v>
      </c>
      <c r="I20" s="287">
        <f t="shared" si="7"/>
        <v>9.4715824000000008</v>
      </c>
      <c r="J20" s="287">
        <f t="shared" si="7"/>
        <v>47.286348200000006</v>
      </c>
      <c r="K20" s="287">
        <f t="shared" si="7"/>
        <v>110.19170349999999</v>
      </c>
      <c r="L20" s="287">
        <f t="shared" si="7"/>
        <v>55.393686000000059</v>
      </c>
      <c r="M20" s="287">
        <f t="shared" si="7"/>
        <v>79.11379980000001</v>
      </c>
      <c r="N20" s="287">
        <f t="shared" si="7"/>
        <v>120.4860438</v>
      </c>
      <c r="O20" s="287">
        <f>SUM(O18:O19)</f>
        <v>266.36902570000001</v>
      </c>
      <c r="P20" s="335" t="e">
        <f>'P&amp;L'!#REF!</f>
        <v>#REF!</v>
      </c>
      <c r="Q20" s="335">
        <f>SUM(Q18:Q19)</f>
        <v>0.59699999999999998</v>
      </c>
      <c r="R20" s="335">
        <f t="shared" ref="R20:Y20" si="8">SUM(R18:R19)</f>
        <v>0.82123814170300014</v>
      </c>
      <c r="S20" s="335">
        <f t="shared" si="8"/>
        <v>1.3353200956360001</v>
      </c>
      <c r="T20" s="335">
        <f t="shared" si="8"/>
        <v>2.101784492058</v>
      </c>
      <c r="U20" s="335">
        <f t="shared" si="8"/>
        <v>2.388513759974999</v>
      </c>
      <c r="V20" s="335">
        <f t="shared" si="8"/>
        <v>0</v>
      </c>
      <c r="W20" s="335">
        <f t="shared" ca="1" si="8"/>
        <v>0</v>
      </c>
      <c r="X20" s="335">
        <f t="shared" ca="1" si="8"/>
        <v>0</v>
      </c>
      <c r="Y20" s="335">
        <f t="shared" ca="1" si="8"/>
        <v>0</v>
      </c>
    </row>
    <row r="21" spans="2:25" ht="12.75" customHeight="1">
      <c r="B21" s="18" t="s">
        <v>549</v>
      </c>
      <c r="C21" s="21"/>
      <c r="D21" s="287">
        <f>-Bloomberg!C13/unit</f>
        <v>0</v>
      </c>
      <c r="E21" s="287">
        <f>-Bloomberg!D13/unit</f>
        <v>0</v>
      </c>
      <c r="F21" s="287">
        <f>-Bloomberg!E13/unit</f>
        <v>0</v>
      </c>
      <c r="G21" s="287">
        <f>-Bloomberg!F13/unit</f>
        <v>0</v>
      </c>
      <c r="H21" s="287">
        <f>-Bloomberg!G13/unit</f>
        <v>-4.3416166999999994</v>
      </c>
      <c r="I21" s="287">
        <f>-Bloomberg!H13/unit</f>
        <v>-2.6389703</v>
      </c>
      <c r="J21" s="287">
        <f>-Bloomberg!I13/unit</f>
        <v>-9.2692796999999985</v>
      </c>
      <c r="K21" s="287">
        <f>-Bloomberg!J13/unit</f>
        <v>-32.336920200000002</v>
      </c>
      <c r="L21" s="287">
        <f>-Bloomberg!K13/unit</f>
        <v>-22.333479000000001</v>
      </c>
      <c r="M21" s="287">
        <f>-Bloomberg!L13/unit</f>
        <v>-20.018951600000001</v>
      </c>
      <c r="N21" s="287">
        <f>-Bloomberg!M13/unit</f>
        <v>-30.756143899999998</v>
      </c>
      <c r="O21" s="287">
        <f>-Bloomberg!N13/unit</f>
        <v>-53.321005200000002</v>
      </c>
      <c r="P21" s="335" t="e">
        <f>'P&amp;L'!#REF!</f>
        <v>#REF!</v>
      </c>
      <c r="Q21" s="335">
        <f>'P&amp;L'!H27</f>
        <v>-9.5000000000000001E-2</v>
      </c>
      <c r="R21" s="335">
        <f>'P&amp;L'!I27</f>
        <v>-0.156814830535</v>
      </c>
      <c r="S21" s="335">
        <f>'P&amp;L'!J27</f>
        <v>-0.24989984328099998</v>
      </c>
      <c r="T21" s="335">
        <f>'P&amp;L'!K27</f>
        <v>-0.37898974951100001</v>
      </c>
      <c r="U21" s="335">
        <f>'P&amp;L'!L27</f>
        <v>-0.50229510265300004</v>
      </c>
      <c r="V21" s="335">
        <f>'P&amp;L'!M27</f>
        <v>0</v>
      </c>
      <c r="W21" s="335">
        <f>'P&amp;L'!N27</f>
        <v>0</v>
      </c>
      <c r="X21" s="335">
        <f>'P&amp;L'!O27</f>
        <v>0</v>
      </c>
      <c r="Y21" s="335">
        <f>'P&amp;L'!P27</f>
        <v>0</v>
      </c>
    </row>
    <row r="22" spans="2:25" ht="12.75" customHeight="1">
      <c r="B22" s="18" t="s">
        <v>36</v>
      </c>
      <c r="C22" s="18"/>
      <c r="D22" s="287">
        <f>SUM(D20:D21)</f>
        <v>0</v>
      </c>
      <c r="E22" s="287">
        <f t="shared" ref="E22:N22" si="9">SUM(E20:E21)</f>
        <v>0</v>
      </c>
      <c r="F22" s="287">
        <f t="shared" si="9"/>
        <v>0</v>
      </c>
      <c r="G22" s="287">
        <f t="shared" si="9"/>
        <v>0</v>
      </c>
      <c r="H22" s="287">
        <f t="shared" si="9"/>
        <v>11.164156999999999</v>
      </c>
      <c r="I22" s="287">
        <f t="shared" si="9"/>
        <v>6.8326121000000004</v>
      </c>
      <c r="J22" s="287">
        <f t="shared" si="9"/>
        <v>38.017068500000008</v>
      </c>
      <c r="K22" s="287">
        <f t="shared" si="9"/>
        <v>77.85478329999998</v>
      </c>
      <c r="L22" s="287">
        <f t="shared" si="9"/>
        <v>33.060207000000062</v>
      </c>
      <c r="M22" s="287">
        <f t="shared" si="9"/>
        <v>59.094848200000008</v>
      </c>
      <c r="N22" s="287">
        <f t="shared" si="9"/>
        <v>89.729899900000007</v>
      </c>
      <c r="O22" s="287">
        <f>SUM(O20:O21)</f>
        <v>213.04802050000001</v>
      </c>
      <c r="P22" s="335" t="e">
        <f>'P&amp;L'!#REF!</f>
        <v>#REF!</v>
      </c>
      <c r="Q22" s="335">
        <f>'P&amp;L'!H28</f>
        <v>0.44599999999999995</v>
      </c>
      <c r="R22" s="335">
        <f>'P&amp;L'!I28</f>
        <v>0.63027029041500016</v>
      </c>
      <c r="S22" s="335">
        <f>'P&amp;L'!J28</f>
        <v>1.067799544766</v>
      </c>
      <c r="T22" s="335">
        <f>'P&amp;L'!K28</f>
        <v>1.7282957814269999</v>
      </c>
      <c r="U22" s="335">
        <f>'P&amp;L'!L28</f>
        <v>1.8074943120699993</v>
      </c>
      <c r="V22" s="335">
        <f>'P&amp;L'!M28</f>
        <v>0</v>
      </c>
      <c r="W22" s="335">
        <f>'P&amp;L'!N28</f>
        <v>0</v>
      </c>
      <c r="X22" s="335">
        <f>'P&amp;L'!O28</f>
        <v>0</v>
      </c>
      <c r="Y22" s="335">
        <f>'P&amp;L'!P28</f>
        <v>0</v>
      </c>
    </row>
    <row r="23" spans="2:25" s="521" customFormat="1" ht="12.75" customHeight="1">
      <c r="B23" s="519" t="s">
        <v>522</v>
      </c>
      <c r="C23" s="519"/>
      <c r="D23" s="520">
        <f>-Bloomberg!C14/unit</f>
        <v>0</v>
      </c>
      <c r="E23" s="520">
        <f>-Bloomberg!D14/unit</f>
        <v>0</v>
      </c>
      <c r="F23" s="520">
        <f>-Bloomberg!E14/unit</f>
        <v>0</v>
      </c>
      <c r="G23" s="520">
        <f>-Bloomberg!F14/unit</f>
        <v>0</v>
      </c>
      <c r="H23" s="520">
        <f>-Bloomberg!G14/unit</f>
        <v>0</v>
      </c>
      <c r="I23" s="520">
        <f>-Bloomberg!H14/unit</f>
        <v>0</v>
      </c>
      <c r="J23" s="520">
        <f>-Bloomberg!I14/unit</f>
        <v>0.1241939</v>
      </c>
      <c r="K23" s="520">
        <f>-Bloomberg!J14/unit</f>
        <v>-5.7754965</v>
      </c>
      <c r="L23" s="520">
        <f>-Bloomberg!K14/unit</f>
        <v>-8.4687108000000002</v>
      </c>
      <c r="M23" s="520">
        <f>-Bloomberg!L14/unit</f>
        <v>-1.2348969999999999</v>
      </c>
      <c r="N23" s="520">
        <f>-Bloomberg!M14/unit</f>
        <v>-6.9659063999999997</v>
      </c>
      <c r="O23" s="520">
        <f>-Bloomberg!N14/unit</f>
        <v>-45.213530899999995</v>
      </c>
      <c r="P23" s="520" t="e">
        <f>'P&amp;L'!#REF!</f>
        <v>#REF!</v>
      </c>
      <c r="Q23" s="520">
        <f>'P&amp;L'!H29</f>
        <v>-0.109</v>
      </c>
      <c r="R23" s="520">
        <f>'P&amp;L'!I29</f>
        <v>-0.127219780118</v>
      </c>
      <c r="S23" s="520">
        <f>'P&amp;L'!J29</f>
        <v>-0.33452950684600002</v>
      </c>
      <c r="T23" s="520">
        <f>'P&amp;L'!K29</f>
        <v>-0.544367757284</v>
      </c>
      <c r="U23" s="520">
        <f>'P&amp;L'!L29</f>
        <v>-0.66970390139999991</v>
      </c>
      <c r="V23" s="520">
        <f>'P&amp;L'!M29</f>
        <v>0</v>
      </c>
      <c r="W23" s="520">
        <f>'P&amp;L'!N29</f>
        <v>0</v>
      </c>
      <c r="X23" s="520">
        <f>'P&amp;L'!O29</f>
        <v>0</v>
      </c>
      <c r="Y23" s="520">
        <f>'P&amp;L'!P29</f>
        <v>0</v>
      </c>
    </row>
    <row r="24" spans="2:25" ht="12.75" customHeight="1">
      <c r="B24" s="352" t="s">
        <v>572</v>
      </c>
      <c r="C24" s="352"/>
      <c r="D24" s="289">
        <f>SUM(D22:D23)</f>
        <v>0</v>
      </c>
      <c r="E24" s="289">
        <f t="shared" ref="E24:N24" si="10">SUM(E22:E23)</f>
        <v>0</v>
      </c>
      <c r="F24" s="289">
        <f t="shared" si="10"/>
        <v>0</v>
      </c>
      <c r="G24" s="289">
        <f t="shared" si="10"/>
        <v>0</v>
      </c>
      <c r="H24" s="289">
        <f t="shared" si="10"/>
        <v>11.164156999999999</v>
      </c>
      <c r="I24" s="289">
        <f t="shared" si="10"/>
        <v>6.8326121000000004</v>
      </c>
      <c r="J24" s="289">
        <f t="shared" si="10"/>
        <v>38.141262400000009</v>
      </c>
      <c r="K24" s="289">
        <f t="shared" si="10"/>
        <v>72.079286799999977</v>
      </c>
      <c r="L24" s="289">
        <f t="shared" si="10"/>
        <v>24.591496200000062</v>
      </c>
      <c r="M24" s="289">
        <f t="shared" si="10"/>
        <v>57.859951200000012</v>
      </c>
      <c r="N24" s="289">
        <f t="shared" si="10"/>
        <v>82.763993500000012</v>
      </c>
      <c r="O24" s="289">
        <f>SUM(O22:O23)</f>
        <v>167.83448960000001</v>
      </c>
      <c r="P24" s="336" t="e">
        <f>'P&amp;L'!#REF!</f>
        <v>#REF!</v>
      </c>
      <c r="Q24" s="336">
        <f>'P&amp;L'!H30</f>
        <v>0.33699999999999997</v>
      </c>
      <c r="R24" s="336">
        <f>'P&amp;L'!I30</f>
        <v>0.50305051029700021</v>
      </c>
      <c r="S24" s="336">
        <f>'P&amp;L'!J30</f>
        <v>0.73327003792000001</v>
      </c>
      <c r="T24" s="336">
        <f>'P&amp;L'!K30</f>
        <v>1.1839280241429999</v>
      </c>
      <c r="U24" s="336">
        <f>'P&amp;L'!L30</f>
        <v>1.1377904106699994</v>
      </c>
      <c r="V24" s="336">
        <f>'P&amp;L'!M30</f>
        <v>0</v>
      </c>
      <c r="W24" s="336">
        <f>'P&amp;L'!N30</f>
        <v>0</v>
      </c>
      <c r="X24" s="336">
        <f>'P&amp;L'!O30</f>
        <v>0</v>
      </c>
      <c r="Y24" s="336">
        <f>'P&amp;L'!P30</f>
        <v>0</v>
      </c>
    </row>
    <row r="25" spans="2:25" s="521" customFormat="1" ht="12.75" customHeight="1">
      <c r="B25" s="519" t="s">
        <v>123</v>
      </c>
      <c r="C25" s="519"/>
      <c r="D25" s="532" t="e">
        <f>D24/D29*10^3</f>
        <v>#DIV/0!</v>
      </c>
      <c r="E25" s="532" t="e">
        <f t="shared" ref="E25:Y25" si="11">E24/E29*10^3</f>
        <v>#DIV/0!</v>
      </c>
      <c r="F25" s="532" t="e">
        <f t="shared" si="11"/>
        <v>#DIV/0!</v>
      </c>
      <c r="G25" s="532" t="e">
        <f t="shared" si="11"/>
        <v>#DIV/0!</v>
      </c>
      <c r="H25" s="532">
        <f t="shared" si="11"/>
        <v>14885.542666666666</v>
      </c>
      <c r="I25" s="532">
        <f t="shared" si="11"/>
        <v>1438.4446526315789</v>
      </c>
      <c r="J25" s="520">
        <f t="shared" si="11"/>
        <v>4767.6578000000009</v>
      </c>
      <c r="K25" s="520">
        <f t="shared" si="11"/>
        <v>6006.6072333333314</v>
      </c>
      <c r="L25" s="520">
        <f t="shared" si="11"/>
        <v>819.71654000000206</v>
      </c>
      <c r="M25" s="520">
        <f t="shared" si="11"/>
        <v>1251.0259718918921</v>
      </c>
      <c r="N25" s="520">
        <f>N24/N29*10^3</f>
        <v>1396.8653502114635</v>
      </c>
      <c r="O25" s="520">
        <f>O24/O29*10^3</f>
        <v>2101.2195121206914</v>
      </c>
      <c r="P25" s="520" t="e">
        <f>P24/P29*10^3</f>
        <v>#REF!</v>
      </c>
      <c r="Q25" s="520" t="e">
        <f t="shared" si="11"/>
        <v>#REF!</v>
      </c>
      <c r="R25" s="520" t="e">
        <f t="shared" si="11"/>
        <v>#REF!</v>
      </c>
      <c r="S25" s="520" t="e">
        <f t="shared" si="11"/>
        <v>#REF!</v>
      </c>
      <c r="T25" s="520" t="e">
        <f t="shared" si="11"/>
        <v>#REF!</v>
      </c>
      <c r="U25" s="520" t="e">
        <f t="shared" si="11"/>
        <v>#REF!</v>
      </c>
      <c r="V25" s="520" t="e">
        <f t="shared" si="11"/>
        <v>#REF!</v>
      </c>
      <c r="W25" s="520" t="e">
        <f t="shared" si="11"/>
        <v>#REF!</v>
      </c>
      <c r="X25" s="520" t="e">
        <f t="shared" si="11"/>
        <v>#REF!</v>
      </c>
      <c r="Y25" s="520" t="e">
        <f t="shared" si="11"/>
        <v>#REF!</v>
      </c>
    </row>
    <row r="26" spans="2:25" s="521" customFormat="1" ht="12.75" customHeight="1">
      <c r="B26" s="519" t="s">
        <v>631</v>
      </c>
      <c r="C26" s="519"/>
      <c r="D26" s="532"/>
      <c r="E26" s="532"/>
      <c r="F26" s="532"/>
      <c r="G26" s="532"/>
      <c r="H26" s="532"/>
      <c r="I26" s="532"/>
      <c r="J26" s="520"/>
      <c r="K26" s="520">
        <f>K24/K30*10^3</f>
        <v>6006.6072333333314</v>
      </c>
      <c r="L26" s="520">
        <f>L24/L30*10^3</f>
        <v>1024.6456750000025</v>
      </c>
      <c r="M26" s="520">
        <f>M24/M30*10^3</f>
        <v>1377.6178857142861</v>
      </c>
      <c r="N26" s="520">
        <f>N24/N30*10^3</f>
        <v>1567.5093472629126</v>
      </c>
      <c r="O26" s="520">
        <f>O24/O30*10^3</f>
        <v>2237.7931946666667</v>
      </c>
      <c r="P26" s="520">
        <f>P4</f>
        <v>1800</v>
      </c>
      <c r="Q26" s="520">
        <f>Q4</f>
        <v>2.6959999999999997</v>
      </c>
      <c r="R26" s="520" t="e">
        <f>R24/R30*10^3</f>
        <v>#REF!</v>
      </c>
      <c r="S26" s="520" t="e">
        <f>S24/S30*10^3</f>
        <v>#REF!</v>
      </c>
      <c r="T26" s="520"/>
      <c r="U26" s="520"/>
      <c r="V26" s="520"/>
      <c r="W26" s="520"/>
      <c r="X26" s="520"/>
      <c r="Y26" s="520"/>
    </row>
    <row r="27" spans="2:25" ht="12.75" customHeight="1">
      <c r="B27" s="18" t="s">
        <v>4</v>
      </c>
      <c r="C27" s="18"/>
      <c r="D27" s="288">
        <f>D18-D28</f>
        <v>0</v>
      </c>
      <c r="E27" s="288">
        <f>E18-E28</f>
        <v>0</v>
      </c>
      <c r="F27" s="288">
        <f>F18-F28</f>
        <v>0</v>
      </c>
      <c r="G27" s="288">
        <f>G18-G28</f>
        <v>0</v>
      </c>
      <c r="H27" s="288">
        <f>H18-H28</f>
        <v>15.718252899999998</v>
      </c>
      <c r="I27" s="288">
        <f t="shared" ref="I27:N27" si="12">I18-I28</f>
        <v>9.9092534000000008</v>
      </c>
      <c r="J27" s="288">
        <f t="shared" si="12"/>
        <v>48.207787100000004</v>
      </c>
      <c r="K27" s="288">
        <f t="shared" si="12"/>
        <v>113.2200034</v>
      </c>
      <c r="L27" s="288">
        <f t="shared" si="12"/>
        <v>96.864776000000063</v>
      </c>
      <c r="M27" s="288">
        <f t="shared" si="12"/>
        <v>88.68943560000001</v>
      </c>
      <c r="N27" s="288">
        <f t="shared" si="12"/>
        <v>123.02122679999999</v>
      </c>
      <c r="O27" s="288">
        <f>O18-O28</f>
        <v>268.74591989999999</v>
      </c>
      <c r="P27" s="335" t="e">
        <f>'P&amp;L'!#REF!</f>
        <v>#REF!</v>
      </c>
      <c r="Q27" s="335">
        <f>'P&amp;L'!H33</f>
        <v>0.39530000000000004</v>
      </c>
      <c r="R27" s="335">
        <f>'P&amp;L'!I33</f>
        <v>0.64698529602100019</v>
      </c>
      <c r="S27" s="335">
        <f>'P&amp;L'!J33</f>
        <v>1.191123037733</v>
      </c>
      <c r="T27" s="335">
        <f>'P&amp;L'!K33</f>
        <v>1.8408317522669999</v>
      </c>
      <c r="U27" s="335">
        <f>'P&amp;L'!L33</f>
        <v>2.1057468971909996</v>
      </c>
      <c r="V27" s="335">
        <f>'P&amp;L'!M33</f>
        <v>0</v>
      </c>
      <c r="W27" s="335" t="e">
        <f ca="1">'P&amp;L'!N33</f>
        <v>#REF!</v>
      </c>
      <c r="X27" s="335" t="e">
        <f ca="1">'P&amp;L'!O33</f>
        <v>#REF!</v>
      </c>
      <c r="Y27" s="335" t="e">
        <f ca="1">'P&amp;L'!P33</f>
        <v>#REF!</v>
      </c>
    </row>
    <row r="28" spans="2:25" ht="12.75" customHeight="1">
      <c r="B28" s="18" t="s">
        <v>41</v>
      </c>
      <c r="C28" s="18"/>
      <c r="D28" s="287">
        <f>-Bloomberg!C16/unit</f>
        <v>0</v>
      </c>
      <c r="E28" s="287">
        <f>-Bloomberg!D16/unit</f>
        <v>0</v>
      </c>
      <c r="F28" s="287">
        <f>-Bloomberg!E16/unit</f>
        <v>0</v>
      </c>
      <c r="G28" s="287">
        <f>-Bloomberg!F16/unit</f>
        <v>0</v>
      </c>
      <c r="H28" s="287">
        <f>-Bloomberg!G16/unit</f>
        <v>-0.1563425</v>
      </c>
      <c r="I28" s="287">
        <f>-Bloomberg!H16/unit</f>
        <v>-0.43767099999999998</v>
      </c>
      <c r="J28" s="287">
        <f>-Bloomberg!I16/unit</f>
        <v>-0.916076</v>
      </c>
      <c r="K28" s="287">
        <f>-Bloomberg!J16/unit</f>
        <v>-1.995131</v>
      </c>
      <c r="L28" s="287">
        <f>-Bloomberg!K16/unit</f>
        <v>-2.9170358999999997</v>
      </c>
      <c r="M28" s="287">
        <f>-Bloomberg!L16/unit</f>
        <v>-2.9591801000000002</v>
      </c>
      <c r="N28" s="287">
        <f>-Bloomberg!M16/unit</f>
        <v>-2.1923539999999999</v>
      </c>
      <c r="O28" s="287">
        <f>-Bloomberg!N16/unit</f>
        <v>-2.2976035000000001</v>
      </c>
      <c r="P28" s="335" t="e">
        <f>'P&amp;L'!#REF!</f>
        <v>#REF!</v>
      </c>
      <c r="Q28" s="335">
        <f>'P&amp;L'!H34</f>
        <v>-5.3E-3</v>
      </c>
      <c r="R28" s="335">
        <f>'P&amp;L'!I34</f>
        <v>-3.8999999999999998E-3</v>
      </c>
      <c r="S28" s="335">
        <f>'P&amp;L'!J34</f>
        <v>-4.8449999999999995E-3</v>
      </c>
      <c r="T28" s="335">
        <f>'P&amp;L'!K34</f>
        <v>-5.79E-3</v>
      </c>
      <c r="U28" s="335">
        <f>'P&amp;L'!L34</f>
        <v>-6.7350000000000005E-3</v>
      </c>
      <c r="V28" s="335">
        <f>'P&amp;L'!M34</f>
        <v>0</v>
      </c>
      <c r="W28" s="335" t="e">
        <f ca="1">'P&amp;L'!N34</f>
        <v>#REF!</v>
      </c>
      <c r="X28" s="335" t="e">
        <f ca="1">'P&amp;L'!O34</f>
        <v>#REF!</v>
      </c>
      <c r="Y28" s="335" t="e">
        <f ca="1">'P&amp;L'!P34</f>
        <v>#REF!</v>
      </c>
    </row>
    <row r="29" spans="2:25" s="521" customFormat="1" ht="12.75" customHeight="1">
      <c r="B29" s="519" t="s">
        <v>124</v>
      </c>
      <c r="C29" s="519"/>
      <c r="D29" s="520">
        <f t="shared" ref="D29:Y29" si="13">(C58+D58)/2/10</f>
        <v>0</v>
      </c>
      <c r="E29" s="520">
        <f t="shared" si="13"/>
        <v>0</v>
      </c>
      <c r="F29" s="520">
        <f t="shared" si="13"/>
        <v>0</v>
      </c>
      <c r="G29" s="520">
        <f t="shared" si="13"/>
        <v>0</v>
      </c>
      <c r="H29" s="520">
        <f t="shared" si="13"/>
        <v>0.75</v>
      </c>
      <c r="I29" s="520">
        <f t="shared" si="13"/>
        <v>4.75</v>
      </c>
      <c r="J29" s="520">
        <f t="shared" si="13"/>
        <v>8</v>
      </c>
      <c r="K29" s="520">
        <f>(J58+K58)/2/10</f>
        <v>12</v>
      </c>
      <c r="L29" s="520">
        <f>((K58+L58)/2/10)*1.25</f>
        <v>30</v>
      </c>
      <c r="M29" s="520">
        <f>((L58+M58)/2/10)*1.25</f>
        <v>46.25</v>
      </c>
      <c r="N29" s="520">
        <f>((M58+N58)/2/10)*1.25</f>
        <v>59.249800625000006</v>
      </c>
      <c r="O29" s="520">
        <f>((N58+O58)/2/10)*1.25</f>
        <v>79.874800625000006</v>
      </c>
      <c r="P29" s="520" t="e">
        <f>(N58+P58)/2/10</f>
        <v>#REF!</v>
      </c>
      <c r="Q29" s="520" t="e">
        <f>(O58+Q58)/2/10</f>
        <v>#REF!</v>
      </c>
      <c r="R29" s="520" t="e">
        <f t="shared" si="13"/>
        <v>#REF!</v>
      </c>
      <c r="S29" s="520" t="e">
        <f t="shared" si="13"/>
        <v>#REF!</v>
      </c>
      <c r="T29" s="520" t="e">
        <f t="shared" si="13"/>
        <v>#REF!</v>
      </c>
      <c r="U29" s="520" t="e">
        <f t="shared" si="13"/>
        <v>#REF!</v>
      </c>
      <c r="V29" s="520" t="e">
        <f t="shared" si="13"/>
        <v>#REF!</v>
      </c>
      <c r="W29" s="520" t="e">
        <f t="shared" si="13"/>
        <v>#REF!</v>
      </c>
      <c r="X29" s="520" t="e">
        <f t="shared" si="13"/>
        <v>#REF!</v>
      </c>
      <c r="Y29" s="520" t="e">
        <f t="shared" si="13"/>
        <v>#REF!</v>
      </c>
    </row>
    <row r="30" spans="2:25" s="521" customFormat="1" ht="12.75" customHeight="1">
      <c r="B30" s="519" t="s">
        <v>634</v>
      </c>
      <c r="C30" s="519"/>
      <c r="D30" s="520"/>
      <c r="E30" s="520"/>
      <c r="F30" s="520"/>
      <c r="G30" s="520"/>
      <c r="H30" s="520"/>
      <c r="I30" s="524" t="s">
        <v>630</v>
      </c>
      <c r="J30" s="523"/>
      <c r="K30" s="523">
        <v>12</v>
      </c>
      <c r="L30" s="523">
        <v>24</v>
      </c>
      <c r="M30" s="523">
        <f>M58/10</f>
        <v>42</v>
      </c>
      <c r="N30" s="523">
        <f t="shared" ref="N30:V30" si="14">N58/10</f>
        <v>52.799681000000007</v>
      </c>
      <c r="O30" s="523">
        <f>O58/10</f>
        <v>75</v>
      </c>
      <c r="P30" s="523" t="e">
        <f t="shared" si="14"/>
        <v>#REF!</v>
      </c>
      <c r="Q30" s="523" t="e">
        <f t="shared" si="14"/>
        <v>#REF!</v>
      </c>
      <c r="R30" s="523" t="e">
        <f t="shared" si="14"/>
        <v>#REF!</v>
      </c>
      <c r="S30" s="523" t="e">
        <f t="shared" si="14"/>
        <v>#REF!</v>
      </c>
      <c r="T30" s="523" t="e">
        <f t="shared" si="14"/>
        <v>#REF!</v>
      </c>
      <c r="U30" s="523" t="e">
        <f t="shared" si="14"/>
        <v>#REF!</v>
      </c>
      <c r="V30" s="523" t="e">
        <f t="shared" si="14"/>
        <v>#REF!</v>
      </c>
      <c r="W30" s="523" t="e">
        <f>V30</f>
        <v>#REF!</v>
      </c>
      <c r="X30" s="523" t="e">
        <f>W30</f>
        <v>#REF!</v>
      </c>
      <c r="Y30" s="523" t="e">
        <f>X30</f>
        <v>#REF!</v>
      </c>
    </row>
    <row r="31" spans="2:25" ht="12.75" customHeight="1">
      <c r="B31" s="19" t="s">
        <v>43</v>
      </c>
      <c r="C31" s="19"/>
      <c r="D31" s="291"/>
      <c r="E31" s="291"/>
      <c r="F31" s="291"/>
      <c r="G31" s="291"/>
      <c r="H31" s="292"/>
      <c r="I31" s="292"/>
      <c r="J31" s="291"/>
      <c r="K31" s="291"/>
      <c r="L31" s="291"/>
      <c r="M31" s="291"/>
      <c r="N31" s="291"/>
      <c r="O31" s="291"/>
      <c r="P31" s="293"/>
      <c r="Q31" s="293"/>
      <c r="R31" s="293"/>
      <c r="S31" s="293"/>
      <c r="T31" s="293"/>
      <c r="U31" s="293"/>
      <c r="V31" s="293"/>
      <c r="W31" s="293"/>
      <c r="X31" s="293"/>
      <c r="Y31" s="293"/>
    </row>
    <row r="32" spans="2:25" ht="12.75" customHeight="1">
      <c r="B32" s="4" t="s">
        <v>44</v>
      </c>
      <c r="C32" s="4"/>
      <c r="D32" s="287"/>
      <c r="E32" s="287"/>
      <c r="F32" s="287"/>
      <c r="G32" s="287"/>
      <c r="H32" s="288"/>
      <c r="I32" s="288"/>
      <c r="J32" s="287"/>
      <c r="K32" s="287"/>
      <c r="L32" s="287"/>
      <c r="M32" s="287"/>
      <c r="N32" s="287"/>
      <c r="O32" s="287"/>
    </row>
    <row r="33" spans="2:25" ht="12.75" customHeight="1">
      <c r="B33" s="8" t="s">
        <v>550</v>
      </c>
      <c r="C33" s="8"/>
      <c r="D33" s="287">
        <f>Bloomberg!C17/unit</f>
        <v>0</v>
      </c>
      <c r="E33" s="287">
        <f>Bloomberg!D17/unit</f>
        <v>0</v>
      </c>
      <c r="F33" s="287">
        <f>Bloomberg!E17/unit</f>
        <v>0</v>
      </c>
      <c r="G33" s="287">
        <f>Bloomberg!F17/unit</f>
        <v>0</v>
      </c>
      <c r="H33" s="287">
        <f>Bloomberg!G17/unit</f>
        <v>31.559074199999998</v>
      </c>
      <c r="I33" s="287">
        <f>Bloomberg!H17/unit</f>
        <v>39.657925499999997</v>
      </c>
      <c r="J33" s="287">
        <f>Bloomberg!I17/unit</f>
        <v>78.033220200000002</v>
      </c>
      <c r="K33" s="287">
        <f>Bloomberg!J17/unit</f>
        <v>161.5644613</v>
      </c>
      <c r="L33" s="287">
        <f>Bloomberg!K17/unit</f>
        <v>107.3617996</v>
      </c>
      <c r="M33" s="287">
        <f>Bloomberg!L17/unit</f>
        <v>136.05265410000001</v>
      </c>
      <c r="N33" s="287">
        <f>Bloomberg!M17/unit</f>
        <v>72.886290099999997</v>
      </c>
      <c r="O33" s="287">
        <f>Bloomberg!N17/unit</f>
        <v>776.33898669999996</v>
      </c>
      <c r="P33" s="335" t="e">
        <f>#REF!</f>
        <v>#REF!</v>
      </c>
      <c r="Q33" s="335" t="e">
        <f>#REF!</f>
        <v>#REF!</v>
      </c>
      <c r="R33" s="335" t="e">
        <f>#REF!</f>
        <v>#REF!</v>
      </c>
      <c r="S33" s="335" t="e">
        <f>#REF!</f>
        <v>#REF!</v>
      </c>
      <c r="T33" s="335" t="e">
        <f>#REF!</f>
        <v>#REF!</v>
      </c>
      <c r="U33" s="335" t="e">
        <f>#REF!</f>
        <v>#REF!</v>
      </c>
      <c r="V33" s="335" t="e">
        <f>#REF!</f>
        <v>#REF!</v>
      </c>
      <c r="W33" s="335" t="e">
        <f>#REF!</f>
        <v>#REF!</v>
      </c>
      <c r="X33" s="335" t="e">
        <f>#REF!</f>
        <v>#REF!</v>
      </c>
      <c r="Y33" s="335" t="e">
        <f>#REF!</f>
        <v>#REF!</v>
      </c>
    </row>
    <row r="34" spans="2:25" ht="12.75" customHeight="1">
      <c r="B34" s="8" t="s">
        <v>304</v>
      </c>
      <c r="C34" s="8"/>
      <c r="D34" s="287">
        <f>Bloomberg!C18/unit</f>
        <v>0</v>
      </c>
      <c r="E34" s="287">
        <f>Bloomberg!D18/unit</f>
        <v>0</v>
      </c>
      <c r="F34" s="287">
        <f>Bloomberg!E18/unit</f>
        <v>0</v>
      </c>
      <c r="G34" s="287">
        <f>Bloomberg!F18/unit</f>
        <v>0</v>
      </c>
      <c r="H34" s="287">
        <f>Bloomberg!G18/unit</f>
        <v>0</v>
      </c>
      <c r="I34" s="287">
        <f>Bloomberg!H18/unit</f>
        <v>0</v>
      </c>
      <c r="J34" s="287">
        <f>Bloomberg!I18/unit</f>
        <v>0</v>
      </c>
      <c r="K34" s="287">
        <f>Bloomberg!J18/unit</f>
        <v>0</v>
      </c>
      <c r="L34" s="287">
        <f>Bloomberg!K18/unit</f>
        <v>0</v>
      </c>
      <c r="M34" s="287">
        <f>Bloomberg!L18/unit</f>
        <v>0</v>
      </c>
      <c r="N34" s="287">
        <f>Bloomberg!M18/unit</f>
        <v>0</v>
      </c>
      <c r="O34" s="287">
        <f>Bloomberg!N18/unit</f>
        <v>0</v>
      </c>
      <c r="P34" s="335" t="e">
        <f>#REF!</f>
        <v>#REF!</v>
      </c>
      <c r="Q34" s="335" t="e">
        <f>#REF!</f>
        <v>#REF!</v>
      </c>
      <c r="R34" s="335" t="e">
        <f>#REF!</f>
        <v>#REF!</v>
      </c>
      <c r="S34" s="335" t="e">
        <f>#REF!</f>
        <v>#REF!</v>
      </c>
      <c r="T34" s="335" t="e">
        <f>#REF!</f>
        <v>#REF!</v>
      </c>
      <c r="U34" s="335" t="e">
        <f>#REF!</f>
        <v>#REF!</v>
      </c>
      <c r="V34" s="335" t="e">
        <f>#REF!</f>
        <v>#REF!</v>
      </c>
      <c r="W34" s="335" t="e">
        <f>#REF!</f>
        <v>#REF!</v>
      </c>
      <c r="X34" s="335" t="e">
        <f>#REF!</f>
        <v>#REF!</v>
      </c>
      <c r="Y34" s="335" t="e">
        <f>#REF!</f>
        <v>#REF!</v>
      </c>
    </row>
    <row r="35" spans="2:25" ht="12.75" customHeight="1">
      <c r="B35" s="8" t="s">
        <v>551</v>
      </c>
      <c r="C35" s="8"/>
      <c r="D35" s="287">
        <f>Bloomberg!C19/unit</f>
        <v>0</v>
      </c>
      <c r="E35" s="287">
        <f>Bloomberg!D19/unit</f>
        <v>0</v>
      </c>
      <c r="F35" s="287">
        <f>Bloomberg!E19/unit</f>
        <v>0</v>
      </c>
      <c r="G35" s="287">
        <f>Bloomberg!F19/unit</f>
        <v>0</v>
      </c>
      <c r="H35" s="287">
        <f>Bloomberg!G19/unit</f>
        <v>0</v>
      </c>
      <c r="I35" s="287">
        <f>Bloomberg!H19/unit</f>
        <v>3.3328329999999999</v>
      </c>
      <c r="J35" s="287">
        <f>Bloomberg!I19/unit</f>
        <v>1.6845235000000001</v>
      </c>
      <c r="K35" s="287">
        <f>Bloomberg!J19/unit</f>
        <v>51.946890399999994</v>
      </c>
      <c r="L35" s="287">
        <f>Bloomberg!K19/unit</f>
        <v>137.8046263</v>
      </c>
      <c r="M35" s="287">
        <f>Bloomberg!L19/unit</f>
        <v>125.8086845</v>
      </c>
      <c r="N35" s="287">
        <f>Bloomberg!M19/unit</f>
        <v>131.2453031</v>
      </c>
      <c r="O35" s="287">
        <f>Bloomberg!N19/unit</f>
        <v>119.20112570000001</v>
      </c>
      <c r="P35" s="335" t="e">
        <f>#REF!</f>
        <v>#REF!</v>
      </c>
      <c r="Q35" s="335" t="e">
        <f>#REF!</f>
        <v>#REF!</v>
      </c>
      <c r="R35" s="335" t="e">
        <f>#REF!</f>
        <v>#REF!</v>
      </c>
      <c r="S35" s="335" t="e">
        <f>#REF!</f>
        <v>#REF!</v>
      </c>
      <c r="T35" s="335" t="e">
        <f>#REF!</f>
        <v>#REF!</v>
      </c>
      <c r="U35" s="335" t="e">
        <f>#REF!</f>
        <v>#REF!</v>
      </c>
      <c r="V35" s="335" t="e">
        <f>#REF!</f>
        <v>#REF!</v>
      </c>
      <c r="W35" s="335" t="e">
        <f>#REF!</f>
        <v>#REF!</v>
      </c>
      <c r="X35" s="335" t="e">
        <f>#REF!</f>
        <v>#REF!</v>
      </c>
      <c r="Y35" s="335" t="e">
        <f>#REF!</f>
        <v>#REF!</v>
      </c>
    </row>
    <row r="36" spans="2:25" ht="12.75" customHeight="1">
      <c r="B36" s="8" t="s">
        <v>49</v>
      </c>
      <c r="C36" s="8"/>
      <c r="D36" s="287">
        <f>Bloomberg!C20/unit</f>
        <v>0</v>
      </c>
      <c r="E36" s="287">
        <f>Bloomberg!D20/unit</f>
        <v>0</v>
      </c>
      <c r="F36" s="287">
        <f>Bloomberg!E20/unit</f>
        <v>0</v>
      </c>
      <c r="G36" s="287">
        <f>Bloomberg!F20/unit</f>
        <v>0</v>
      </c>
      <c r="H36" s="287">
        <f>Bloomberg!G20/unit</f>
        <v>11.029090800000001</v>
      </c>
      <c r="I36" s="287">
        <f>Bloomberg!H20/unit</f>
        <v>47.387504</v>
      </c>
      <c r="J36" s="287">
        <f>Bloomberg!I20/unit</f>
        <v>167.47909719999998</v>
      </c>
      <c r="K36" s="287">
        <f>Bloomberg!J20/unit</f>
        <v>249.4394935</v>
      </c>
      <c r="L36" s="287">
        <f>Bloomberg!K20/unit</f>
        <v>84.098752600000012</v>
      </c>
      <c r="M36" s="287">
        <f>Bloomberg!L20/unit</f>
        <v>129.20742509999999</v>
      </c>
      <c r="N36" s="287">
        <f>Bloomberg!M20/unit</f>
        <v>432.78726330000001</v>
      </c>
      <c r="O36" s="287">
        <f>Bloomberg!N20/unit</f>
        <v>499.21431380000001</v>
      </c>
      <c r="P36" s="335" t="e">
        <f>#REF!</f>
        <v>#REF!</v>
      </c>
      <c r="Q36" s="335" t="e">
        <f>#REF!</f>
        <v>#REF!</v>
      </c>
      <c r="R36" s="335" t="e">
        <f>#REF!</f>
        <v>#REF!</v>
      </c>
      <c r="S36" s="335" t="e">
        <f>#REF!</f>
        <v>#REF!</v>
      </c>
      <c r="T36" s="335" t="e">
        <f>#REF!</f>
        <v>#REF!</v>
      </c>
      <c r="U36" s="335" t="e">
        <f>#REF!</f>
        <v>#REF!</v>
      </c>
      <c r="V36" s="335" t="e">
        <f>#REF!</f>
        <v>#REF!</v>
      </c>
      <c r="W36" s="335" t="e">
        <f>#REF!</f>
        <v>#REF!</v>
      </c>
      <c r="X36" s="335" t="e">
        <f>#REF!</f>
        <v>#REF!</v>
      </c>
      <c r="Y36" s="335" t="e">
        <f>#REF!</f>
        <v>#REF!</v>
      </c>
    </row>
    <row r="37" spans="2:25" ht="12.75" customHeight="1">
      <c r="B37" s="8" t="s">
        <v>305</v>
      </c>
      <c r="C37" s="8"/>
      <c r="D37" s="287">
        <f>Bloomberg!C21/unit</f>
        <v>0</v>
      </c>
      <c r="E37" s="287">
        <f>Bloomberg!D21/unit</f>
        <v>0</v>
      </c>
      <c r="F37" s="287">
        <f>Bloomberg!E21/unit</f>
        <v>0</v>
      </c>
      <c r="G37" s="287">
        <f>Bloomberg!F21/unit</f>
        <v>0</v>
      </c>
      <c r="H37" s="287">
        <f>Bloomberg!G21/unit</f>
        <v>19.645767599999999</v>
      </c>
      <c r="I37" s="287">
        <f>Bloomberg!H21/unit</f>
        <v>178.4199682</v>
      </c>
      <c r="J37" s="287">
        <f>Bloomberg!I21/unit</f>
        <v>205.53053439999999</v>
      </c>
      <c r="K37" s="287">
        <f>Bloomberg!J21/unit</f>
        <v>77.914041100000006</v>
      </c>
      <c r="L37" s="287">
        <f>Bloomberg!K21/unit</f>
        <v>256.66886900000003</v>
      </c>
      <c r="M37" s="287">
        <f>Bloomberg!L21/unit</f>
        <v>189.55619179999999</v>
      </c>
      <c r="N37" s="287">
        <f>Bloomberg!M21/unit</f>
        <v>297.1136262</v>
      </c>
      <c r="O37" s="287">
        <f>Bloomberg!N21/unit</f>
        <v>284.11638919999996</v>
      </c>
      <c r="P37" s="335" t="e">
        <f>#REF!</f>
        <v>#REF!</v>
      </c>
      <c r="Q37" s="335" t="e">
        <f>#REF!</f>
        <v>#REF!</v>
      </c>
      <c r="R37" s="335" t="e">
        <f>#REF!</f>
        <v>#REF!</v>
      </c>
      <c r="S37" s="335" t="e">
        <f>#REF!</f>
        <v>#REF!</v>
      </c>
      <c r="T37" s="335" t="e">
        <f>#REF!</f>
        <v>#REF!</v>
      </c>
      <c r="U37" s="335" t="e">
        <f>#REF!</f>
        <v>#REF!</v>
      </c>
      <c r="V37" s="335" t="e">
        <f>#REF!</f>
        <v>#REF!</v>
      </c>
      <c r="W37" s="335" t="e">
        <f>#REF!</f>
        <v>#REF!</v>
      </c>
      <c r="X37" s="335" t="e">
        <f>#REF!</f>
        <v>#REF!</v>
      </c>
      <c r="Y37" s="335" t="e">
        <f>#REF!</f>
        <v>#REF!</v>
      </c>
    </row>
    <row r="38" spans="2:25" ht="12.75" customHeight="1">
      <c r="B38" s="8" t="s">
        <v>297</v>
      </c>
      <c r="C38" s="4"/>
      <c r="D38" s="287">
        <f>Bloomberg!C22/unit</f>
        <v>0</v>
      </c>
      <c r="E38" s="287">
        <f>Bloomberg!D22/unit</f>
        <v>0</v>
      </c>
      <c r="F38" s="287">
        <f>Bloomberg!E22/unit</f>
        <v>0</v>
      </c>
      <c r="G38" s="287">
        <f>Bloomberg!F22/unit</f>
        <v>0</v>
      </c>
      <c r="H38" s="287">
        <f>Bloomberg!G22/unit</f>
        <v>62.233933599999993</v>
      </c>
      <c r="I38" s="287">
        <f>Bloomberg!H22/unit</f>
        <v>268.79823060000001</v>
      </c>
      <c r="J38" s="287">
        <f>Bloomberg!I22/unit</f>
        <v>452.72737519999998</v>
      </c>
      <c r="K38" s="287">
        <f>Bloomberg!J22/unit</f>
        <v>540.86488629999997</v>
      </c>
      <c r="L38" s="287">
        <f>Bloomberg!K22/unit</f>
        <v>585.93404750000002</v>
      </c>
      <c r="M38" s="287">
        <f>Bloomberg!L22/unit</f>
        <v>580.62495550000006</v>
      </c>
      <c r="N38" s="287">
        <f>Bloomberg!M22/unit</f>
        <v>934.03248270000006</v>
      </c>
      <c r="O38" s="287">
        <f>Bloomberg!N22/unit</f>
        <v>1678.8708154999999</v>
      </c>
      <c r="P38" s="335" t="e">
        <f>#REF!</f>
        <v>#REF!</v>
      </c>
      <c r="Q38" s="335" t="e">
        <f>#REF!</f>
        <v>#REF!</v>
      </c>
      <c r="R38" s="335" t="e">
        <f>#REF!</f>
        <v>#REF!</v>
      </c>
      <c r="S38" s="335" t="e">
        <f>#REF!</f>
        <v>#REF!</v>
      </c>
      <c r="T38" s="335" t="e">
        <f>#REF!</f>
        <v>#REF!</v>
      </c>
      <c r="U38" s="335" t="e">
        <f>#REF!</f>
        <v>#REF!</v>
      </c>
      <c r="V38" s="335" t="e">
        <f>#REF!</f>
        <v>#REF!</v>
      </c>
      <c r="W38" s="335" t="e">
        <f>#REF!</f>
        <v>#REF!</v>
      </c>
      <c r="X38" s="335" t="e">
        <f>#REF!</f>
        <v>#REF!</v>
      </c>
      <c r="Y38" s="335" t="e">
        <f>#REF!</f>
        <v>#REF!</v>
      </c>
    </row>
    <row r="39" spans="2:25" ht="12.75" customHeight="1">
      <c r="B39" s="8" t="s">
        <v>306</v>
      </c>
      <c r="C39" s="8"/>
      <c r="D39" s="287">
        <f>Bloomberg!C23/unit</f>
        <v>0</v>
      </c>
      <c r="E39" s="287">
        <f>Bloomberg!D23/unit</f>
        <v>0</v>
      </c>
      <c r="F39" s="287">
        <f>Bloomberg!E23/unit</f>
        <v>0</v>
      </c>
      <c r="G39" s="287">
        <f>Bloomberg!F23/unit</f>
        <v>0</v>
      </c>
      <c r="H39" s="287">
        <f>Bloomberg!G23/unit</f>
        <v>1.3686669999999999</v>
      </c>
      <c r="I39" s="287">
        <f>Bloomberg!H23/unit</f>
        <v>2.9289247999999999</v>
      </c>
      <c r="J39" s="287">
        <f>Bloomberg!I23/unit</f>
        <v>11.0218735</v>
      </c>
      <c r="K39" s="287">
        <f>Bloomberg!J23/unit</f>
        <v>17.3008691</v>
      </c>
      <c r="L39" s="287">
        <f>Bloomberg!K23/unit</f>
        <v>45.6569012</v>
      </c>
      <c r="M39" s="287">
        <f>Bloomberg!L23/unit</f>
        <v>46.413282299999999</v>
      </c>
      <c r="N39" s="287">
        <f>Bloomberg!M23/unit</f>
        <v>44.852804900000002</v>
      </c>
      <c r="O39" s="287">
        <f>Bloomberg!N23/unit</f>
        <v>42.124220800000003</v>
      </c>
      <c r="P39" s="335" t="e">
        <f>#REF!</f>
        <v>#REF!</v>
      </c>
      <c r="Q39" s="335" t="e">
        <f>#REF!</f>
        <v>#REF!</v>
      </c>
      <c r="R39" s="335" t="e">
        <f>#REF!</f>
        <v>#REF!</v>
      </c>
      <c r="S39" s="335" t="e">
        <f>#REF!</f>
        <v>#REF!</v>
      </c>
      <c r="T39" s="335" t="e">
        <f>#REF!</f>
        <v>#REF!</v>
      </c>
      <c r="U39" s="335" t="e">
        <f>#REF!</f>
        <v>#REF!</v>
      </c>
      <c r="V39" s="335" t="e">
        <f>#REF!</f>
        <v>#REF!</v>
      </c>
      <c r="W39" s="335" t="e">
        <f>#REF!</f>
        <v>#REF!</v>
      </c>
      <c r="X39" s="335" t="e">
        <f>#REF!</f>
        <v>#REF!</v>
      </c>
      <c r="Y39" s="335" t="e">
        <f>#REF!</f>
        <v>#REF!</v>
      </c>
    </row>
    <row r="40" spans="2:25" ht="12.75" customHeight="1">
      <c r="B40" s="8" t="s">
        <v>552</v>
      </c>
      <c r="C40" s="8"/>
      <c r="D40" s="287">
        <f>-Bloomberg!C24/unit</f>
        <v>0</v>
      </c>
      <c r="E40" s="287">
        <f>-Bloomberg!D24/unit</f>
        <v>0</v>
      </c>
      <c r="F40" s="287">
        <f>-Bloomberg!E24/unit</f>
        <v>0</v>
      </c>
      <c r="G40" s="287">
        <f>-Bloomberg!F24/unit</f>
        <v>0</v>
      </c>
      <c r="H40" s="287">
        <f>-Bloomberg!G24/unit</f>
        <v>-0.23511289999999999</v>
      </c>
      <c r="I40" s="287">
        <f>-Bloomberg!H24/unit</f>
        <v>-0.6448353</v>
      </c>
      <c r="J40" s="287">
        <f>-Bloomberg!I24/unit</f>
        <v>-1.5609110000000002</v>
      </c>
      <c r="K40" s="287">
        <f>-Bloomberg!J24/unit</f>
        <v>-3.5486409999999999</v>
      </c>
      <c r="L40" s="287">
        <f>-Bloomberg!K24/unit</f>
        <v>-5.7195432000000004</v>
      </c>
      <c r="M40" s="287">
        <f>-Bloomberg!L24/unit</f>
        <v>-8.9248649000000011</v>
      </c>
      <c r="N40" s="287">
        <f>-Bloomberg!M24/unit</f>
        <v>-9.2843747000000008</v>
      </c>
      <c r="O40" s="287">
        <f>-Bloomberg!N24/unit</f>
        <v>-9.8412945999999994</v>
      </c>
      <c r="P40" s="335" t="e">
        <f>#REF!</f>
        <v>#REF!</v>
      </c>
      <c r="Q40" s="335" t="e">
        <f>#REF!</f>
        <v>#REF!</v>
      </c>
      <c r="R40" s="335" t="e">
        <f>#REF!</f>
        <v>#REF!</v>
      </c>
      <c r="S40" s="335" t="e">
        <f>#REF!</f>
        <v>#REF!</v>
      </c>
      <c r="T40" s="335" t="e">
        <f>#REF!</f>
        <v>#REF!</v>
      </c>
      <c r="U40" s="335" t="e">
        <f>#REF!</f>
        <v>#REF!</v>
      </c>
      <c r="V40" s="335" t="e">
        <f>#REF!</f>
        <v>#REF!</v>
      </c>
      <c r="W40" s="335" t="e">
        <f>#REF!</f>
        <v>#REF!</v>
      </c>
      <c r="X40" s="335" t="e">
        <f>#REF!</f>
        <v>#REF!</v>
      </c>
      <c r="Y40" s="335" t="e">
        <f>#REF!</f>
        <v>#REF!</v>
      </c>
    </row>
    <row r="41" spans="2:25" ht="12.75" customHeight="1">
      <c r="B41" s="8" t="s">
        <v>307</v>
      </c>
      <c r="C41" s="8"/>
      <c r="D41" s="287">
        <f>Bloomberg!C25/unit</f>
        <v>0</v>
      </c>
      <c r="E41" s="287">
        <f>Bloomberg!D25/unit</f>
        <v>0</v>
      </c>
      <c r="F41" s="287">
        <f>Bloomberg!E25/unit</f>
        <v>0</v>
      </c>
      <c r="G41" s="287">
        <f>Bloomberg!F25/unit</f>
        <v>0</v>
      </c>
      <c r="H41" s="287">
        <f>Bloomberg!G25/unit</f>
        <v>1.1335542000000001</v>
      </c>
      <c r="I41" s="287">
        <f>Bloomberg!H25/unit</f>
        <v>2.2840894999999999</v>
      </c>
      <c r="J41" s="287">
        <f>Bloomberg!I25/unit</f>
        <v>9.4609624999999991</v>
      </c>
      <c r="K41" s="287">
        <f>Bloomberg!J25/unit</f>
        <v>13.7522281</v>
      </c>
      <c r="L41" s="287">
        <f>Bloomberg!K25/unit</f>
        <v>39.937358000000003</v>
      </c>
      <c r="M41" s="287">
        <f>Bloomberg!L25/unit</f>
        <v>37.488417399999996</v>
      </c>
      <c r="N41" s="287">
        <f>Bloomberg!M25/unit</f>
        <v>35.568430300000003</v>
      </c>
      <c r="O41" s="287">
        <f>Bloomberg!N25/unit</f>
        <v>32.282926199999999</v>
      </c>
      <c r="P41" s="335" t="e">
        <f>#REF!</f>
        <v>#REF!</v>
      </c>
      <c r="Q41" s="335" t="e">
        <f>#REF!</f>
        <v>#REF!</v>
      </c>
      <c r="R41" s="335" t="e">
        <f>#REF!</f>
        <v>#REF!</v>
      </c>
      <c r="S41" s="335" t="e">
        <f>#REF!</f>
        <v>#REF!</v>
      </c>
      <c r="T41" s="335" t="e">
        <f>#REF!</f>
        <v>#REF!</v>
      </c>
      <c r="U41" s="335" t="e">
        <f>#REF!</f>
        <v>#REF!</v>
      </c>
      <c r="V41" s="335" t="e">
        <f>#REF!</f>
        <v>#REF!</v>
      </c>
      <c r="W41" s="335" t="e">
        <f>#REF!</f>
        <v>#REF!</v>
      </c>
      <c r="X41" s="335" t="e">
        <f>#REF!</f>
        <v>#REF!</v>
      </c>
      <c r="Y41" s="335" t="e">
        <f>#REF!</f>
        <v>#REF!</v>
      </c>
    </row>
    <row r="42" spans="2:25" ht="12.75" customHeight="1">
      <c r="B42" s="8" t="s">
        <v>308</v>
      </c>
      <c r="C42" s="8"/>
      <c r="D42" s="287">
        <f>Bloomberg!C26/unit</f>
        <v>0</v>
      </c>
      <c r="E42" s="287">
        <f>Bloomberg!D26/unit</f>
        <v>0</v>
      </c>
      <c r="F42" s="287">
        <f>Bloomberg!E26/unit</f>
        <v>0</v>
      </c>
      <c r="G42" s="287">
        <f>Bloomberg!F26/unit</f>
        <v>0</v>
      </c>
      <c r="H42" s="287">
        <f>Bloomberg!G26/unit</f>
        <v>0</v>
      </c>
      <c r="I42" s="287">
        <f>Bloomberg!H26/unit</f>
        <v>0</v>
      </c>
      <c r="J42" s="287">
        <f>Bloomberg!I26/unit</f>
        <v>0</v>
      </c>
      <c r="K42" s="287">
        <f>Bloomberg!J26/unit</f>
        <v>0</v>
      </c>
      <c r="L42" s="287">
        <f>Bloomberg!K26/unit</f>
        <v>174.1791767</v>
      </c>
      <c r="M42" s="287">
        <f>Bloomberg!L26/unit</f>
        <v>110.14464969999999</v>
      </c>
      <c r="N42" s="287">
        <f>Bloomberg!M26/unit</f>
        <v>110.14464969999999</v>
      </c>
      <c r="O42" s="287">
        <f>Bloomberg!N26/unit</f>
        <v>0</v>
      </c>
      <c r="P42" s="335" t="e">
        <f>#REF!</f>
        <v>#REF!</v>
      </c>
      <c r="Q42" s="335" t="e">
        <f>#REF!</f>
        <v>#REF!</v>
      </c>
      <c r="R42" s="335" t="e">
        <f>#REF!</f>
        <v>#REF!</v>
      </c>
      <c r="S42" s="335" t="e">
        <f>#REF!</f>
        <v>#REF!</v>
      </c>
      <c r="T42" s="335" t="e">
        <f>#REF!</f>
        <v>#REF!</v>
      </c>
      <c r="U42" s="335" t="e">
        <f>#REF!</f>
        <v>#REF!</v>
      </c>
      <c r="V42" s="335" t="e">
        <f>#REF!</f>
        <v>#REF!</v>
      </c>
      <c r="W42" s="335" t="e">
        <f>#REF!</f>
        <v>#REF!</v>
      </c>
      <c r="X42" s="335" t="e">
        <f>#REF!</f>
        <v>#REF!</v>
      </c>
      <c r="Y42" s="335" t="e">
        <f>#REF!</f>
        <v>#REF!</v>
      </c>
    </row>
    <row r="43" spans="2:25" ht="12.75" customHeight="1">
      <c r="B43" s="8" t="s">
        <v>553</v>
      </c>
      <c r="C43" s="8"/>
      <c r="D43" s="287">
        <f>Bloomberg!C27/unit</f>
        <v>0</v>
      </c>
      <c r="E43" s="287">
        <f>Bloomberg!D27/unit</f>
        <v>0</v>
      </c>
      <c r="F43" s="287">
        <f>Bloomberg!E27/unit</f>
        <v>0</v>
      </c>
      <c r="G43" s="287">
        <f>Bloomberg!F27/unit</f>
        <v>0</v>
      </c>
      <c r="H43" s="287">
        <f>Bloomberg!G27/unit</f>
        <v>0.33625630000000001</v>
      </c>
      <c r="I43" s="287">
        <f>Bloomberg!H27/unit</f>
        <v>34.157265600000002</v>
      </c>
      <c r="J43" s="287">
        <f>Bloomberg!I27/unit</f>
        <v>85.35497749999999</v>
      </c>
      <c r="K43" s="287">
        <f>Bloomberg!J27/unit</f>
        <v>133.14150210000003</v>
      </c>
      <c r="L43" s="287">
        <f>Bloomberg!K27/unit</f>
        <v>86.193071500000002</v>
      </c>
      <c r="M43" s="287">
        <f>Bloomberg!L27/unit</f>
        <v>88.194153700000001</v>
      </c>
      <c r="N43" s="287">
        <f>Bloomberg!M27/unit</f>
        <v>188.46950469999999</v>
      </c>
      <c r="O43" s="287">
        <f>Bloomberg!N27/unit</f>
        <v>449.2990906</v>
      </c>
      <c r="P43" s="335" t="e">
        <f>#REF!</f>
        <v>#REF!</v>
      </c>
      <c r="Q43" s="335" t="e">
        <f>#REF!</f>
        <v>#REF!</v>
      </c>
      <c r="R43" s="335" t="e">
        <f>#REF!</f>
        <v>#REF!</v>
      </c>
      <c r="S43" s="335" t="e">
        <f>#REF!</f>
        <v>#REF!</v>
      </c>
      <c r="T43" s="335" t="e">
        <f>#REF!</f>
        <v>#REF!</v>
      </c>
      <c r="U43" s="335" t="e">
        <f>#REF!</f>
        <v>#REF!</v>
      </c>
      <c r="V43" s="335" t="e">
        <f>#REF!</f>
        <v>#REF!</v>
      </c>
      <c r="W43" s="335" t="e">
        <f>#REF!</f>
        <v>#REF!</v>
      </c>
      <c r="X43" s="335" t="e">
        <f>#REF!</f>
        <v>#REF!</v>
      </c>
      <c r="Y43" s="335" t="e">
        <f>#REF!</f>
        <v>#REF!</v>
      </c>
    </row>
    <row r="44" spans="2:25" ht="12.75" customHeight="1">
      <c r="B44" s="8" t="s">
        <v>554</v>
      </c>
      <c r="C44" s="4"/>
      <c r="D44" s="287">
        <f>Bloomberg!C28/unit</f>
        <v>0</v>
      </c>
      <c r="E44" s="287">
        <f>Bloomberg!D28/unit</f>
        <v>0</v>
      </c>
      <c r="F44" s="287">
        <f>Bloomberg!E28/unit</f>
        <v>0</v>
      </c>
      <c r="G44" s="287">
        <f>Bloomberg!F28/unit</f>
        <v>0</v>
      </c>
      <c r="H44" s="287">
        <f>Bloomberg!G28/unit</f>
        <v>1.4698105000000001</v>
      </c>
      <c r="I44" s="287">
        <f>Bloomberg!H28/unit</f>
        <v>36.441355100000003</v>
      </c>
      <c r="J44" s="287">
        <f>Bloomberg!I28/unit</f>
        <v>94.815939999999998</v>
      </c>
      <c r="K44" s="287">
        <f>Bloomberg!J28/unit</f>
        <v>146.89373019999999</v>
      </c>
      <c r="L44" s="287">
        <f>Bloomberg!K28/unit</f>
        <v>300.3096061</v>
      </c>
      <c r="M44" s="287">
        <f>Bloomberg!L28/unit</f>
        <v>235.82722089999999</v>
      </c>
      <c r="N44" s="287">
        <f>Bloomberg!M28/unit</f>
        <v>334.18258470000001</v>
      </c>
      <c r="O44" s="287">
        <f>Bloomberg!N28/unit</f>
        <v>481.58201679999996</v>
      </c>
      <c r="P44" s="335" t="e">
        <f>#REF!</f>
        <v>#REF!</v>
      </c>
      <c r="Q44" s="335" t="e">
        <f>#REF!</f>
        <v>#REF!</v>
      </c>
      <c r="R44" s="335" t="e">
        <f>#REF!</f>
        <v>#REF!</v>
      </c>
      <c r="S44" s="335" t="e">
        <f>#REF!</f>
        <v>#REF!</v>
      </c>
      <c r="T44" s="335" t="e">
        <f>#REF!</f>
        <v>#REF!</v>
      </c>
      <c r="U44" s="335" t="e">
        <f>#REF!</f>
        <v>#REF!</v>
      </c>
      <c r="V44" s="335" t="e">
        <f>#REF!</f>
        <v>#REF!</v>
      </c>
      <c r="W44" s="335" t="e">
        <f>#REF!</f>
        <v>#REF!</v>
      </c>
      <c r="X44" s="335" t="e">
        <f>#REF!</f>
        <v>#REF!</v>
      </c>
      <c r="Y44" s="335" t="e">
        <f>#REF!</f>
        <v>#REF!</v>
      </c>
    </row>
    <row r="45" spans="2:25" ht="12.75" customHeight="1">
      <c r="B45" s="4" t="s">
        <v>555</v>
      </c>
      <c r="C45" s="4"/>
      <c r="D45" s="289">
        <f>Bloomberg!C29/unit</f>
        <v>0</v>
      </c>
      <c r="E45" s="289">
        <f>Bloomberg!D29/unit</f>
        <v>0</v>
      </c>
      <c r="F45" s="289">
        <f>Bloomberg!E29/unit</f>
        <v>0</v>
      </c>
      <c r="G45" s="289">
        <f>Bloomberg!F29/unit</f>
        <v>0</v>
      </c>
      <c r="H45" s="289">
        <f>Bloomberg!G29/unit</f>
        <v>63.703742200000001</v>
      </c>
      <c r="I45" s="289">
        <f>Bloomberg!H29/unit</f>
        <v>305.23958570000002</v>
      </c>
      <c r="J45" s="289">
        <f>Bloomberg!I29/unit</f>
        <v>547.54331519999994</v>
      </c>
      <c r="K45" s="289">
        <f>Bloomberg!J29/unit</f>
        <v>687.75861650000002</v>
      </c>
      <c r="L45" s="289">
        <f>Bloomberg!K29/unit</f>
        <v>886.24365360000002</v>
      </c>
      <c r="M45" s="289">
        <f>Bloomberg!L29/unit</f>
        <v>816.45217649999995</v>
      </c>
      <c r="N45" s="289">
        <f>Bloomberg!M29/unit</f>
        <v>1268.2150674999998</v>
      </c>
      <c r="O45" s="289">
        <f>Bloomberg!N29/unit</f>
        <v>2160.4528323</v>
      </c>
      <c r="P45" s="336" t="e">
        <f>#REF!</f>
        <v>#REF!</v>
      </c>
      <c r="Q45" s="336" t="e">
        <f>#REF!</f>
        <v>#REF!</v>
      </c>
      <c r="R45" s="336" t="e">
        <f>#REF!</f>
        <v>#REF!</v>
      </c>
      <c r="S45" s="336" t="e">
        <f>#REF!</f>
        <v>#REF!</v>
      </c>
      <c r="T45" s="336" t="e">
        <f>#REF!</f>
        <v>#REF!</v>
      </c>
      <c r="U45" s="336" t="e">
        <f>#REF!</f>
        <v>#REF!</v>
      </c>
      <c r="V45" s="336" t="e">
        <f>#REF!</f>
        <v>#REF!</v>
      </c>
      <c r="W45" s="336" t="e">
        <f>#REF!</f>
        <v>#REF!</v>
      </c>
      <c r="X45" s="336" t="e">
        <f>#REF!</f>
        <v>#REF!</v>
      </c>
      <c r="Y45" s="336" t="e">
        <f>#REF!</f>
        <v>#REF!</v>
      </c>
    </row>
    <row r="46" spans="2:25" ht="12.75" customHeight="1">
      <c r="B46" s="8"/>
      <c r="C46" s="8"/>
      <c r="D46" s="287"/>
      <c r="E46" s="287"/>
      <c r="F46" s="287"/>
      <c r="G46" s="287"/>
      <c r="H46" s="288"/>
      <c r="I46" s="288"/>
      <c r="J46" s="287"/>
      <c r="K46" s="287"/>
      <c r="L46" s="287"/>
      <c r="M46" s="287"/>
      <c r="N46" s="287"/>
      <c r="O46" s="287"/>
      <c r="P46" s="21" t="e">
        <f>#REF!</f>
        <v>#REF!</v>
      </c>
      <c r="Q46" s="21" t="e">
        <f>#REF!</f>
        <v>#REF!</v>
      </c>
      <c r="R46" s="21" t="e">
        <f>#REF!</f>
        <v>#REF!</v>
      </c>
      <c r="S46" s="21" t="e">
        <f>#REF!</f>
        <v>#REF!</v>
      </c>
      <c r="T46" s="21" t="e">
        <f>#REF!</f>
        <v>#REF!</v>
      </c>
      <c r="U46" s="21" t="e">
        <f>#REF!</f>
        <v>#REF!</v>
      </c>
      <c r="V46" s="21" t="e">
        <f>#REF!</f>
        <v>#REF!</v>
      </c>
      <c r="W46" s="21" t="e">
        <f>#REF!</f>
        <v>#REF!</v>
      </c>
      <c r="X46" s="21" t="e">
        <f>#REF!</f>
        <v>#REF!</v>
      </c>
      <c r="Y46" s="21" t="e">
        <f>#REF!</f>
        <v>#REF!</v>
      </c>
    </row>
    <row r="47" spans="2:25" ht="12.75" customHeight="1">
      <c r="B47" s="4" t="s">
        <v>556</v>
      </c>
      <c r="C47" s="4"/>
      <c r="D47" s="287"/>
      <c r="E47" s="287"/>
      <c r="F47" s="287"/>
      <c r="G47" s="287"/>
      <c r="H47" s="288"/>
      <c r="I47" s="288"/>
      <c r="J47" s="287"/>
      <c r="K47" s="287"/>
      <c r="L47" s="287"/>
      <c r="M47" s="287"/>
      <c r="N47" s="287"/>
      <c r="O47" s="287"/>
      <c r="P47" s="21" t="e">
        <f>#REF!</f>
        <v>#REF!</v>
      </c>
      <c r="Q47" s="21" t="e">
        <f>#REF!</f>
        <v>#REF!</v>
      </c>
      <c r="R47" s="21" t="e">
        <f>#REF!</f>
        <v>#REF!</v>
      </c>
      <c r="S47" s="21" t="e">
        <f>#REF!</f>
        <v>#REF!</v>
      </c>
      <c r="T47" s="21" t="e">
        <f>#REF!</f>
        <v>#REF!</v>
      </c>
      <c r="U47" s="21" t="e">
        <f>#REF!</f>
        <v>#REF!</v>
      </c>
      <c r="V47" s="21" t="e">
        <f>#REF!</f>
        <v>#REF!</v>
      </c>
      <c r="W47" s="21" t="e">
        <f>#REF!</f>
        <v>#REF!</v>
      </c>
      <c r="X47" s="21" t="e">
        <f>#REF!</f>
        <v>#REF!</v>
      </c>
      <c r="Y47" s="21" t="e">
        <f>#REF!</f>
        <v>#REF!</v>
      </c>
    </row>
    <row r="48" spans="2:25" ht="12.75" customHeight="1">
      <c r="B48" s="8" t="s">
        <v>310</v>
      </c>
      <c r="C48" s="8"/>
      <c r="D48" s="287">
        <f>Bloomberg!C30/unit</f>
        <v>0</v>
      </c>
      <c r="E48" s="287">
        <f>Bloomberg!D30/unit</f>
        <v>0</v>
      </c>
      <c r="F48" s="287">
        <f>Bloomberg!E30/unit</f>
        <v>0</v>
      </c>
      <c r="G48" s="287">
        <f>Bloomberg!F30/unit</f>
        <v>0</v>
      </c>
      <c r="H48" s="287">
        <f>Bloomberg!G30/unit</f>
        <v>0</v>
      </c>
      <c r="I48" s="287">
        <f>Bloomberg!H30/unit</f>
        <v>9.9969010999999988</v>
      </c>
      <c r="J48" s="287">
        <f>Bloomberg!I30/unit</f>
        <v>0.88345980000000002</v>
      </c>
      <c r="K48" s="287">
        <f>Bloomberg!J30/unit</f>
        <v>1.4331430000000001</v>
      </c>
      <c r="L48" s="287">
        <f>Bloomberg!K30/unit</f>
        <v>4.2913145999999998</v>
      </c>
      <c r="M48" s="287">
        <f>Bloomberg!L30/unit</f>
        <v>35.762860400000001</v>
      </c>
      <c r="N48" s="287">
        <f>Bloomberg!M30/unit</f>
        <v>21.303074199999998</v>
      </c>
      <c r="O48" s="287">
        <f>Bloomberg!N30/unit</f>
        <v>55.022481800000001</v>
      </c>
      <c r="P48" s="335" t="e">
        <f>#REF!</f>
        <v>#REF!</v>
      </c>
      <c r="Q48" s="335" t="e">
        <f>#REF!</f>
        <v>#REF!</v>
      </c>
      <c r="R48" s="335" t="e">
        <f>#REF!</f>
        <v>#REF!</v>
      </c>
      <c r="S48" s="335" t="e">
        <f>#REF!</f>
        <v>#REF!</v>
      </c>
      <c r="T48" s="335" t="e">
        <f>#REF!</f>
        <v>#REF!</v>
      </c>
      <c r="U48" s="335" t="e">
        <f>#REF!</f>
        <v>#REF!</v>
      </c>
      <c r="V48" s="335" t="e">
        <f>#REF!</f>
        <v>#REF!</v>
      </c>
      <c r="W48" s="335" t="e">
        <f>#REF!</f>
        <v>#REF!</v>
      </c>
      <c r="X48" s="335" t="e">
        <f>#REF!</f>
        <v>#REF!</v>
      </c>
      <c r="Y48" s="335" t="e">
        <f>#REF!</f>
        <v>#REF!</v>
      </c>
    </row>
    <row r="49" spans="2:25" ht="12.75" customHeight="1">
      <c r="B49" s="8" t="s">
        <v>311</v>
      </c>
      <c r="C49" s="8"/>
      <c r="D49" s="287">
        <f>Bloomberg!C31/unit</f>
        <v>0</v>
      </c>
      <c r="E49" s="287">
        <f>Bloomberg!D31/unit</f>
        <v>0</v>
      </c>
      <c r="F49" s="287">
        <f>Bloomberg!E31/unit</f>
        <v>0</v>
      </c>
      <c r="G49" s="287">
        <f>Bloomberg!F31/unit</f>
        <v>0</v>
      </c>
      <c r="H49" s="287">
        <f>Bloomberg!G31/unit</f>
        <v>0</v>
      </c>
      <c r="I49" s="287">
        <f>Bloomberg!H31/unit</f>
        <v>16</v>
      </c>
      <c r="J49" s="287">
        <f>Bloomberg!I31/unit</f>
        <v>120.2056</v>
      </c>
      <c r="K49" s="287">
        <f>Bloomberg!J31/unit</f>
        <v>179.72239999999999</v>
      </c>
      <c r="L49" s="287">
        <f>Bloomberg!K31/unit</f>
        <v>108.85</v>
      </c>
      <c r="M49" s="287">
        <f>Bloomberg!L31/unit</f>
        <v>0.45</v>
      </c>
      <c r="N49" s="287">
        <f>Bloomberg!M31/unit</f>
        <v>0</v>
      </c>
      <c r="O49" s="287">
        <f>Bloomberg!N31/unit</f>
        <v>1</v>
      </c>
      <c r="P49" s="335" t="e">
        <f>#REF!</f>
        <v>#REF!</v>
      </c>
      <c r="Q49" s="335" t="e">
        <f>#REF!</f>
        <v>#REF!</v>
      </c>
      <c r="R49" s="335" t="e">
        <f>#REF!</f>
        <v>#REF!</v>
      </c>
      <c r="S49" s="335" t="e">
        <f>#REF!</f>
        <v>#REF!</v>
      </c>
      <c r="T49" s="335" t="e">
        <f>#REF!</f>
        <v>#REF!</v>
      </c>
      <c r="U49" s="335" t="e">
        <f>#REF!</f>
        <v>#REF!</v>
      </c>
      <c r="V49" s="335" t="e">
        <f>#REF!</f>
        <v>#REF!</v>
      </c>
      <c r="W49" s="335" t="e">
        <f>#REF!</f>
        <v>#REF!</v>
      </c>
      <c r="X49" s="335" t="e">
        <f>#REF!</f>
        <v>#REF!</v>
      </c>
      <c r="Y49" s="335" t="e">
        <f>#REF!</f>
        <v>#REF!</v>
      </c>
    </row>
    <row r="50" spans="2:25" ht="12.75" customHeight="1">
      <c r="B50" s="8" t="s">
        <v>293</v>
      </c>
      <c r="C50" s="8"/>
      <c r="D50" s="287">
        <f>Bloomberg!C32/unit</f>
        <v>0</v>
      </c>
      <c r="E50" s="287">
        <f>Bloomberg!D32/unit</f>
        <v>0</v>
      </c>
      <c r="F50" s="287">
        <f>Bloomberg!E32/unit</f>
        <v>0</v>
      </c>
      <c r="G50" s="287">
        <f>Bloomberg!F32/unit</f>
        <v>0</v>
      </c>
      <c r="H50" s="287">
        <f>Bloomberg!G32/unit</f>
        <v>37.192941400000002</v>
      </c>
      <c r="I50" s="287">
        <f>Bloomberg!H32/unit</f>
        <v>160.5463427</v>
      </c>
      <c r="J50" s="287">
        <f>Bloomberg!I32/unit</f>
        <v>265.7922188</v>
      </c>
      <c r="K50" s="287">
        <f>Bloomberg!J32/unit</f>
        <v>199.7806162</v>
      </c>
      <c r="L50" s="287">
        <f>Bloomberg!K32/unit</f>
        <v>300.587558</v>
      </c>
      <c r="M50" s="287">
        <f>Bloomberg!L32/unit</f>
        <v>196.745777</v>
      </c>
      <c r="N50" s="287">
        <f>Bloomberg!M32/unit</f>
        <v>509.92334600000004</v>
      </c>
      <c r="O50" s="287">
        <f>Bloomberg!N32/unit</f>
        <v>909.34066830000006</v>
      </c>
      <c r="P50" s="335" t="e">
        <f>#REF!</f>
        <v>#REF!</v>
      </c>
      <c r="Q50" s="335" t="e">
        <f>#REF!</f>
        <v>#REF!</v>
      </c>
      <c r="R50" s="335" t="e">
        <f>#REF!</f>
        <v>#REF!</v>
      </c>
      <c r="S50" s="335" t="e">
        <f>#REF!</f>
        <v>#REF!</v>
      </c>
      <c r="T50" s="335" t="e">
        <f>#REF!</f>
        <v>#REF!</v>
      </c>
      <c r="U50" s="335" t="e">
        <f>#REF!</f>
        <v>#REF!</v>
      </c>
      <c r="V50" s="335" t="e">
        <f>#REF!</f>
        <v>#REF!</v>
      </c>
      <c r="W50" s="335" t="e">
        <f>#REF!</f>
        <v>#REF!</v>
      </c>
      <c r="X50" s="335" t="e">
        <f>#REF!</f>
        <v>#REF!</v>
      </c>
      <c r="Y50" s="335" t="e">
        <f>#REF!</f>
        <v>#REF!</v>
      </c>
    </row>
    <row r="51" spans="2:25" ht="12.75" customHeight="1">
      <c r="B51" s="8" t="s">
        <v>302</v>
      </c>
      <c r="C51" s="4"/>
      <c r="D51" s="287">
        <f>Bloomberg!C33/unit</f>
        <v>0</v>
      </c>
      <c r="E51" s="287">
        <f>Bloomberg!D33/unit</f>
        <v>0</v>
      </c>
      <c r="F51" s="287">
        <f>Bloomberg!E33/unit</f>
        <v>0</v>
      </c>
      <c r="G51" s="287">
        <f>Bloomberg!F33/unit</f>
        <v>0</v>
      </c>
      <c r="H51" s="287">
        <f>Bloomberg!G33/unit</f>
        <v>37.192941400000002</v>
      </c>
      <c r="I51" s="287">
        <f>Bloomberg!H33/unit</f>
        <v>186.5432438</v>
      </c>
      <c r="J51" s="287">
        <f>Bloomberg!I33/unit</f>
        <v>386.88127860000003</v>
      </c>
      <c r="K51" s="287">
        <f>Bloomberg!J33/unit</f>
        <v>380.93615920000002</v>
      </c>
      <c r="L51" s="287">
        <f>Bloomberg!K33/unit</f>
        <v>413.72887259999999</v>
      </c>
      <c r="M51" s="287">
        <f>Bloomberg!L33/unit</f>
        <v>232.95863740000001</v>
      </c>
      <c r="N51" s="287">
        <f>Bloomberg!M33/unit</f>
        <v>531.22642020000001</v>
      </c>
      <c r="O51" s="287">
        <f>Bloomberg!N33/unit</f>
        <v>965.36315009999998</v>
      </c>
      <c r="P51" s="335" t="e">
        <f>#REF!</f>
        <v>#REF!</v>
      </c>
      <c r="Q51" s="335" t="e">
        <f>#REF!</f>
        <v>#REF!</v>
      </c>
      <c r="R51" s="335" t="e">
        <f>#REF!</f>
        <v>#REF!</v>
      </c>
      <c r="S51" s="335" t="e">
        <f>#REF!</f>
        <v>#REF!</v>
      </c>
      <c r="T51" s="335" t="e">
        <f>#REF!</f>
        <v>#REF!</v>
      </c>
      <c r="U51" s="335" t="e">
        <f>#REF!</f>
        <v>#REF!</v>
      </c>
      <c r="V51" s="335" t="e">
        <f>#REF!</f>
        <v>#REF!</v>
      </c>
      <c r="W51" s="335" t="e">
        <f>#REF!</f>
        <v>#REF!</v>
      </c>
      <c r="X51" s="335" t="e">
        <f>#REF!</f>
        <v>#REF!</v>
      </c>
      <c r="Y51" s="335" t="e">
        <f>#REF!</f>
        <v>#REF!</v>
      </c>
    </row>
    <row r="52" spans="2:25" ht="12.75" customHeight="1">
      <c r="B52" s="8" t="s">
        <v>298</v>
      </c>
      <c r="C52" s="8"/>
      <c r="D52" s="287">
        <f>Bloomberg!C34/unit</f>
        <v>0</v>
      </c>
      <c r="E52" s="287">
        <f>Bloomberg!D34/unit</f>
        <v>0</v>
      </c>
      <c r="F52" s="287">
        <f>Bloomberg!E34/unit</f>
        <v>0</v>
      </c>
      <c r="G52" s="287">
        <f>Bloomberg!F34/unit</f>
        <v>0</v>
      </c>
      <c r="H52" s="287">
        <f>Bloomberg!G34/unit</f>
        <v>0</v>
      </c>
      <c r="I52" s="287">
        <f>Bloomberg!H34/unit</f>
        <v>0.06</v>
      </c>
      <c r="J52" s="287">
        <f>Bloomberg!I34/unit</f>
        <v>7.2066000000000008</v>
      </c>
      <c r="K52" s="287">
        <f>Bloomberg!J34/unit</f>
        <v>12.662196</v>
      </c>
      <c r="L52" s="287">
        <f>Bloomberg!K34/unit</f>
        <v>12.114816000000001</v>
      </c>
      <c r="M52" s="287">
        <f>Bloomberg!L34/unit</f>
        <v>0.11576</v>
      </c>
      <c r="N52" s="287">
        <f>Bloomberg!M34/unit</f>
        <v>69.713999999999999</v>
      </c>
      <c r="O52" s="287">
        <f>Bloomberg!N34/unit</f>
        <v>119.10941340000001</v>
      </c>
      <c r="P52" s="335" t="e">
        <f>#REF!</f>
        <v>#REF!</v>
      </c>
      <c r="Q52" s="335" t="e">
        <f>#REF!</f>
        <v>#REF!</v>
      </c>
      <c r="R52" s="335" t="e">
        <f>#REF!</f>
        <v>#REF!</v>
      </c>
      <c r="S52" s="335" t="e">
        <f>#REF!</f>
        <v>#REF!</v>
      </c>
      <c r="T52" s="335" t="e">
        <f>#REF!</f>
        <v>#REF!</v>
      </c>
      <c r="U52" s="335" t="e">
        <f>#REF!</f>
        <v>#REF!</v>
      </c>
      <c r="V52" s="335" t="e">
        <f>#REF!</f>
        <v>#REF!</v>
      </c>
      <c r="W52" s="335" t="e">
        <f>#REF!</f>
        <v>#REF!</v>
      </c>
      <c r="X52" s="335" t="e">
        <f>#REF!</f>
        <v>#REF!</v>
      </c>
      <c r="Y52" s="335" t="e">
        <f>#REF!</f>
        <v>#REF!</v>
      </c>
    </row>
    <row r="53" spans="2:25" ht="12.75" customHeight="1">
      <c r="B53" s="8" t="s">
        <v>312</v>
      </c>
      <c r="C53" s="8"/>
      <c r="D53" s="287">
        <f>Bloomberg!C35/unit</f>
        <v>0</v>
      </c>
      <c r="E53" s="287">
        <f>Bloomberg!D35/unit</f>
        <v>0</v>
      </c>
      <c r="F53" s="287">
        <f>Bloomberg!E35/unit</f>
        <v>0</v>
      </c>
      <c r="G53" s="287">
        <f>Bloomberg!F35/unit</f>
        <v>0</v>
      </c>
      <c r="H53" s="287">
        <f>Bloomberg!G35/unit</f>
        <v>0.24595</v>
      </c>
      <c r="I53" s="287">
        <f>Bloomberg!H35/unit</f>
        <v>3</v>
      </c>
      <c r="J53" s="287">
        <f>Bloomberg!I35/unit</f>
        <v>3.0806747999999997</v>
      </c>
      <c r="K53" s="287">
        <f>Bloomberg!J35/unit</f>
        <v>5.1687367999999996</v>
      </c>
      <c r="L53" s="287">
        <f>Bloomberg!K35/unit</f>
        <v>3.2244895000000002</v>
      </c>
      <c r="M53" s="287">
        <f>Bloomberg!L35/unit</f>
        <v>3.7836345000000002</v>
      </c>
      <c r="N53" s="287">
        <f>Bloomberg!M35/unit</f>
        <v>3.6598595999999999</v>
      </c>
      <c r="O53" s="287">
        <f>Bloomberg!N35/unit</f>
        <v>3.7527789999999999</v>
      </c>
      <c r="P53" s="335" t="e">
        <f>#REF!</f>
        <v>#REF!</v>
      </c>
      <c r="Q53" s="335" t="e">
        <f>#REF!</f>
        <v>#REF!</v>
      </c>
      <c r="R53" s="335" t="e">
        <f>#REF!</f>
        <v>#REF!</v>
      </c>
      <c r="S53" s="335" t="e">
        <f>#REF!</f>
        <v>#REF!</v>
      </c>
      <c r="T53" s="335" t="e">
        <f>#REF!</f>
        <v>#REF!</v>
      </c>
      <c r="U53" s="335" t="e">
        <f>#REF!</f>
        <v>#REF!</v>
      </c>
      <c r="V53" s="335" t="e">
        <f>#REF!</f>
        <v>#REF!</v>
      </c>
      <c r="W53" s="335" t="e">
        <f>#REF!</f>
        <v>#REF!</v>
      </c>
      <c r="X53" s="335" t="e">
        <f>#REF!</f>
        <v>#REF!</v>
      </c>
      <c r="Y53" s="335" t="e">
        <f>#REF!</f>
        <v>#REF!</v>
      </c>
    </row>
    <row r="54" spans="2:25" ht="12.75" customHeight="1">
      <c r="B54" s="8" t="s">
        <v>303</v>
      </c>
      <c r="C54" s="4"/>
      <c r="D54" s="287">
        <f>Bloomberg!C36/unit</f>
        <v>0</v>
      </c>
      <c r="E54" s="287">
        <f>Bloomberg!D36/unit</f>
        <v>0</v>
      </c>
      <c r="F54" s="287">
        <f>Bloomberg!E36/unit</f>
        <v>0</v>
      </c>
      <c r="G54" s="287">
        <f>Bloomberg!F36/unit</f>
        <v>0</v>
      </c>
      <c r="H54" s="287">
        <f>Bloomberg!G36/unit</f>
        <v>0.24595</v>
      </c>
      <c r="I54" s="287">
        <f>Bloomberg!H36/unit</f>
        <v>3.06</v>
      </c>
      <c r="J54" s="287">
        <f>Bloomberg!I36/unit</f>
        <v>10.287274799999999</v>
      </c>
      <c r="K54" s="287">
        <f>Bloomberg!J36/unit</f>
        <v>17.830932799999999</v>
      </c>
      <c r="L54" s="287">
        <f>Bloomberg!K36/unit</f>
        <v>15.3393055</v>
      </c>
      <c r="M54" s="287">
        <f>Bloomberg!L36/unit</f>
        <v>3.8993945000000001</v>
      </c>
      <c r="N54" s="287">
        <f>Bloomberg!M36/unit</f>
        <v>73.373859600000003</v>
      </c>
      <c r="O54" s="287">
        <f>Bloomberg!N36/unit</f>
        <v>122.8621924</v>
      </c>
      <c r="P54" s="335" t="e">
        <f>#REF!</f>
        <v>#REF!</v>
      </c>
      <c r="Q54" s="335" t="e">
        <f>#REF!</f>
        <v>#REF!</v>
      </c>
      <c r="R54" s="335" t="e">
        <f>#REF!</f>
        <v>#REF!</v>
      </c>
      <c r="S54" s="335" t="e">
        <f>#REF!</f>
        <v>#REF!</v>
      </c>
      <c r="T54" s="335" t="e">
        <f>#REF!</f>
        <v>#REF!</v>
      </c>
      <c r="U54" s="335" t="e">
        <f>#REF!</f>
        <v>#REF!</v>
      </c>
      <c r="V54" s="335" t="e">
        <f>#REF!</f>
        <v>#REF!</v>
      </c>
      <c r="W54" s="335" t="e">
        <f>#REF!</f>
        <v>#REF!</v>
      </c>
      <c r="X54" s="335" t="e">
        <f>#REF!</f>
        <v>#REF!</v>
      </c>
      <c r="Y54" s="335" t="e">
        <f>#REF!</f>
        <v>#REF!</v>
      </c>
    </row>
    <row r="55" spans="2:25" ht="12.75" customHeight="1">
      <c r="B55" s="8" t="s">
        <v>557</v>
      </c>
      <c r="C55" s="4"/>
      <c r="D55" s="287">
        <f>Bloomberg!C37/unit</f>
        <v>0</v>
      </c>
      <c r="E55" s="287">
        <f>Bloomberg!D37/unit</f>
        <v>0</v>
      </c>
      <c r="F55" s="287">
        <f>Bloomberg!E37/unit</f>
        <v>0</v>
      </c>
      <c r="G55" s="287">
        <f>Bloomberg!F37/unit</f>
        <v>0</v>
      </c>
      <c r="H55" s="287">
        <f>Bloomberg!G37/unit</f>
        <v>37.438891400000003</v>
      </c>
      <c r="I55" s="287">
        <f>Bloomberg!H37/unit</f>
        <v>189.6032438</v>
      </c>
      <c r="J55" s="287">
        <f>Bloomberg!I37/unit</f>
        <v>397.16855339999995</v>
      </c>
      <c r="K55" s="287">
        <f>Bloomberg!J37/unit</f>
        <v>398.76709199999999</v>
      </c>
      <c r="L55" s="287">
        <f>Bloomberg!K37/unit</f>
        <v>429.06817799999999</v>
      </c>
      <c r="M55" s="287">
        <f>Bloomberg!L37/unit</f>
        <v>236.85803179999999</v>
      </c>
      <c r="N55" s="287">
        <f>Bloomberg!M37/unit</f>
        <v>604.60027980000007</v>
      </c>
      <c r="O55" s="287">
        <f>Bloomberg!N37/unit</f>
        <v>1088.2253425000001</v>
      </c>
      <c r="P55" s="335" t="e">
        <f>#REF!</f>
        <v>#REF!</v>
      </c>
      <c r="Q55" s="335" t="e">
        <f>#REF!</f>
        <v>#REF!</v>
      </c>
      <c r="R55" s="335" t="e">
        <f>#REF!</f>
        <v>#REF!</v>
      </c>
      <c r="S55" s="335" t="e">
        <f>#REF!</f>
        <v>#REF!</v>
      </c>
      <c r="T55" s="335" t="e">
        <f>#REF!</f>
        <v>#REF!</v>
      </c>
      <c r="U55" s="335" t="e">
        <f>#REF!</f>
        <v>#REF!</v>
      </c>
      <c r="V55" s="335" t="e">
        <f>#REF!</f>
        <v>#REF!</v>
      </c>
      <c r="W55" s="335" t="e">
        <f>#REF!</f>
        <v>#REF!</v>
      </c>
      <c r="X55" s="335" t="e">
        <f>#REF!</f>
        <v>#REF!</v>
      </c>
      <c r="Y55" s="335" t="e">
        <f>#REF!</f>
        <v>#REF!</v>
      </c>
    </row>
    <row r="56" spans="2:25" ht="12.75" customHeight="1">
      <c r="B56" s="8" t="s">
        <v>314</v>
      </c>
      <c r="C56" s="8"/>
      <c r="D56" s="287">
        <f>Bloomberg!C38/unit</f>
        <v>0</v>
      </c>
      <c r="E56" s="287">
        <f>Bloomberg!D38/unit</f>
        <v>0</v>
      </c>
      <c r="F56" s="287">
        <f>Bloomberg!E38/unit</f>
        <v>0</v>
      </c>
      <c r="G56" s="287">
        <f>Bloomberg!F38/unit</f>
        <v>0</v>
      </c>
      <c r="H56" s="287">
        <f>Bloomberg!G38/unit</f>
        <v>0</v>
      </c>
      <c r="I56" s="287">
        <f>Bloomberg!H38/unit</f>
        <v>0</v>
      </c>
      <c r="J56" s="287">
        <f>Bloomberg!I38/unit</f>
        <v>0</v>
      </c>
      <c r="K56" s="287">
        <f>Bloomberg!J38/unit</f>
        <v>0</v>
      </c>
      <c r="L56" s="287">
        <f>Bloomberg!K38/unit</f>
        <v>0</v>
      </c>
      <c r="M56" s="287">
        <f>Bloomberg!L38/unit</f>
        <v>0</v>
      </c>
      <c r="N56" s="287">
        <f>Bloomberg!M38/unit</f>
        <v>0</v>
      </c>
      <c r="O56" s="287">
        <f>Bloomberg!N38/unit</f>
        <v>0</v>
      </c>
      <c r="P56" s="335" t="e">
        <f>#REF!</f>
        <v>#REF!</v>
      </c>
      <c r="Q56" s="335" t="e">
        <f>#REF!</f>
        <v>#REF!</v>
      </c>
      <c r="R56" s="335" t="e">
        <f>#REF!</f>
        <v>#REF!</v>
      </c>
      <c r="S56" s="335" t="e">
        <f>#REF!</f>
        <v>#REF!</v>
      </c>
      <c r="T56" s="335" t="e">
        <f>#REF!</f>
        <v>#REF!</v>
      </c>
      <c r="U56" s="335" t="e">
        <f>#REF!</f>
        <v>#REF!</v>
      </c>
      <c r="V56" s="335" t="e">
        <f>#REF!</f>
        <v>#REF!</v>
      </c>
      <c r="W56" s="335" t="e">
        <f>#REF!</f>
        <v>#REF!</v>
      </c>
      <c r="X56" s="335" t="e">
        <f>#REF!</f>
        <v>#REF!</v>
      </c>
      <c r="Y56" s="335" t="e">
        <f>#REF!</f>
        <v>#REF!</v>
      </c>
    </row>
    <row r="57" spans="2:25" ht="12.75" customHeight="1">
      <c r="B57" s="8" t="s">
        <v>69</v>
      </c>
      <c r="C57" s="8"/>
      <c r="D57" s="287">
        <f>Bloomberg!C39/unit</f>
        <v>0</v>
      </c>
      <c r="E57" s="287">
        <f>Bloomberg!D39/unit</f>
        <v>0</v>
      </c>
      <c r="F57" s="287">
        <f>Bloomberg!E39/unit</f>
        <v>0</v>
      </c>
      <c r="G57" s="287">
        <f>Bloomberg!F39/unit</f>
        <v>0</v>
      </c>
      <c r="H57" s="287">
        <f>Bloomberg!G39/unit</f>
        <v>0</v>
      </c>
      <c r="I57" s="287">
        <f>Bloomberg!H39/unit</f>
        <v>3.42</v>
      </c>
      <c r="J57" s="287">
        <f>Bloomberg!I39/unit</f>
        <v>3.42</v>
      </c>
      <c r="K57" s="287">
        <f>Bloomberg!J39/unit</f>
        <v>5.28</v>
      </c>
      <c r="L57" s="287">
        <f>Bloomberg!K39/unit</f>
        <v>32.185270799999998</v>
      </c>
      <c r="M57" s="287">
        <f>Bloomberg!L39/unit</f>
        <v>31.9802708</v>
      </c>
      <c r="N57" s="287">
        <f>Bloomberg!M39/unit</f>
        <v>10.982380800000001</v>
      </c>
      <c r="O57" s="287">
        <f>Bloomberg!N39/unit</f>
        <v>10.8679808</v>
      </c>
      <c r="P57" s="335" t="e">
        <f>#REF!</f>
        <v>#REF!</v>
      </c>
      <c r="Q57" s="335" t="e">
        <f>#REF!</f>
        <v>#REF!</v>
      </c>
      <c r="R57" s="335" t="e">
        <f>#REF!</f>
        <v>#REF!</v>
      </c>
      <c r="S57" s="335" t="e">
        <f>#REF!</f>
        <v>#REF!</v>
      </c>
      <c r="T57" s="335" t="e">
        <f>#REF!</f>
        <v>#REF!</v>
      </c>
      <c r="U57" s="335" t="e">
        <f>#REF!</f>
        <v>#REF!</v>
      </c>
      <c r="V57" s="335" t="e">
        <f>#REF!</f>
        <v>#REF!</v>
      </c>
      <c r="W57" s="335" t="e">
        <f>#REF!</f>
        <v>#REF!</v>
      </c>
      <c r="X57" s="335" t="e">
        <f>#REF!</f>
        <v>#REF!</v>
      </c>
      <c r="Y57" s="335" t="e">
        <f>#REF!</f>
        <v>#REF!</v>
      </c>
    </row>
    <row r="58" spans="2:25" ht="12.75" customHeight="1">
      <c r="B58" s="8" t="s">
        <v>315</v>
      </c>
      <c r="C58" s="8"/>
      <c r="D58" s="287">
        <f>Bloomberg!C40/unit</f>
        <v>0</v>
      </c>
      <c r="E58" s="287">
        <f>Bloomberg!D40/unit</f>
        <v>0</v>
      </c>
      <c r="F58" s="287">
        <f>Bloomberg!E40/unit</f>
        <v>0</v>
      </c>
      <c r="G58" s="287">
        <f>Bloomberg!F40/unit</f>
        <v>0</v>
      </c>
      <c r="H58" s="287">
        <f>Bloomberg!G40/unit</f>
        <v>15</v>
      </c>
      <c r="I58" s="287">
        <f>Bloomberg!H40/unit</f>
        <v>80</v>
      </c>
      <c r="J58" s="287">
        <f>Bloomberg!I40/unit</f>
        <v>80</v>
      </c>
      <c r="K58" s="287">
        <f>Bloomberg!J40/unit</f>
        <v>160</v>
      </c>
      <c r="L58" s="287">
        <f>Bloomberg!K40/unit</f>
        <v>320</v>
      </c>
      <c r="M58" s="287">
        <f>Bloomberg!L40/unit</f>
        <v>420</v>
      </c>
      <c r="N58" s="287">
        <f>Bloomberg!M40/unit</f>
        <v>527.9968100000001</v>
      </c>
      <c r="O58" s="287">
        <f>Bloomberg!N40/unit</f>
        <v>750</v>
      </c>
      <c r="P58" s="335" t="e">
        <f>#REF!</f>
        <v>#REF!</v>
      </c>
      <c r="Q58" s="335" t="e">
        <f>#REF!</f>
        <v>#REF!</v>
      </c>
      <c r="R58" s="335" t="e">
        <f>#REF!</f>
        <v>#REF!</v>
      </c>
      <c r="S58" s="335" t="e">
        <f>#REF!</f>
        <v>#REF!</v>
      </c>
      <c r="T58" s="335" t="e">
        <f>#REF!</f>
        <v>#REF!</v>
      </c>
      <c r="U58" s="335" t="e">
        <f>#REF!</f>
        <v>#REF!</v>
      </c>
      <c r="V58" s="335" t="e">
        <f>#REF!</f>
        <v>#REF!</v>
      </c>
      <c r="W58" s="335" t="e">
        <f>#REF!</f>
        <v>#REF!</v>
      </c>
      <c r="X58" s="335" t="e">
        <f>#REF!</f>
        <v>#REF!</v>
      </c>
      <c r="Y58" s="335" t="e">
        <f>#REF!</f>
        <v>#REF!</v>
      </c>
    </row>
    <row r="59" spans="2:25" ht="12.75" customHeight="1">
      <c r="B59" s="8" t="s">
        <v>558</v>
      </c>
      <c r="C59" s="8"/>
      <c r="D59" s="287">
        <f>Bloomberg!C41/unit</f>
        <v>0</v>
      </c>
      <c r="E59" s="287">
        <f>Bloomberg!D41/unit</f>
        <v>0</v>
      </c>
      <c r="F59" s="287">
        <f>Bloomberg!E41/unit</f>
        <v>0</v>
      </c>
      <c r="G59" s="287">
        <f>Bloomberg!F41/unit</f>
        <v>0</v>
      </c>
      <c r="H59" s="287">
        <f>Bloomberg!G41/unit</f>
        <v>11.264852500000002</v>
      </c>
      <c r="I59" s="287">
        <f>Bloomberg!H41/unit</f>
        <v>7.2230935000000001</v>
      </c>
      <c r="J59" s="287">
        <f>Bloomberg!I41/unit</f>
        <v>39.786704</v>
      </c>
      <c r="K59" s="287">
        <f>Bloomberg!J41/unit</f>
        <v>78.317970100000011</v>
      </c>
      <c r="L59" s="287">
        <f>Bloomberg!K41/unit</f>
        <v>49.2046943</v>
      </c>
      <c r="M59" s="287">
        <f>Bloomberg!L41/unit</f>
        <v>103.75582859999999</v>
      </c>
      <c r="N59" s="287">
        <f>Bloomberg!M41/unit</f>
        <v>94.153803799999991</v>
      </c>
      <c r="O59" s="287">
        <f>Bloomberg!N41/unit</f>
        <v>241.89213329999998</v>
      </c>
      <c r="P59" s="335" t="e">
        <f>#REF!</f>
        <v>#REF!</v>
      </c>
      <c r="Q59" s="335" t="e">
        <f>#REF!</f>
        <v>#REF!</v>
      </c>
      <c r="R59" s="335" t="e">
        <f>#REF!</f>
        <v>#REF!</v>
      </c>
      <c r="S59" s="335" t="e">
        <f>#REF!</f>
        <v>#REF!</v>
      </c>
      <c r="T59" s="335" t="e">
        <f>#REF!</f>
        <v>#REF!</v>
      </c>
      <c r="U59" s="335" t="e">
        <f>#REF!</f>
        <v>#REF!</v>
      </c>
      <c r="V59" s="335" t="e">
        <f>#REF!</f>
        <v>#REF!</v>
      </c>
      <c r="W59" s="335" t="e">
        <f>#REF!</f>
        <v>#REF!</v>
      </c>
      <c r="X59" s="335" t="e">
        <f>#REF!</f>
        <v>#REF!</v>
      </c>
      <c r="Y59" s="335" t="e">
        <f>#REF!</f>
        <v>#REF!</v>
      </c>
    </row>
    <row r="60" spans="2:25" ht="12.75" customHeight="1">
      <c r="B60" s="8" t="s">
        <v>316</v>
      </c>
      <c r="C60" s="8"/>
      <c r="D60" s="287">
        <f>Bloomberg!C42/unit</f>
        <v>0</v>
      </c>
      <c r="E60" s="287">
        <f>Bloomberg!D42/unit</f>
        <v>0</v>
      </c>
      <c r="F60" s="287">
        <f>Bloomberg!E42/unit</f>
        <v>0</v>
      </c>
      <c r="G60" s="287">
        <f>Bloomberg!F42/unit</f>
        <v>0</v>
      </c>
      <c r="H60" s="287">
        <f>Bloomberg!G42/unit</f>
        <v>0</v>
      </c>
      <c r="I60" s="287">
        <f>Bloomberg!H42/unit</f>
        <v>24.993248399999999</v>
      </c>
      <c r="J60" s="287">
        <f>Bloomberg!I42/unit</f>
        <v>27.1680578</v>
      </c>
      <c r="K60" s="287">
        <f>Bloomberg!J42/unit</f>
        <v>45.393554399999999</v>
      </c>
      <c r="L60" s="287">
        <f>Bloomberg!K42/unit</f>
        <v>55.7855104</v>
      </c>
      <c r="M60" s="287">
        <f>Bloomberg!L42/unit</f>
        <v>23.858045199999999</v>
      </c>
      <c r="N60" s="287">
        <f>Bloomberg!M42/unit</f>
        <v>30.481793000000003</v>
      </c>
      <c r="O60" s="287">
        <f>Bloomberg!N42/unit</f>
        <v>69.467375700000005</v>
      </c>
      <c r="P60" s="335" t="e">
        <f>#REF!</f>
        <v>#REF!</v>
      </c>
      <c r="Q60" s="335" t="e">
        <f>#REF!</f>
        <v>#REF!</v>
      </c>
      <c r="R60" s="335" t="e">
        <f>#REF!</f>
        <v>#REF!</v>
      </c>
      <c r="S60" s="335" t="e">
        <f>#REF!</f>
        <v>#REF!</v>
      </c>
      <c r="T60" s="335" t="e">
        <f>#REF!</f>
        <v>#REF!</v>
      </c>
      <c r="U60" s="335" t="e">
        <f>#REF!</f>
        <v>#REF!</v>
      </c>
      <c r="V60" s="335" t="e">
        <f>#REF!</f>
        <v>#REF!</v>
      </c>
      <c r="W60" s="335" t="e">
        <f>#REF!</f>
        <v>#REF!</v>
      </c>
      <c r="X60" s="335" t="e">
        <f>#REF!</f>
        <v>#REF!</v>
      </c>
      <c r="Y60" s="335" t="e">
        <f>#REF!</f>
        <v>#REF!</v>
      </c>
    </row>
    <row r="61" spans="2:25" ht="12.75" customHeight="1">
      <c r="B61" s="8" t="s">
        <v>559</v>
      </c>
      <c r="C61" s="4"/>
      <c r="D61" s="287">
        <f>Bloomberg!C43/unit</f>
        <v>0</v>
      </c>
      <c r="E61" s="287">
        <f>Bloomberg!D43/unit</f>
        <v>0</v>
      </c>
      <c r="F61" s="287">
        <f>Bloomberg!E43/unit</f>
        <v>0</v>
      </c>
      <c r="G61" s="287">
        <f>Bloomberg!F43/unit</f>
        <v>0</v>
      </c>
      <c r="H61" s="287">
        <f>Bloomberg!G43/unit</f>
        <v>26.2648525</v>
      </c>
      <c r="I61" s="287">
        <f>Bloomberg!H43/unit</f>
        <v>115.63634190000001</v>
      </c>
      <c r="J61" s="287">
        <f>Bloomberg!I43/unit</f>
        <v>150.37476180000002</v>
      </c>
      <c r="K61" s="287">
        <f>Bloomberg!J43/unit</f>
        <v>288.99152450000003</v>
      </c>
      <c r="L61" s="287">
        <f>Bloomberg!K43/unit</f>
        <v>457.17547560000003</v>
      </c>
      <c r="M61" s="287">
        <f>Bloomberg!L43/unit</f>
        <v>579.59414460000005</v>
      </c>
      <c r="N61" s="287">
        <f>Bloomberg!M43/unit</f>
        <v>663.61478769999997</v>
      </c>
      <c r="O61" s="287">
        <f>Bloomberg!N43/unit</f>
        <v>1072.2274898000001</v>
      </c>
      <c r="P61" s="335" t="e">
        <f>#REF!</f>
        <v>#REF!</v>
      </c>
      <c r="Q61" s="335" t="e">
        <f>#REF!</f>
        <v>#REF!</v>
      </c>
      <c r="R61" s="335" t="e">
        <f>#REF!</f>
        <v>#REF!</v>
      </c>
      <c r="S61" s="335" t="e">
        <f>#REF!</f>
        <v>#REF!</v>
      </c>
      <c r="T61" s="335" t="e">
        <f>#REF!</f>
        <v>#REF!</v>
      </c>
      <c r="U61" s="335" t="e">
        <f>#REF!</f>
        <v>#REF!</v>
      </c>
      <c r="V61" s="335" t="e">
        <f>#REF!</f>
        <v>#REF!</v>
      </c>
      <c r="W61" s="335" t="e">
        <f>#REF!</f>
        <v>#REF!</v>
      </c>
      <c r="X61" s="335" t="e">
        <f>#REF!</f>
        <v>#REF!</v>
      </c>
      <c r="Y61" s="335" t="e">
        <f>#REF!</f>
        <v>#REF!</v>
      </c>
    </row>
    <row r="62" spans="2:25" ht="12.75" customHeight="1">
      <c r="B62" s="4" t="s">
        <v>506</v>
      </c>
      <c r="C62" s="4"/>
      <c r="D62" s="289">
        <f>Bloomberg!C44/unit</f>
        <v>0</v>
      </c>
      <c r="E62" s="289">
        <f>Bloomberg!D44/unit</f>
        <v>0</v>
      </c>
      <c r="F62" s="289">
        <f>Bloomberg!E44/unit</f>
        <v>0</v>
      </c>
      <c r="G62" s="289">
        <f>Bloomberg!F44/unit</f>
        <v>0</v>
      </c>
      <c r="H62" s="289">
        <f>Bloomberg!G44/unit</f>
        <v>63.703743899999999</v>
      </c>
      <c r="I62" s="289">
        <f>Bloomberg!H44/unit</f>
        <v>305.23958570000002</v>
      </c>
      <c r="J62" s="289">
        <f>Bloomberg!I44/unit</f>
        <v>547.54331519999994</v>
      </c>
      <c r="K62" s="289">
        <f>Bloomberg!J44/unit</f>
        <v>687.75861650000002</v>
      </c>
      <c r="L62" s="289">
        <f>Bloomberg!K44/unit</f>
        <v>886.24365360000002</v>
      </c>
      <c r="M62" s="289">
        <f>Bloomberg!L44/unit</f>
        <v>816.45217649999995</v>
      </c>
      <c r="N62" s="289">
        <f>Bloomberg!M44/unit</f>
        <v>1268.2150674999998</v>
      </c>
      <c r="O62" s="289">
        <f>Bloomberg!N44/unit</f>
        <v>2160.4528323</v>
      </c>
      <c r="P62" s="336" t="e">
        <f>#REF!</f>
        <v>#REF!</v>
      </c>
      <c r="Q62" s="336" t="e">
        <f>#REF!</f>
        <v>#REF!</v>
      </c>
      <c r="R62" s="336" t="e">
        <f>#REF!</f>
        <v>#REF!</v>
      </c>
      <c r="S62" s="336" t="e">
        <f>#REF!</f>
        <v>#REF!</v>
      </c>
      <c r="T62" s="336" t="e">
        <f>#REF!</f>
        <v>#REF!</v>
      </c>
      <c r="U62" s="336" t="e">
        <f>#REF!</f>
        <v>#REF!</v>
      </c>
      <c r="V62" s="336" t="e">
        <f>#REF!</f>
        <v>#REF!</v>
      </c>
      <c r="W62" s="336" t="e">
        <f>#REF!</f>
        <v>#REF!</v>
      </c>
      <c r="X62" s="336" t="e">
        <f>#REF!</f>
        <v>#REF!</v>
      </c>
      <c r="Y62" s="336" t="e">
        <f>#REF!</f>
        <v>#REF!</v>
      </c>
    </row>
    <row r="63" spans="2:25" ht="12.75" customHeight="1">
      <c r="B63" s="350" t="s">
        <v>75</v>
      </c>
      <c r="C63" s="350"/>
      <c r="D63" s="351">
        <f>D45-D62</f>
        <v>0</v>
      </c>
      <c r="E63" s="351">
        <f t="shared" ref="E63:N63" si="15">E45-E62</f>
        <v>0</v>
      </c>
      <c r="F63" s="351">
        <f t="shared" si="15"/>
        <v>0</v>
      </c>
      <c r="G63" s="351">
        <f t="shared" si="15"/>
        <v>0</v>
      </c>
      <c r="H63" s="351">
        <f t="shared" si="15"/>
        <v>-1.6999999985500835E-6</v>
      </c>
      <c r="I63" s="351">
        <f t="shared" si="15"/>
        <v>0</v>
      </c>
      <c r="J63" s="351">
        <f t="shared" si="15"/>
        <v>0</v>
      </c>
      <c r="K63" s="351">
        <f t="shared" si="15"/>
        <v>0</v>
      </c>
      <c r="L63" s="351">
        <f t="shared" si="15"/>
        <v>0</v>
      </c>
      <c r="M63" s="351">
        <f t="shared" si="15"/>
        <v>0</v>
      </c>
      <c r="N63" s="351">
        <f t="shared" si="15"/>
        <v>0</v>
      </c>
      <c r="O63" s="351">
        <f>O45-O62</f>
        <v>0</v>
      </c>
      <c r="P63" s="355" t="e">
        <f t="shared" ref="P63:Y63" si="16">P45-P62</f>
        <v>#REF!</v>
      </c>
      <c r="Q63" s="355" t="e">
        <f t="shared" si="16"/>
        <v>#REF!</v>
      </c>
      <c r="R63" s="355" t="e">
        <f t="shared" si="16"/>
        <v>#REF!</v>
      </c>
      <c r="S63" s="355" t="e">
        <f t="shared" si="16"/>
        <v>#REF!</v>
      </c>
      <c r="T63" s="355" t="e">
        <f t="shared" si="16"/>
        <v>#REF!</v>
      </c>
      <c r="U63" s="355" t="e">
        <f t="shared" si="16"/>
        <v>#REF!</v>
      </c>
      <c r="V63" s="355" t="e">
        <f t="shared" si="16"/>
        <v>#REF!</v>
      </c>
      <c r="W63" s="355" t="e">
        <f t="shared" si="16"/>
        <v>#REF!</v>
      </c>
      <c r="X63" s="355" t="e">
        <f t="shared" si="16"/>
        <v>#REF!</v>
      </c>
      <c r="Y63" s="355" t="e">
        <f t="shared" si="16"/>
        <v>#REF!</v>
      </c>
    </row>
    <row r="64" spans="2:25" ht="12.75" customHeight="1">
      <c r="B64" s="22"/>
      <c r="C64" s="22"/>
      <c r="D64" s="287"/>
      <c r="E64" s="287"/>
      <c r="F64" s="287"/>
      <c r="G64" s="287"/>
      <c r="H64" s="288"/>
      <c r="I64" s="288"/>
      <c r="J64" s="287"/>
      <c r="K64" s="287"/>
      <c r="L64" s="287"/>
      <c r="M64" s="287"/>
      <c r="N64" s="287"/>
      <c r="O64" s="287"/>
      <c r="P64" s="21"/>
      <c r="Q64" s="21"/>
      <c r="R64" s="21"/>
      <c r="S64" s="21"/>
      <c r="T64" s="21"/>
      <c r="U64" s="21"/>
      <c r="V64" s="21"/>
      <c r="W64" s="21"/>
      <c r="X64" s="21"/>
      <c r="Y64" s="21"/>
    </row>
    <row r="65" spans="2:25" ht="12.75" customHeight="1">
      <c r="B65" s="19" t="s">
        <v>82</v>
      </c>
      <c r="C65" s="19"/>
      <c r="D65" s="291"/>
      <c r="E65" s="291"/>
      <c r="F65" s="291"/>
      <c r="G65" s="291"/>
      <c r="H65" s="292"/>
      <c r="I65" s="292"/>
      <c r="J65" s="291"/>
      <c r="K65" s="291"/>
      <c r="L65" s="291"/>
      <c r="M65" s="291"/>
      <c r="N65" s="291"/>
      <c r="O65" s="291"/>
      <c r="P65" s="42"/>
      <c r="Q65" s="42"/>
      <c r="R65" s="42"/>
      <c r="S65" s="42"/>
      <c r="T65" s="42"/>
      <c r="U65" s="42"/>
      <c r="V65" s="42"/>
      <c r="W65" s="42"/>
      <c r="X65" s="42"/>
      <c r="Y65" s="42"/>
    </row>
    <row r="66" spans="2:25" ht="12.75" customHeight="1">
      <c r="B66" s="4" t="s">
        <v>83</v>
      </c>
      <c r="C66" s="4"/>
      <c r="D66" s="287">
        <f t="shared" ref="D66:O66" si="17">C33</f>
        <v>0</v>
      </c>
      <c r="E66" s="287">
        <f t="shared" si="17"/>
        <v>0</v>
      </c>
      <c r="F66" s="287">
        <f t="shared" si="17"/>
        <v>0</v>
      </c>
      <c r="G66" s="287">
        <f t="shared" si="17"/>
        <v>0</v>
      </c>
      <c r="H66" s="287">
        <f t="shared" si="17"/>
        <v>0</v>
      </c>
      <c r="I66" s="287">
        <f t="shared" si="17"/>
        <v>31.559074199999998</v>
      </c>
      <c r="J66" s="287">
        <f t="shared" si="17"/>
        <v>39.657925499999997</v>
      </c>
      <c r="K66" s="287">
        <f t="shared" si="17"/>
        <v>78.033220200000002</v>
      </c>
      <c r="L66" s="287">
        <f t="shared" si="17"/>
        <v>161.5644613</v>
      </c>
      <c r="M66" s="287">
        <f t="shared" si="17"/>
        <v>107.3617996</v>
      </c>
      <c r="N66" s="287">
        <f t="shared" si="17"/>
        <v>136.05265410000001</v>
      </c>
      <c r="O66" s="287">
        <f t="shared" si="17"/>
        <v>72.886290099999997</v>
      </c>
      <c r="P66" s="335" t="e">
        <f>#REF!</f>
        <v>#REF!</v>
      </c>
      <c r="Q66" s="335" t="e">
        <f>#REF!</f>
        <v>#REF!</v>
      </c>
      <c r="R66" s="335" t="e">
        <f>#REF!</f>
        <v>#REF!</v>
      </c>
      <c r="S66" s="335" t="e">
        <f>#REF!</f>
        <v>#REF!</v>
      </c>
      <c r="T66" s="335" t="e">
        <f>#REF!</f>
        <v>#REF!</v>
      </c>
      <c r="U66" s="335" t="e">
        <f>#REF!</f>
        <v>#REF!</v>
      </c>
      <c r="V66" s="335" t="e">
        <f>#REF!</f>
        <v>#REF!</v>
      </c>
      <c r="W66" s="335" t="e">
        <f>#REF!</f>
        <v>#REF!</v>
      </c>
      <c r="X66" s="335" t="e">
        <f>#REF!</f>
        <v>#REF!</v>
      </c>
      <c r="Y66" s="335" t="e">
        <f>#REF!</f>
        <v>#REF!</v>
      </c>
    </row>
    <row r="67" spans="2:25" ht="12.75" customHeight="1">
      <c r="B67" s="22" t="s">
        <v>84</v>
      </c>
      <c r="C67" s="22"/>
      <c r="D67" s="287">
        <f>Bloomberg!C45/unit</f>
        <v>0</v>
      </c>
      <c r="E67" s="287">
        <f>Bloomberg!D45/unit</f>
        <v>0</v>
      </c>
      <c r="F67" s="287">
        <f>Bloomberg!E45/unit</f>
        <v>0</v>
      </c>
      <c r="G67" s="287">
        <f>Bloomberg!F45/unit</f>
        <v>0</v>
      </c>
      <c r="H67" s="287">
        <f>Bloomberg!G45/unit</f>
        <v>11.1641572</v>
      </c>
      <c r="I67" s="287">
        <f>Bloomberg!H45/unit</f>
        <v>6.8326121999999998</v>
      </c>
      <c r="J67" s="287">
        <f>Bloomberg!I45/unit</f>
        <v>38.141262499999996</v>
      </c>
      <c r="K67" s="287">
        <f>Bloomberg!J45/unit</f>
        <v>72.079286800000006</v>
      </c>
      <c r="L67" s="287">
        <f>Bloomberg!K45/unit</f>
        <v>24.591496100000001</v>
      </c>
      <c r="M67" s="287">
        <f>Bloomberg!L45/unit</f>
        <v>57.859951099999996</v>
      </c>
      <c r="N67" s="287">
        <f>Bloomberg!M45/unit</f>
        <v>82.763993600000006</v>
      </c>
      <c r="O67" s="287">
        <f>Bloomberg!N45/unit</f>
        <v>167.83448960000001</v>
      </c>
      <c r="P67" s="335" t="e">
        <f>#REF!</f>
        <v>#REF!</v>
      </c>
      <c r="Q67" s="335" t="e">
        <f>#REF!</f>
        <v>#REF!</v>
      </c>
      <c r="R67" s="335" t="e">
        <f>#REF!</f>
        <v>#REF!</v>
      </c>
      <c r="S67" s="335" t="e">
        <f>#REF!</f>
        <v>#REF!</v>
      </c>
      <c r="T67" s="335" t="e">
        <f>#REF!</f>
        <v>#REF!</v>
      </c>
      <c r="U67" s="335" t="e">
        <f>#REF!</f>
        <v>#REF!</v>
      </c>
      <c r="V67" s="335" t="e">
        <f>#REF!</f>
        <v>#REF!</v>
      </c>
      <c r="W67" s="335" t="e">
        <f>#REF!</f>
        <v>#REF!</v>
      </c>
      <c r="X67" s="335" t="e">
        <f>#REF!</f>
        <v>#REF!</v>
      </c>
      <c r="Y67" s="335" t="e">
        <f>#REF!</f>
        <v>#REF!</v>
      </c>
    </row>
    <row r="68" spans="2:25" ht="12.75" customHeight="1">
      <c r="B68" s="22" t="s">
        <v>85</v>
      </c>
      <c r="C68" s="22"/>
      <c r="D68" s="287">
        <f>Bloomberg!C46/unit</f>
        <v>0</v>
      </c>
      <c r="E68" s="287">
        <f>Bloomberg!D46/unit</f>
        <v>0</v>
      </c>
      <c r="F68" s="287">
        <f>Bloomberg!E46/unit</f>
        <v>0</v>
      </c>
      <c r="G68" s="287">
        <f>Bloomberg!F46/unit</f>
        <v>0</v>
      </c>
      <c r="H68" s="287">
        <f>Bloomberg!G46/unit</f>
        <v>0.1563425</v>
      </c>
      <c r="I68" s="287">
        <f>Bloomberg!H46/unit</f>
        <v>0.43767099999999998</v>
      </c>
      <c r="J68" s="287">
        <f>Bloomberg!I46/unit</f>
        <v>0.98870190000000002</v>
      </c>
      <c r="K68" s="287">
        <f>Bloomberg!J46/unit</f>
        <v>2.0698346999999999</v>
      </c>
      <c r="L68" s="287">
        <f>Bloomberg!K46/unit</f>
        <v>3.8604306999999998</v>
      </c>
      <c r="M68" s="287">
        <f>Bloomberg!L46/unit</f>
        <v>3.8956334999999997</v>
      </c>
      <c r="N68" s="287">
        <f>Bloomberg!M46/unit</f>
        <v>3.5395210000000001</v>
      </c>
      <c r="O68" s="287">
        <f>Bloomberg!N46/unit</f>
        <v>3.2894436999999996</v>
      </c>
      <c r="P68" s="335" t="e">
        <f>#REF!</f>
        <v>#REF!</v>
      </c>
      <c r="Q68" s="335" t="e">
        <f>#REF!</f>
        <v>#REF!</v>
      </c>
      <c r="R68" s="335" t="e">
        <f>#REF!</f>
        <v>#REF!</v>
      </c>
      <c r="S68" s="335" t="e">
        <f>#REF!</f>
        <v>#REF!</v>
      </c>
      <c r="T68" s="335" t="e">
        <f>#REF!</f>
        <v>#REF!</v>
      </c>
      <c r="U68" s="335" t="e">
        <f>#REF!</f>
        <v>#REF!</v>
      </c>
      <c r="V68" s="335" t="e">
        <f>#REF!</f>
        <v>#REF!</v>
      </c>
      <c r="W68" s="335" t="e">
        <f>#REF!</f>
        <v>#REF!</v>
      </c>
      <c r="X68" s="335" t="e">
        <f>#REF!</f>
        <v>#REF!</v>
      </c>
      <c r="Y68" s="335" t="e">
        <f>#REF!</f>
        <v>#REF!</v>
      </c>
    </row>
    <row r="69" spans="2:25" ht="12.75" customHeight="1">
      <c r="B69" s="22" t="s">
        <v>86</v>
      </c>
      <c r="C69" s="22"/>
      <c r="D69" s="287">
        <f>Bloomberg!C47/unit</f>
        <v>0</v>
      </c>
      <c r="E69" s="287">
        <f>Bloomberg!D47/unit</f>
        <v>0</v>
      </c>
      <c r="F69" s="287">
        <f>Bloomberg!E47/unit</f>
        <v>0</v>
      </c>
      <c r="G69" s="287">
        <f>Bloomberg!F47/unit</f>
        <v>0</v>
      </c>
      <c r="H69" s="287">
        <f>Bloomberg!G47/unit</f>
        <v>2.2107296999999999</v>
      </c>
      <c r="I69" s="287">
        <f>Bloomberg!H47/unit</f>
        <v>-10.1237444</v>
      </c>
      <c r="J69" s="287">
        <f>Bloomberg!I47/unit</f>
        <v>-81.320281400000013</v>
      </c>
      <c r="K69" s="287">
        <f>Bloomberg!J47/unit</f>
        <v>51.006002099999996</v>
      </c>
      <c r="L69" s="287">
        <f>Bloomberg!K47/unit</f>
        <v>-14.2513562</v>
      </c>
      <c r="M69" s="287">
        <f>Bloomberg!L47/unit</f>
        <v>-38.1373836</v>
      </c>
      <c r="N69" s="287">
        <f>Bloomberg!M47/unit</f>
        <v>-41.166668000000001</v>
      </c>
      <c r="O69" s="287">
        <f>Bloomberg!N47/unit</f>
        <v>-312.16898070000002</v>
      </c>
      <c r="P69" s="335" t="e">
        <f>#REF!</f>
        <v>#REF!</v>
      </c>
      <c r="Q69" s="335" t="e">
        <f>#REF!</f>
        <v>#REF!</v>
      </c>
      <c r="R69" s="335" t="e">
        <f>#REF!</f>
        <v>#REF!</v>
      </c>
      <c r="S69" s="335" t="e">
        <f>#REF!</f>
        <v>#REF!</v>
      </c>
      <c r="T69" s="335" t="e">
        <f>#REF!</f>
        <v>#REF!</v>
      </c>
      <c r="U69" s="335" t="e">
        <f>#REF!</f>
        <v>#REF!</v>
      </c>
      <c r="V69" s="335" t="e">
        <f>#REF!</f>
        <v>#REF!</v>
      </c>
      <c r="W69" s="335" t="e">
        <f>#REF!</f>
        <v>#REF!</v>
      </c>
      <c r="X69" s="335" t="e">
        <f>#REF!</f>
        <v>#REF!</v>
      </c>
      <c r="Y69" s="335" t="e">
        <f>#REF!</f>
        <v>#REF!</v>
      </c>
    </row>
    <row r="70" spans="2:25" ht="12.75" customHeight="1">
      <c r="B70" s="22" t="s">
        <v>87</v>
      </c>
      <c r="C70" s="22"/>
      <c r="D70" s="287">
        <f>Bloomberg!C48/unit</f>
        <v>0</v>
      </c>
      <c r="E70" s="287">
        <f>Bloomberg!D48/unit</f>
        <v>0</v>
      </c>
      <c r="F70" s="287">
        <f>Bloomberg!E48/unit</f>
        <v>0</v>
      </c>
      <c r="G70" s="287">
        <f>Bloomberg!F48/unit</f>
        <v>0</v>
      </c>
      <c r="H70" s="287">
        <f>Bloomberg!G48/unit</f>
        <v>4.0546044999999999</v>
      </c>
      <c r="I70" s="287">
        <f>Bloomberg!H48/unit</f>
        <v>-53.044004999999999</v>
      </c>
      <c r="J70" s="287">
        <f>Bloomberg!I48/unit</f>
        <v>9.7517795000000014</v>
      </c>
      <c r="K70" s="287">
        <f>Bloomberg!J48/unit</f>
        <v>-125.7575468</v>
      </c>
      <c r="L70" s="287">
        <f>Bloomberg!K48/unit</f>
        <v>-17.764291199999999</v>
      </c>
      <c r="M70" s="287">
        <f>Bloomberg!L48/unit</f>
        <v>91.698899099999991</v>
      </c>
      <c r="N70" s="287">
        <f>Bloomberg!M48/unit</f>
        <v>-126.03356479999999</v>
      </c>
      <c r="O70" s="287">
        <f>Bloomberg!N48/unit</f>
        <v>473.60412400000001</v>
      </c>
      <c r="P70" s="335" t="e">
        <f>#REF!</f>
        <v>#REF!</v>
      </c>
      <c r="Q70" s="335" t="e">
        <f>#REF!</f>
        <v>#REF!</v>
      </c>
      <c r="R70" s="335" t="e">
        <f>#REF!</f>
        <v>#REF!</v>
      </c>
      <c r="S70" s="335" t="e">
        <f>#REF!</f>
        <v>#REF!</v>
      </c>
      <c r="T70" s="335" t="e">
        <f>#REF!</f>
        <v>#REF!</v>
      </c>
      <c r="U70" s="335" t="e">
        <f>#REF!</f>
        <v>#REF!</v>
      </c>
      <c r="V70" s="335" t="e">
        <f>#REF!</f>
        <v>#REF!</v>
      </c>
      <c r="W70" s="335" t="e">
        <f>#REF!</f>
        <v>#REF!</v>
      </c>
      <c r="X70" s="335" t="e">
        <f>#REF!</f>
        <v>#REF!</v>
      </c>
      <c r="Y70" s="335" t="e">
        <f>#REF!</f>
        <v>#REF!</v>
      </c>
    </row>
    <row r="71" spans="2:25" ht="12.75" customHeight="1">
      <c r="B71" s="27" t="s">
        <v>88</v>
      </c>
      <c r="C71" s="27"/>
      <c r="D71" s="287">
        <f>Bloomberg!C49/unit</f>
        <v>0</v>
      </c>
      <c r="E71" s="287">
        <f>Bloomberg!D49/unit</f>
        <v>0</v>
      </c>
      <c r="F71" s="287">
        <f>Bloomberg!E49/unit</f>
        <v>0</v>
      </c>
      <c r="G71" s="287">
        <f>Bloomberg!F49/unit</f>
        <v>0</v>
      </c>
      <c r="H71" s="287">
        <f>Bloomberg!G49/unit</f>
        <v>17.585833999999998</v>
      </c>
      <c r="I71" s="287">
        <f>Bloomberg!H49/unit</f>
        <v>-55.897466299999998</v>
      </c>
      <c r="J71" s="287">
        <f>Bloomberg!I49/unit</f>
        <v>-32.438537599999997</v>
      </c>
      <c r="K71" s="287">
        <f>Bloomberg!J49/unit</f>
        <v>-0.60242319999999994</v>
      </c>
      <c r="L71" s="287">
        <f>Bloomberg!K49/unit</f>
        <v>-3.5637206999999997</v>
      </c>
      <c r="M71" s="287">
        <f>Bloomberg!L49/unit</f>
        <v>115.3171002</v>
      </c>
      <c r="N71" s="287">
        <f>Bloomberg!M49/unit</f>
        <v>-80.896718200000009</v>
      </c>
      <c r="O71" s="287">
        <f>Bloomberg!N49/unit</f>
        <v>332.55907659999997</v>
      </c>
      <c r="P71" s="335" t="e">
        <f>#REF!</f>
        <v>#REF!</v>
      </c>
      <c r="Q71" s="335" t="e">
        <f>#REF!</f>
        <v>#REF!</v>
      </c>
      <c r="R71" s="335" t="e">
        <f>#REF!</f>
        <v>#REF!</v>
      </c>
      <c r="S71" s="335" t="e">
        <f>#REF!</f>
        <v>#REF!</v>
      </c>
      <c r="T71" s="335" t="e">
        <f>#REF!</f>
        <v>#REF!</v>
      </c>
      <c r="U71" s="335" t="e">
        <f>#REF!</f>
        <v>#REF!</v>
      </c>
      <c r="V71" s="335" t="e">
        <f>#REF!</f>
        <v>#REF!</v>
      </c>
      <c r="W71" s="335" t="e">
        <f>#REF!</f>
        <v>#REF!</v>
      </c>
      <c r="X71" s="335" t="e">
        <f>#REF!</f>
        <v>#REF!</v>
      </c>
      <c r="Y71" s="335" t="e">
        <f>#REF!</f>
        <v>#REF!</v>
      </c>
    </row>
    <row r="72" spans="2:25" ht="12.75" customHeight="1">
      <c r="B72" s="22" t="s">
        <v>89</v>
      </c>
      <c r="C72" s="22"/>
      <c r="D72" s="287">
        <f>Bloomberg!C50/unit</f>
        <v>0</v>
      </c>
      <c r="E72" s="287">
        <f>Bloomberg!D50/unit</f>
        <v>0</v>
      </c>
      <c r="F72" s="287">
        <f>Bloomberg!E50/unit</f>
        <v>0</v>
      </c>
      <c r="G72" s="287">
        <f>Bloomberg!F50/unit</f>
        <v>0</v>
      </c>
      <c r="H72" s="287">
        <f>Bloomberg!G50/unit</f>
        <v>0</v>
      </c>
      <c r="I72" s="287">
        <f>Bloomberg!H50/unit</f>
        <v>0</v>
      </c>
      <c r="J72" s="287">
        <f>Bloomberg!I50/unit</f>
        <v>0</v>
      </c>
      <c r="K72" s="287">
        <f>Bloomberg!J50/unit</f>
        <v>0</v>
      </c>
      <c r="L72" s="287">
        <f>Bloomberg!K50/unit</f>
        <v>0.67504369999999991</v>
      </c>
      <c r="M72" s="287">
        <f>Bloomberg!L50/unit</f>
        <v>1.7545500000000002E-2</v>
      </c>
      <c r="N72" s="287">
        <f>Bloomberg!M50/unit</f>
        <v>0.66897280000000003</v>
      </c>
      <c r="O72" s="287">
        <f>Bloomberg!N50/unit</f>
        <v>1.5</v>
      </c>
      <c r="P72" s="335" t="e">
        <f>#REF!</f>
        <v>#REF!</v>
      </c>
      <c r="Q72" s="335" t="e">
        <f>#REF!</f>
        <v>#REF!</v>
      </c>
      <c r="R72" s="335" t="e">
        <f>#REF!</f>
        <v>#REF!</v>
      </c>
      <c r="S72" s="335" t="e">
        <f>#REF!</f>
        <v>#REF!</v>
      </c>
      <c r="T72" s="335" t="e">
        <f>#REF!</f>
        <v>#REF!</v>
      </c>
      <c r="U72" s="335" t="e">
        <f>#REF!</f>
        <v>#REF!</v>
      </c>
      <c r="V72" s="335" t="e">
        <f>#REF!</f>
        <v>#REF!</v>
      </c>
      <c r="W72" s="335" t="e">
        <f>#REF!</f>
        <v>#REF!</v>
      </c>
      <c r="X72" s="335" t="e">
        <f>#REF!</f>
        <v>#REF!</v>
      </c>
      <c r="Y72" s="335" t="e">
        <f>#REF!</f>
        <v>#REF!</v>
      </c>
    </row>
    <row r="73" spans="2:25" ht="12.75" customHeight="1">
      <c r="B73" s="22" t="s">
        <v>90</v>
      </c>
      <c r="C73" s="22"/>
      <c r="D73" s="287">
        <f>Bloomberg!C51/unit</f>
        <v>0</v>
      </c>
      <c r="E73" s="287">
        <f>Bloomberg!D51/unit</f>
        <v>0</v>
      </c>
      <c r="F73" s="287">
        <f>Bloomberg!E51/unit</f>
        <v>0</v>
      </c>
      <c r="G73" s="287">
        <f>Bloomberg!F51/unit</f>
        <v>0</v>
      </c>
      <c r="H73" s="287">
        <f>Bloomberg!G51/unit</f>
        <v>-0.84353110000000009</v>
      </c>
      <c r="I73" s="287">
        <f>Bloomberg!H51/unit</f>
        <v>-1.7838460999999999</v>
      </c>
      <c r="J73" s="287">
        <f>Bloomberg!I51/unit</f>
        <v>-8.082248700000001</v>
      </c>
      <c r="K73" s="287">
        <f>Bloomberg!J51/unit</f>
        <v>-6.3242338</v>
      </c>
      <c r="L73" s="287">
        <f>Bloomberg!K51/unit</f>
        <v>-5.3002707999999998</v>
      </c>
      <c r="M73" s="287">
        <f>Bloomberg!L51/unit</f>
        <v>-2.7833427999999998</v>
      </c>
      <c r="N73" s="287">
        <f>Bloomberg!M51/unit</f>
        <v>-2.4838598000000003</v>
      </c>
      <c r="O73" s="287">
        <f>Bloomberg!N51/unit</f>
        <v>-3.0833069000000002</v>
      </c>
      <c r="P73" s="335" t="e">
        <f>#REF!</f>
        <v>#REF!</v>
      </c>
      <c r="Q73" s="335" t="e">
        <f>#REF!</f>
        <v>#REF!</v>
      </c>
      <c r="R73" s="335" t="e">
        <f>#REF!</f>
        <v>#REF!</v>
      </c>
      <c r="S73" s="335" t="e">
        <f>#REF!</f>
        <v>#REF!</v>
      </c>
      <c r="T73" s="335" t="e">
        <f>#REF!</f>
        <v>#REF!</v>
      </c>
      <c r="U73" s="335" t="e">
        <f>#REF!</f>
        <v>#REF!</v>
      </c>
      <c r="V73" s="335" t="e">
        <f>#REF!</f>
        <v>#REF!</v>
      </c>
      <c r="W73" s="335" t="e">
        <f>#REF!</f>
        <v>#REF!</v>
      </c>
      <c r="X73" s="335" t="e">
        <f>#REF!</f>
        <v>#REF!</v>
      </c>
      <c r="Y73" s="335" t="e">
        <f>#REF!</f>
        <v>#REF!</v>
      </c>
    </row>
    <row r="74" spans="2:25" ht="12.75" customHeight="1">
      <c r="B74" s="22" t="s">
        <v>91</v>
      </c>
      <c r="C74" s="22"/>
      <c r="D74" s="287">
        <f>Bloomberg!C52/unit</f>
        <v>0</v>
      </c>
      <c r="E74" s="287">
        <f>Bloomberg!D52/unit</f>
        <v>0</v>
      </c>
      <c r="F74" s="287">
        <f>Bloomberg!E52/unit</f>
        <v>0</v>
      </c>
      <c r="G74" s="287">
        <f>Bloomberg!F52/unit</f>
        <v>0</v>
      </c>
      <c r="H74" s="287">
        <f>Bloomberg!G52/unit</f>
        <v>0</v>
      </c>
      <c r="I74" s="287">
        <f>Bloomberg!H52/unit</f>
        <v>0</v>
      </c>
      <c r="J74" s="287">
        <f>Bloomberg!I52/unit</f>
        <v>0</v>
      </c>
      <c r="K74" s="287">
        <f>Bloomberg!J52/unit</f>
        <v>0</v>
      </c>
      <c r="L74" s="287">
        <f>Bloomberg!K52/unit</f>
        <v>0</v>
      </c>
      <c r="M74" s="287">
        <f>Bloomberg!L52/unit</f>
        <v>0</v>
      </c>
      <c r="N74" s="287">
        <f>Bloomberg!M52/unit</f>
        <v>0</v>
      </c>
      <c r="O74" s="287">
        <f>Bloomberg!N52/unit</f>
        <v>0</v>
      </c>
      <c r="P74" s="335"/>
      <c r="Q74" s="335"/>
      <c r="R74" s="335"/>
      <c r="S74" s="335"/>
      <c r="T74" s="335"/>
      <c r="U74" s="335"/>
      <c r="V74" s="335"/>
      <c r="W74" s="335"/>
      <c r="X74" s="335"/>
      <c r="Y74" s="335"/>
    </row>
    <row r="75" spans="2:25" ht="12.75" customHeight="1">
      <c r="B75" s="22" t="s">
        <v>92</v>
      </c>
      <c r="C75" s="22"/>
      <c r="D75" s="287">
        <f>Bloomberg!C53/unit</f>
        <v>0</v>
      </c>
      <c r="E75" s="287">
        <f>Bloomberg!D53/unit</f>
        <v>0</v>
      </c>
      <c r="F75" s="287">
        <f>Bloomberg!E53/unit</f>
        <v>0</v>
      </c>
      <c r="G75" s="287">
        <f>Bloomberg!F53/unit</f>
        <v>0</v>
      </c>
      <c r="H75" s="287">
        <f>Bloomberg!G53/unit</f>
        <v>0</v>
      </c>
      <c r="I75" s="287">
        <f>Bloomberg!H53/unit</f>
        <v>0</v>
      </c>
      <c r="J75" s="287">
        <f>Bloomberg!I53/unit</f>
        <v>0</v>
      </c>
      <c r="K75" s="287">
        <f>Bloomberg!J53/unit</f>
        <v>0</v>
      </c>
      <c r="L75" s="287">
        <f>Bloomberg!K53/unit</f>
        <v>0</v>
      </c>
      <c r="M75" s="287">
        <f>Bloomberg!L53/unit</f>
        <v>0</v>
      </c>
      <c r="N75" s="287">
        <f>Bloomberg!M53/unit</f>
        <v>0</v>
      </c>
      <c r="O75" s="287">
        <f>Bloomberg!N53/unit</f>
        <v>0</v>
      </c>
      <c r="P75" s="335"/>
      <c r="Q75" s="335"/>
      <c r="R75" s="335"/>
      <c r="S75" s="335"/>
      <c r="T75" s="335"/>
      <c r="U75" s="335"/>
      <c r="V75" s="335"/>
      <c r="W75" s="335"/>
      <c r="X75" s="335"/>
      <c r="Y75" s="335"/>
    </row>
    <row r="76" spans="2:25" ht="12.75" customHeight="1">
      <c r="B76" s="22" t="s">
        <v>93</v>
      </c>
      <c r="C76" s="22"/>
      <c r="D76" s="287">
        <f>Bloomberg!C54/unit</f>
        <v>0</v>
      </c>
      <c r="E76" s="287">
        <f>Bloomberg!D54/unit</f>
        <v>0</v>
      </c>
      <c r="F76" s="287">
        <f>Bloomberg!E54/unit</f>
        <v>0</v>
      </c>
      <c r="G76" s="287">
        <f>Bloomberg!F54/unit</f>
        <v>0</v>
      </c>
      <c r="H76" s="287">
        <f>Bloomberg!G54/unit</f>
        <v>0</v>
      </c>
      <c r="I76" s="287">
        <f>Bloomberg!H54/unit</f>
        <v>-58.51</v>
      </c>
      <c r="J76" s="287">
        <f>Bloomberg!I54/unit</f>
        <v>-25.796799999999998</v>
      </c>
      <c r="K76" s="287">
        <f>Bloomberg!J54/unit</f>
        <v>-40.761251300000005</v>
      </c>
      <c r="L76" s="287">
        <f>Bloomberg!K54/unit</f>
        <v>-41.894526599999999</v>
      </c>
      <c r="M76" s="287">
        <f>Bloomberg!L54/unit</f>
        <v>-43.103909000000002</v>
      </c>
      <c r="N76" s="287">
        <f>Bloomberg!M54/unit</f>
        <v>-165.64607219999999</v>
      </c>
      <c r="O76" s="287">
        <f>Bloomberg!N54/unit</f>
        <v>102.1981554</v>
      </c>
      <c r="P76" s="335" t="e">
        <f>#REF!</f>
        <v>#REF!</v>
      </c>
      <c r="Q76" s="335" t="e">
        <f>#REF!</f>
        <v>#REF!</v>
      </c>
      <c r="R76" s="335" t="e">
        <f>#REF!</f>
        <v>#REF!</v>
      </c>
      <c r="S76" s="335" t="e">
        <f>#REF!</f>
        <v>#REF!</v>
      </c>
      <c r="T76" s="335" t="e">
        <f>#REF!</f>
        <v>#REF!</v>
      </c>
      <c r="U76" s="335" t="e">
        <f>#REF!</f>
        <v>#REF!</v>
      </c>
      <c r="V76" s="335" t="e">
        <f>#REF!</f>
        <v>#REF!</v>
      </c>
      <c r="W76" s="335" t="e">
        <f>#REF!</f>
        <v>#REF!</v>
      </c>
      <c r="X76" s="335" t="e">
        <f>#REF!</f>
        <v>#REF!</v>
      </c>
      <c r="Y76" s="335" t="e">
        <f>#REF!</f>
        <v>#REF!</v>
      </c>
    </row>
    <row r="77" spans="2:25" ht="12.75" customHeight="1">
      <c r="B77" s="27" t="s">
        <v>94</v>
      </c>
      <c r="C77" s="27"/>
      <c r="D77" s="287">
        <f>Bloomberg!C55/unit</f>
        <v>0</v>
      </c>
      <c r="E77" s="287">
        <f>Bloomberg!D55/unit</f>
        <v>0</v>
      </c>
      <c r="F77" s="287">
        <f>Bloomberg!E55/unit</f>
        <v>0</v>
      </c>
      <c r="G77" s="287">
        <f>Bloomberg!F55/unit</f>
        <v>0</v>
      </c>
      <c r="H77" s="287">
        <f>Bloomberg!G55/unit</f>
        <v>-0.84353110000000009</v>
      </c>
      <c r="I77" s="287">
        <f>Bloomberg!H55/unit</f>
        <v>-60.293846100000003</v>
      </c>
      <c r="J77" s="287">
        <f>Bloomberg!I55/unit</f>
        <v>-33.879048699999998</v>
      </c>
      <c r="K77" s="287">
        <f>Bloomberg!J55/unit</f>
        <v>-47.0854851</v>
      </c>
      <c r="L77" s="287">
        <f>Bloomberg!K55/unit</f>
        <v>-46.519753700000003</v>
      </c>
      <c r="M77" s="287">
        <f>Bloomberg!L55/unit</f>
        <v>-45.869706299999997</v>
      </c>
      <c r="N77" s="287">
        <f>Bloomberg!M55/unit</f>
        <v>-167.46095920000002</v>
      </c>
      <c r="O77" s="287">
        <f>Bloomberg!N55/unit</f>
        <v>100.61484849999999</v>
      </c>
      <c r="P77" s="335" t="e">
        <f>#REF!</f>
        <v>#REF!</v>
      </c>
      <c r="Q77" s="335" t="e">
        <f>#REF!</f>
        <v>#REF!</v>
      </c>
      <c r="R77" s="335" t="e">
        <f>#REF!</f>
        <v>#REF!</v>
      </c>
      <c r="S77" s="335" t="e">
        <f>#REF!</f>
        <v>#REF!</v>
      </c>
      <c r="T77" s="335" t="e">
        <f>#REF!</f>
        <v>#REF!</v>
      </c>
      <c r="U77" s="335" t="e">
        <f>#REF!</f>
        <v>#REF!</v>
      </c>
      <c r="V77" s="335" t="e">
        <f>#REF!</f>
        <v>#REF!</v>
      </c>
      <c r="W77" s="335" t="e">
        <f>#REF!</f>
        <v>#REF!</v>
      </c>
      <c r="X77" s="335" t="e">
        <f>#REF!</f>
        <v>#REF!</v>
      </c>
      <c r="Y77" s="335" t="e">
        <f>#REF!</f>
        <v>#REF!</v>
      </c>
    </row>
    <row r="78" spans="2:25" ht="12.75" customHeight="1">
      <c r="B78" s="22" t="s">
        <v>95</v>
      </c>
      <c r="C78" s="22"/>
      <c r="D78" s="287">
        <f>Bloomberg!C56/unit</f>
        <v>0</v>
      </c>
      <c r="E78" s="287">
        <f>Bloomberg!D56/unit</f>
        <v>0</v>
      </c>
      <c r="F78" s="287">
        <f>Bloomberg!E56/unit</f>
        <v>0</v>
      </c>
      <c r="G78" s="287">
        <f>Bloomberg!F56/unit</f>
        <v>0</v>
      </c>
      <c r="H78" s="287">
        <f>Bloomberg!G56/unit</f>
        <v>0</v>
      </c>
      <c r="I78" s="287">
        <f>Bloomberg!H56/unit</f>
        <v>-9.9438855000000004</v>
      </c>
      <c r="J78" s="287">
        <f>Bloomberg!I56/unit</f>
        <v>-4.699319</v>
      </c>
      <c r="K78" s="287">
        <f>Bloomberg!J56/unit</f>
        <v>-28.005856899999998</v>
      </c>
      <c r="L78" s="287">
        <f>Bloomberg!K56/unit</f>
        <v>-51.254341099999998</v>
      </c>
      <c r="M78" s="287">
        <f>Bloomberg!L56/unit</f>
        <v>-5.2611493999999999</v>
      </c>
      <c r="N78" s="287">
        <f>Bloomberg!M56/unit</f>
        <v>-2.0874000000000001</v>
      </c>
      <c r="O78" s="287">
        <f>Bloomberg!N56/unit</f>
        <v>-15.779832000000001</v>
      </c>
      <c r="P78" s="335" t="e">
        <f>#REF!</f>
        <v>#REF!</v>
      </c>
      <c r="Q78" s="335" t="e">
        <f>#REF!</f>
        <v>#REF!</v>
      </c>
      <c r="R78" s="335" t="e">
        <f>#REF!</f>
        <v>#REF!</v>
      </c>
      <c r="S78" s="335" t="e">
        <f>#REF!</f>
        <v>#REF!</v>
      </c>
      <c r="T78" s="335" t="e">
        <f>#REF!</f>
        <v>#REF!</v>
      </c>
      <c r="U78" s="335" t="e">
        <f>#REF!</f>
        <v>#REF!</v>
      </c>
      <c r="V78" s="335" t="e">
        <f>#REF!</f>
        <v>#REF!</v>
      </c>
      <c r="W78" s="335" t="e">
        <f>#REF!</f>
        <v>#REF!</v>
      </c>
      <c r="X78" s="335" t="e">
        <f>#REF!</f>
        <v>#REF!</v>
      </c>
      <c r="Y78" s="335" t="e">
        <f>#REF!</f>
        <v>#REF!</v>
      </c>
    </row>
    <row r="79" spans="2:25" ht="12.75" customHeight="1">
      <c r="B79" s="22" t="s">
        <v>96</v>
      </c>
      <c r="C79" s="22"/>
      <c r="D79" s="287">
        <f>Bloomberg!C57/unit</f>
        <v>0</v>
      </c>
      <c r="E79" s="287">
        <f>Bloomberg!D57/unit</f>
        <v>0</v>
      </c>
      <c r="F79" s="287">
        <f>Bloomberg!E57/unit</f>
        <v>0</v>
      </c>
      <c r="G79" s="287">
        <f>Bloomberg!F57/unit</f>
        <v>0</v>
      </c>
      <c r="H79" s="287">
        <f>Bloomberg!G57/unit</f>
        <v>9.1999999999999993</v>
      </c>
      <c r="I79" s="287">
        <f>Bloomberg!H57/unit</f>
        <v>134.41999999999999</v>
      </c>
      <c r="J79" s="287">
        <f>Bloomberg!I57/unit</f>
        <v>2.04</v>
      </c>
      <c r="K79" s="287">
        <f>Bloomberg!J57/unit</f>
        <v>94.252610300000001</v>
      </c>
      <c r="L79" s="287">
        <f>Bloomberg!K57/unit</f>
        <v>117.3577138</v>
      </c>
      <c r="M79" s="287">
        <f>Bloomberg!L57/unit</f>
        <v>101.392</v>
      </c>
      <c r="N79" s="287">
        <f>Bloomberg!M57/unit</f>
        <v>113.54204799999999</v>
      </c>
      <c r="O79" s="287">
        <f>Bloomberg!N57/unit</f>
        <v>235.66319000000001</v>
      </c>
      <c r="P79" s="335"/>
      <c r="Q79" s="335"/>
      <c r="R79" s="335"/>
      <c r="S79" s="335"/>
      <c r="T79" s="335"/>
      <c r="U79" s="335"/>
      <c r="V79" s="335"/>
      <c r="W79" s="335"/>
      <c r="X79" s="335"/>
      <c r="Y79" s="335"/>
    </row>
    <row r="80" spans="2:25" ht="12.75" customHeight="1">
      <c r="B80" s="22" t="s">
        <v>97</v>
      </c>
      <c r="C80" s="22"/>
      <c r="D80" s="287">
        <f>Bloomberg!C58/unit</f>
        <v>0</v>
      </c>
      <c r="E80" s="287">
        <f>Bloomberg!D58/unit</f>
        <v>0</v>
      </c>
      <c r="F80" s="287">
        <f>Bloomberg!E58/unit</f>
        <v>0</v>
      </c>
      <c r="G80" s="287">
        <f>Bloomberg!F58/unit</f>
        <v>0</v>
      </c>
      <c r="H80" s="287">
        <f>Bloomberg!G58/unit</f>
        <v>0</v>
      </c>
      <c r="I80" s="287">
        <f>Bloomberg!H58/unit</f>
        <v>-0.18594999999999998</v>
      </c>
      <c r="J80" s="287">
        <f>Bloomberg!I58/unit</f>
        <v>0</v>
      </c>
      <c r="K80" s="287">
        <f>Bloomberg!J58/unit</f>
        <v>0</v>
      </c>
      <c r="L80" s="287">
        <f>Bloomberg!K58/unit</f>
        <v>0</v>
      </c>
      <c r="M80" s="287">
        <f>Bloomberg!L58/unit</f>
        <v>-3.1017301000000002</v>
      </c>
      <c r="N80" s="287">
        <f>Bloomberg!M58/unit</f>
        <v>0</v>
      </c>
      <c r="O80" s="287">
        <f>Bloomberg!N58/unit</f>
        <v>0</v>
      </c>
      <c r="P80" s="335"/>
      <c r="Q80" s="335"/>
      <c r="R80" s="335"/>
      <c r="S80" s="335"/>
      <c r="T80" s="335"/>
      <c r="U80" s="335"/>
      <c r="V80" s="335"/>
      <c r="W80" s="335"/>
      <c r="X80" s="335"/>
      <c r="Y80" s="335"/>
    </row>
    <row r="81" spans="2:25" ht="12.75" customHeight="1">
      <c r="B81" s="353" t="s">
        <v>98</v>
      </c>
      <c r="C81" s="350"/>
      <c r="D81" s="351">
        <f>D66+D71+D77+SUM(D78:D80)</f>
        <v>0</v>
      </c>
      <c r="E81" s="351">
        <f t="shared" ref="E81:Y81" si="18">E66+E71+E77+SUM(E78:E80)</f>
        <v>0</v>
      </c>
      <c r="F81" s="351">
        <f t="shared" si="18"/>
        <v>0</v>
      </c>
      <c r="G81" s="351">
        <f t="shared" si="18"/>
        <v>0</v>
      </c>
      <c r="H81" s="354">
        <f t="shared" si="18"/>
        <v>25.942302899999998</v>
      </c>
      <c r="I81" s="354">
        <f t="shared" si="18"/>
        <v>39.657926299999986</v>
      </c>
      <c r="J81" s="351">
        <f t="shared" si="18"/>
        <v>-29.318979799999997</v>
      </c>
      <c r="K81" s="351">
        <f t="shared" si="18"/>
        <v>96.592065300000002</v>
      </c>
      <c r="L81" s="351">
        <f t="shared" si="18"/>
        <v>177.5843596</v>
      </c>
      <c r="M81" s="351">
        <f t="shared" si="18"/>
        <v>269.83831400000003</v>
      </c>
      <c r="N81" s="351">
        <f t="shared" si="18"/>
        <v>-0.85037530000002448</v>
      </c>
      <c r="O81" s="351">
        <f>O66+O71+O77+SUM(O78:O80)</f>
        <v>725.94357319999995</v>
      </c>
      <c r="P81" s="355" t="e">
        <f t="shared" si="18"/>
        <v>#REF!</v>
      </c>
      <c r="Q81" s="355" t="e">
        <f t="shared" si="18"/>
        <v>#REF!</v>
      </c>
      <c r="R81" s="355" t="e">
        <f t="shared" si="18"/>
        <v>#REF!</v>
      </c>
      <c r="S81" s="355" t="e">
        <f t="shared" si="18"/>
        <v>#REF!</v>
      </c>
      <c r="T81" s="355" t="e">
        <f t="shared" si="18"/>
        <v>#REF!</v>
      </c>
      <c r="U81" s="355" t="e">
        <f t="shared" si="18"/>
        <v>#REF!</v>
      </c>
      <c r="V81" s="355" t="e">
        <f t="shared" si="18"/>
        <v>#REF!</v>
      </c>
      <c r="W81" s="355" t="e">
        <f t="shared" si="18"/>
        <v>#REF!</v>
      </c>
      <c r="X81" s="355" t="e">
        <f t="shared" si="18"/>
        <v>#REF!</v>
      </c>
      <c r="Y81" s="355" t="e">
        <f t="shared" si="18"/>
        <v>#REF!</v>
      </c>
    </row>
    <row r="82" spans="2:25" ht="12.75" customHeight="1">
      <c r="B82" s="22" t="s">
        <v>292</v>
      </c>
      <c r="C82" s="22"/>
      <c r="D82" s="287">
        <f t="shared" ref="D82:O82" si="19">D49-C49</f>
        <v>0</v>
      </c>
      <c r="E82" s="287">
        <f t="shared" si="19"/>
        <v>0</v>
      </c>
      <c r="F82" s="287">
        <f t="shared" si="19"/>
        <v>0</v>
      </c>
      <c r="G82" s="287">
        <f t="shared" si="19"/>
        <v>0</v>
      </c>
      <c r="H82" s="287">
        <f t="shared" si="19"/>
        <v>0</v>
      </c>
      <c r="I82" s="287">
        <f t="shared" si="19"/>
        <v>16</v>
      </c>
      <c r="J82" s="287">
        <f t="shared" si="19"/>
        <v>104.2056</v>
      </c>
      <c r="K82" s="287">
        <f t="shared" si="19"/>
        <v>59.516799999999989</v>
      </c>
      <c r="L82" s="287">
        <f t="shared" si="19"/>
        <v>-70.872399999999999</v>
      </c>
      <c r="M82" s="287">
        <f t="shared" si="19"/>
        <v>-108.39999999999999</v>
      </c>
      <c r="N82" s="287">
        <f t="shared" si="19"/>
        <v>-0.45</v>
      </c>
      <c r="O82" s="287">
        <f t="shared" si="19"/>
        <v>1</v>
      </c>
      <c r="P82" s="335" t="e">
        <f>#REF!</f>
        <v>#REF!</v>
      </c>
      <c r="Q82" s="335" t="e">
        <f>#REF!</f>
        <v>#REF!</v>
      </c>
      <c r="R82" s="335" t="e">
        <f>#REF!</f>
        <v>#REF!</v>
      </c>
      <c r="S82" s="335" t="e">
        <f>#REF!</f>
        <v>#REF!</v>
      </c>
      <c r="T82" s="335" t="e">
        <f>#REF!</f>
        <v>#REF!</v>
      </c>
      <c r="U82" s="335" t="e">
        <f>#REF!</f>
        <v>#REF!</v>
      </c>
      <c r="V82" s="335" t="e">
        <f>#REF!</f>
        <v>#REF!</v>
      </c>
      <c r="W82" s="335" t="e">
        <f>#REF!</f>
        <v>#REF!</v>
      </c>
      <c r="X82" s="335" t="e">
        <f>#REF!</f>
        <v>#REF!</v>
      </c>
      <c r="Y82" s="335" t="e">
        <f>#REF!</f>
        <v>#REF!</v>
      </c>
    </row>
    <row r="83" spans="2:25" ht="12.75" customHeight="1">
      <c r="B83" s="22" t="s">
        <v>291</v>
      </c>
      <c r="C83" s="22"/>
      <c r="D83" s="287">
        <f t="shared" ref="D83:O83" si="20">D52-C52</f>
        <v>0</v>
      </c>
      <c r="E83" s="287">
        <f t="shared" si="20"/>
        <v>0</v>
      </c>
      <c r="F83" s="287">
        <f t="shared" si="20"/>
        <v>0</v>
      </c>
      <c r="G83" s="287">
        <f t="shared" si="20"/>
        <v>0</v>
      </c>
      <c r="H83" s="287">
        <f t="shared" si="20"/>
        <v>0</v>
      </c>
      <c r="I83" s="287">
        <f t="shared" si="20"/>
        <v>0.06</v>
      </c>
      <c r="J83" s="287">
        <f t="shared" si="20"/>
        <v>7.1466000000000012</v>
      </c>
      <c r="K83" s="287">
        <f t="shared" si="20"/>
        <v>5.455595999999999</v>
      </c>
      <c r="L83" s="287">
        <f t="shared" si="20"/>
        <v>-0.54737999999999865</v>
      </c>
      <c r="M83" s="287">
        <f t="shared" si="20"/>
        <v>-11.999056000000001</v>
      </c>
      <c r="N83" s="287">
        <f t="shared" si="20"/>
        <v>69.598240000000004</v>
      </c>
      <c r="O83" s="287">
        <f t="shared" si="20"/>
        <v>49.39541340000001</v>
      </c>
      <c r="P83" s="335"/>
      <c r="Q83" s="335"/>
      <c r="R83" s="335"/>
      <c r="S83" s="335"/>
      <c r="T83" s="335"/>
      <c r="U83" s="335"/>
      <c r="V83" s="335"/>
      <c r="W83" s="335"/>
      <c r="X83" s="335"/>
      <c r="Y83" s="335"/>
    </row>
    <row r="84" spans="2:25" ht="12.75" customHeight="1">
      <c r="B84" s="22" t="s">
        <v>99</v>
      </c>
      <c r="C84" s="22"/>
      <c r="D84" s="287">
        <f>Bloomberg!C59/unit</f>
        <v>0</v>
      </c>
      <c r="E84" s="287">
        <f>Bloomberg!D59/unit</f>
        <v>0</v>
      </c>
      <c r="F84" s="287">
        <f>Bloomberg!E59/unit</f>
        <v>0</v>
      </c>
      <c r="G84" s="287">
        <f>Bloomberg!F59/unit</f>
        <v>0</v>
      </c>
      <c r="H84" s="287">
        <f>Bloomberg!G59/unit</f>
        <v>0</v>
      </c>
      <c r="I84" s="287">
        <f>Bloomberg!H59/unit</f>
        <v>0</v>
      </c>
      <c r="J84" s="287">
        <f>Bloomberg!I59/unit</f>
        <v>0</v>
      </c>
      <c r="K84" s="287">
        <f>Bloomberg!J59/unit</f>
        <v>0</v>
      </c>
      <c r="L84" s="287">
        <f>Bloomberg!K59/unit</f>
        <v>0</v>
      </c>
      <c r="M84" s="287">
        <f>Bloomberg!L59/unit</f>
        <v>0</v>
      </c>
      <c r="N84" s="287">
        <f>Bloomberg!M59/unit</f>
        <v>0</v>
      </c>
      <c r="O84" s="287">
        <f>Bloomberg!N59/unit</f>
        <v>0</v>
      </c>
      <c r="P84" s="335" t="e">
        <f>#REF!</f>
        <v>#REF!</v>
      </c>
      <c r="Q84" s="335" t="e">
        <f>#REF!</f>
        <v>#REF!</v>
      </c>
      <c r="R84" s="335" t="e">
        <f>#REF!</f>
        <v>#REF!</v>
      </c>
      <c r="S84" s="335" t="e">
        <f>#REF!</f>
        <v>#REF!</v>
      </c>
      <c r="T84" s="335" t="e">
        <f>#REF!</f>
        <v>#REF!</v>
      </c>
      <c r="U84" s="335" t="e">
        <f>#REF!</f>
        <v>#REF!</v>
      </c>
      <c r="V84" s="335" t="e">
        <f>#REF!</f>
        <v>#REF!</v>
      </c>
      <c r="W84" s="335" t="e">
        <f>#REF!</f>
        <v>#REF!</v>
      </c>
      <c r="X84" s="335" t="e">
        <f>#REF!</f>
        <v>#REF!</v>
      </c>
      <c r="Y84" s="335" t="e">
        <f>#REF!</f>
        <v>#REF!</v>
      </c>
    </row>
    <row r="85" spans="2:25" ht="12.75" customHeight="1">
      <c r="B85" s="27" t="s">
        <v>100</v>
      </c>
      <c r="C85" s="27"/>
      <c r="D85" s="287">
        <f>Bloomberg!C60/unit</f>
        <v>0</v>
      </c>
      <c r="E85" s="287">
        <f>Bloomberg!D60/unit</f>
        <v>0</v>
      </c>
      <c r="F85" s="287">
        <f>Bloomberg!E60/unit</f>
        <v>0</v>
      </c>
      <c r="G85" s="287">
        <f>Bloomberg!F60/unit</f>
        <v>0</v>
      </c>
      <c r="H85" s="287">
        <f>Bloomberg!G60/unit</f>
        <v>9.2665995999999993</v>
      </c>
      <c r="I85" s="287">
        <f>Bloomberg!H60/unit</f>
        <v>124.2901645</v>
      </c>
      <c r="J85" s="287">
        <f>Bloomberg!I60/unit</f>
        <v>104.692881</v>
      </c>
      <c r="K85" s="287">
        <f>Bloomberg!J60/unit</f>
        <v>131.21914939999999</v>
      </c>
      <c r="L85" s="287">
        <f>Bloomberg!K60/unit</f>
        <v>-4.1191872999999992</v>
      </c>
      <c r="M85" s="287">
        <f>Bloomberg!L60/unit</f>
        <v>-40.756539400000001</v>
      </c>
      <c r="N85" s="287">
        <f>Bloomberg!M60/unit</f>
        <v>185.19131349999998</v>
      </c>
      <c r="O85" s="287">
        <f>Bloomberg!N60/unit</f>
        <v>270.27877140000004</v>
      </c>
      <c r="P85" s="335" t="e">
        <f>#REF!</f>
        <v>#REF!</v>
      </c>
      <c r="Q85" s="335" t="e">
        <f>#REF!</f>
        <v>#REF!</v>
      </c>
      <c r="R85" s="335" t="e">
        <f>#REF!</f>
        <v>#REF!</v>
      </c>
      <c r="S85" s="335" t="e">
        <f>#REF!</f>
        <v>#REF!</v>
      </c>
      <c r="T85" s="335" t="e">
        <f>#REF!</f>
        <v>#REF!</v>
      </c>
      <c r="U85" s="335" t="e">
        <f>#REF!</f>
        <v>#REF!</v>
      </c>
      <c r="V85" s="335" t="e">
        <f>#REF!</f>
        <v>#REF!</v>
      </c>
      <c r="W85" s="335" t="e">
        <f>#REF!</f>
        <v>#REF!</v>
      </c>
      <c r="X85" s="335" t="e">
        <f>#REF!</f>
        <v>#REF!</v>
      </c>
      <c r="Y85" s="335" t="e">
        <f>#REF!</f>
        <v>#REF!</v>
      </c>
    </row>
    <row r="86" spans="2:25" ht="12.75" customHeight="1">
      <c r="B86" s="27" t="s">
        <v>101</v>
      </c>
      <c r="C86" s="27"/>
      <c r="D86" s="287">
        <f>Bloomberg!C61/unit</f>
        <v>0</v>
      </c>
      <c r="E86" s="287">
        <f>Bloomberg!D61/unit</f>
        <v>0</v>
      </c>
      <c r="F86" s="287">
        <f>Bloomberg!E61/unit</f>
        <v>0</v>
      </c>
      <c r="G86" s="287">
        <f>Bloomberg!F61/unit</f>
        <v>0</v>
      </c>
      <c r="H86" s="287">
        <f>Bloomberg!G61/unit</f>
        <v>26.008902300000003</v>
      </c>
      <c r="I86" s="287">
        <f>Bloomberg!H61/unit</f>
        <v>8.0988521000000002</v>
      </c>
      <c r="J86" s="287">
        <f>Bloomberg!I61/unit</f>
        <v>38.375294699999998</v>
      </c>
      <c r="K86" s="287">
        <f>Bloomberg!J61/unit</f>
        <v>83.531241100000003</v>
      </c>
      <c r="L86" s="287">
        <f>Bloomberg!K61/unit</f>
        <v>-54.2026617</v>
      </c>
      <c r="M86" s="287">
        <f>Bloomberg!L61/unit</f>
        <v>28.6908545</v>
      </c>
      <c r="N86" s="287">
        <f>Bloomberg!M61/unit</f>
        <v>-63.166364000000002</v>
      </c>
      <c r="O86" s="287">
        <f>Bloomberg!N61/unit</f>
        <v>703.4526965</v>
      </c>
      <c r="P86" s="335" t="e">
        <f>#REF!</f>
        <v>#REF!</v>
      </c>
      <c r="Q86" s="335" t="e">
        <f>#REF!</f>
        <v>#REF!</v>
      </c>
      <c r="R86" s="335" t="e">
        <f>#REF!</f>
        <v>#REF!</v>
      </c>
      <c r="S86" s="335" t="e">
        <f>#REF!</f>
        <v>#REF!</v>
      </c>
      <c r="T86" s="335" t="e">
        <f>#REF!</f>
        <v>#REF!</v>
      </c>
      <c r="U86" s="335" t="e">
        <f>#REF!</f>
        <v>#REF!</v>
      </c>
      <c r="V86" s="335" t="e">
        <f>#REF!</f>
        <v>#REF!</v>
      </c>
      <c r="W86" s="335" t="e">
        <f>#REF!</f>
        <v>#REF!</v>
      </c>
      <c r="X86" s="335" t="e">
        <f>#REF!</f>
        <v>#REF!</v>
      </c>
      <c r="Y86" s="335" t="e">
        <f>#REF!</f>
        <v>#REF!</v>
      </c>
    </row>
    <row r="87" spans="2:25" ht="12.75" customHeight="1">
      <c r="B87" s="27" t="s">
        <v>102</v>
      </c>
      <c r="C87" s="27"/>
      <c r="D87" s="287">
        <f t="shared" ref="D87:N87" si="21">D66+D86</f>
        <v>0</v>
      </c>
      <c r="E87" s="287">
        <f t="shared" si="21"/>
        <v>0</v>
      </c>
      <c r="F87" s="287">
        <f t="shared" si="21"/>
        <v>0</v>
      </c>
      <c r="G87" s="287">
        <f t="shared" si="21"/>
        <v>0</v>
      </c>
      <c r="H87" s="287">
        <f t="shared" si="21"/>
        <v>26.008902300000003</v>
      </c>
      <c r="I87" s="287">
        <f t="shared" si="21"/>
        <v>39.6579263</v>
      </c>
      <c r="J87" s="287">
        <f t="shared" si="21"/>
        <v>78.033220199999988</v>
      </c>
      <c r="K87" s="287">
        <f t="shared" si="21"/>
        <v>161.5644613</v>
      </c>
      <c r="L87" s="287">
        <f t="shared" si="21"/>
        <v>107.36179960000001</v>
      </c>
      <c r="M87" s="287">
        <f t="shared" si="21"/>
        <v>136.05265409999998</v>
      </c>
      <c r="N87" s="287">
        <f t="shared" si="21"/>
        <v>72.886290100000011</v>
      </c>
      <c r="O87" s="287">
        <f>O66+O86</f>
        <v>776.3389866</v>
      </c>
      <c r="P87" s="335" t="e">
        <f>#REF!</f>
        <v>#REF!</v>
      </c>
      <c r="Q87" s="335" t="e">
        <f>#REF!</f>
        <v>#REF!</v>
      </c>
      <c r="R87" s="335" t="e">
        <f>#REF!</f>
        <v>#REF!</v>
      </c>
      <c r="S87" s="335" t="e">
        <f>#REF!</f>
        <v>#REF!</v>
      </c>
      <c r="T87" s="335" t="e">
        <f>#REF!</f>
        <v>#REF!</v>
      </c>
      <c r="U87" s="335" t="e">
        <f>#REF!</f>
        <v>#REF!</v>
      </c>
      <c r="V87" s="335" t="e">
        <f>#REF!</f>
        <v>#REF!</v>
      </c>
      <c r="W87" s="335" t="e">
        <f>#REF!</f>
        <v>#REF!</v>
      </c>
      <c r="X87" s="335" t="e">
        <f>#REF!</f>
        <v>#REF!</v>
      </c>
      <c r="Y87" s="335" t="e">
        <f>#REF!</f>
        <v>#REF!</v>
      </c>
    </row>
    <row r="88" spans="2:25" ht="12.75" customHeight="1">
      <c r="B88" s="356" t="s">
        <v>75</v>
      </c>
      <c r="C88" s="356"/>
      <c r="D88" s="351">
        <v>0</v>
      </c>
      <c r="E88" s="351">
        <v>0</v>
      </c>
      <c r="F88" s="351">
        <v>0</v>
      </c>
      <c r="G88" s="351">
        <v>0</v>
      </c>
      <c r="H88" s="354">
        <v>0</v>
      </c>
      <c r="I88" s="354">
        <v>0</v>
      </c>
      <c r="J88" s="351">
        <v>0</v>
      </c>
      <c r="K88" s="351">
        <v>0</v>
      </c>
      <c r="L88" s="351">
        <v>0</v>
      </c>
      <c r="M88" s="351">
        <v>0</v>
      </c>
      <c r="N88" s="351">
        <v>0</v>
      </c>
      <c r="O88" s="351">
        <v>0</v>
      </c>
      <c r="P88" s="355" t="e">
        <f t="shared" ref="P88:Y88" si="22">P87-P33</f>
        <v>#REF!</v>
      </c>
      <c r="Q88" s="355" t="e">
        <f t="shared" si="22"/>
        <v>#REF!</v>
      </c>
      <c r="R88" s="355" t="e">
        <f t="shared" si="22"/>
        <v>#REF!</v>
      </c>
      <c r="S88" s="355" t="e">
        <f t="shared" si="22"/>
        <v>#REF!</v>
      </c>
      <c r="T88" s="355" t="e">
        <f t="shared" si="22"/>
        <v>#REF!</v>
      </c>
      <c r="U88" s="355" t="e">
        <f t="shared" si="22"/>
        <v>#REF!</v>
      </c>
      <c r="V88" s="355" t="e">
        <f t="shared" si="22"/>
        <v>#REF!</v>
      </c>
      <c r="W88" s="355" t="e">
        <f t="shared" si="22"/>
        <v>#REF!</v>
      </c>
      <c r="X88" s="355" t="e">
        <f t="shared" si="22"/>
        <v>#REF!</v>
      </c>
      <c r="Y88" s="355" t="e">
        <f t="shared" si="22"/>
        <v>#REF!</v>
      </c>
    </row>
    <row r="89" spans="2:25" ht="12.75" customHeight="1">
      <c r="B89" s="8"/>
      <c r="C89" s="8"/>
      <c r="D89" s="287"/>
      <c r="E89" s="287"/>
      <c r="F89" s="287"/>
      <c r="G89" s="287"/>
      <c r="H89" s="288"/>
      <c r="I89" s="288"/>
      <c r="J89" s="287"/>
      <c r="K89" s="287"/>
      <c r="L89" s="287"/>
      <c r="M89" s="287"/>
      <c r="N89" s="287"/>
      <c r="O89" s="287"/>
      <c r="P89" s="335"/>
      <c r="Q89" s="335"/>
      <c r="R89" s="335"/>
      <c r="S89" s="335"/>
      <c r="T89" s="335"/>
      <c r="U89" s="335"/>
      <c r="V89" s="335"/>
      <c r="W89" s="335"/>
      <c r="X89" s="335"/>
      <c r="Y89" s="335"/>
    </row>
    <row r="90" spans="2:25" ht="12.75" customHeight="1">
      <c r="B90" s="6" t="s">
        <v>284</v>
      </c>
      <c r="C90" s="4"/>
      <c r="D90" s="287">
        <f>Bloomberg!C62</f>
        <v>0</v>
      </c>
      <c r="E90" s="287">
        <f>Bloomberg!D62</f>
        <v>0</v>
      </c>
      <c r="F90" s="287">
        <f>Bloomberg!E62</f>
        <v>0</v>
      </c>
      <c r="G90" s="287">
        <f>Bloomberg!F62</f>
        <v>0</v>
      </c>
      <c r="H90" s="287">
        <f>Bloomberg!G62</f>
        <v>0</v>
      </c>
      <c r="I90" s="287">
        <f>Bloomberg!H62</f>
        <v>0</v>
      </c>
      <c r="J90" s="287">
        <f>Bloomberg!I62</f>
        <v>22016.95</v>
      </c>
      <c r="K90" s="287">
        <f>Bloomberg!J62</f>
        <v>15895.93</v>
      </c>
      <c r="L90" s="287">
        <f>Bloomberg!K62</f>
        <v>5407.72</v>
      </c>
      <c r="M90" s="287">
        <f>Bloomberg!L62</f>
        <v>8343.33</v>
      </c>
      <c r="N90" s="287">
        <f>Bloomberg!M62</f>
        <v>12500</v>
      </c>
      <c r="O90" s="287">
        <f>Bloomberg!N62</f>
        <v>11894.65</v>
      </c>
      <c r="P90" s="335" t="e">
        <f>VCSC!F15</f>
        <v>#REF!</v>
      </c>
      <c r="Q90" s="335" t="e">
        <f>P90</f>
        <v>#REF!</v>
      </c>
      <c r="R90" s="335" t="e">
        <f t="shared" ref="R90:Y90" si="23">Q90</f>
        <v>#REF!</v>
      </c>
      <c r="S90" s="335" t="e">
        <f t="shared" si="23"/>
        <v>#REF!</v>
      </c>
      <c r="T90" s="335" t="e">
        <f t="shared" si="23"/>
        <v>#REF!</v>
      </c>
      <c r="U90" s="335" t="e">
        <f t="shared" si="23"/>
        <v>#REF!</v>
      </c>
      <c r="V90" s="335" t="e">
        <f t="shared" si="23"/>
        <v>#REF!</v>
      </c>
      <c r="W90" s="335" t="e">
        <f t="shared" si="23"/>
        <v>#REF!</v>
      </c>
      <c r="X90" s="335" t="e">
        <f t="shared" si="23"/>
        <v>#REF!</v>
      </c>
      <c r="Y90" s="335" t="e">
        <f t="shared" si="23"/>
        <v>#REF!</v>
      </c>
    </row>
    <row r="91" spans="2:25" ht="12.75" customHeight="1">
      <c r="B91" s="6" t="s">
        <v>584</v>
      </c>
      <c r="C91" s="4"/>
      <c r="D91" s="335" t="e">
        <f t="shared" ref="D91:N91" si="24">-D78/D29*10^3</f>
        <v>#DIV/0!</v>
      </c>
      <c r="E91" s="335" t="e">
        <f t="shared" si="24"/>
        <v>#DIV/0!</v>
      </c>
      <c r="F91" s="335" t="e">
        <f t="shared" si="24"/>
        <v>#DIV/0!</v>
      </c>
      <c r="G91" s="335" t="e">
        <f t="shared" si="24"/>
        <v>#DIV/0!</v>
      </c>
      <c r="H91" s="335">
        <f t="shared" si="24"/>
        <v>0</v>
      </c>
      <c r="I91" s="335">
        <f t="shared" si="24"/>
        <v>2093.4495789473685</v>
      </c>
      <c r="J91" s="335">
        <f t="shared" si="24"/>
        <v>587.41487500000005</v>
      </c>
      <c r="K91" s="335">
        <f t="shared" si="24"/>
        <v>2333.8214083333332</v>
      </c>
      <c r="L91" s="335">
        <f t="shared" si="24"/>
        <v>1708.4780366666666</v>
      </c>
      <c r="M91" s="335">
        <f t="shared" si="24"/>
        <v>113.75458162162163</v>
      </c>
      <c r="N91" s="335">
        <f t="shared" si="24"/>
        <v>35.230498296718956</v>
      </c>
      <c r="O91" s="335">
        <f>-O78/O29*10^3</f>
        <v>197.55707527939762</v>
      </c>
      <c r="P91" s="335" t="e">
        <f t="shared" ref="P91:Y91" si="25">-P78/P29*10^3</f>
        <v>#REF!</v>
      </c>
      <c r="Q91" s="335" t="e">
        <f t="shared" si="25"/>
        <v>#REF!</v>
      </c>
      <c r="R91" s="335" t="e">
        <f t="shared" si="25"/>
        <v>#REF!</v>
      </c>
      <c r="S91" s="335" t="e">
        <f t="shared" si="25"/>
        <v>#REF!</v>
      </c>
      <c r="T91" s="335" t="e">
        <f t="shared" si="25"/>
        <v>#REF!</v>
      </c>
      <c r="U91" s="335" t="e">
        <f t="shared" si="25"/>
        <v>#REF!</v>
      </c>
      <c r="V91" s="335" t="e">
        <f t="shared" si="25"/>
        <v>#REF!</v>
      </c>
      <c r="W91" s="335" t="e">
        <f t="shared" si="25"/>
        <v>#REF!</v>
      </c>
      <c r="X91" s="335" t="e">
        <f t="shared" si="25"/>
        <v>#REF!</v>
      </c>
      <c r="Y91" s="335" t="e">
        <f t="shared" si="25"/>
        <v>#REF!</v>
      </c>
    </row>
    <row r="92" spans="2:25" ht="12.75" customHeight="1">
      <c r="B92" s="6" t="s">
        <v>113</v>
      </c>
      <c r="C92" s="4"/>
      <c r="D92" s="456" t="e">
        <f t="shared" ref="D92:L92" si="26">D91/D90</f>
        <v>#DIV/0!</v>
      </c>
      <c r="E92" s="456" t="e">
        <f t="shared" si="26"/>
        <v>#DIV/0!</v>
      </c>
      <c r="F92" s="456" t="e">
        <f t="shared" si="26"/>
        <v>#DIV/0!</v>
      </c>
      <c r="G92" s="456" t="e">
        <f t="shared" si="26"/>
        <v>#DIV/0!</v>
      </c>
      <c r="H92" s="456" t="e">
        <f t="shared" si="26"/>
        <v>#DIV/0!</v>
      </c>
      <c r="I92" s="456" t="e">
        <f t="shared" si="26"/>
        <v>#DIV/0!</v>
      </c>
      <c r="J92" s="456">
        <f t="shared" si="26"/>
        <v>2.6680120316392598E-2</v>
      </c>
      <c r="K92" s="456">
        <f t="shared" si="26"/>
        <v>0.14681880256979826</v>
      </c>
      <c r="L92" s="456">
        <f t="shared" si="26"/>
        <v>0.31593315420670198</v>
      </c>
      <c r="M92" s="456">
        <f t="shared" ref="M92:R92" si="27">M91/M90</f>
        <v>1.3634194215214024E-2</v>
      </c>
      <c r="N92" s="456">
        <f t="shared" si="27"/>
        <v>2.8184398637375167E-3</v>
      </c>
      <c r="O92" s="456">
        <f>O91/O90</f>
        <v>1.6608901924764295E-2</v>
      </c>
      <c r="P92" s="456" t="e">
        <f t="shared" si="27"/>
        <v>#REF!</v>
      </c>
      <c r="Q92" s="456" t="e">
        <f t="shared" si="27"/>
        <v>#REF!</v>
      </c>
      <c r="R92" s="456" t="e">
        <f t="shared" si="27"/>
        <v>#REF!</v>
      </c>
      <c r="S92" s="456" t="e">
        <f t="shared" ref="S92:Y92" si="28">S91/S90</f>
        <v>#REF!</v>
      </c>
      <c r="T92" s="456" t="e">
        <f t="shared" si="28"/>
        <v>#REF!</v>
      </c>
      <c r="U92" s="456" t="e">
        <f t="shared" si="28"/>
        <v>#REF!</v>
      </c>
      <c r="V92" s="456" t="e">
        <f t="shared" si="28"/>
        <v>#REF!</v>
      </c>
      <c r="W92" s="456" t="e">
        <f t="shared" si="28"/>
        <v>#REF!</v>
      </c>
      <c r="X92" s="456" t="e">
        <f t="shared" si="28"/>
        <v>#REF!</v>
      </c>
      <c r="Y92" s="456" t="e">
        <f t="shared" si="28"/>
        <v>#REF!</v>
      </c>
    </row>
    <row r="93" spans="2:25" ht="12.75" customHeight="1">
      <c r="B93" s="6"/>
      <c r="C93" s="4"/>
      <c r="D93" s="335"/>
      <c r="E93" s="335"/>
      <c r="F93" s="335"/>
      <c r="G93" s="335"/>
      <c r="H93" s="335"/>
      <c r="I93" s="335"/>
      <c r="J93" s="335"/>
      <c r="K93" s="335"/>
      <c r="L93" s="335"/>
      <c r="M93" s="335"/>
      <c r="N93" s="335"/>
      <c r="O93" s="335"/>
      <c r="P93" s="335"/>
      <c r="Q93" s="335"/>
      <c r="R93" s="335"/>
      <c r="S93" s="335"/>
      <c r="T93" s="335"/>
      <c r="U93" s="335"/>
      <c r="V93" s="335"/>
      <c r="W93" s="335"/>
      <c r="X93" s="335"/>
      <c r="Y93" s="335"/>
    </row>
    <row r="94" spans="2:25" ht="12.75" customHeight="1">
      <c r="B94" s="525" t="s">
        <v>103</v>
      </c>
      <c r="C94" s="19"/>
      <c r="D94" s="293"/>
      <c r="E94" s="293"/>
      <c r="F94" s="293"/>
      <c r="G94" s="293"/>
      <c r="H94" s="293"/>
      <c r="I94" s="293"/>
      <c r="J94" s="293"/>
      <c r="K94" s="293"/>
      <c r="L94" s="293"/>
      <c r="M94" s="293"/>
      <c r="N94" s="293"/>
      <c r="O94" s="293"/>
      <c r="P94" s="293"/>
      <c r="Q94" s="295"/>
      <c r="R94" s="295"/>
      <c r="S94" s="295"/>
      <c r="T94" s="295"/>
      <c r="U94" s="295"/>
      <c r="V94" s="295"/>
      <c r="W94" s="295"/>
      <c r="X94" s="295"/>
      <c r="Y94" s="295"/>
    </row>
    <row r="95" spans="2:25" ht="12.75" customHeight="1">
      <c r="B95" s="8" t="s">
        <v>104</v>
      </c>
      <c r="C95" s="4"/>
      <c r="D95" s="306">
        <f t="shared" ref="D95:Y95" si="29">IFERROR(D29*D90/10^3,0)</f>
        <v>0</v>
      </c>
      <c r="E95" s="306">
        <f t="shared" si="29"/>
        <v>0</v>
      </c>
      <c r="F95" s="306">
        <f t="shared" si="29"/>
        <v>0</v>
      </c>
      <c r="G95" s="306">
        <f t="shared" si="29"/>
        <v>0</v>
      </c>
      <c r="H95" s="306">
        <f t="shared" si="29"/>
        <v>0</v>
      </c>
      <c r="I95" s="306">
        <f t="shared" si="29"/>
        <v>0</v>
      </c>
      <c r="J95" s="306">
        <f t="shared" si="29"/>
        <v>176.13560000000001</v>
      </c>
      <c r="K95" s="306">
        <f t="shared" si="29"/>
        <v>190.75116</v>
      </c>
      <c r="L95" s="306">
        <f t="shared" si="29"/>
        <v>162.23160000000001</v>
      </c>
      <c r="M95" s="306">
        <f t="shared" si="29"/>
        <v>385.87901249999999</v>
      </c>
      <c r="N95" s="306">
        <f t="shared" si="29"/>
        <v>740.62250781250009</v>
      </c>
      <c r="O95" s="306">
        <f>IFERROR(O29*O90/10^3,0)</f>
        <v>950.08279725415628</v>
      </c>
      <c r="P95" s="370">
        <f t="shared" si="29"/>
        <v>0</v>
      </c>
      <c r="Q95" s="370">
        <f t="shared" si="29"/>
        <v>0</v>
      </c>
      <c r="R95" s="370">
        <f t="shared" si="29"/>
        <v>0</v>
      </c>
      <c r="S95" s="370">
        <f t="shared" si="29"/>
        <v>0</v>
      </c>
      <c r="T95" s="370">
        <f t="shared" si="29"/>
        <v>0</v>
      </c>
      <c r="U95" s="370">
        <f t="shared" si="29"/>
        <v>0</v>
      </c>
      <c r="V95" s="370">
        <f t="shared" si="29"/>
        <v>0</v>
      </c>
      <c r="W95" s="370">
        <f t="shared" si="29"/>
        <v>0</v>
      </c>
      <c r="X95" s="370">
        <f t="shared" si="29"/>
        <v>0</v>
      </c>
      <c r="Y95" s="370">
        <f t="shared" si="29"/>
        <v>0</v>
      </c>
    </row>
    <row r="96" spans="2:25" s="521" customFormat="1" ht="12.75" customHeight="1">
      <c r="B96" s="519" t="s">
        <v>633</v>
      </c>
      <c r="C96" s="527"/>
      <c r="D96" s="528"/>
      <c r="E96" s="528"/>
      <c r="F96" s="528"/>
      <c r="G96" s="528"/>
      <c r="H96" s="528"/>
      <c r="I96" s="528"/>
      <c r="J96" s="528"/>
      <c r="K96" s="528">
        <f>K30*$D$1/10^3</f>
        <v>190.8</v>
      </c>
      <c r="L96" s="528">
        <f>L30*$D$1/10^3</f>
        <v>381.6</v>
      </c>
      <c r="M96" s="528">
        <f>M30*$D$1/10^3</f>
        <v>667.8</v>
      </c>
      <c r="N96" s="528">
        <f>N30*$D$1/10^3</f>
        <v>839.51492790000009</v>
      </c>
      <c r="O96" s="528">
        <f>O30*$D$1/10^3</f>
        <v>1192.5</v>
      </c>
      <c r="P96" s="528" t="e">
        <f t="shared" ref="P96:Y96" si="30">P30*$D$1/10^3</f>
        <v>#REF!</v>
      </c>
      <c r="Q96" s="528" t="e">
        <f>Q30*$D$2/10^3</f>
        <v>#REF!</v>
      </c>
      <c r="R96" s="528" t="e">
        <f t="shared" si="30"/>
        <v>#REF!</v>
      </c>
      <c r="S96" s="528" t="e">
        <f t="shared" si="30"/>
        <v>#REF!</v>
      </c>
      <c r="T96" s="528" t="e">
        <f t="shared" si="30"/>
        <v>#REF!</v>
      </c>
      <c r="U96" s="528" t="e">
        <f t="shared" si="30"/>
        <v>#REF!</v>
      </c>
      <c r="V96" s="528" t="e">
        <f t="shared" si="30"/>
        <v>#REF!</v>
      </c>
      <c r="W96" s="528" t="e">
        <f t="shared" si="30"/>
        <v>#REF!</v>
      </c>
      <c r="X96" s="528" t="e">
        <f t="shared" si="30"/>
        <v>#REF!</v>
      </c>
      <c r="Y96" s="528" t="e">
        <f t="shared" si="30"/>
        <v>#REF!</v>
      </c>
    </row>
    <row r="97" spans="2:25" s="521" customFormat="1" ht="12.75" customHeight="1">
      <c r="B97" s="519"/>
      <c r="C97" s="527"/>
      <c r="D97" s="528"/>
      <c r="E97" s="528"/>
      <c r="F97" s="528"/>
      <c r="G97" s="528"/>
      <c r="H97" s="528"/>
      <c r="I97" s="528"/>
      <c r="J97" s="528"/>
      <c r="K97" s="528"/>
      <c r="L97" s="849">
        <f>L96/L29</f>
        <v>12.72</v>
      </c>
      <c r="M97" s="849">
        <f>M96/M29</f>
        <v>14.438918918918917</v>
      </c>
      <c r="N97" s="849">
        <f>N96/N29</f>
        <v>14.169075997629148</v>
      </c>
      <c r="O97" s="849">
        <f>O96/O29</f>
        <v>14.929614730415484</v>
      </c>
      <c r="P97" s="528"/>
      <c r="Q97" s="528"/>
      <c r="R97" s="528"/>
      <c r="S97" s="528"/>
      <c r="T97" s="528"/>
      <c r="U97" s="528"/>
      <c r="V97" s="528"/>
      <c r="W97" s="528"/>
      <c r="X97" s="528"/>
      <c r="Y97" s="528"/>
    </row>
    <row r="98" spans="2:25" s="521" customFormat="1" ht="12.75" customHeight="1">
      <c r="B98" s="519"/>
      <c r="C98" s="527"/>
      <c r="D98" s="528"/>
      <c r="E98" s="528"/>
      <c r="F98" s="528"/>
      <c r="G98" s="528"/>
      <c r="H98" s="528"/>
      <c r="I98" s="528"/>
      <c r="J98" s="528"/>
      <c r="K98" s="528"/>
      <c r="L98" s="850">
        <f>L97/L26*1000</f>
        <v>12.414047421807513</v>
      </c>
      <c r="M98" s="850">
        <f>M97/M26*1000</f>
        <v>10.481076841879437</v>
      </c>
      <c r="N98" s="850">
        <f>N97/N26*1000</f>
        <v>9.0392290306723275</v>
      </c>
      <c r="O98" s="850">
        <f>O97/O26*1000</f>
        <v>6.6715792889160799</v>
      </c>
      <c r="P98" s="528"/>
      <c r="Q98" s="528"/>
      <c r="R98" s="528"/>
      <c r="S98" s="528"/>
      <c r="T98" s="528"/>
      <c r="U98" s="528"/>
      <c r="V98" s="528"/>
      <c r="W98" s="528"/>
      <c r="X98" s="528"/>
      <c r="Y98" s="528"/>
    </row>
    <row r="99" spans="2:25" s="521" customFormat="1" ht="12.75" customHeight="1">
      <c r="B99" s="519" t="s">
        <v>346</v>
      </c>
      <c r="C99" s="519"/>
      <c r="D99" s="529">
        <f t="shared" ref="D99:M99" si="31">IFERROR((D49+D52+D60+D96-D33)/(D96/D96),0)</f>
        <v>0</v>
      </c>
      <c r="E99" s="529">
        <f t="shared" si="31"/>
        <v>0</v>
      </c>
      <c r="F99" s="529">
        <f t="shared" si="31"/>
        <v>0</v>
      </c>
      <c r="G99" s="529">
        <f t="shared" si="31"/>
        <v>0</v>
      </c>
      <c r="H99" s="529">
        <f t="shared" si="31"/>
        <v>0</v>
      </c>
      <c r="I99" s="529">
        <f t="shared" si="31"/>
        <v>0</v>
      </c>
      <c r="J99" s="529">
        <f t="shared" si="31"/>
        <v>0</v>
      </c>
      <c r="K99" s="529">
        <f t="shared" si="31"/>
        <v>267.01368910000002</v>
      </c>
      <c r="L99" s="529">
        <f t="shared" si="31"/>
        <v>450.9885268000001</v>
      </c>
      <c r="M99" s="529">
        <f t="shared" si="31"/>
        <v>556.17115109999986</v>
      </c>
      <c r="N99" s="529">
        <f t="shared" ref="N99:Y99" si="32">IFERROR((N49+N52+N60+N96-N33)/(N96/N96),0)</f>
        <v>866.82443080000007</v>
      </c>
      <c r="O99" s="529">
        <f>IFERROR((O49+O52+O60+O96-O33)/(O96/O96),0)</f>
        <v>605.73780240000008</v>
      </c>
      <c r="P99" s="529">
        <f t="shared" si="32"/>
        <v>0</v>
      </c>
      <c r="Q99" s="529">
        <f t="shared" si="32"/>
        <v>0</v>
      </c>
      <c r="R99" s="529">
        <f t="shared" si="32"/>
        <v>0</v>
      </c>
      <c r="S99" s="529">
        <f t="shared" si="32"/>
        <v>0</v>
      </c>
      <c r="T99" s="529">
        <f t="shared" si="32"/>
        <v>0</v>
      </c>
      <c r="U99" s="529">
        <f t="shared" si="32"/>
        <v>0</v>
      </c>
      <c r="V99" s="529">
        <f t="shared" si="32"/>
        <v>0</v>
      </c>
      <c r="W99" s="529">
        <f t="shared" si="32"/>
        <v>0</v>
      </c>
      <c r="X99" s="529">
        <f t="shared" si="32"/>
        <v>0</v>
      </c>
      <c r="Y99" s="529">
        <f t="shared" si="32"/>
        <v>0</v>
      </c>
    </row>
    <row r="100" spans="2:25" ht="12.75" customHeight="1">
      <c r="B100" s="8" t="s">
        <v>354</v>
      </c>
      <c r="C100" s="8"/>
      <c r="D100" s="338">
        <f>D49+D52</f>
        <v>0</v>
      </c>
      <c r="E100" s="338">
        <f t="shared" ref="E100:Y100" si="33">E49+E52</f>
        <v>0</v>
      </c>
      <c r="F100" s="338">
        <f t="shared" si="33"/>
        <v>0</v>
      </c>
      <c r="G100" s="338">
        <f t="shared" si="33"/>
        <v>0</v>
      </c>
      <c r="H100" s="338">
        <f t="shared" si="33"/>
        <v>0</v>
      </c>
      <c r="I100" s="338">
        <f t="shared" si="33"/>
        <v>16.059999999999999</v>
      </c>
      <c r="J100" s="338">
        <f t="shared" si="33"/>
        <v>127.4122</v>
      </c>
      <c r="K100" s="338">
        <f t="shared" si="33"/>
        <v>192.38459599999999</v>
      </c>
      <c r="L100" s="338">
        <f t="shared" si="33"/>
        <v>120.964816</v>
      </c>
      <c r="M100" s="338">
        <f t="shared" si="33"/>
        <v>0.56576000000000004</v>
      </c>
      <c r="N100" s="338">
        <f t="shared" si="33"/>
        <v>69.713999999999999</v>
      </c>
      <c r="O100" s="338">
        <f>O49+O52</f>
        <v>120.10941340000001</v>
      </c>
      <c r="P100" s="370" t="e">
        <f t="shared" si="33"/>
        <v>#REF!</v>
      </c>
      <c r="Q100" s="370" t="e">
        <f t="shared" si="33"/>
        <v>#REF!</v>
      </c>
      <c r="R100" s="370" t="e">
        <f t="shared" si="33"/>
        <v>#REF!</v>
      </c>
      <c r="S100" s="370" t="e">
        <f t="shared" si="33"/>
        <v>#REF!</v>
      </c>
      <c r="T100" s="370" t="e">
        <f t="shared" si="33"/>
        <v>#REF!</v>
      </c>
      <c r="U100" s="370" t="e">
        <f t="shared" si="33"/>
        <v>#REF!</v>
      </c>
      <c r="V100" s="370" t="e">
        <f t="shared" si="33"/>
        <v>#REF!</v>
      </c>
      <c r="W100" s="370" t="e">
        <f t="shared" si="33"/>
        <v>#REF!</v>
      </c>
      <c r="X100" s="370" t="e">
        <f t="shared" si="33"/>
        <v>#REF!</v>
      </c>
      <c r="Y100" s="370" t="e">
        <f t="shared" si="33"/>
        <v>#REF!</v>
      </c>
    </row>
    <row r="101" spans="2:25" ht="12.75" customHeight="1">
      <c r="B101" s="8" t="s">
        <v>355</v>
      </c>
      <c r="C101" s="8"/>
      <c r="D101" s="338">
        <f t="shared" ref="D101:Y103" si="34">IF(C100&lt;1,D100,AVERAGE(C100:D100))</f>
        <v>0</v>
      </c>
      <c r="E101" s="338">
        <f t="shared" si="34"/>
        <v>0</v>
      </c>
      <c r="F101" s="338">
        <f t="shared" si="34"/>
        <v>0</v>
      </c>
      <c r="G101" s="338">
        <f t="shared" si="34"/>
        <v>0</v>
      </c>
      <c r="H101" s="338">
        <f t="shared" si="34"/>
        <v>0</v>
      </c>
      <c r="I101" s="338">
        <f t="shared" si="34"/>
        <v>16.059999999999999</v>
      </c>
      <c r="J101" s="338">
        <f t="shared" si="34"/>
        <v>71.736099999999993</v>
      </c>
      <c r="K101" s="338">
        <f t="shared" si="34"/>
        <v>159.89839799999999</v>
      </c>
      <c r="L101" s="338">
        <f t="shared" si="34"/>
        <v>156.67470599999999</v>
      </c>
      <c r="M101" s="338">
        <f t="shared" si="34"/>
        <v>60.765287999999998</v>
      </c>
      <c r="N101" s="338">
        <f t="shared" si="34"/>
        <v>69.713999999999999</v>
      </c>
      <c r="O101" s="338">
        <f t="shared" si="34"/>
        <v>94.911706699999996</v>
      </c>
      <c r="P101" s="370" t="e">
        <f>IF(N100&lt;1,P100,AVERAGE(N100:P100))</f>
        <v>#REF!</v>
      </c>
      <c r="Q101" s="370">
        <f>IF(O100&lt;1,Q100,AVERAGE(O100,O100))</f>
        <v>120.10941340000001</v>
      </c>
      <c r="R101" s="370" t="e">
        <f t="shared" si="34"/>
        <v>#REF!</v>
      </c>
      <c r="S101" s="370" t="e">
        <f t="shared" si="34"/>
        <v>#REF!</v>
      </c>
      <c r="T101" s="370" t="e">
        <f t="shared" si="34"/>
        <v>#REF!</v>
      </c>
      <c r="U101" s="370" t="e">
        <f t="shared" si="34"/>
        <v>#REF!</v>
      </c>
      <c r="V101" s="370" t="e">
        <f t="shared" si="34"/>
        <v>#REF!</v>
      </c>
      <c r="W101" s="370" t="e">
        <f t="shared" si="34"/>
        <v>#REF!</v>
      </c>
      <c r="X101" s="370" t="e">
        <f t="shared" si="34"/>
        <v>#REF!</v>
      </c>
      <c r="Y101" s="370" t="e">
        <f t="shared" si="34"/>
        <v>#REF!</v>
      </c>
    </row>
    <row r="102" spans="2:25" ht="12.75" customHeight="1">
      <c r="B102" s="8" t="s">
        <v>345</v>
      </c>
      <c r="C102" s="8"/>
      <c r="D102" s="338">
        <f t="shared" ref="D102:Y102" si="35">D49+D52+D61</f>
        <v>0</v>
      </c>
      <c r="E102" s="338">
        <f t="shared" si="35"/>
        <v>0</v>
      </c>
      <c r="F102" s="338">
        <f t="shared" si="35"/>
        <v>0</v>
      </c>
      <c r="G102" s="338">
        <f t="shared" si="35"/>
        <v>0</v>
      </c>
      <c r="H102" s="338">
        <f t="shared" si="35"/>
        <v>26.2648525</v>
      </c>
      <c r="I102" s="338">
        <f t="shared" si="35"/>
        <v>131.69634189999999</v>
      </c>
      <c r="J102" s="338">
        <f t="shared" si="35"/>
        <v>277.78696180000003</v>
      </c>
      <c r="K102" s="338">
        <f t="shared" si="35"/>
        <v>481.37612050000001</v>
      </c>
      <c r="L102" s="338">
        <f t="shared" si="35"/>
        <v>578.14029160000007</v>
      </c>
      <c r="M102" s="338">
        <f t="shared" si="35"/>
        <v>580.1599046</v>
      </c>
      <c r="N102" s="338">
        <f t="shared" si="35"/>
        <v>733.32878770000002</v>
      </c>
      <c r="O102" s="338">
        <f>O49+O52+O61</f>
        <v>1192.3369032000001</v>
      </c>
      <c r="P102" s="370" t="e">
        <f t="shared" si="35"/>
        <v>#REF!</v>
      </c>
      <c r="Q102" s="370" t="e">
        <f t="shared" si="35"/>
        <v>#REF!</v>
      </c>
      <c r="R102" s="370" t="e">
        <f t="shared" si="35"/>
        <v>#REF!</v>
      </c>
      <c r="S102" s="370" t="e">
        <f t="shared" si="35"/>
        <v>#REF!</v>
      </c>
      <c r="T102" s="370" t="e">
        <f t="shared" si="35"/>
        <v>#REF!</v>
      </c>
      <c r="U102" s="370" t="e">
        <f t="shared" si="35"/>
        <v>#REF!</v>
      </c>
      <c r="V102" s="370" t="e">
        <f t="shared" si="35"/>
        <v>#REF!</v>
      </c>
      <c r="W102" s="370" t="e">
        <f t="shared" si="35"/>
        <v>#REF!</v>
      </c>
      <c r="X102" s="370" t="e">
        <f t="shared" si="35"/>
        <v>#REF!</v>
      </c>
      <c r="Y102" s="370" t="e">
        <f t="shared" si="35"/>
        <v>#REF!</v>
      </c>
    </row>
    <row r="103" spans="2:25" ht="12.75" customHeight="1">
      <c r="B103" s="8" t="s">
        <v>105</v>
      </c>
      <c r="C103" s="8"/>
      <c r="D103" s="338">
        <f>IF(C102&lt;1,D102,AVERAGE(C102:D102))</f>
        <v>0</v>
      </c>
      <c r="E103" s="338">
        <f t="shared" si="34"/>
        <v>0</v>
      </c>
      <c r="F103" s="338">
        <f t="shared" si="34"/>
        <v>0</v>
      </c>
      <c r="G103" s="338">
        <f t="shared" si="34"/>
        <v>0</v>
      </c>
      <c r="H103" s="338">
        <f t="shared" si="34"/>
        <v>26.2648525</v>
      </c>
      <c r="I103" s="338">
        <f t="shared" si="34"/>
        <v>78.980597199999991</v>
      </c>
      <c r="J103" s="338">
        <f t="shared" si="34"/>
        <v>204.74165185000001</v>
      </c>
      <c r="K103" s="338">
        <f t="shared" si="34"/>
        <v>379.58154115000002</v>
      </c>
      <c r="L103" s="338">
        <f t="shared" si="34"/>
        <v>529.75820605000001</v>
      </c>
      <c r="M103" s="338">
        <f t="shared" si="34"/>
        <v>579.15009810000004</v>
      </c>
      <c r="N103" s="338">
        <f t="shared" si="34"/>
        <v>656.74434614999996</v>
      </c>
      <c r="O103" s="338">
        <f t="shared" si="34"/>
        <v>962.83284545000004</v>
      </c>
      <c r="P103" s="370" t="e">
        <f>IF(N102&lt;1,P102,AVERAGE(N102:P102))</f>
        <v>#REF!</v>
      </c>
      <c r="Q103" s="370" t="e">
        <f>IF(O102&lt;1,Q102,AVERAGE(O102,Q102))</f>
        <v>#REF!</v>
      </c>
      <c r="R103" s="370" t="e">
        <f t="shared" si="34"/>
        <v>#REF!</v>
      </c>
      <c r="S103" s="370" t="e">
        <f t="shared" si="34"/>
        <v>#REF!</v>
      </c>
      <c r="T103" s="370" t="e">
        <f t="shared" si="34"/>
        <v>#REF!</v>
      </c>
      <c r="U103" s="370" t="e">
        <f t="shared" si="34"/>
        <v>#REF!</v>
      </c>
      <c r="V103" s="370" t="e">
        <f t="shared" si="34"/>
        <v>#REF!</v>
      </c>
      <c r="W103" s="370" t="e">
        <f t="shared" si="34"/>
        <v>#REF!</v>
      </c>
      <c r="X103" s="370" t="e">
        <f t="shared" si="34"/>
        <v>#REF!</v>
      </c>
      <c r="Y103" s="370" t="e">
        <f t="shared" si="34"/>
        <v>#REF!</v>
      </c>
    </row>
    <row r="104" spans="2:25" ht="12.75" customHeight="1">
      <c r="B104" s="8" t="s">
        <v>106</v>
      </c>
      <c r="C104" s="8"/>
      <c r="D104" s="338">
        <f>IFERROR(IF(C45&lt;1,D45,AVERAGE(C45:D45)),0)</f>
        <v>0</v>
      </c>
      <c r="E104" s="338">
        <f t="shared" ref="E104:Y104" si="36">IFERROR(IF(D45&lt;1,E45,AVERAGE(D45:E45)),0)</f>
        <v>0</v>
      </c>
      <c r="F104" s="338">
        <f t="shared" si="36"/>
        <v>0</v>
      </c>
      <c r="G104" s="338">
        <f t="shared" si="36"/>
        <v>0</v>
      </c>
      <c r="H104" s="338">
        <f t="shared" si="36"/>
        <v>63.703742200000001</v>
      </c>
      <c r="I104" s="338">
        <f t="shared" si="36"/>
        <v>184.47166395000002</v>
      </c>
      <c r="J104" s="338">
        <f t="shared" si="36"/>
        <v>426.39145044999998</v>
      </c>
      <c r="K104" s="338">
        <f t="shared" si="36"/>
        <v>617.65096584999992</v>
      </c>
      <c r="L104" s="338">
        <f t="shared" si="36"/>
        <v>787.00113505000002</v>
      </c>
      <c r="M104" s="338">
        <f t="shared" si="36"/>
        <v>851.34791504999998</v>
      </c>
      <c r="N104" s="338">
        <f t="shared" si="36"/>
        <v>1042.3336219999999</v>
      </c>
      <c r="O104" s="338">
        <f t="shared" si="36"/>
        <v>1714.3339498999999</v>
      </c>
      <c r="P104" s="370">
        <f>IFERROR(IF(N45&lt;1,P45,AVERAGE(N45:P45)),0)</f>
        <v>0</v>
      </c>
      <c r="Q104" s="370">
        <f>IFERROR(IF(P45&lt;1,Q45,AVERAGE(P45:Q45)),0)</f>
        <v>0</v>
      </c>
      <c r="R104" s="370">
        <f t="shared" si="36"/>
        <v>0</v>
      </c>
      <c r="S104" s="370">
        <f t="shared" si="36"/>
        <v>0</v>
      </c>
      <c r="T104" s="370">
        <f t="shared" si="36"/>
        <v>0</v>
      </c>
      <c r="U104" s="370">
        <f t="shared" si="36"/>
        <v>0</v>
      </c>
      <c r="V104" s="370">
        <f t="shared" si="36"/>
        <v>0</v>
      </c>
      <c r="W104" s="370">
        <f t="shared" si="36"/>
        <v>0</v>
      </c>
      <c r="X104" s="370">
        <f t="shared" si="36"/>
        <v>0</v>
      </c>
      <c r="Y104" s="370">
        <f t="shared" si="36"/>
        <v>0</v>
      </c>
    </row>
    <row r="105" spans="2:25" ht="12.75" customHeight="1">
      <c r="B105" s="8" t="s">
        <v>107</v>
      </c>
      <c r="C105" s="8"/>
      <c r="D105" s="338">
        <f>IFERROR(IF(C61&lt;1,D61,AVERAGE(C61:D61)),0)</f>
        <v>0</v>
      </c>
      <c r="E105" s="338">
        <f t="shared" ref="E105:Y105" si="37">IFERROR(IF(D61&lt;1,E61,AVERAGE(D61:E61)),0)</f>
        <v>0</v>
      </c>
      <c r="F105" s="338">
        <f t="shared" si="37"/>
        <v>0</v>
      </c>
      <c r="G105" s="338">
        <f t="shared" si="37"/>
        <v>0</v>
      </c>
      <c r="H105" s="338">
        <f t="shared" si="37"/>
        <v>26.2648525</v>
      </c>
      <c r="I105" s="338">
        <f t="shared" si="37"/>
        <v>70.950597200000004</v>
      </c>
      <c r="J105" s="338">
        <f t="shared" si="37"/>
        <v>133.00555185000002</v>
      </c>
      <c r="K105" s="338">
        <f t="shared" si="37"/>
        <v>219.68314315000003</v>
      </c>
      <c r="L105" s="338">
        <f t="shared" si="37"/>
        <v>373.08350005</v>
      </c>
      <c r="M105" s="338">
        <f t="shared" si="37"/>
        <v>518.3848101000001</v>
      </c>
      <c r="N105" s="338">
        <f t="shared" si="37"/>
        <v>621.60446615000001</v>
      </c>
      <c r="O105" s="338">
        <f t="shared" si="37"/>
        <v>867.92113874999995</v>
      </c>
      <c r="P105" s="370">
        <f>IFERROR(IF(N61&lt;1,P61,AVERAGE(N61:P61)),0)</f>
        <v>0</v>
      </c>
      <c r="Q105" s="370">
        <f>IFERROR(IF(P61&lt;1,Q61,AVERAGE(P61:Q61)),0)</f>
        <v>0</v>
      </c>
      <c r="R105" s="370">
        <f t="shared" si="37"/>
        <v>0</v>
      </c>
      <c r="S105" s="370">
        <f t="shared" si="37"/>
        <v>0</v>
      </c>
      <c r="T105" s="370">
        <f t="shared" si="37"/>
        <v>0</v>
      </c>
      <c r="U105" s="370">
        <f t="shared" si="37"/>
        <v>0</v>
      </c>
      <c r="V105" s="370">
        <f t="shared" si="37"/>
        <v>0</v>
      </c>
      <c r="W105" s="370">
        <f t="shared" si="37"/>
        <v>0</v>
      </c>
      <c r="X105" s="370">
        <f t="shared" si="37"/>
        <v>0</v>
      </c>
      <c r="Y105" s="370">
        <f t="shared" si="37"/>
        <v>0</v>
      </c>
    </row>
    <row r="106" spans="2:25" ht="12.75" customHeight="1">
      <c r="B106" s="8" t="s">
        <v>108</v>
      </c>
      <c r="C106" s="8"/>
      <c r="D106" s="338">
        <f>IFERROR(IF(C36&lt;1,D36,AVERAGE(C36:D36)),0)</f>
        <v>0</v>
      </c>
      <c r="E106" s="338">
        <f t="shared" ref="E106:Y106" si="38">IFERROR(IF(D36&lt;1,E36,AVERAGE(D36:E36)),0)</f>
        <v>0</v>
      </c>
      <c r="F106" s="338">
        <f t="shared" si="38"/>
        <v>0</v>
      </c>
      <c r="G106" s="338">
        <f t="shared" si="38"/>
        <v>0</v>
      </c>
      <c r="H106" s="338">
        <f t="shared" si="38"/>
        <v>11.029090800000001</v>
      </c>
      <c r="I106" s="338">
        <f t="shared" si="38"/>
        <v>29.208297399999999</v>
      </c>
      <c r="J106" s="338">
        <f t="shared" si="38"/>
        <v>107.4333006</v>
      </c>
      <c r="K106" s="338">
        <f t="shared" si="38"/>
        <v>208.45929534999999</v>
      </c>
      <c r="L106" s="338">
        <f t="shared" si="38"/>
        <v>166.76912305000002</v>
      </c>
      <c r="M106" s="338">
        <f t="shared" si="38"/>
        <v>106.65308885</v>
      </c>
      <c r="N106" s="338">
        <f t="shared" si="38"/>
        <v>280.99734419999999</v>
      </c>
      <c r="O106" s="338">
        <f t="shared" si="38"/>
        <v>466.00078855000004</v>
      </c>
      <c r="P106" s="370">
        <f>IFERROR(IF(N36&lt;1,P36,AVERAGE(N36:P36)),0)</f>
        <v>0</v>
      </c>
      <c r="Q106" s="370">
        <f>IFERROR(IF(P36&lt;1,Q36,AVERAGE(P36:Q36)),0)</f>
        <v>0</v>
      </c>
      <c r="R106" s="370">
        <f t="shared" si="38"/>
        <v>0</v>
      </c>
      <c r="S106" s="370">
        <f t="shared" si="38"/>
        <v>0</v>
      </c>
      <c r="T106" s="370">
        <f t="shared" si="38"/>
        <v>0</v>
      </c>
      <c r="U106" s="370">
        <f t="shared" si="38"/>
        <v>0</v>
      </c>
      <c r="V106" s="370">
        <f t="shared" si="38"/>
        <v>0</v>
      </c>
      <c r="W106" s="370">
        <f t="shared" si="38"/>
        <v>0</v>
      </c>
      <c r="X106" s="370">
        <f t="shared" si="38"/>
        <v>0</v>
      </c>
      <c r="Y106" s="370">
        <f t="shared" si="38"/>
        <v>0</v>
      </c>
    </row>
    <row r="107" spans="2:25" ht="12.75" customHeight="1">
      <c r="B107" s="4" t="s">
        <v>117</v>
      </c>
      <c r="C107" s="4"/>
      <c r="D107" s="306"/>
      <c r="E107" s="306"/>
      <c r="F107" s="306"/>
      <c r="G107" s="306"/>
      <c r="H107" s="306"/>
      <c r="I107" s="306"/>
      <c r="J107" s="306"/>
      <c r="K107" s="306"/>
      <c r="L107" s="306"/>
      <c r="M107" s="306"/>
      <c r="N107" s="306"/>
      <c r="O107" s="306"/>
      <c r="P107" s="121"/>
      <c r="Q107" s="121"/>
      <c r="R107" s="121"/>
      <c r="S107" s="121"/>
      <c r="T107" s="121"/>
      <c r="U107" s="121"/>
      <c r="V107" s="121"/>
      <c r="W107" s="121"/>
      <c r="X107" s="121"/>
      <c r="Y107" s="121"/>
    </row>
    <row r="108" spans="2:25" ht="12.75" customHeight="1">
      <c r="B108" s="8" t="s">
        <v>118</v>
      </c>
      <c r="C108" s="8"/>
      <c r="D108" s="347">
        <f t="shared" ref="D108:Y108" si="39">IFERROR(D12/D10,0)</f>
        <v>0</v>
      </c>
      <c r="E108" s="347">
        <f t="shared" si="39"/>
        <v>0</v>
      </c>
      <c r="F108" s="347">
        <f t="shared" si="39"/>
        <v>0</v>
      </c>
      <c r="G108" s="347">
        <f t="shared" si="39"/>
        <v>0</v>
      </c>
      <c r="H108" s="347">
        <f t="shared" si="39"/>
        <v>0.87701696224718806</v>
      </c>
      <c r="I108" s="347">
        <f t="shared" si="39"/>
        <v>0.85856085326356513</v>
      </c>
      <c r="J108" s="347">
        <f t="shared" si="39"/>
        <v>0.92793835992558793</v>
      </c>
      <c r="K108" s="347">
        <f t="shared" si="39"/>
        <v>0.45230410780101998</v>
      </c>
      <c r="L108" s="347">
        <f t="shared" si="39"/>
        <v>0.71959795320350983</v>
      </c>
      <c r="M108" s="347">
        <f t="shared" si="39"/>
        <v>0.47802567960142417</v>
      </c>
      <c r="N108" s="347">
        <f t="shared" si="39"/>
        <v>0.6010982286332649</v>
      </c>
      <c r="O108" s="347">
        <f>IFERROR(O12/O10,0)</f>
        <v>0.59625986123343722</v>
      </c>
      <c r="P108" s="337">
        <f t="shared" si="39"/>
        <v>0</v>
      </c>
      <c r="Q108" s="337">
        <f t="shared" si="39"/>
        <v>0.4731182795698925</v>
      </c>
      <c r="R108" s="337">
        <f t="shared" si="39"/>
        <v>0.41956121790885759</v>
      </c>
      <c r="S108" s="337">
        <f t="shared" si="39"/>
        <v>0.6007837254853583</v>
      </c>
      <c r="T108" s="337">
        <f t="shared" si="39"/>
        <v>0.56288371803650394</v>
      </c>
      <c r="U108" s="337">
        <f t="shared" si="39"/>
        <v>0.5304138631256633</v>
      </c>
      <c r="V108" s="337">
        <f t="shared" si="39"/>
        <v>0</v>
      </c>
      <c r="W108" s="337">
        <f t="shared" ca="1" si="39"/>
        <v>0</v>
      </c>
      <c r="X108" s="337">
        <f t="shared" ca="1" si="39"/>
        <v>0</v>
      </c>
      <c r="Y108" s="337">
        <f t="shared" ca="1" si="39"/>
        <v>0</v>
      </c>
    </row>
    <row r="109" spans="2:25" ht="12.75" customHeight="1">
      <c r="B109" s="8" t="s">
        <v>422</v>
      </c>
      <c r="C109" s="8"/>
      <c r="D109" s="347">
        <f>IFERROR(D15/D10,0)</f>
        <v>0</v>
      </c>
      <c r="E109" s="347">
        <f>IFERROR(E15/E10,0)</f>
        <v>0</v>
      </c>
      <c r="F109" s="347">
        <f>IFERROR(F15/F10,0)</f>
        <v>0</v>
      </c>
      <c r="G109" s="347">
        <f>IFERROR(G15/G10,0)</f>
        <v>0</v>
      </c>
      <c r="H109" s="347">
        <f>IFERROR(H15/H10,0)</f>
        <v>0.53564178429523701</v>
      </c>
      <c r="I109" s="347">
        <f t="shared" ref="I109:Y109" si="40">IFERROR(I15/I10,0)</f>
        <v>0.27775181563601398</v>
      </c>
      <c r="J109" s="347">
        <f t="shared" si="40"/>
        <v>0.42834442327799083</v>
      </c>
      <c r="K109" s="347">
        <f t="shared" si="40"/>
        <v>0.21163025552319534</v>
      </c>
      <c r="L109" s="347">
        <f t="shared" si="40"/>
        <v>0.26931007522064693</v>
      </c>
      <c r="M109" s="347">
        <f t="shared" si="40"/>
        <v>0.17389666619513694</v>
      </c>
      <c r="N109" s="347">
        <f t="shared" si="40"/>
        <v>0.181531468412272</v>
      </c>
      <c r="O109" s="347">
        <f>IFERROR(O15/O10,0)</f>
        <v>0.32633637744247468</v>
      </c>
      <c r="P109" s="337">
        <f t="shared" si="40"/>
        <v>0</v>
      </c>
      <c r="Q109" s="337">
        <f t="shared" si="40"/>
        <v>0.27956989247311831</v>
      </c>
      <c r="R109" s="337">
        <f t="shared" si="40"/>
        <v>0.25656531856429482</v>
      </c>
      <c r="S109" s="337">
        <f t="shared" si="40"/>
        <v>0.41201062261571497</v>
      </c>
      <c r="T109" s="337">
        <f t="shared" si="40"/>
        <v>0.3950303359317478</v>
      </c>
      <c r="U109" s="337">
        <f t="shared" si="40"/>
        <v>0.36105338123042413</v>
      </c>
      <c r="V109" s="337">
        <f t="shared" si="40"/>
        <v>0</v>
      </c>
      <c r="W109" s="337">
        <f t="shared" ca="1" si="40"/>
        <v>0</v>
      </c>
      <c r="X109" s="337">
        <f t="shared" ca="1" si="40"/>
        <v>0</v>
      </c>
      <c r="Y109" s="337">
        <f t="shared" ca="1" si="40"/>
        <v>0</v>
      </c>
    </row>
    <row r="110" spans="2:25" ht="12.75" customHeight="1">
      <c r="B110" s="8" t="s">
        <v>454</v>
      </c>
      <c r="C110" s="8"/>
      <c r="D110" s="347">
        <f>IFERROR(D27/D10,0)</f>
        <v>0</v>
      </c>
      <c r="E110" s="347">
        <f t="shared" ref="E110:Y110" si="41">IFERROR(E27/E10,0)</f>
        <v>0</v>
      </c>
      <c r="F110" s="347">
        <f t="shared" si="41"/>
        <v>0</v>
      </c>
      <c r="G110" s="347">
        <f t="shared" si="41"/>
        <v>0</v>
      </c>
      <c r="H110" s="347">
        <f t="shared" si="41"/>
        <v>0.54944765267158702</v>
      </c>
      <c r="I110" s="347">
        <f t="shared" si="41"/>
        <v>0.34634809598893551</v>
      </c>
      <c r="J110" s="347">
        <f t="shared" si="41"/>
        <v>0.56775552492704384</v>
      </c>
      <c r="K110" s="347">
        <f t="shared" si="41"/>
        <v>0.30252098418494194</v>
      </c>
      <c r="L110" s="347">
        <f t="shared" si="41"/>
        <v>0.33823122187173071</v>
      </c>
      <c r="M110" s="347">
        <f t="shared" si="41"/>
        <v>0.21979871063848164</v>
      </c>
      <c r="N110" s="347">
        <f t="shared" si="41"/>
        <v>0.35909050835481249</v>
      </c>
      <c r="O110" s="347">
        <f>IFERROR(O27/O10,0)</f>
        <v>0.53092886090772839</v>
      </c>
      <c r="P110" s="337">
        <f t="shared" si="41"/>
        <v>0</v>
      </c>
      <c r="Q110" s="337">
        <f t="shared" si="41"/>
        <v>0.28336917562724018</v>
      </c>
      <c r="R110" s="337">
        <f t="shared" si="41"/>
        <v>0.25812126261804924</v>
      </c>
      <c r="S110" s="337">
        <f t="shared" si="41"/>
        <v>0.41369335752530489</v>
      </c>
      <c r="T110" s="337">
        <f t="shared" si="41"/>
        <v>0.3962767520649062</v>
      </c>
      <c r="U110" s="337">
        <f t="shared" si="41"/>
        <v>0.36221187610405547</v>
      </c>
      <c r="V110" s="337">
        <f t="shared" si="41"/>
        <v>0</v>
      </c>
      <c r="W110" s="337">
        <f t="shared" ca="1" si="41"/>
        <v>0</v>
      </c>
      <c r="X110" s="337">
        <f t="shared" ca="1" si="41"/>
        <v>0</v>
      </c>
      <c r="Y110" s="337">
        <f t="shared" ca="1" si="41"/>
        <v>0</v>
      </c>
    </row>
    <row r="111" spans="2:25" ht="12.75" customHeight="1">
      <c r="B111" s="8" t="s">
        <v>326</v>
      </c>
      <c r="C111" s="8"/>
      <c r="D111" s="347">
        <f t="shared" ref="D111:Y111" si="42">IFERROR(D22/D10,0)</f>
        <v>0</v>
      </c>
      <c r="E111" s="347">
        <f t="shared" si="42"/>
        <v>0</v>
      </c>
      <c r="F111" s="347">
        <f t="shared" si="42"/>
        <v>0</v>
      </c>
      <c r="G111" s="347">
        <f t="shared" si="42"/>
        <v>0</v>
      </c>
      <c r="H111" s="347">
        <f t="shared" si="42"/>
        <v>0.39025455925238789</v>
      </c>
      <c r="I111" s="347">
        <f t="shared" si="42"/>
        <v>0.23881336927623248</v>
      </c>
      <c r="J111" s="347">
        <f t="shared" si="42"/>
        <v>0.44773680728449955</v>
      </c>
      <c r="K111" s="347">
        <f t="shared" si="42"/>
        <v>0.20802601095330278</v>
      </c>
      <c r="L111" s="347">
        <f t="shared" si="42"/>
        <v>0.11543922022740608</v>
      </c>
      <c r="M111" s="347">
        <f t="shared" si="42"/>
        <v>0.14645455066732657</v>
      </c>
      <c r="N111" s="347">
        <f t="shared" si="42"/>
        <v>0.26191541254990514</v>
      </c>
      <c r="O111" s="347">
        <f>IFERROR(O22/O10,0)</f>
        <v>0.42089324699255226</v>
      </c>
      <c r="P111" s="337">
        <f t="shared" si="42"/>
        <v>0</v>
      </c>
      <c r="Q111" s="337">
        <f t="shared" si="42"/>
        <v>0.31971326164874547</v>
      </c>
      <c r="R111" s="337">
        <f t="shared" si="42"/>
        <v>0.25145264375109361</v>
      </c>
      <c r="S111" s="337">
        <f t="shared" si="42"/>
        <v>0.37086141804374928</v>
      </c>
      <c r="T111" s="337">
        <f t="shared" si="42"/>
        <v>0.37205107855616398</v>
      </c>
      <c r="U111" s="337">
        <f t="shared" si="42"/>
        <v>0.31090911576107627</v>
      </c>
      <c r="V111" s="337">
        <f t="shared" si="42"/>
        <v>0</v>
      </c>
      <c r="W111" s="337">
        <f t="shared" ca="1" si="42"/>
        <v>0</v>
      </c>
      <c r="X111" s="337">
        <f t="shared" ca="1" si="42"/>
        <v>0</v>
      </c>
      <c r="Y111" s="337">
        <f t="shared" ca="1" si="42"/>
        <v>0</v>
      </c>
    </row>
    <row r="112" spans="2:25" ht="12.75" customHeight="1">
      <c r="B112" s="8" t="s">
        <v>332</v>
      </c>
      <c r="C112" s="8"/>
      <c r="D112" s="347">
        <f>D113*D118</f>
        <v>0</v>
      </c>
      <c r="E112" s="347">
        <f t="shared" ref="E112:Y112" si="43">E113*E118</f>
        <v>0</v>
      </c>
      <c r="F112" s="347">
        <f t="shared" si="43"/>
        <v>0</v>
      </c>
      <c r="G112" s="347">
        <f t="shared" si="43"/>
        <v>0</v>
      </c>
      <c r="H112" s="347">
        <f t="shared" si="43"/>
        <v>0.42506071564650882</v>
      </c>
      <c r="I112" s="347">
        <f t="shared" si="43"/>
        <v>9.6300980818241788E-2</v>
      </c>
      <c r="J112" s="347">
        <f t="shared" si="43"/>
        <v>0.28583068880368701</v>
      </c>
      <c r="K112" s="347">
        <f t="shared" si="43"/>
        <v>0.35439580016770156</v>
      </c>
      <c r="L112" s="347">
        <f t="shared" si="43"/>
        <v>8.8613425668970597E-2</v>
      </c>
      <c r="M112" s="347">
        <f t="shared" si="43"/>
        <v>0.11399803205769127</v>
      </c>
      <c r="N112" s="347">
        <f t="shared" si="43"/>
        <v>0.14435208365820718</v>
      </c>
      <c r="O112" s="347">
        <f>O113*O118</f>
        <v>0.24546933009010094</v>
      </c>
      <c r="P112" s="337">
        <f t="shared" si="43"/>
        <v>0</v>
      </c>
      <c r="Q112" s="337">
        <f t="shared" si="43"/>
        <v>0</v>
      </c>
      <c r="R112" s="337">
        <f t="shared" si="43"/>
        <v>0</v>
      </c>
      <c r="S112" s="337">
        <f t="shared" si="43"/>
        <v>0</v>
      </c>
      <c r="T112" s="337">
        <f t="shared" si="43"/>
        <v>0</v>
      </c>
      <c r="U112" s="337">
        <f t="shared" si="43"/>
        <v>0</v>
      </c>
      <c r="V112" s="337">
        <f t="shared" si="43"/>
        <v>0</v>
      </c>
      <c r="W112" s="337">
        <f t="shared" ca="1" si="43"/>
        <v>0</v>
      </c>
      <c r="X112" s="337">
        <f t="shared" ca="1" si="43"/>
        <v>0</v>
      </c>
      <c r="Y112" s="337">
        <f t="shared" ca="1" si="43"/>
        <v>0</v>
      </c>
    </row>
    <row r="113" spans="2:25" ht="12.75" customHeight="1">
      <c r="B113" s="15" t="s">
        <v>324</v>
      </c>
      <c r="C113" s="8"/>
      <c r="D113" s="347">
        <f>D114*D115*D116*D117</f>
        <v>0</v>
      </c>
      <c r="E113" s="347">
        <f t="shared" ref="E113:Y113" si="44">E114*E115*E116*E117</f>
        <v>0</v>
      </c>
      <c r="F113" s="347">
        <f t="shared" si="44"/>
        <v>0</v>
      </c>
      <c r="G113" s="347">
        <f t="shared" si="44"/>
        <v>0</v>
      </c>
      <c r="H113" s="347">
        <f t="shared" si="44"/>
        <v>0.17525119583948079</v>
      </c>
      <c r="I113" s="347">
        <f t="shared" si="44"/>
        <v>3.7038816443114755E-2</v>
      </c>
      <c r="J113" s="347">
        <f t="shared" si="44"/>
        <v>8.9160015895905054E-2</v>
      </c>
      <c r="K113" s="347">
        <f t="shared" si="44"/>
        <v>0.1260498041848889</v>
      </c>
      <c r="L113" s="347">
        <f t="shared" si="44"/>
        <v>4.2007826326577881E-2</v>
      </c>
      <c r="M113" s="347">
        <f t="shared" si="44"/>
        <v>6.9413276470559448E-2</v>
      </c>
      <c r="N113" s="347">
        <f t="shared" si="44"/>
        <v>8.6085585273387666E-2</v>
      </c>
      <c r="O113" s="347">
        <f>O114*O115*O116*O117</f>
        <v>0.12427451519141151</v>
      </c>
      <c r="P113" s="337">
        <f t="shared" si="44"/>
        <v>0</v>
      </c>
      <c r="Q113" s="337">
        <f t="shared" si="44"/>
        <v>0</v>
      </c>
      <c r="R113" s="337">
        <f t="shared" si="44"/>
        <v>0</v>
      </c>
      <c r="S113" s="337">
        <f t="shared" si="44"/>
        <v>0</v>
      </c>
      <c r="T113" s="337">
        <f t="shared" si="44"/>
        <v>0</v>
      </c>
      <c r="U113" s="337">
        <f t="shared" si="44"/>
        <v>0</v>
      </c>
      <c r="V113" s="337">
        <f t="shared" si="44"/>
        <v>0</v>
      </c>
      <c r="W113" s="337">
        <f t="shared" ca="1" si="44"/>
        <v>0</v>
      </c>
      <c r="X113" s="337">
        <f t="shared" ca="1" si="44"/>
        <v>0</v>
      </c>
      <c r="Y113" s="337">
        <f t="shared" ca="1" si="44"/>
        <v>0</v>
      </c>
    </row>
    <row r="114" spans="2:25" ht="12.75" customHeight="1">
      <c r="B114" s="45" t="s">
        <v>322</v>
      </c>
      <c r="C114" s="8"/>
      <c r="D114" s="347">
        <f t="shared" ref="D114:Y114" si="45">IFERROR(D18/D10,0)</f>
        <v>0</v>
      </c>
      <c r="E114" s="347">
        <f t="shared" si="45"/>
        <v>0</v>
      </c>
      <c r="F114" s="347">
        <f t="shared" si="45"/>
        <v>0</v>
      </c>
      <c r="G114" s="347">
        <f t="shared" si="45"/>
        <v>0</v>
      </c>
      <c r="H114" s="347">
        <f t="shared" si="45"/>
        <v>0.54398254022020209</v>
      </c>
      <c r="I114" s="347">
        <f t="shared" si="45"/>
        <v>0.33105062488787623</v>
      </c>
      <c r="J114" s="347">
        <f t="shared" si="45"/>
        <v>0.55696666193330846</v>
      </c>
      <c r="K114" s="347">
        <f t="shared" si="45"/>
        <v>0.29719004463740006</v>
      </c>
      <c r="L114" s="347">
        <f t="shared" si="45"/>
        <v>0.32804555214282222</v>
      </c>
      <c r="M114" s="347">
        <f t="shared" si="45"/>
        <v>0.21246498519388027</v>
      </c>
      <c r="N114" s="347">
        <f t="shared" si="45"/>
        <v>0.35269117766342239</v>
      </c>
      <c r="O114" s="347">
        <f>IFERROR(O18/O10,0)</f>
        <v>0.52638976312523367</v>
      </c>
      <c r="P114" s="337">
        <f t="shared" si="45"/>
        <v>0</v>
      </c>
      <c r="Q114" s="337">
        <f t="shared" si="45"/>
        <v>0.43440860215053761</v>
      </c>
      <c r="R114" s="337">
        <f t="shared" si="45"/>
        <v>0.34068820637829184</v>
      </c>
      <c r="S114" s="337">
        <f t="shared" si="45"/>
        <v>0.48553934711904573</v>
      </c>
      <c r="T114" s="337">
        <f t="shared" si="45"/>
        <v>0.49351599575302696</v>
      </c>
      <c r="U114" s="337">
        <f t="shared" si="45"/>
        <v>0.44680658093451581</v>
      </c>
      <c r="V114" s="337">
        <f t="shared" si="45"/>
        <v>0</v>
      </c>
      <c r="W114" s="337">
        <f t="shared" ca="1" si="45"/>
        <v>0</v>
      </c>
      <c r="X114" s="337">
        <f t="shared" ca="1" si="45"/>
        <v>0</v>
      </c>
      <c r="Y114" s="337">
        <f t="shared" ca="1" si="45"/>
        <v>0</v>
      </c>
    </row>
    <row r="115" spans="2:25" ht="12.75" customHeight="1">
      <c r="B115" s="45" t="s">
        <v>347</v>
      </c>
      <c r="C115" s="8"/>
      <c r="D115" s="347">
        <f>1-D148-1</f>
        <v>0</v>
      </c>
      <c r="E115" s="347">
        <f t="shared" ref="E115:Y115" si="46">IFERROR(E22/E20,0)</f>
        <v>0</v>
      </c>
      <c r="F115" s="347">
        <f t="shared" si="46"/>
        <v>0</v>
      </c>
      <c r="G115" s="347">
        <f t="shared" si="46"/>
        <v>0</v>
      </c>
      <c r="H115" s="347">
        <f t="shared" si="46"/>
        <v>0.71999999587250518</v>
      </c>
      <c r="I115" s="347">
        <f t="shared" si="46"/>
        <v>0.72138020992141716</v>
      </c>
      <c r="J115" s="347">
        <f t="shared" si="46"/>
        <v>0.80397556476987586</v>
      </c>
      <c r="K115" s="347">
        <f t="shared" si="46"/>
        <v>0.7065394292592998</v>
      </c>
      <c r="L115" s="347">
        <f t="shared" si="46"/>
        <v>0.59682265953560176</v>
      </c>
      <c r="M115" s="347">
        <f t="shared" si="46"/>
        <v>0.74696005436968027</v>
      </c>
      <c r="N115" s="347">
        <f t="shared" si="46"/>
        <v>0.74473272646371014</v>
      </c>
      <c r="O115" s="347">
        <f>IFERROR(O22/O20,0)</f>
        <v>0.79982280199480416</v>
      </c>
      <c r="P115" s="337">
        <f t="shared" si="46"/>
        <v>0</v>
      </c>
      <c r="Q115" s="337">
        <f t="shared" si="46"/>
        <v>0.7470686767169179</v>
      </c>
      <c r="R115" s="337">
        <f t="shared" si="46"/>
        <v>0.76746349007610593</v>
      </c>
      <c r="S115" s="337">
        <f t="shared" si="46"/>
        <v>0.79965811063258019</v>
      </c>
      <c r="T115" s="337">
        <f t="shared" si="46"/>
        <v>0.82229923570075836</v>
      </c>
      <c r="U115" s="337">
        <f t="shared" si="46"/>
        <v>0.75674435808522145</v>
      </c>
      <c r="V115" s="337">
        <f t="shared" si="46"/>
        <v>0</v>
      </c>
      <c r="W115" s="337">
        <f t="shared" ca="1" si="46"/>
        <v>0</v>
      </c>
      <c r="X115" s="337">
        <f t="shared" ca="1" si="46"/>
        <v>0</v>
      </c>
      <c r="Y115" s="337">
        <f t="shared" ca="1" si="46"/>
        <v>0</v>
      </c>
    </row>
    <row r="116" spans="2:25" ht="12.75" customHeight="1">
      <c r="B116" s="45" t="s">
        <v>325</v>
      </c>
      <c r="C116" s="8"/>
      <c r="D116" s="347">
        <f t="shared" ref="D116:Y116" si="47">IFERROR(D20/D18,0)</f>
        <v>0</v>
      </c>
      <c r="E116" s="347">
        <f t="shared" si="47"/>
        <v>0</v>
      </c>
      <c r="F116" s="347">
        <f t="shared" si="47"/>
        <v>0</v>
      </c>
      <c r="G116" s="347">
        <f t="shared" si="47"/>
        <v>0</v>
      </c>
      <c r="H116" s="347">
        <f t="shared" si="47"/>
        <v>0.99639268582345775</v>
      </c>
      <c r="I116" s="347">
        <f t="shared" si="47"/>
        <v>1</v>
      </c>
      <c r="J116" s="347">
        <f t="shared" si="47"/>
        <v>0.99988659957791204</v>
      </c>
      <c r="K116" s="347">
        <f t="shared" si="47"/>
        <v>0.9907109904672724</v>
      </c>
      <c r="L116" s="347">
        <f t="shared" si="47"/>
        <v>0.58962233621626015</v>
      </c>
      <c r="M116" s="347">
        <f t="shared" si="47"/>
        <v>0.92282239611428662</v>
      </c>
      <c r="N116" s="347">
        <f t="shared" si="47"/>
        <v>0.99716268974413547</v>
      </c>
      <c r="O116" s="347">
        <f>IFERROR(O20/O18,0)</f>
        <v>0.99970241620937483</v>
      </c>
      <c r="P116" s="337">
        <f t="shared" si="47"/>
        <v>0</v>
      </c>
      <c r="Q116" s="337">
        <f t="shared" si="47"/>
        <v>0.98514851485148514</v>
      </c>
      <c r="R116" s="337">
        <f t="shared" si="47"/>
        <v>0.96170391049372717</v>
      </c>
      <c r="S116" s="337">
        <f t="shared" si="47"/>
        <v>0.95517484828232413</v>
      </c>
      <c r="T116" s="337">
        <f t="shared" si="47"/>
        <v>0.91679333586450484</v>
      </c>
      <c r="U116" s="337">
        <f t="shared" si="47"/>
        <v>0.9195274590394783</v>
      </c>
      <c r="V116" s="337">
        <f t="shared" si="47"/>
        <v>0</v>
      </c>
      <c r="W116" s="337">
        <f t="shared" ca="1" si="47"/>
        <v>0</v>
      </c>
      <c r="X116" s="337">
        <f t="shared" ca="1" si="47"/>
        <v>0</v>
      </c>
      <c r="Y116" s="337">
        <f t="shared" ca="1" si="47"/>
        <v>0</v>
      </c>
    </row>
    <row r="117" spans="2:25" ht="12.75" customHeight="1">
      <c r="B117" s="45" t="s">
        <v>323</v>
      </c>
      <c r="C117" s="8"/>
      <c r="D117" s="308">
        <f t="shared" ref="D117:Y117" si="48">IFERROR(D10/D104,0)</f>
        <v>0</v>
      </c>
      <c r="E117" s="308">
        <f t="shared" si="48"/>
        <v>0</v>
      </c>
      <c r="F117" s="308">
        <f t="shared" si="48"/>
        <v>0</v>
      </c>
      <c r="G117" s="308">
        <f t="shared" si="48"/>
        <v>0</v>
      </c>
      <c r="H117" s="308">
        <f t="shared" si="48"/>
        <v>0.4490689261266036</v>
      </c>
      <c r="I117" s="308">
        <f t="shared" si="48"/>
        <v>0.15509523840883638</v>
      </c>
      <c r="J117" s="308">
        <f t="shared" si="48"/>
        <v>0.19913488112950978</v>
      </c>
      <c r="K117" s="308">
        <f t="shared" si="48"/>
        <v>0.60593290044476344</v>
      </c>
      <c r="L117" s="308">
        <f t="shared" si="48"/>
        <v>0.36389561748447191</v>
      </c>
      <c r="M117" s="308">
        <f t="shared" si="48"/>
        <v>0.4739577988821434</v>
      </c>
      <c r="N117" s="308">
        <f t="shared" si="48"/>
        <v>0.32867705048470558</v>
      </c>
      <c r="O117" s="308">
        <f>IFERROR(O10/O104,0)</f>
        <v>0.29526374224200974</v>
      </c>
      <c r="P117" s="297">
        <f t="shared" si="48"/>
        <v>0</v>
      </c>
      <c r="Q117" s="297">
        <f t="shared" si="48"/>
        <v>0</v>
      </c>
      <c r="R117" s="297">
        <f t="shared" si="48"/>
        <v>0</v>
      </c>
      <c r="S117" s="297">
        <f t="shared" si="48"/>
        <v>0</v>
      </c>
      <c r="T117" s="297">
        <f t="shared" si="48"/>
        <v>0</v>
      </c>
      <c r="U117" s="297">
        <f t="shared" si="48"/>
        <v>0</v>
      </c>
      <c r="V117" s="297">
        <f t="shared" si="48"/>
        <v>0</v>
      </c>
      <c r="W117" s="297">
        <f t="shared" ca="1" si="48"/>
        <v>0</v>
      </c>
      <c r="X117" s="297">
        <f t="shared" ca="1" si="48"/>
        <v>0</v>
      </c>
      <c r="Y117" s="297">
        <f t="shared" ca="1" si="48"/>
        <v>0</v>
      </c>
    </row>
    <row r="118" spans="2:25" ht="12.75" customHeight="1">
      <c r="B118" s="8" t="s">
        <v>335</v>
      </c>
      <c r="C118" s="8"/>
      <c r="D118" s="308">
        <f>IFERROR(D104/D105,)</f>
        <v>0</v>
      </c>
      <c r="E118" s="308">
        <f t="shared" ref="E118:Y118" si="49">IFERROR(E104/E105,)</f>
        <v>0</v>
      </c>
      <c r="F118" s="308">
        <f t="shared" si="49"/>
        <v>0</v>
      </c>
      <c r="G118" s="308">
        <f t="shared" si="49"/>
        <v>0</v>
      </c>
      <c r="H118" s="308">
        <f t="shared" si="49"/>
        <v>2.4254368913741282</v>
      </c>
      <c r="I118" s="308">
        <f t="shared" si="49"/>
        <v>2.6000015677105535</v>
      </c>
      <c r="J118" s="308">
        <f t="shared" si="49"/>
        <v>3.2058169340996567</v>
      </c>
      <c r="K118" s="308">
        <f t="shared" si="49"/>
        <v>2.8115537541643181</v>
      </c>
      <c r="L118" s="308">
        <f t="shared" si="49"/>
        <v>2.1094503909835933</v>
      </c>
      <c r="M118" s="308">
        <f t="shared" si="49"/>
        <v>1.6423087607172921</v>
      </c>
      <c r="N118" s="308">
        <f t="shared" si="49"/>
        <v>1.6768438432494681</v>
      </c>
      <c r="O118" s="308">
        <f>IFERROR(O104/O105,)</f>
        <v>1.9752185692458455</v>
      </c>
      <c r="P118" s="297">
        <f t="shared" si="49"/>
        <v>0</v>
      </c>
      <c r="Q118" s="297">
        <f t="shared" si="49"/>
        <v>0</v>
      </c>
      <c r="R118" s="297">
        <f t="shared" si="49"/>
        <v>0</v>
      </c>
      <c r="S118" s="297">
        <f t="shared" si="49"/>
        <v>0</v>
      </c>
      <c r="T118" s="297">
        <f t="shared" si="49"/>
        <v>0</v>
      </c>
      <c r="U118" s="297">
        <f t="shared" si="49"/>
        <v>0</v>
      </c>
      <c r="V118" s="297">
        <f t="shared" si="49"/>
        <v>0</v>
      </c>
      <c r="W118" s="297">
        <f t="shared" si="49"/>
        <v>0</v>
      </c>
      <c r="X118" s="297">
        <f t="shared" si="49"/>
        <v>0</v>
      </c>
      <c r="Y118" s="297">
        <f t="shared" si="49"/>
        <v>0</v>
      </c>
    </row>
    <row r="119" spans="2:25" ht="12.75" customHeight="1">
      <c r="B119" s="8" t="s">
        <v>344</v>
      </c>
      <c r="C119" s="8"/>
      <c r="D119" s="347">
        <f t="shared" ref="D119:Y119" si="50">IFERROR(D22/D103,0)</f>
        <v>0</v>
      </c>
      <c r="E119" s="347">
        <f t="shared" si="50"/>
        <v>0</v>
      </c>
      <c r="F119" s="347">
        <f t="shared" si="50"/>
        <v>0</v>
      </c>
      <c r="G119" s="347">
        <f t="shared" si="50"/>
        <v>0</v>
      </c>
      <c r="H119" s="347">
        <f t="shared" si="50"/>
        <v>0.42506071564650894</v>
      </c>
      <c r="I119" s="347">
        <f t="shared" si="50"/>
        <v>8.6510008055497467E-2</v>
      </c>
      <c r="J119" s="347">
        <f t="shared" si="50"/>
        <v>0.185683118976946</v>
      </c>
      <c r="K119" s="347">
        <f t="shared" si="50"/>
        <v>0.20510687391206398</v>
      </c>
      <c r="L119" s="347">
        <f t="shared" si="50"/>
        <v>6.2406219710128948E-2</v>
      </c>
      <c r="M119" s="347">
        <f t="shared" si="50"/>
        <v>0.10203718931218464</v>
      </c>
      <c r="N119" s="347">
        <f t="shared" si="50"/>
        <v>0.1366283553501742</v>
      </c>
      <c r="O119" s="347">
        <f>IFERROR(O22/O103,0)</f>
        <v>0.22127207386701434</v>
      </c>
      <c r="P119" s="337">
        <f t="shared" si="50"/>
        <v>0</v>
      </c>
      <c r="Q119" s="337">
        <f t="shared" si="50"/>
        <v>0</v>
      </c>
      <c r="R119" s="337">
        <f t="shared" si="50"/>
        <v>0</v>
      </c>
      <c r="S119" s="337">
        <f t="shared" si="50"/>
        <v>0</v>
      </c>
      <c r="T119" s="337">
        <f t="shared" si="50"/>
        <v>0</v>
      </c>
      <c r="U119" s="337">
        <f t="shared" si="50"/>
        <v>0</v>
      </c>
      <c r="V119" s="337">
        <f t="shared" si="50"/>
        <v>0</v>
      </c>
      <c r="W119" s="337">
        <f t="shared" si="50"/>
        <v>0</v>
      </c>
      <c r="X119" s="337">
        <f t="shared" si="50"/>
        <v>0</v>
      </c>
      <c r="Y119" s="337">
        <f t="shared" si="50"/>
        <v>0</v>
      </c>
    </row>
    <row r="120" spans="2:25" ht="12.75" customHeight="1">
      <c r="B120" s="4" t="s">
        <v>327</v>
      </c>
      <c r="C120" s="4"/>
      <c r="D120" s="309"/>
      <c r="E120" s="309"/>
      <c r="F120" s="309"/>
      <c r="G120" s="309"/>
      <c r="H120" s="309"/>
      <c r="I120" s="309"/>
      <c r="J120" s="309"/>
      <c r="K120" s="309"/>
      <c r="L120" s="309"/>
      <c r="M120" s="309"/>
      <c r="N120" s="309"/>
      <c r="O120" s="309"/>
      <c r="P120" s="2"/>
      <c r="Q120" s="2"/>
      <c r="R120" s="2"/>
      <c r="S120" s="2"/>
      <c r="T120" s="2"/>
      <c r="U120" s="2"/>
      <c r="V120" s="2"/>
      <c r="W120" s="2"/>
      <c r="X120" s="2"/>
      <c r="Y120" s="2"/>
    </row>
    <row r="121" spans="2:25" ht="12.75" customHeight="1">
      <c r="B121" s="8" t="s">
        <v>320</v>
      </c>
      <c r="C121" s="8"/>
      <c r="D121" s="245">
        <f t="shared" ref="D121:Y121" si="51">IFERROR(365*(D106/-D11),0)</f>
        <v>0</v>
      </c>
      <c r="E121" s="245">
        <f t="shared" si="51"/>
        <v>0</v>
      </c>
      <c r="F121" s="245">
        <f t="shared" si="51"/>
        <v>0</v>
      </c>
      <c r="G121" s="245">
        <f t="shared" si="51"/>
        <v>0</v>
      </c>
      <c r="H121" s="245">
        <f t="shared" si="51"/>
        <v>1144.2196736112173</v>
      </c>
      <c r="I121" s="245">
        <f t="shared" si="51"/>
        <v>2634.5190839272104</v>
      </c>
      <c r="J121" s="245">
        <f t="shared" si="51"/>
        <v>6408.727615262258</v>
      </c>
      <c r="K121" s="245">
        <f t="shared" si="51"/>
        <v>371.19916208211123</v>
      </c>
      <c r="L121" s="245">
        <f t="shared" si="51"/>
        <v>758.01036827261157</v>
      </c>
      <c r="M121" s="245">
        <f t="shared" si="51"/>
        <v>184.82912780819672</v>
      </c>
      <c r="N121" s="245">
        <f t="shared" si="51"/>
        <v>750.50395818643119</v>
      </c>
      <c r="O121" s="245">
        <f>IFERROR(365*(O106/-O11),0)</f>
        <v>832.28495196357051</v>
      </c>
      <c r="P121" s="249">
        <f t="shared" si="51"/>
        <v>0</v>
      </c>
      <c r="Q121" s="249">
        <f t="shared" si="51"/>
        <v>0</v>
      </c>
      <c r="R121" s="249">
        <f t="shared" si="51"/>
        <v>0</v>
      </c>
      <c r="S121" s="249">
        <f t="shared" si="51"/>
        <v>0</v>
      </c>
      <c r="T121" s="249">
        <f t="shared" si="51"/>
        <v>0</v>
      </c>
      <c r="U121" s="249">
        <f t="shared" si="51"/>
        <v>0</v>
      </c>
      <c r="V121" s="249">
        <f t="shared" si="51"/>
        <v>0</v>
      </c>
      <c r="W121" s="249">
        <f t="shared" ca="1" si="51"/>
        <v>0</v>
      </c>
      <c r="X121" s="249">
        <f t="shared" ca="1" si="51"/>
        <v>0</v>
      </c>
      <c r="Y121" s="249">
        <f t="shared" ca="1" si="51"/>
        <v>0</v>
      </c>
    </row>
    <row r="122" spans="2:25" ht="12.75" customHeight="1">
      <c r="B122" s="8" t="s">
        <v>109</v>
      </c>
      <c r="C122" s="8"/>
      <c r="D122" s="245">
        <f t="shared" ref="D122:Y122" si="52">IFERROR(365*(AVERAGE(C35:D35)/D10),0)</f>
        <v>0</v>
      </c>
      <c r="E122" s="245">
        <f t="shared" si="52"/>
        <v>0</v>
      </c>
      <c r="F122" s="245">
        <f t="shared" si="52"/>
        <v>0</v>
      </c>
      <c r="G122" s="245">
        <f t="shared" si="52"/>
        <v>0</v>
      </c>
      <c r="H122" s="245">
        <f t="shared" si="52"/>
        <v>0</v>
      </c>
      <c r="I122" s="245">
        <f t="shared" si="52"/>
        <v>21.25926726158141</v>
      </c>
      <c r="J122" s="245">
        <f t="shared" si="52"/>
        <v>10.78405270538045</v>
      </c>
      <c r="K122" s="245">
        <f t="shared" si="52"/>
        <v>26.152575007051095</v>
      </c>
      <c r="L122" s="245">
        <f t="shared" si="52"/>
        <v>120.91938808123142</v>
      </c>
      <c r="M122" s="245">
        <f t="shared" si="52"/>
        <v>119.22942615195862</v>
      </c>
      <c r="N122" s="245">
        <f t="shared" si="52"/>
        <v>136.93393433505909</v>
      </c>
      <c r="O122" s="245">
        <f t="shared" si="52"/>
        <v>90.296759820380942</v>
      </c>
      <c r="P122" s="249">
        <f>IFERROR(365*(AVERAGE(N35:P35)/P10),0)</f>
        <v>0</v>
      </c>
      <c r="Q122" s="249">
        <f>IFERROR(365*(AVERAGE(P35:Q35)/Q10),0)</f>
        <v>0</v>
      </c>
      <c r="R122" s="249">
        <f t="shared" si="52"/>
        <v>0</v>
      </c>
      <c r="S122" s="249">
        <f t="shared" si="52"/>
        <v>0</v>
      </c>
      <c r="T122" s="249">
        <f t="shared" si="52"/>
        <v>0</v>
      </c>
      <c r="U122" s="249">
        <f t="shared" si="52"/>
        <v>0</v>
      </c>
      <c r="V122" s="249">
        <f t="shared" si="52"/>
        <v>0</v>
      </c>
      <c r="W122" s="249">
        <f t="shared" ca="1" si="52"/>
        <v>0</v>
      </c>
      <c r="X122" s="249">
        <f t="shared" ca="1" si="52"/>
        <v>0</v>
      </c>
      <c r="Y122" s="249">
        <f t="shared" ca="1" si="52"/>
        <v>0</v>
      </c>
    </row>
    <row r="123" spans="2:25" ht="12.75" customHeight="1">
      <c r="B123" s="8" t="s">
        <v>110</v>
      </c>
      <c r="C123" s="8"/>
      <c r="D123" s="245">
        <f t="shared" ref="D123:Y123" si="53">IFERROR(365*(AVERAGE(C48:D48)/-D11),0)</f>
        <v>0</v>
      </c>
      <c r="E123" s="245">
        <f t="shared" si="53"/>
        <v>0</v>
      </c>
      <c r="F123" s="245">
        <f t="shared" si="53"/>
        <v>0</v>
      </c>
      <c r="G123" s="245">
        <f t="shared" si="53"/>
        <v>0</v>
      </c>
      <c r="H123" s="245">
        <f t="shared" si="53"/>
        <v>0</v>
      </c>
      <c r="I123" s="245">
        <f t="shared" si="53"/>
        <v>450.84837310789163</v>
      </c>
      <c r="J123" s="245">
        <f t="shared" si="53"/>
        <v>324.5235368103813</v>
      </c>
      <c r="K123" s="245">
        <f t="shared" si="53"/>
        <v>2.06256338148241</v>
      </c>
      <c r="L123" s="245">
        <f t="shared" si="53"/>
        <v>13.009597142979489</v>
      </c>
      <c r="M123" s="245">
        <f t="shared" si="53"/>
        <v>34.706815855745738</v>
      </c>
      <c r="N123" s="245">
        <f t="shared" si="53"/>
        <v>76.207499250286546</v>
      </c>
      <c r="O123" s="245">
        <f t="shared" si="53"/>
        <v>68.159339286436506</v>
      </c>
      <c r="P123" s="249">
        <f>IFERROR(365*(AVERAGE(N48:P48)/-P11),0)</f>
        <v>0</v>
      </c>
      <c r="Q123" s="249">
        <f>IFERROR(365*(AVERAGE(Q48)/-Q11),0)</f>
        <v>0</v>
      </c>
      <c r="R123" s="249">
        <f t="shared" si="53"/>
        <v>0</v>
      </c>
      <c r="S123" s="249">
        <f t="shared" si="53"/>
        <v>0</v>
      </c>
      <c r="T123" s="249">
        <f t="shared" si="53"/>
        <v>0</v>
      </c>
      <c r="U123" s="249">
        <f t="shared" si="53"/>
        <v>0</v>
      </c>
      <c r="V123" s="249">
        <f t="shared" si="53"/>
        <v>0</v>
      </c>
      <c r="W123" s="249">
        <f t="shared" ca="1" si="53"/>
        <v>0</v>
      </c>
      <c r="X123" s="249">
        <f t="shared" ca="1" si="53"/>
        <v>0</v>
      </c>
      <c r="Y123" s="249">
        <f t="shared" ca="1" si="53"/>
        <v>0</v>
      </c>
    </row>
    <row r="124" spans="2:25" ht="12.75" customHeight="1">
      <c r="B124" s="8" t="s">
        <v>111</v>
      </c>
      <c r="C124" s="8"/>
      <c r="D124" s="245">
        <f t="shared" ref="D124:Y124" si="54">D121+D122-D123</f>
        <v>0</v>
      </c>
      <c r="E124" s="245">
        <f t="shared" si="54"/>
        <v>0</v>
      </c>
      <c r="F124" s="245">
        <f t="shared" si="54"/>
        <v>0</v>
      </c>
      <c r="G124" s="245">
        <f t="shared" si="54"/>
        <v>0</v>
      </c>
      <c r="H124" s="245">
        <f t="shared" si="54"/>
        <v>1144.2196736112173</v>
      </c>
      <c r="I124" s="245">
        <f t="shared" si="54"/>
        <v>2204.9299780809001</v>
      </c>
      <c r="J124" s="245">
        <f t="shared" si="54"/>
        <v>6094.9881311572572</v>
      </c>
      <c r="K124" s="245">
        <f t="shared" si="54"/>
        <v>395.28917370767994</v>
      </c>
      <c r="L124" s="245">
        <f t="shared" si="54"/>
        <v>865.92015921086352</v>
      </c>
      <c r="M124" s="245">
        <f t="shared" si="54"/>
        <v>269.35173810440961</v>
      </c>
      <c r="N124" s="245">
        <f t="shared" si="54"/>
        <v>811.23039327120375</v>
      </c>
      <c r="O124" s="245">
        <f>O121+O122-O123</f>
        <v>854.42237249751497</v>
      </c>
      <c r="P124" s="249">
        <f t="shared" si="54"/>
        <v>0</v>
      </c>
      <c r="Q124" s="249">
        <f t="shared" si="54"/>
        <v>0</v>
      </c>
      <c r="R124" s="249">
        <f t="shared" si="54"/>
        <v>0</v>
      </c>
      <c r="S124" s="249">
        <f t="shared" si="54"/>
        <v>0</v>
      </c>
      <c r="T124" s="249">
        <f t="shared" si="54"/>
        <v>0</v>
      </c>
      <c r="U124" s="249">
        <f t="shared" si="54"/>
        <v>0</v>
      </c>
      <c r="V124" s="249">
        <f t="shared" si="54"/>
        <v>0</v>
      </c>
      <c r="W124" s="249">
        <f t="shared" ca="1" si="54"/>
        <v>0</v>
      </c>
      <c r="X124" s="249">
        <f t="shared" ca="1" si="54"/>
        <v>0</v>
      </c>
      <c r="Y124" s="249">
        <f t="shared" ca="1" si="54"/>
        <v>0</v>
      </c>
    </row>
    <row r="125" spans="2:25" ht="12.75" customHeight="1">
      <c r="B125" s="8" t="s">
        <v>112</v>
      </c>
      <c r="C125" s="8"/>
      <c r="D125" s="412">
        <f t="shared" ref="D125:Y125" si="55">IFERROR(-D11/D106,0)</f>
        <v>0</v>
      </c>
      <c r="E125" s="412">
        <f t="shared" si="55"/>
        <v>0</v>
      </c>
      <c r="F125" s="412">
        <f t="shared" si="55"/>
        <v>0</v>
      </c>
      <c r="G125" s="412">
        <f t="shared" si="55"/>
        <v>0</v>
      </c>
      <c r="H125" s="412">
        <f t="shared" si="55"/>
        <v>0.31899468993400615</v>
      </c>
      <c r="I125" s="412">
        <f t="shared" si="55"/>
        <v>0.13854521010183907</v>
      </c>
      <c r="J125" s="412">
        <f t="shared" si="55"/>
        <v>5.6953582974997981E-2</v>
      </c>
      <c r="K125" s="412">
        <f t="shared" si="55"/>
        <v>0.98329963341689874</v>
      </c>
      <c r="L125" s="412">
        <f t="shared" si="55"/>
        <v>0.48152375650451668</v>
      </c>
      <c r="M125" s="412">
        <f t="shared" si="55"/>
        <v>1.9747969615415408</v>
      </c>
      <c r="N125" s="412">
        <f t="shared" si="55"/>
        <v>0.48633987338589235</v>
      </c>
      <c r="O125" s="412">
        <f>IFERROR(-O11/O106,0)</f>
        <v>0.43855172334772219</v>
      </c>
      <c r="P125" s="413">
        <f t="shared" si="55"/>
        <v>0</v>
      </c>
      <c r="Q125" s="413">
        <f t="shared" si="55"/>
        <v>0</v>
      </c>
      <c r="R125" s="413">
        <f t="shared" si="55"/>
        <v>0</v>
      </c>
      <c r="S125" s="413">
        <f t="shared" si="55"/>
        <v>0</v>
      </c>
      <c r="T125" s="413">
        <f t="shared" si="55"/>
        <v>0</v>
      </c>
      <c r="U125" s="413">
        <f t="shared" si="55"/>
        <v>0</v>
      </c>
      <c r="V125" s="413">
        <f t="shared" si="55"/>
        <v>0</v>
      </c>
      <c r="W125" s="413">
        <f t="shared" ca="1" si="55"/>
        <v>0</v>
      </c>
      <c r="X125" s="413">
        <f t="shared" ca="1" si="55"/>
        <v>0</v>
      </c>
      <c r="Y125" s="413">
        <f t="shared" ca="1" si="55"/>
        <v>0</v>
      </c>
    </row>
    <row r="126" spans="2:25" ht="12.75" customHeight="1">
      <c r="B126" s="4" t="s">
        <v>119</v>
      </c>
      <c r="C126" s="4"/>
      <c r="D126" s="40"/>
      <c r="E126" s="40"/>
      <c r="F126" s="40"/>
      <c r="G126" s="40"/>
      <c r="H126" s="40"/>
      <c r="I126" s="40"/>
      <c r="J126" s="40"/>
      <c r="K126" s="40"/>
      <c r="L126" s="40"/>
      <c r="M126" s="40"/>
      <c r="N126" s="40"/>
      <c r="O126" s="40"/>
      <c r="P126" s="30"/>
      <c r="Q126" s="30"/>
      <c r="R126" s="30"/>
      <c r="S126" s="30"/>
      <c r="T126" s="30"/>
      <c r="U126" s="30"/>
      <c r="V126" s="30"/>
      <c r="W126" s="30"/>
      <c r="X126" s="30"/>
      <c r="Y126" s="30"/>
    </row>
    <row r="127" spans="2:25" ht="12.75" customHeight="1">
      <c r="B127" s="8" t="s">
        <v>337</v>
      </c>
      <c r="C127" s="8"/>
      <c r="D127" s="412">
        <f t="shared" ref="D127:Y127" si="56">IFERROR(D38/D51,0)</f>
        <v>0</v>
      </c>
      <c r="E127" s="412">
        <f t="shared" si="56"/>
        <v>0</v>
      </c>
      <c r="F127" s="412">
        <f t="shared" si="56"/>
        <v>0</v>
      </c>
      <c r="G127" s="412">
        <f t="shared" si="56"/>
        <v>0</v>
      </c>
      <c r="H127" s="412">
        <f t="shared" si="56"/>
        <v>1.6732727032984809</v>
      </c>
      <c r="I127" s="412">
        <f t="shared" si="56"/>
        <v>1.4409432640090072</v>
      </c>
      <c r="J127" s="412">
        <f t="shared" si="56"/>
        <v>1.1701971644590194</v>
      </c>
      <c r="K127" s="412">
        <f t="shared" si="56"/>
        <v>1.4198307859140087</v>
      </c>
      <c r="L127" s="412">
        <f t="shared" si="56"/>
        <v>1.4162271146749066</v>
      </c>
      <c r="M127" s="412">
        <f t="shared" si="56"/>
        <v>2.4923950533889929</v>
      </c>
      <c r="N127" s="412">
        <f t="shared" si="56"/>
        <v>1.7582568320836691</v>
      </c>
      <c r="O127" s="412">
        <f>IFERROR(O38/O51,0)</f>
        <v>1.7391080396284955</v>
      </c>
      <c r="P127" s="413">
        <f t="shared" si="56"/>
        <v>0</v>
      </c>
      <c r="Q127" s="413">
        <f t="shared" si="56"/>
        <v>0</v>
      </c>
      <c r="R127" s="413">
        <f t="shared" si="56"/>
        <v>0</v>
      </c>
      <c r="S127" s="413">
        <f t="shared" si="56"/>
        <v>0</v>
      </c>
      <c r="T127" s="413">
        <f t="shared" si="56"/>
        <v>0</v>
      </c>
      <c r="U127" s="413">
        <f t="shared" si="56"/>
        <v>0</v>
      </c>
      <c r="V127" s="413">
        <f t="shared" si="56"/>
        <v>0</v>
      </c>
      <c r="W127" s="413">
        <f t="shared" si="56"/>
        <v>0</v>
      </c>
      <c r="X127" s="413">
        <f t="shared" si="56"/>
        <v>0</v>
      </c>
      <c r="Y127" s="413">
        <f t="shared" si="56"/>
        <v>0</v>
      </c>
    </row>
    <row r="128" spans="2:25" ht="12.75" customHeight="1">
      <c r="B128" s="25" t="s">
        <v>336</v>
      </c>
      <c r="C128" s="25"/>
      <c r="D128" s="412">
        <f t="shared" ref="D128:Y128" si="57">IFERROR((D38-D36)/D51,0)</f>
        <v>0</v>
      </c>
      <c r="E128" s="412">
        <f t="shared" si="57"/>
        <v>0</v>
      </c>
      <c r="F128" s="412">
        <f t="shared" si="57"/>
        <v>0</v>
      </c>
      <c r="G128" s="412">
        <f t="shared" si="57"/>
        <v>0</v>
      </c>
      <c r="H128" s="412">
        <f t="shared" si="57"/>
        <v>1.3767355006775557</v>
      </c>
      <c r="I128" s="412">
        <f t="shared" si="57"/>
        <v>1.1869136726140708</v>
      </c>
      <c r="J128" s="412">
        <f t="shared" si="57"/>
        <v>0.73730183851806574</v>
      </c>
      <c r="K128" s="412">
        <f t="shared" si="57"/>
        <v>0.76502423243836792</v>
      </c>
      <c r="L128" s="412">
        <f t="shared" si="57"/>
        <v>1.212956910032196</v>
      </c>
      <c r="M128" s="412">
        <f t="shared" si="57"/>
        <v>1.9377582880728166</v>
      </c>
      <c r="N128" s="412">
        <f t="shared" si="57"/>
        <v>0.94356229347796294</v>
      </c>
      <c r="O128" s="412">
        <f>IFERROR((O38-O36)/O51,0)</f>
        <v>1.2219821127187231</v>
      </c>
      <c r="P128" s="413">
        <f t="shared" si="57"/>
        <v>0</v>
      </c>
      <c r="Q128" s="413">
        <f t="shared" si="57"/>
        <v>0</v>
      </c>
      <c r="R128" s="413">
        <f t="shared" si="57"/>
        <v>0</v>
      </c>
      <c r="S128" s="413">
        <f t="shared" si="57"/>
        <v>0</v>
      </c>
      <c r="T128" s="413">
        <f t="shared" si="57"/>
        <v>0</v>
      </c>
      <c r="U128" s="413">
        <f t="shared" si="57"/>
        <v>0</v>
      </c>
      <c r="V128" s="413">
        <f t="shared" si="57"/>
        <v>0</v>
      </c>
      <c r="W128" s="413">
        <f t="shared" si="57"/>
        <v>0</v>
      </c>
      <c r="X128" s="413">
        <f t="shared" si="57"/>
        <v>0</v>
      </c>
      <c r="Y128" s="413">
        <f t="shared" si="57"/>
        <v>0</v>
      </c>
    </row>
    <row r="129" spans="2:26" ht="12.75" customHeight="1">
      <c r="B129" s="25" t="s">
        <v>120</v>
      </c>
      <c r="C129" s="25"/>
      <c r="D129" s="412">
        <f t="shared" ref="D129:Y129" si="58">IFERROR(D33/D51,0)</f>
        <v>0</v>
      </c>
      <c r="E129" s="412">
        <f t="shared" si="58"/>
        <v>0</v>
      </c>
      <c r="F129" s="412">
        <f t="shared" si="58"/>
        <v>0</v>
      </c>
      <c r="G129" s="412">
        <f t="shared" si="58"/>
        <v>0</v>
      </c>
      <c r="H129" s="412">
        <f t="shared" si="58"/>
        <v>0.84852321467642766</v>
      </c>
      <c r="I129" s="412">
        <f t="shared" si="58"/>
        <v>0.21259373801025325</v>
      </c>
      <c r="J129" s="412">
        <f t="shared" si="58"/>
        <v>0.20169810356907769</v>
      </c>
      <c r="K129" s="412">
        <f t="shared" si="58"/>
        <v>0.42412477103591273</v>
      </c>
      <c r="L129" s="412">
        <f t="shared" si="58"/>
        <v>0.25949796282117149</v>
      </c>
      <c r="M129" s="412">
        <f t="shared" si="58"/>
        <v>0.58402064683436372</v>
      </c>
      <c r="N129" s="412">
        <f t="shared" si="58"/>
        <v>0.13720381240179891</v>
      </c>
      <c r="O129" s="412">
        <f>IFERROR(O33/O51,0)</f>
        <v>0.80419372400902256</v>
      </c>
      <c r="P129" s="413">
        <f t="shared" si="58"/>
        <v>0</v>
      </c>
      <c r="Q129" s="413">
        <f t="shared" si="58"/>
        <v>0</v>
      </c>
      <c r="R129" s="413">
        <f t="shared" si="58"/>
        <v>0</v>
      </c>
      <c r="S129" s="413">
        <f t="shared" si="58"/>
        <v>0</v>
      </c>
      <c r="T129" s="413">
        <f t="shared" si="58"/>
        <v>0</v>
      </c>
      <c r="U129" s="413">
        <f t="shared" si="58"/>
        <v>0</v>
      </c>
      <c r="V129" s="413">
        <f t="shared" si="58"/>
        <v>0</v>
      </c>
      <c r="W129" s="413">
        <f t="shared" si="58"/>
        <v>0</v>
      </c>
      <c r="X129" s="413">
        <f t="shared" si="58"/>
        <v>0</v>
      </c>
      <c r="Y129" s="413">
        <f t="shared" si="58"/>
        <v>0</v>
      </c>
    </row>
    <row r="130" spans="2:26" ht="12.75" customHeight="1">
      <c r="B130" s="4" t="s">
        <v>333</v>
      </c>
      <c r="C130" s="4"/>
      <c r="D130" s="309"/>
      <c r="E130" s="309"/>
      <c r="F130" s="309"/>
      <c r="G130" s="309"/>
      <c r="H130" s="309"/>
      <c r="I130" s="309"/>
      <c r="J130" s="309"/>
      <c r="K130" s="309"/>
      <c r="L130" s="309"/>
      <c r="M130" s="309"/>
      <c r="N130" s="309"/>
      <c r="O130" s="309"/>
      <c r="P130" s="2"/>
      <c r="Q130" s="2"/>
      <c r="R130" s="2"/>
      <c r="S130" s="2"/>
      <c r="T130" s="2"/>
      <c r="U130" s="2"/>
      <c r="V130" s="2"/>
      <c r="W130" s="2"/>
      <c r="X130" s="2"/>
      <c r="Y130" s="2"/>
    </row>
    <row r="131" spans="2:26" ht="12.75" customHeight="1">
      <c r="B131" s="8" t="s">
        <v>334</v>
      </c>
      <c r="C131" s="8"/>
      <c r="D131" s="473">
        <f t="shared" ref="D131:J131" si="59">IFERROR((D49+D52)/D45,0)</f>
        <v>0</v>
      </c>
      <c r="E131" s="473">
        <f t="shared" si="59"/>
        <v>0</v>
      </c>
      <c r="F131" s="473">
        <f t="shared" si="59"/>
        <v>0</v>
      </c>
      <c r="G131" s="473">
        <f t="shared" si="59"/>
        <v>0</v>
      </c>
      <c r="H131" s="473">
        <f t="shared" si="59"/>
        <v>0</v>
      </c>
      <c r="I131" s="473">
        <f t="shared" si="59"/>
        <v>5.2614407673139484E-2</v>
      </c>
      <c r="J131" s="473">
        <f t="shared" si="59"/>
        <v>0.23269793724622576</v>
      </c>
      <c r="K131" s="473">
        <f>IFERROR((K49+K52)/K45,0)</f>
        <v>0.27972691491535823</v>
      </c>
      <c r="L131" s="473">
        <f t="shared" ref="L131:Y131" si="60">IFERROR((L49+L52)/L45,0)</f>
        <v>0.1364916019523866</v>
      </c>
      <c r="M131" s="473">
        <f t="shared" si="60"/>
        <v>6.9294934386153852E-4</v>
      </c>
      <c r="N131" s="473">
        <f t="shared" si="60"/>
        <v>5.4970171689747729E-2</v>
      </c>
      <c r="O131" s="473">
        <f>IFERROR((O49+O52)/O45,0)</f>
        <v>5.5594554810128642E-2</v>
      </c>
      <c r="P131" s="474">
        <f t="shared" si="60"/>
        <v>0</v>
      </c>
      <c r="Q131" s="474">
        <f t="shared" si="60"/>
        <v>0</v>
      </c>
      <c r="R131" s="474">
        <f t="shared" si="60"/>
        <v>0</v>
      </c>
      <c r="S131" s="474">
        <f t="shared" si="60"/>
        <v>0</v>
      </c>
      <c r="T131" s="474">
        <f t="shared" si="60"/>
        <v>0</v>
      </c>
      <c r="U131" s="474">
        <f t="shared" si="60"/>
        <v>0</v>
      </c>
      <c r="V131" s="474">
        <f t="shared" si="60"/>
        <v>0</v>
      </c>
      <c r="W131" s="474">
        <f t="shared" si="60"/>
        <v>0</v>
      </c>
      <c r="X131" s="474">
        <f t="shared" si="60"/>
        <v>0</v>
      </c>
      <c r="Y131" s="474">
        <f t="shared" si="60"/>
        <v>0</v>
      </c>
    </row>
    <row r="132" spans="2:26" ht="12.75" customHeight="1">
      <c r="B132" s="8" t="s">
        <v>450</v>
      </c>
      <c r="C132" s="8"/>
      <c r="D132" s="473">
        <f t="shared" ref="D132:Y132" si="61">IFERROR((D49+D52)/(D49+D52+D61),0)</f>
        <v>0</v>
      </c>
      <c r="E132" s="473">
        <f t="shared" si="61"/>
        <v>0</v>
      </c>
      <c r="F132" s="473">
        <f t="shared" si="61"/>
        <v>0</v>
      </c>
      <c r="G132" s="473">
        <f t="shared" si="61"/>
        <v>0</v>
      </c>
      <c r="H132" s="473">
        <f t="shared" si="61"/>
        <v>0</v>
      </c>
      <c r="I132" s="473">
        <f t="shared" si="61"/>
        <v>0.12194719889937961</v>
      </c>
      <c r="J132" s="473">
        <f t="shared" si="61"/>
        <v>0.45866875527345208</v>
      </c>
      <c r="K132" s="473">
        <f t="shared" si="61"/>
        <v>0.39965546234443922</v>
      </c>
      <c r="L132" s="473">
        <f t="shared" si="61"/>
        <v>0.20923090425894819</v>
      </c>
      <c r="M132" s="473">
        <f t="shared" si="61"/>
        <v>9.751794212495119E-4</v>
      </c>
      <c r="N132" s="473">
        <f t="shared" si="61"/>
        <v>9.5065134724425321E-2</v>
      </c>
      <c r="O132" s="473">
        <f>IFERROR((O49+O52)/(O49+O52+O61),0)</f>
        <v>0.10073445942807753</v>
      </c>
      <c r="P132" s="474">
        <f t="shared" si="61"/>
        <v>0</v>
      </c>
      <c r="Q132" s="474">
        <f t="shared" si="61"/>
        <v>0</v>
      </c>
      <c r="R132" s="474">
        <f t="shared" si="61"/>
        <v>0</v>
      </c>
      <c r="S132" s="474">
        <f t="shared" si="61"/>
        <v>0</v>
      </c>
      <c r="T132" s="474">
        <f t="shared" si="61"/>
        <v>0</v>
      </c>
      <c r="U132" s="474">
        <f t="shared" si="61"/>
        <v>0</v>
      </c>
      <c r="V132" s="474">
        <f t="shared" si="61"/>
        <v>0</v>
      </c>
      <c r="W132" s="474">
        <f t="shared" si="61"/>
        <v>0</v>
      </c>
      <c r="X132" s="474">
        <f t="shared" si="61"/>
        <v>0</v>
      </c>
      <c r="Y132" s="474">
        <f t="shared" si="61"/>
        <v>0</v>
      </c>
    </row>
    <row r="133" spans="2:26" ht="12.75" customHeight="1">
      <c r="B133" s="5" t="s">
        <v>360</v>
      </c>
      <c r="D133" s="473">
        <f t="shared" ref="D133:Y133" si="62">IFERROR((D49+D52)/D61,0)</f>
        <v>0</v>
      </c>
      <c r="E133" s="473">
        <f t="shared" si="62"/>
        <v>0</v>
      </c>
      <c r="F133" s="473">
        <f t="shared" si="62"/>
        <v>0</v>
      </c>
      <c r="G133" s="473">
        <f t="shared" si="62"/>
        <v>0</v>
      </c>
      <c r="H133" s="473">
        <f t="shared" si="62"/>
        <v>0</v>
      </c>
      <c r="I133" s="473">
        <f t="shared" si="62"/>
        <v>0.13888367390494213</v>
      </c>
      <c r="J133" s="473">
        <f t="shared" si="62"/>
        <v>0.84729776775613141</v>
      </c>
      <c r="K133" s="473">
        <f t="shared" si="62"/>
        <v>0.66571016687376927</v>
      </c>
      <c r="L133" s="827">
        <f t="shared" si="62"/>
        <v>0.26459165562467013</v>
      </c>
      <c r="M133" s="827">
        <f t="shared" si="62"/>
        <v>9.7613132442953248E-4</v>
      </c>
      <c r="N133" s="827">
        <f t="shared" si="62"/>
        <v>0.10505190856523766</v>
      </c>
      <c r="O133" s="827">
        <f>IFERROR((O49+O52)/O61,0)</f>
        <v>0.11201859170986533</v>
      </c>
      <c r="P133" s="828">
        <f t="shared" si="62"/>
        <v>0</v>
      </c>
      <c r="Q133" s="828">
        <f t="shared" si="62"/>
        <v>0</v>
      </c>
      <c r="R133" s="474">
        <f t="shared" si="62"/>
        <v>0</v>
      </c>
      <c r="S133" s="474">
        <f t="shared" si="62"/>
        <v>0</v>
      </c>
      <c r="T133" s="474">
        <f t="shared" si="62"/>
        <v>0</v>
      </c>
      <c r="U133" s="474">
        <f t="shared" si="62"/>
        <v>0</v>
      </c>
      <c r="V133" s="474">
        <f t="shared" si="62"/>
        <v>0</v>
      </c>
      <c r="W133" s="474">
        <f t="shared" si="62"/>
        <v>0</v>
      </c>
      <c r="X133" s="474">
        <f t="shared" si="62"/>
        <v>0</v>
      </c>
      <c r="Y133" s="474">
        <f t="shared" si="62"/>
        <v>0</v>
      </c>
    </row>
    <row r="134" spans="2:26" ht="12.75" customHeight="1">
      <c r="B134" s="5" t="s">
        <v>447</v>
      </c>
      <c r="D134" s="473">
        <f t="shared" ref="D134:Y134" si="63">IFERROR(D49/D45,0)</f>
        <v>0</v>
      </c>
      <c r="E134" s="473">
        <f t="shared" si="63"/>
        <v>0</v>
      </c>
      <c r="F134" s="473">
        <f t="shared" si="63"/>
        <v>0</v>
      </c>
      <c r="G134" s="473">
        <f t="shared" si="63"/>
        <v>0</v>
      </c>
      <c r="H134" s="473">
        <f t="shared" si="63"/>
        <v>0</v>
      </c>
      <c r="I134" s="473">
        <f t="shared" si="63"/>
        <v>5.2417840770251051E-2</v>
      </c>
      <c r="J134" s="473">
        <f t="shared" si="63"/>
        <v>0.2195362388016604</v>
      </c>
      <c r="K134" s="473">
        <f t="shared" si="63"/>
        <v>0.26131610086487372</v>
      </c>
      <c r="L134" s="473">
        <f t="shared" si="63"/>
        <v>0.12282175399264263</v>
      </c>
      <c r="M134" s="473">
        <f t="shared" si="63"/>
        <v>5.5116516674507266E-4</v>
      </c>
      <c r="N134" s="473">
        <f t="shared" si="63"/>
        <v>0</v>
      </c>
      <c r="O134" s="473">
        <f>IFERROR(O49/O45,0)</f>
        <v>4.6286592562884529E-4</v>
      </c>
      <c r="P134" s="474">
        <f t="shared" si="63"/>
        <v>0</v>
      </c>
      <c r="Q134" s="474">
        <f t="shared" si="63"/>
        <v>0</v>
      </c>
      <c r="R134" s="474">
        <f t="shared" si="63"/>
        <v>0</v>
      </c>
      <c r="S134" s="474">
        <f t="shared" si="63"/>
        <v>0</v>
      </c>
      <c r="T134" s="474">
        <f t="shared" si="63"/>
        <v>0</v>
      </c>
      <c r="U134" s="474">
        <f t="shared" si="63"/>
        <v>0</v>
      </c>
      <c r="V134" s="474">
        <f t="shared" si="63"/>
        <v>0</v>
      </c>
      <c r="W134" s="474">
        <f t="shared" si="63"/>
        <v>0</v>
      </c>
      <c r="X134" s="474">
        <f t="shared" si="63"/>
        <v>0</v>
      </c>
      <c r="Y134" s="474">
        <f t="shared" si="63"/>
        <v>0</v>
      </c>
    </row>
    <row r="135" spans="2:26" ht="12.75" customHeight="1">
      <c r="B135" s="8" t="s">
        <v>448</v>
      </c>
      <c r="C135" s="8"/>
      <c r="D135" s="307">
        <f t="shared" ref="D135:Y135" si="64">IFERROR(D52/D45,0)</f>
        <v>0</v>
      </c>
      <c r="E135" s="307">
        <f t="shared" si="64"/>
        <v>0</v>
      </c>
      <c r="F135" s="307">
        <f t="shared" si="64"/>
        <v>0</v>
      </c>
      <c r="G135" s="307">
        <f t="shared" si="64"/>
        <v>0</v>
      </c>
      <c r="H135" s="307">
        <f t="shared" si="64"/>
        <v>0</v>
      </c>
      <c r="I135" s="307">
        <f t="shared" si="64"/>
        <v>1.9656690288844144E-4</v>
      </c>
      <c r="J135" s="307">
        <f t="shared" si="64"/>
        <v>1.3161698444565361E-2</v>
      </c>
      <c r="K135" s="307">
        <f t="shared" si="64"/>
        <v>1.8410814050484527E-2</v>
      </c>
      <c r="L135" s="307">
        <f t="shared" si="64"/>
        <v>1.3669847959743969E-2</v>
      </c>
      <c r="M135" s="307">
        <f t="shared" si="64"/>
        <v>1.417841771164658E-4</v>
      </c>
      <c r="N135" s="307">
        <f t="shared" si="64"/>
        <v>5.4970171689747729E-2</v>
      </c>
      <c r="O135" s="307">
        <f>IFERROR(O52/O45,0)</f>
        <v>5.5131688884499798E-2</v>
      </c>
      <c r="P135" s="296">
        <f t="shared" si="64"/>
        <v>0</v>
      </c>
      <c r="Q135" s="296">
        <f t="shared" si="64"/>
        <v>0</v>
      </c>
      <c r="R135" s="296">
        <f t="shared" si="64"/>
        <v>0</v>
      </c>
      <c r="S135" s="296">
        <f t="shared" si="64"/>
        <v>0</v>
      </c>
      <c r="T135" s="296">
        <f t="shared" si="64"/>
        <v>0</v>
      </c>
      <c r="U135" s="296">
        <f t="shared" si="64"/>
        <v>0</v>
      </c>
      <c r="V135" s="296">
        <f t="shared" si="64"/>
        <v>0</v>
      </c>
      <c r="W135" s="296">
        <f t="shared" si="64"/>
        <v>0</v>
      </c>
      <c r="X135" s="296">
        <f t="shared" si="64"/>
        <v>0</v>
      </c>
      <c r="Y135" s="296">
        <f t="shared" si="64"/>
        <v>0</v>
      </c>
    </row>
    <row r="136" spans="2:26" ht="12.75" customHeight="1">
      <c r="B136" s="8" t="s">
        <v>127</v>
      </c>
      <c r="C136" s="8"/>
      <c r="D136" s="412">
        <f t="shared" ref="D136:Y136" si="65">IFERROR(-D18/D19,0)</f>
        <v>0</v>
      </c>
      <c r="E136" s="412">
        <f t="shared" si="65"/>
        <v>0</v>
      </c>
      <c r="F136" s="412">
        <f t="shared" si="65"/>
        <v>0</v>
      </c>
      <c r="G136" s="412">
        <f t="shared" si="65"/>
        <v>0</v>
      </c>
      <c r="H136" s="412">
        <f t="shared" si="65"/>
        <v>277.21455660913449</v>
      </c>
      <c r="I136" s="412">
        <f t="shared" si="65"/>
        <v>0</v>
      </c>
      <c r="J136" s="412">
        <f t="shared" si="65"/>
        <v>8818.3093289078697</v>
      </c>
      <c r="K136" s="412">
        <f t="shared" si="65"/>
        <v>107.65410418373995</v>
      </c>
      <c r="L136" s="412">
        <f t="shared" si="65"/>
        <v>2.4367797963950064</v>
      </c>
      <c r="M136" s="412">
        <f t="shared" si="65"/>
        <v>12.957126804310048</v>
      </c>
      <c r="N136" s="412">
        <f t="shared" si="65"/>
        <v>352.44647564820946</v>
      </c>
      <c r="O136" s="412">
        <f>IFERROR(-O18/O19,0)</f>
        <v>3360.3980845168476</v>
      </c>
      <c r="P136" s="413">
        <f t="shared" si="65"/>
        <v>0</v>
      </c>
      <c r="Q136" s="413">
        <f t="shared" si="65"/>
        <v>67.333333333333343</v>
      </c>
      <c r="R136" s="413">
        <f t="shared" si="65"/>
        <v>26.112326686415368</v>
      </c>
      <c r="S136" s="413">
        <f t="shared" si="65"/>
        <v>22.308903855994554</v>
      </c>
      <c r="T136" s="413">
        <f t="shared" si="65"/>
        <v>12.018268132605135</v>
      </c>
      <c r="U136" s="413">
        <f t="shared" si="65"/>
        <v>12.426599036938343</v>
      </c>
      <c r="V136" s="413">
        <f t="shared" si="65"/>
        <v>0</v>
      </c>
      <c r="W136" s="413">
        <f t="shared" ca="1" si="65"/>
        <v>0</v>
      </c>
      <c r="X136" s="413">
        <f t="shared" ca="1" si="65"/>
        <v>0</v>
      </c>
      <c r="Y136" s="413">
        <f t="shared" ca="1" si="65"/>
        <v>0</v>
      </c>
    </row>
    <row r="137" spans="2:26" ht="12.75" customHeight="1">
      <c r="B137" s="4" t="s">
        <v>339</v>
      </c>
      <c r="C137" s="4"/>
      <c r="D137" s="309"/>
      <c r="E137" s="309"/>
      <c r="F137" s="309"/>
      <c r="G137" s="309"/>
      <c r="H137" s="309"/>
      <c r="I137" s="309"/>
      <c r="J137" s="309"/>
      <c r="K137" s="309"/>
      <c r="L137" s="309"/>
      <c r="M137" s="309"/>
      <c r="N137" s="309"/>
      <c r="O137" s="309"/>
      <c r="P137" s="2"/>
      <c r="Q137" s="2"/>
      <c r="R137" s="2"/>
      <c r="S137" s="2"/>
      <c r="T137" s="2"/>
      <c r="U137" s="2"/>
      <c r="V137" s="2"/>
      <c r="W137" s="2"/>
      <c r="X137" s="2"/>
      <c r="Y137" s="2"/>
    </row>
    <row r="138" spans="2:26" ht="12.75" customHeight="1">
      <c r="B138" s="8" t="s">
        <v>340</v>
      </c>
      <c r="C138" s="8"/>
      <c r="D138" s="412">
        <f t="shared" ref="D138:M138" si="66">IFERROR(D96/D24,0)</f>
        <v>0</v>
      </c>
      <c r="E138" s="412">
        <f t="shared" si="66"/>
        <v>0</v>
      </c>
      <c r="F138" s="412">
        <f t="shared" si="66"/>
        <v>0</v>
      </c>
      <c r="G138" s="412">
        <f t="shared" si="66"/>
        <v>0</v>
      </c>
      <c r="H138" s="412">
        <f t="shared" si="66"/>
        <v>0</v>
      </c>
      <c r="I138" s="412">
        <f t="shared" si="66"/>
        <v>0</v>
      </c>
      <c r="J138" s="412">
        <f t="shared" si="66"/>
        <v>0</v>
      </c>
      <c r="K138" s="412">
        <f t="shared" si="66"/>
        <v>2.6470850152751519</v>
      </c>
      <c r="L138" s="412">
        <f t="shared" si="66"/>
        <v>15.517559277259391</v>
      </c>
      <c r="M138" s="412">
        <f t="shared" si="66"/>
        <v>11.541661998498192</v>
      </c>
      <c r="N138" s="412">
        <f>IFERROR(N96/N24,0)</f>
        <v>10.143480182598969</v>
      </c>
      <c r="O138" s="412">
        <f>IFERROR(O96/O24,0)</f>
        <v>7.1052142074140159</v>
      </c>
      <c r="P138" s="413">
        <f>IFERROR(P95/P24,0)</f>
        <v>0</v>
      </c>
      <c r="Q138" s="413">
        <f t="shared" ref="Q138:Y138" si="67">IFERROR(Q95/Q24,0)</f>
        <v>0</v>
      </c>
      <c r="R138" s="413">
        <f t="shared" si="67"/>
        <v>0</v>
      </c>
      <c r="S138" s="413">
        <f t="shared" si="67"/>
        <v>0</v>
      </c>
      <c r="T138" s="413">
        <f t="shared" si="67"/>
        <v>0</v>
      </c>
      <c r="U138" s="413">
        <f t="shared" si="67"/>
        <v>0</v>
      </c>
      <c r="V138" s="413">
        <f t="shared" si="67"/>
        <v>0</v>
      </c>
      <c r="W138" s="413">
        <f t="shared" si="67"/>
        <v>0</v>
      </c>
      <c r="X138" s="413">
        <f t="shared" si="67"/>
        <v>0</v>
      </c>
      <c r="Y138" s="413">
        <f t="shared" si="67"/>
        <v>0</v>
      </c>
    </row>
    <row r="139" spans="2:26" ht="12.75" customHeight="1">
      <c r="B139" s="8" t="s">
        <v>341</v>
      </c>
      <c r="C139" s="8"/>
      <c r="D139" s="412">
        <f t="shared" ref="D139:M139" si="68">IFERROR($D$1/D142,0)</f>
        <v>0</v>
      </c>
      <c r="E139" s="412">
        <f t="shared" si="68"/>
        <v>0</v>
      </c>
      <c r="F139" s="412">
        <f t="shared" si="68"/>
        <v>0</v>
      </c>
      <c r="G139" s="412">
        <f t="shared" si="68"/>
        <v>0</v>
      </c>
      <c r="H139" s="412">
        <f t="shared" si="68"/>
        <v>0</v>
      </c>
      <c r="I139" s="412">
        <f t="shared" si="68"/>
        <v>0</v>
      </c>
      <c r="J139" s="412">
        <f t="shared" si="68"/>
        <v>0</v>
      </c>
      <c r="K139" s="412">
        <f t="shared" si="68"/>
        <v>0.78325775835354539</v>
      </c>
      <c r="L139" s="412">
        <f t="shared" si="68"/>
        <v>1.5844940211275615</v>
      </c>
      <c r="M139" s="412">
        <f t="shared" si="68"/>
        <v>1.5020618615584573</v>
      </c>
      <c r="N139" s="412">
        <f>IFERROR($D$1/N142,0)</f>
        <v>1.657471666750272</v>
      </c>
      <c r="O139" s="412">
        <f>IFERROR($D$1/O142,0)</f>
        <v>1.1892176236689429</v>
      </c>
      <c r="P139" s="413">
        <f t="shared" ref="P139:Y139" si="69">IFERROR(P90/P142,0)</f>
        <v>0</v>
      </c>
      <c r="Q139" s="413">
        <f t="shared" si="69"/>
        <v>0</v>
      </c>
      <c r="R139" s="413">
        <f t="shared" si="69"/>
        <v>0</v>
      </c>
      <c r="S139" s="413">
        <f t="shared" si="69"/>
        <v>0</v>
      </c>
      <c r="T139" s="413">
        <f t="shared" si="69"/>
        <v>0</v>
      </c>
      <c r="U139" s="413">
        <f t="shared" si="69"/>
        <v>0</v>
      </c>
      <c r="V139" s="413">
        <f t="shared" si="69"/>
        <v>0</v>
      </c>
      <c r="W139" s="413">
        <f t="shared" si="69"/>
        <v>0</v>
      </c>
      <c r="X139" s="413">
        <f t="shared" si="69"/>
        <v>0</v>
      </c>
      <c r="Y139" s="413">
        <f t="shared" si="69"/>
        <v>0</v>
      </c>
    </row>
    <row r="140" spans="2:26" ht="12.75" customHeight="1">
      <c r="B140" s="8" t="s">
        <v>116</v>
      </c>
      <c r="C140" s="8"/>
      <c r="D140" s="412">
        <f t="shared" ref="D140:M140" si="70">IFERROR(D99/D27,0)</f>
        <v>0</v>
      </c>
      <c r="E140" s="412">
        <f t="shared" si="70"/>
        <v>0</v>
      </c>
      <c r="F140" s="412">
        <f t="shared" si="70"/>
        <v>0</v>
      </c>
      <c r="G140" s="412">
        <f t="shared" si="70"/>
        <v>0</v>
      </c>
      <c r="H140" s="412">
        <f t="shared" si="70"/>
        <v>0</v>
      </c>
      <c r="I140" s="412">
        <f t="shared" si="70"/>
        <v>0</v>
      </c>
      <c r="J140" s="412">
        <f t="shared" si="70"/>
        <v>0</v>
      </c>
      <c r="K140" s="412">
        <f t="shared" si="70"/>
        <v>2.3583614297966009</v>
      </c>
      <c r="L140" s="412">
        <f t="shared" si="70"/>
        <v>4.6558568080516682</v>
      </c>
      <c r="M140" s="412">
        <f t="shared" si="70"/>
        <v>6.2709966225109204</v>
      </c>
      <c r="N140" s="412">
        <f>IFERROR(N99/N27,0)</f>
        <v>7.0461371045277215</v>
      </c>
      <c r="O140" s="412">
        <f>IFERROR(O99/O27,0)</f>
        <v>2.25394232078163</v>
      </c>
      <c r="P140" s="413">
        <f t="shared" ref="P140:Y140" si="71">IFERROR(P99/P27,0)</f>
        <v>0</v>
      </c>
      <c r="Q140" s="413">
        <f t="shared" si="71"/>
        <v>0</v>
      </c>
      <c r="R140" s="413">
        <f t="shared" si="71"/>
        <v>0</v>
      </c>
      <c r="S140" s="413">
        <f t="shared" si="71"/>
        <v>0</v>
      </c>
      <c r="T140" s="413">
        <f t="shared" si="71"/>
        <v>0</v>
      </c>
      <c r="U140" s="413">
        <f t="shared" si="71"/>
        <v>0</v>
      </c>
      <c r="V140" s="413">
        <f t="shared" si="71"/>
        <v>0</v>
      </c>
      <c r="W140" s="413">
        <f t="shared" ca="1" si="71"/>
        <v>0</v>
      </c>
      <c r="X140" s="413">
        <f t="shared" ca="1" si="71"/>
        <v>0</v>
      </c>
      <c r="Y140" s="413">
        <f t="shared" ca="1" si="71"/>
        <v>0</v>
      </c>
    </row>
    <row r="141" spans="2:26" ht="12.75" customHeight="1">
      <c r="B141" s="8" t="s">
        <v>635</v>
      </c>
      <c r="C141" s="8"/>
      <c r="D141" s="412" t="e">
        <f t="shared" ref="D141:M141" si="72">D99/D10</f>
        <v>#DIV/0!</v>
      </c>
      <c r="E141" s="412" t="e">
        <f t="shared" si="72"/>
        <v>#DIV/0!</v>
      </c>
      <c r="F141" s="412" t="e">
        <f t="shared" si="72"/>
        <v>#DIV/0!</v>
      </c>
      <c r="G141" s="412" t="e">
        <f t="shared" si="72"/>
        <v>#DIV/0!</v>
      </c>
      <c r="H141" s="412">
        <f t="shared" si="72"/>
        <v>0</v>
      </c>
      <c r="I141" s="412">
        <f t="shared" si="72"/>
        <v>0</v>
      </c>
      <c r="J141" s="412">
        <f t="shared" si="72"/>
        <v>0</v>
      </c>
      <c r="K141" s="412">
        <f t="shared" si="72"/>
        <v>0.71345382080587461</v>
      </c>
      <c r="L141" s="412">
        <f t="shared" si="72"/>
        <v>1.5747561370471317</v>
      </c>
      <c r="M141" s="412">
        <f t="shared" si="72"/>
        <v>1.3783569720461735</v>
      </c>
      <c r="N141" s="412">
        <f>N99/N10</f>
        <v>2.5302009548025661</v>
      </c>
      <c r="O141" s="412">
        <f>O99/O10</f>
        <v>1.1966830289243127</v>
      </c>
      <c r="P141" s="413" t="e">
        <f t="shared" ref="P141:Y141" si="73">P99/P10</f>
        <v>#REF!</v>
      </c>
      <c r="Q141" s="413">
        <f t="shared" si="73"/>
        <v>0</v>
      </c>
      <c r="R141" s="413">
        <f t="shared" si="73"/>
        <v>0</v>
      </c>
      <c r="S141" s="413">
        <f t="shared" si="73"/>
        <v>0</v>
      </c>
      <c r="T141" s="413">
        <f t="shared" si="73"/>
        <v>0</v>
      </c>
      <c r="U141" s="413">
        <f t="shared" si="73"/>
        <v>0</v>
      </c>
      <c r="V141" s="413" t="e">
        <f t="shared" si="73"/>
        <v>#DIV/0!</v>
      </c>
      <c r="W141" s="413" t="e">
        <f t="shared" ca="1" si="73"/>
        <v>#DIV/0!</v>
      </c>
      <c r="X141" s="413" t="e">
        <f t="shared" ca="1" si="73"/>
        <v>#DIV/0!</v>
      </c>
      <c r="Y141" s="413" t="e">
        <f t="shared" ca="1" si="73"/>
        <v>#DIV/0!</v>
      </c>
      <c r="Z141" s="413"/>
    </row>
    <row r="142" spans="2:26" ht="12.75" customHeight="1">
      <c r="B142" s="8" t="s">
        <v>115</v>
      </c>
      <c r="C142" s="8"/>
      <c r="D142" s="348">
        <f t="shared" ref="D142:Y142" si="74">IFERROR((D61-D60)/D30*10^3,0)</f>
        <v>0</v>
      </c>
      <c r="E142" s="348">
        <f t="shared" si="74"/>
        <v>0</v>
      </c>
      <c r="F142" s="348">
        <f t="shared" si="74"/>
        <v>0</v>
      </c>
      <c r="G142" s="348">
        <f t="shared" si="74"/>
        <v>0</v>
      </c>
      <c r="H142" s="348">
        <f t="shared" si="74"/>
        <v>0</v>
      </c>
      <c r="I142" s="348">
        <f t="shared" si="74"/>
        <v>0</v>
      </c>
      <c r="J142" s="348">
        <f t="shared" si="74"/>
        <v>0</v>
      </c>
      <c r="K142" s="348">
        <f t="shared" si="74"/>
        <v>20299.83084166667</v>
      </c>
      <c r="L142" s="348">
        <f t="shared" ref="L142:Q142" si="75">IFERROR((L61-L60)/L2*10^3,0)</f>
        <v>10034.74913</v>
      </c>
      <c r="M142" s="348">
        <f t="shared" si="75"/>
        <v>10585.449512380954</v>
      </c>
      <c r="N142" s="348">
        <f t="shared" si="75"/>
        <v>9592.9241621212113</v>
      </c>
      <c r="O142" s="348">
        <f t="shared" si="75"/>
        <v>13370.134854666667</v>
      </c>
      <c r="P142" s="348">
        <f t="shared" si="75"/>
        <v>0</v>
      </c>
      <c r="Q142" s="348">
        <f t="shared" si="75"/>
        <v>0</v>
      </c>
      <c r="R142" s="530">
        <f t="shared" si="74"/>
        <v>0</v>
      </c>
      <c r="S142" s="530">
        <f t="shared" si="74"/>
        <v>0</v>
      </c>
      <c r="T142" s="530">
        <f t="shared" si="74"/>
        <v>0</v>
      </c>
      <c r="U142" s="530">
        <f t="shared" si="74"/>
        <v>0</v>
      </c>
      <c r="V142" s="530">
        <f t="shared" si="74"/>
        <v>0</v>
      </c>
      <c r="W142" s="530">
        <f t="shared" si="74"/>
        <v>0</v>
      </c>
      <c r="X142" s="530">
        <f t="shared" si="74"/>
        <v>0</v>
      </c>
      <c r="Y142" s="530">
        <f t="shared" si="74"/>
        <v>0</v>
      </c>
      <c r="Z142" s="413"/>
    </row>
    <row r="143" spans="2:26" ht="12.75" customHeight="1">
      <c r="B143" s="8"/>
      <c r="C143" s="8"/>
      <c r="D143" s="39"/>
      <c r="E143" s="39"/>
      <c r="F143" s="39"/>
      <c r="G143" s="39"/>
      <c r="H143" s="39"/>
      <c r="I143" s="39"/>
      <c r="J143" s="39"/>
      <c r="K143" s="39"/>
      <c r="L143" s="39"/>
      <c r="M143" s="39"/>
      <c r="N143" s="927">
        <f t="shared" ref="N143:S143" si="76">14200/N142</f>
        <v>1.4802577149593623</v>
      </c>
      <c r="O143" s="927">
        <f t="shared" si="76"/>
        <v>1.0620685695659742</v>
      </c>
      <c r="P143" s="927" t="e">
        <f t="shared" si="76"/>
        <v>#DIV/0!</v>
      </c>
      <c r="Q143" s="927" t="e">
        <f t="shared" si="76"/>
        <v>#DIV/0!</v>
      </c>
      <c r="R143" s="927" t="e">
        <f t="shared" si="76"/>
        <v>#DIV/0!</v>
      </c>
      <c r="S143" s="927" t="e">
        <f t="shared" si="76"/>
        <v>#DIV/0!</v>
      </c>
      <c r="T143" s="531"/>
      <c r="U143" s="531"/>
      <c r="V143" s="531"/>
      <c r="W143" s="531"/>
      <c r="X143" s="531"/>
      <c r="Y143" s="531"/>
    </row>
    <row r="144" spans="2:26" ht="12.75" customHeight="1">
      <c r="B144" s="8" t="s">
        <v>113</v>
      </c>
      <c r="C144" s="8"/>
      <c r="D144" s="347">
        <f>Bloomberg!C63/100</f>
        <v>0</v>
      </c>
      <c r="E144" s="347">
        <f>Bloomberg!D63/100</f>
        <v>0</v>
      </c>
      <c r="F144" s="347">
        <f>Bloomberg!E63/100</f>
        <v>0</v>
      </c>
      <c r="G144" s="347">
        <f>Bloomberg!F63/100</f>
        <v>0</v>
      </c>
      <c r="H144" s="347">
        <f>Bloomberg!G63/100</f>
        <v>0</v>
      </c>
      <c r="I144" s="347">
        <f>Bloomberg!H63/100</f>
        <v>0</v>
      </c>
      <c r="J144" s="347">
        <f>Bloomberg!I63/100</f>
        <v>6.3434999999999991E-2</v>
      </c>
      <c r="K144" s="347">
        <f>Bloomberg!J63/100</f>
        <v>0.119392</v>
      </c>
      <c r="L144" s="347">
        <f>Bloomberg!K63/100</f>
        <v>0</v>
      </c>
      <c r="M144" s="347">
        <f>Bloomberg!L63/100</f>
        <v>0</v>
      </c>
      <c r="N144" s="347">
        <f>Bloomberg!M63/100</f>
        <v>0</v>
      </c>
      <c r="O144" s="347">
        <f>Bloomberg!N63/100</f>
        <v>0</v>
      </c>
      <c r="P144" s="337">
        <f t="shared" ref="P144:Y144" si="77">IFERROR(ABS(P78)/P95,0)</f>
        <v>0</v>
      </c>
      <c r="Q144" s="337">
        <f t="shared" si="77"/>
        <v>0</v>
      </c>
      <c r="R144" s="337">
        <f t="shared" si="77"/>
        <v>0</v>
      </c>
      <c r="S144" s="337">
        <f t="shared" si="77"/>
        <v>0</v>
      </c>
      <c r="T144" s="337">
        <f t="shared" si="77"/>
        <v>0</v>
      </c>
      <c r="U144" s="337">
        <f t="shared" si="77"/>
        <v>0</v>
      </c>
      <c r="V144" s="337">
        <f t="shared" si="77"/>
        <v>0</v>
      </c>
      <c r="W144" s="337">
        <f t="shared" si="77"/>
        <v>0</v>
      </c>
      <c r="X144" s="337">
        <f t="shared" si="77"/>
        <v>0</v>
      </c>
      <c r="Y144" s="337">
        <f t="shared" si="77"/>
        <v>0</v>
      </c>
    </row>
    <row r="145" spans="2:25" ht="12.75" customHeight="1">
      <c r="B145" s="8" t="s">
        <v>342</v>
      </c>
      <c r="C145" s="8"/>
      <c r="D145" s="347">
        <f>Bloomberg!C64/100</f>
        <v>0</v>
      </c>
      <c r="E145" s="347">
        <f>Bloomberg!D64/100</f>
        <v>0</v>
      </c>
      <c r="F145" s="347">
        <f>Bloomberg!E64/100</f>
        <v>0</v>
      </c>
      <c r="G145" s="347">
        <f>Bloomberg!F64/100</f>
        <v>0</v>
      </c>
      <c r="H145" s="347">
        <f>Bloomberg!G64/100</f>
        <v>0</v>
      </c>
      <c r="I145" s="347">
        <f>Bloomberg!H64/100</f>
        <v>0</v>
      </c>
      <c r="J145" s="347">
        <f>Bloomberg!I64/100</f>
        <v>0.73411300000000002</v>
      </c>
      <c r="K145" s="347">
        <f>Bloomberg!J64/100</f>
        <v>0.59218099999999996</v>
      </c>
      <c r="L145" s="347">
        <f>Bloomberg!K64/100</f>
        <v>0</v>
      </c>
      <c r="M145" s="347">
        <f>Bloomberg!L64/100</f>
        <v>0</v>
      </c>
      <c r="N145" s="347">
        <f>Bloomberg!M64/100</f>
        <v>0</v>
      </c>
      <c r="O145" s="347">
        <f>Bloomberg!N64/100</f>
        <v>0</v>
      </c>
      <c r="P145" s="337">
        <f t="shared" ref="P145:Y145" si="78">IFERROR(-P78/P24,0)</f>
        <v>0</v>
      </c>
      <c r="Q145" s="337">
        <f t="shared" si="78"/>
        <v>0</v>
      </c>
      <c r="R145" s="337">
        <f t="shared" si="78"/>
        <v>0</v>
      </c>
      <c r="S145" s="337">
        <f t="shared" si="78"/>
        <v>0</v>
      </c>
      <c r="T145" s="337">
        <f t="shared" si="78"/>
        <v>0</v>
      </c>
      <c r="U145" s="337">
        <f t="shared" si="78"/>
        <v>0</v>
      </c>
      <c r="V145" s="337">
        <f t="shared" si="78"/>
        <v>0</v>
      </c>
      <c r="W145" s="337">
        <f t="shared" si="78"/>
        <v>0</v>
      </c>
      <c r="X145" s="337">
        <f t="shared" si="78"/>
        <v>0</v>
      </c>
      <c r="Y145" s="337">
        <f t="shared" si="78"/>
        <v>0</v>
      </c>
    </row>
    <row r="146" spans="2:25" ht="12.75" customHeight="1">
      <c r="B146" s="8" t="s">
        <v>121</v>
      </c>
      <c r="C146" s="8"/>
      <c r="D146" s="348">
        <f t="shared" ref="D146:Y146" si="79">IFERROR(D71/D29*10^3,0)</f>
        <v>0</v>
      </c>
      <c r="E146" s="348">
        <f t="shared" si="79"/>
        <v>0</v>
      </c>
      <c r="F146" s="348">
        <f t="shared" si="79"/>
        <v>0</v>
      </c>
      <c r="G146" s="348">
        <f t="shared" si="79"/>
        <v>0</v>
      </c>
      <c r="H146" s="348">
        <f t="shared" si="79"/>
        <v>23447.778666666665</v>
      </c>
      <c r="I146" s="348">
        <f t="shared" si="79"/>
        <v>-11767.887642105263</v>
      </c>
      <c r="J146" s="348">
        <f t="shared" si="79"/>
        <v>-4054.8171999999995</v>
      </c>
      <c r="K146" s="348">
        <f t="shared" si="79"/>
        <v>-50.201933333333329</v>
      </c>
      <c r="L146" s="348">
        <f t="shared" si="79"/>
        <v>-118.79068999999998</v>
      </c>
      <c r="M146" s="348">
        <f t="shared" si="79"/>
        <v>2493.3427070270268</v>
      </c>
      <c r="N146" s="348">
        <f t="shared" si="79"/>
        <v>-1365.3500492264313</v>
      </c>
      <c r="O146" s="348">
        <f>IFERROR(O71/O29*10^3,0)</f>
        <v>4163.5043092165452</v>
      </c>
      <c r="P146" s="267">
        <f t="shared" si="79"/>
        <v>0</v>
      </c>
      <c r="Q146" s="267">
        <f t="shared" si="79"/>
        <v>0</v>
      </c>
      <c r="R146" s="267">
        <f t="shared" si="79"/>
        <v>0</v>
      </c>
      <c r="S146" s="267">
        <f t="shared" si="79"/>
        <v>0</v>
      </c>
      <c r="T146" s="267">
        <f t="shared" si="79"/>
        <v>0</v>
      </c>
      <c r="U146" s="267">
        <f t="shared" si="79"/>
        <v>0</v>
      </c>
      <c r="V146" s="267">
        <f t="shared" si="79"/>
        <v>0</v>
      </c>
      <c r="W146" s="267">
        <f t="shared" si="79"/>
        <v>0</v>
      </c>
      <c r="X146" s="267">
        <f t="shared" si="79"/>
        <v>0</v>
      </c>
      <c r="Y146" s="267">
        <f t="shared" si="79"/>
        <v>0</v>
      </c>
    </row>
    <row r="147" spans="2:25" ht="12.75" customHeight="1">
      <c r="B147" s="8"/>
      <c r="C147" s="8"/>
      <c r="D147" s="348"/>
      <c r="E147" s="348"/>
      <c r="F147" s="348"/>
      <c r="G147" s="348"/>
      <c r="H147" s="348"/>
      <c r="I147" s="348"/>
      <c r="J147" s="348"/>
      <c r="K147" s="348"/>
      <c r="L147" s="475">
        <f>15700/L146</f>
        <v>-132.16523954865488</v>
      </c>
      <c r="M147" s="475">
        <f>15700/M146</f>
        <v>6.2967677711340864</v>
      </c>
      <c r="N147" s="475">
        <f>15700/N146</f>
        <v>-11.498882655693443</v>
      </c>
      <c r="O147" s="475">
        <f>15700/O146</f>
        <v>3.770861955215389</v>
      </c>
      <c r="P147" s="475" t="e">
        <f>16300/P146</f>
        <v>#DIV/0!</v>
      </c>
      <c r="Q147" s="475" t="e">
        <f>16300/Q146</f>
        <v>#DIV/0!</v>
      </c>
      <c r="R147" s="267"/>
      <c r="S147" s="267"/>
      <c r="T147" s="267"/>
      <c r="U147" s="267"/>
      <c r="V147" s="267"/>
      <c r="W147" s="267"/>
      <c r="X147" s="267"/>
      <c r="Y147" s="267"/>
    </row>
    <row r="148" spans="2:25" ht="12.75" customHeight="1">
      <c r="B148" s="8" t="s">
        <v>357</v>
      </c>
      <c r="C148" s="8"/>
      <c r="D148" s="40">
        <f>IFERROR(D21/D20,0)</f>
        <v>0</v>
      </c>
      <c r="E148" s="40">
        <f t="shared" ref="E148:Y148" si="80">IFERROR(E21/E20,0)</f>
        <v>0</v>
      </c>
      <c r="F148" s="40">
        <f t="shared" si="80"/>
        <v>0</v>
      </c>
      <c r="G148" s="40">
        <f t="shared" si="80"/>
        <v>0</v>
      </c>
      <c r="H148" s="40">
        <f t="shared" si="80"/>
        <v>-0.28000000412749476</v>
      </c>
      <c r="I148" s="40">
        <f t="shared" si="80"/>
        <v>-0.27861979007858284</v>
      </c>
      <c r="J148" s="40">
        <f t="shared" si="80"/>
        <v>-0.19602443523012414</v>
      </c>
      <c r="K148" s="40">
        <f t="shared" si="80"/>
        <v>-0.29346057074070014</v>
      </c>
      <c r="L148" s="40">
        <f t="shared" si="80"/>
        <v>-0.40317734046439835</v>
      </c>
      <c r="M148" s="40">
        <f t="shared" si="80"/>
        <v>-0.25303994563031973</v>
      </c>
      <c r="N148" s="40">
        <f t="shared" si="80"/>
        <v>-0.25526727353628981</v>
      </c>
      <c r="O148" s="40">
        <f>IFERROR(O21/O20,0)</f>
        <v>-0.20017719800519584</v>
      </c>
      <c r="P148" s="30">
        <f t="shared" si="80"/>
        <v>0</v>
      </c>
      <c r="Q148" s="30">
        <f t="shared" si="80"/>
        <v>-0.15912897822445563</v>
      </c>
      <c r="R148" s="30">
        <f t="shared" si="80"/>
        <v>-0.1909492783783926</v>
      </c>
      <c r="S148" s="30">
        <f t="shared" si="80"/>
        <v>-0.18714602146534393</v>
      </c>
      <c r="T148" s="30">
        <f t="shared" si="80"/>
        <v>-0.18031808253561971</v>
      </c>
      <c r="U148" s="30">
        <f t="shared" si="80"/>
        <v>-0.21029608917063874</v>
      </c>
      <c r="V148" s="30">
        <f t="shared" si="80"/>
        <v>0</v>
      </c>
      <c r="W148" s="30">
        <f t="shared" ca="1" si="80"/>
        <v>0</v>
      </c>
      <c r="X148" s="30">
        <f t="shared" ca="1" si="80"/>
        <v>0</v>
      </c>
      <c r="Y148" s="30">
        <f t="shared" ca="1" si="80"/>
        <v>0</v>
      </c>
    </row>
    <row r="149" spans="2:25" ht="12.75" customHeight="1">
      <c r="B149" s="8" t="s">
        <v>358</v>
      </c>
      <c r="C149" s="8"/>
      <c r="D149" s="40">
        <f>IFERROR((-D73-D68-D70)/(D15*(1-#REF!)),0)</f>
        <v>0</v>
      </c>
      <c r="E149" s="40">
        <f>IFERROR((-E73-E68-E70)/(E15*(1-#REF!)),0)</f>
        <v>0</v>
      </c>
      <c r="F149" s="40">
        <f>IFERROR((-F73-F68-F70)/(F15*(1-#REF!)),0)</f>
        <v>0</v>
      </c>
      <c r="G149" s="40">
        <f>IFERROR((-G73-G68-G70)/(G15*(1-#REF!)),0)</f>
        <v>0</v>
      </c>
      <c r="H149" s="40">
        <f>IFERROR((-H73-H68-H70)/(H15*(1-#REF!)),0)</f>
        <v>0</v>
      </c>
      <c r="I149" s="40">
        <f t="shared" ref="I149:Y149" si="81">IFERROR((-I73-I68-I70)/(I18*(1-I148)),0)</f>
        <v>4.4911393763226011</v>
      </c>
      <c r="J149" s="40">
        <f t="shared" si="81"/>
        <v>-4.6996759721057074E-2</v>
      </c>
      <c r="K149" s="40">
        <f t="shared" si="81"/>
        <v>0.90370804369990176</v>
      </c>
      <c r="L149" s="40">
        <f t="shared" si="81"/>
        <v>0.14567860235362756</v>
      </c>
      <c r="M149" s="40">
        <f t="shared" si="81"/>
        <v>-0.86397525891179727</v>
      </c>
      <c r="N149" s="40">
        <f t="shared" si="81"/>
        <v>0.82399827989501673</v>
      </c>
      <c r="O149" s="40">
        <f>IFERROR((-O73-O68-O70)/(O18*(1-O148)),0)</f>
        <v>-1.4816516524242798</v>
      </c>
      <c r="P149" s="30">
        <f t="shared" si="81"/>
        <v>0</v>
      </c>
      <c r="Q149" s="30">
        <f t="shared" si="81"/>
        <v>0</v>
      </c>
      <c r="R149" s="30">
        <f t="shared" si="81"/>
        <v>0</v>
      </c>
      <c r="S149" s="30">
        <f t="shared" si="81"/>
        <v>0</v>
      </c>
      <c r="T149" s="30">
        <f t="shared" si="81"/>
        <v>0</v>
      </c>
      <c r="U149" s="30">
        <f t="shared" si="81"/>
        <v>0</v>
      </c>
      <c r="V149" s="30">
        <f t="shared" si="81"/>
        <v>0</v>
      </c>
      <c r="W149" s="30">
        <f t="shared" ca="1" si="81"/>
        <v>0</v>
      </c>
      <c r="X149" s="30">
        <f t="shared" ca="1" si="81"/>
        <v>0</v>
      </c>
      <c r="Y149" s="30">
        <f t="shared" ca="1" si="81"/>
        <v>0</v>
      </c>
    </row>
    <row r="150" spans="2:25" ht="12.75" customHeight="1">
      <c r="B150" s="8" t="s">
        <v>114</v>
      </c>
      <c r="C150" s="8"/>
      <c r="D150" s="40">
        <f t="shared" ref="D150:Y150" si="82">IFERROR(D73/-D10,0)</f>
        <v>0</v>
      </c>
      <c r="E150" s="40">
        <f t="shared" si="82"/>
        <v>0</v>
      </c>
      <c r="F150" s="40">
        <f t="shared" si="82"/>
        <v>0</v>
      </c>
      <c r="G150" s="40">
        <f t="shared" si="82"/>
        <v>0</v>
      </c>
      <c r="H150" s="40">
        <f t="shared" si="82"/>
        <v>2.9486494828600312E-2</v>
      </c>
      <c r="I150" s="40">
        <f t="shared" si="82"/>
        <v>6.2348965692237537E-2</v>
      </c>
      <c r="J150" s="40">
        <f t="shared" si="82"/>
        <v>9.5186724579179399E-2</v>
      </c>
      <c r="K150" s="40">
        <f t="shared" si="82"/>
        <v>1.6898192686255257E-2</v>
      </c>
      <c r="L150" s="40">
        <f t="shared" si="82"/>
        <v>1.8507419755299435E-2</v>
      </c>
      <c r="M150" s="40">
        <f t="shared" si="82"/>
        <v>6.8979484937087719E-3</v>
      </c>
      <c r="N150" s="40">
        <f t="shared" si="82"/>
        <v>7.2502160924969991E-3</v>
      </c>
      <c r="O150" s="40">
        <f>IFERROR(O73/-O10,0)</f>
        <v>6.0913171104330479E-3</v>
      </c>
      <c r="P150" s="30">
        <f t="shared" si="82"/>
        <v>0</v>
      </c>
      <c r="Q150" s="30">
        <f t="shared" si="82"/>
        <v>0</v>
      </c>
      <c r="R150" s="30">
        <f t="shared" si="82"/>
        <v>0</v>
      </c>
      <c r="S150" s="30">
        <f t="shared" si="82"/>
        <v>0</v>
      </c>
      <c r="T150" s="30">
        <f t="shared" si="82"/>
        <v>0</v>
      </c>
      <c r="U150" s="30">
        <f t="shared" si="82"/>
        <v>0</v>
      </c>
      <c r="V150" s="30">
        <f t="shared" si="82"/>
        <v>0</v>
      </c>
      <c r="W150" s="30">
        <f t="shared" ca="1" si="82"/>
        <v>0</v>
      </c>
      <c r="X150" s="30">
        <f t="shared" ca="1" si="82"/>
        <v>0</v>
      </c>
      <c r="Y150" s="30">
        <f t="shared" ca="1" si="82"/>
        <v>0</v>
      </c>
    </row>
    <row r="151" spans="2:25" ht="12.75" customHeight="1">
      <c r="B151" s="8" t="s">
        <v>359</v>
      </c>
      <c r="C151" s="28"/>
      <c r="D151" s="40">
        <f t="shared" ref="D151:Y151" si="83">IFERROR(D28/D$10,0)</f>
        <v>0</v>
      </c>
      <c r="E151" s="40">
        <f t="shared" si="83"/>
        <v>0</v>
      </c>
      <c r="F151" s="40">
        <f t="shared" si="83"/>
        <v>0</v>
      </c>
      <c r="G151" s="40">
        <f t="shared" si="83"/>
        <v>0</v>
      </c>
      <c r="H151" s="40">
        <f t="shared" si="83"/>
        <v>-5.4651124513849505E-3</v>
      </c>
      <c r="I151" s="40">
        <f t="shared" si="83"/>
        <v>-1.5297471101059277E-2</v>
      </c>
      <c r="J151" s="40">
        <f t="shared" si="83"/>
        <v>-1.0788862993735436E-2</v>
      </c>
      <c r="K151" s="40">
        <f t="shared" si="83"/>
        <v>-5.3309395475418919E-3</v>
      </c>
      <c r="L151" s="40">
        <f t="shared" si="83"/>
        <v>-1.0185669728908504E-2</v>
      </c>
      <c r="M151" s="40">
        <f t="shared" si="83"/>
        <v>-7.3337254446013533E-3</v>
      </c>
      <c r="N151" s="40">
        <f t="shared" si="83"/>
        <v>-6.3993306913901352E-3</v>
      </c>
      <c r="O151" s="40">
        <f>IFERROR(O28/O$10,0)</f>
        <v>-4.5390977824947805E-3</v>
      </c>
      <c r="P151" s="30">
        <f t="shared" si="83"/>
        <v>0</v>
      </c>
      <c r="Q151" s="30">
        <f t="shared" si="83"/>
        <v>-3.7992831541218638E-3</v>
      </c>
      <c r="R151" s="30">
        <f t="shared" si="83"/>
        <v>-1.5559440537543791E-3</v>
      </c>
      <c r="S151" s="30">
        <f t="shared" si="83"/>
        <v>-1.6827349095899127E-3</v>
      </c>
      <c r="T151" s="30">
        <f t="shared" si="83"/>
        <v>-1.2464161331583842E-3</v>
      </c>
      <c r="U151" s="30">
        <f t="shared" si="83"/>
        <v>-1.1584948736313118E-3</v>
      </c>
      <c r="V151" s="30">
        <f t="shared" si="83"/>
        <v>0</v>
      </c>
      <c r="W151" s="30">
        <f t="shared" ca="1" si="83"/>
        <v>0</v>
      </c>
      <c r="X151" s="30">
        <f t="shared" ca="1" si="83"/>
        <v>0</v>
      </c>
      <c r="Y151" s="30">
        <f t="shared" ca="1" si="83"/>
        <v>0</v>
      </c>
    </row>
    <row r="152" spans="2:25" ht="12.75" customHeight="1">
      <c r="B152" s="8" t="s">
        <v>250</v>
      </c>
      <c r="C152" s="8"/>
      <c r="D152" s="40">
        <f t="shared" ref="D152:Y152" si="84">IFERROR(((D35+D36)-D48-D50)/D10,0)</f>
        <v>0</v>
      </c>
      <c r="E152" s="40">
        <f t="shared" si="84"/>
        <v>0</v>
      </c>
      <c r="F152" s="40">
        <f t="shared" si="84"/>
        <v>0</v>
      </c>
      <c r="G152" s="40">
        <f t="shared" si="84"/>
        <v>0</v>
      </c>
      <c r="H152" s="40">
        <f t="shared" si="84"/>
        <v>-0.91458423455065407</v>
      </c>
      <c r="I152" s="40">
        <f t="shared" si="84"/>
        <v>-4.1880486804424306</v>
      </c>
      <c r="J152" s="40">
        <f t="shared" si="84"/>
        <v>-1.148424620795979</v>
      </c>
      <c r="K152" s="40">
        <f t="shared" si="84"/>
        <v>0.26765871844721068</v>
      </c>
      <c r="L152" s="40">
        <f t="shared" si="84"/>
        <v>-0.28973279842779043</v>
      </c>
      <c r="M152" s="40">
        <f t="shared" si="84"/>
        <v>5.5780187750923832E-2</v>
      </c>
      <c r="N152" s="40">
        <f t="shared" si="84"/>
        <v>9.5758886677923136E-2</v>
      </c>
      <c r="O152" s="40">
        <f>IFERROR(((O35+O36)-O48-O50)/O10,0)</f>
        <v>-0.68344711611189934</v>
      </c>
      <c r="P152" s="30">
        <f t="shared" si="84"/>
        <v>0</v>
      </c>
      <c r="Q152" s="30">
        <f t="shared" si="84"/>
        <v>0</v>
      </c>
      <c r="R152" s="30">
        <f t="shared" si="84"/>
        <v>0</v>
      </c>
      <c r="S152" s="30">
        <f t="shared" si="84"/>
        <v>0</v>
      </c>
      <c r="T152" s="30">
        <f t="shared" si="84"/>
        <v>0</v>
      </c>
      <c r="U152" s="30">
        <f t="shared" si="84"/>
        <v>0</v>
      </c>
      <c r="V152" s="30">
        <f t="shared" si="84"/>
        <v>0</v>
      </c>
      <c r="W152" s="30">
        <f t="shared" ca="1" si="84"/>
        <v>0</v>
      </c>
      <c r="X152" s="30">
        <f t="shared" ca="1" si="84"/>
        <v>0</v>
      </c>
      <c r="Y152" s="30">
        <f t="shared" ca="1" si="84"/>
        <v>0</v>
      </c>
    </row>
    <row r="153" spans="2:25" ht="12.75" customHeight="1">
      <c r="B153" s="8"/>
      <c r="C153" s="8"/>
      <c r="D153" s="307"/>
      <c r="E153" s="307"/>
      <c r="F153" s="307"/>
      <c r="G153" s="307"/>
      <c r="H153" s="307"/>
      <c r="I153" s="307"/>
      <c r="J153" s="307"/>
      <c r="K153" s="307"/>
      <c r="L153" s="307"/>
      <c r="M153" s="307"/>
      <c r="N153" s="307"/>
      <c r="O153" s="307"/>
      <c r="P153" s="296"/>
      <c r="Q153" s="296"/>
      <c r="R153" s="296"/>
      <c r="S153" s="296"/>
      <c r="T153" s="296"/>
      <c r="U153" s="296"/>
      <c r="V153" s="296"/>
      <c r="W153" s="296"/>
      <c r="X153" s="296"/>
      <c r="Y153" s="296"/>
    </row>
    <row r="154" spans="2:25" ht="12.75" customHeight="1">
      <c r="B154" s="19" t="s">
        <v>343</v>
      </c>
      <c r="C154" s="19"/>
      <c r="D154" s="41"/>
      <c r="E154" s="41"/>
      <c r="F154" s="41"/>
      <c r="G154" s="41"/>
      <c r="H154" s="41"/>
      <c r="I154" s="41"/>
      <c r="J154" s="41"/>
      <c r="K154" s="41"/>
      <c r="L154" s="41"/>
      <c r="M154" s="41"/>
      <c r="N154" s="41"/>
      <c r="O154" s="41"/>
      <c r="P154" s="31"/>
      <c r="Q154" s="31"/>
      <c r="R154" s="31"/>
      <c r="S154" s="31"/>
      <c r="T154" s="31"/>
      <c r="U154" s="31"/>
      <c r="V154" s="31"/>
      <c r="W154" s="31"/>
      <c r="X154" s="31"/>
      <c r="Y154" s="31"/>
    </row>
    <row r="155" spans="2:25" ht="12.75" customHeight="1">
      <c r="B155" s="8" t="s">
        <v>26</v>
      </c>
      <c r="C155" s="8"/>
      <c r="D155" s="40">
        <f t="shared" ref="D155:Y167" si="85">IFERROR(D10/D$10,0)</f>
        <v>0</v>
      </c>
      <c r="E155" s="40">
        <f t="shared" si="85"/>
        <v>0</v>
      </c>
      <c r="F155" s="40">
        <f t="shared" si="85"/>
        <v>0</v>
      </c>
      <c r="G155" s="40">
        <f t="shared" si="85"/>
        <v>0</v>
      </c>
      <c r="H155" s="40">
        <f t="shared" si="85"/>
        <v>1</v>
      </c>
      <c r="I155" s="40">
        <f t="shared" si="85"/>
        <v>1</v>
      </c>
      <c r="J155" s="40">
        <f t="shared" si="85"/>
        <v>1</v>
      </c>
      <c r="K155" s="40">
        <f t="shared" si="85"/>
        <v>1</v>
      </c>
      <c r="L155" s="40">
        <f t="shared" si="85"/>
        <v>1</v>
      </c>
      <c r="M155" s="40">
        <f t="shared" si="85"/>
        <v>1</v>
      </c>
      <c r="N155" s="40">
        <f t="shared" si="85"/>
        <v>1</v>
      </c>
      <c r="O155" s="40">
        <f t="shared" ref="O155:O166" si="86">IFERROR(O10/O$10,0)</f>
        <v>1</v>
      </c>
      <c r="P155" s="30">
        <f t="shared" si="85"/>
        <v>0</v>
      </c>
      <c r="Q155" s="30">
        <f t="shared" si="85"/>
        <v>1</v>
      </c>
      <c r="R155" s="30">
        <f t="shared" si="85"/>
        <v>1</v>
      </c>
      <c r="S155" s="30">
        <f t="shared" si="85"/>
        <v>1</v>
      </c>
      <c r="T155" s="30">
        <f t="shared" si="85"/>
        <v>1</v>
      </c>
      <c r="U155" s="30">
        <f t="shared" si="85"/>
        <v>1</v>
      </c>
      <c r="V155" s="30">
        <f t="shared" si="85"/>
        <v>0</v>
      </c>
      <c r="W155" s="30">
        <f t="shared" ca="1" si="85"/>
        <v>0</v>
      </c>
      <c r="X155" s="30">
        <f t="shared" ca="1" si="85"/>
        <v>0</v>
      </c>
      <c r="Y155" s="30">
        <f t="shared" ca="1" si="85"/>
        <v>0</v>
      </c>
    </row>
    <row r="156" spans="2:25" ht="12.75" customHeight="1">
      <c r="B156" s="8" t="s">
        <v>27</v>
      </c>
      <c r="C156" s="28"/>
      <c r="D156" s="40">
        <f t="shared" si="85"/>
        <v>0</v>
      </c>
      <c r="E156" s="40">
        <f t="shared" si="85"/>
        <v>0</v>
      </c>
      <c r="F156" s="40">
        <f t="shared" si="85"/>
        <v>0</v>
      </c>
      <c r="G156" s="40">
        <f t="shared" si="85"/>
        <v>0</v>
      </c>
      <c r="H156" s="40">
        <f t="shared" si="85"/>
        <v>-0.12298303775281189</v>
      </c>
      <c r="I156" s="40">
        <f t="shared" si="85"/>
        <v>-0.14143914673643493</v>
      </c>
      <c r="J156" s="40">
        <f t="shared" si="85"/>
        <v>-7.2061640074412112E-2</v>
      </c>
      <c r="K156" s="40">
        <f t="shared" si="85"/>
        <v>-0.54769589219897996</v>
      </c>
      <c r="L156" s="40">
        <f t="shared" si="85"/>
        <v>-0.28040204679649011</v>
      </c>
      <c r="M156" s="40">
        <f t="shared" si="85"/>
        <v>-0.52197432039857583</v>
      </c>
      <c r="N156" s="40">
        <f t="shared" si="85"/>
        <v>-0.39890177136673505</v>
      </c>
      <c r="O156" s="40">
        <f t="shared" si="86"/>
        <v>-0.40374013876656278</v>
      </c>
      <c r="P156" s="30">
        <f t="shared" si="85"/>
        <v>0</v>
      </c>
      <c r="Q156" s="30">
        <f t="shared" si="85"/>
        <v>-0.5268817204301075</v>
      </c>
      <c r="R156" s="30">
        <f t="shared" si="85"/>
        <v>-0.58043878209114241</v>
      </c>
      <c r="S156" s="30">
        <f t="shared" si="85"/>
        <v>-0.3992162745146417</v>
      </c>
      <c r="T156" s="30">
        <f t="shared" si="85"/>
        <v>-0.43711628196349611</v>
      </c>
      <c r="U156" s="30">
        <f t="shared" si="85"/>
        <v>-0.4695861368743367</v>
      </c>
      <c r="V156" s="30">
        <f t="shared" si="85"/>
        <v>0</v>
      </c>
      <c r="W156" s="30">
        <f t="shared" ca="1" si="85"/>
        <v>0</v>
      </c>
      <c r="X156" s="30">
        <f t="shared" ca="1" si="85"/>
        <v>0</v>
      </c>
      <c r="Y156" s="30">
        <f t="shared" ca="1" si="85"/>
        <v>0</v>
      </c>
    </row>
    <row r="157" spans="2:25" ht="12.75" customHeight="1">
      <c r="B157" s="8" t="s">
        <v>28</v>
      </c>
      <c r="C157" s="28"/>
      <c r="D157" s="40">
        <f t="shared" si="85"/>
        <v>0</v>
      </c>
      <c r="E157" s="40">
        <f t="shared" si="85"/>
        <v>0</v>
      </c>
      <c r="F157" s="40">
        <f t="shared" si="85"/>
        <v>0</v>
      </c>
      <c r="G157" s="40">
        <f t="shared" si="85"/>
        <v>0</v>
      </c>
      <c r="H157" s="40">
        <f t="shared" si="85"/>
        <v>0.87701696224718806</v>
      </c>
      <c r="I157" s="40">
        <f t="shared" si="85"/>
        <v>0.85856085326356513</v>
      </c>
      <c r="J157" s="40">
        <f t="shared" si="85"/>
        <v>0.92793835992558793</v>
      </c>
      <c r="K157" s="40">
        <f t="shared" si="85"/>
        <v>0.45230410780101998</v>
      </c>
      <c r="L157" s="40">
        <f t="shared" si="85"/>
        <v>0.71959795320350983</v>
      </c>
      <c r="M157" s="40">
        <f t="shared" si="85"/>
        <v>0.47802567960142417</v>
      </c>
      <c r="N157" s="40">
        <f t="shared" si="85"/>
        <v>0.6010982286332649</v>
      </c>
      <c r="O157" s="40">
        <f t="shared" si="86"/>
        <v>0.59625986123343722</v>
      </c>
      <c r="P157" s="30">
        <f t="shared" si="85"/>
        <v>0</v>
      </c>
      <c r="Q157" s="30">
        <f t="shared" si="85"/>
        <v>0.4731182795698925</v>
      </c>
      <c r="R157" s="30">
        <f t="shared" si="85"/>
        <v>0.41956121790885759</v>
      </c>
      <c r="S157" s="30">
        <f t="shared" si="85"/>
        <v>0.6007837254853583</v>
      </c>
      <c r="T157" s="30">
        <f t="shared" si="85"/>
        <v>0.56288371803650394</v>
      </c>
      <c r="U157" s="30">
        <f t="shared" si="85"/>
        <v>0.5304138631256633</v>
      </c>
      <c r="V157" s="30">
        <f t="shared" si="85"/>
        <v>0</v>
      </c>
      <c r="W157" s="30">
        <f t="shared" ca="1" si="85"/>
        <v>0</v>
      </c>
      <c r="X157" s="30">
        <f t="shared" ca="1" si="85"/>
        <v>0</v>
      </c>
      <c r="Y157" s="30">
        <f t="shared" ca="1" si="85"/>
        <v>0</v>
      </c>
    </row>
    <row r="158" spans="2:25" ht="12.75" customHeight="1">
      <c r="B158" s="15" t="s">
        <v>29</v>
      </c>
      <c r="C158" s="28"/>
      <c r="D158" s="40">
        <f t="shared" si="85"/>
        <v>0</v>
      </c>
      <c r="E158" s="40">
        <f t="shared" si="85"/>
        <v>0</v>
      </c>
      <c r="F158" s="40">
        <f t="shared" si="85"/>
        <v>0</v>
      </c>
      <c r="G158" s="40">
        <f t="shared" si="85"/>
        <v>0</v>
      </c>
      <c r="H158" s="40">
        <f t="shared" si="85"/>
        <v>-0.18469799205002796</v>
      </c>
      <c r="I158" s="40">
        <f t="shared" si="85"/>
        <v>-0.27631603694295004</v>
      </c>
      <c r="J158" s="40">
        <f t="shared" si="85"/>
        <v>-0.21997594287864258</v>
      </c>
      <c r="K158" s="40">
        <f t="shared" si="85"/>
        <v>-9.5753107253001263E-2</v>
      </c>
      <c r="L158" s="40">
        <f t="shared" si="85"/>
        <v>-0.15789976854476509</v>
      </c>
      <c r="M158" s="40">
        <f t="shared" si="85"/>
        <v>-0.10915836179024599</v>
      </c>
      <c r="N158" s="40">
        <f t="shared" si="85"/>
        <v>-0.18241513603881418</v>
      </c>
      <c r="O158" s="40">
        <f t="shared" si="86"/>
        <v>-0.10727883196524554</v>
      </c>
      <c r="P158" s="30">
        <f t="shared" si="85"/>
        <v>0</v>
      </c>
      <c r="Q158" s="30">
        <f t="shared" si="85"/>
        <v>-0.11612903225806452</v>
      </c>
      <c r="R158" s="30">
        <f t="shared" si="85"/>
        <v>-0.1010574575936289</v>
      </c>
      <c r="S158" s="30">
        <f t="shared" si="85"/>
        <v>-0.12081478583657176</v>
      </c>
      <c r="T158" s="30">
        <f t="shared" si="85"/>
        <v>-0.11078323218913902</v>
      </c>
      <c r="U158" s="30">
        <f t="shared" si="85"/>
        <v>-0.11516512768876265</v>
      </c>
      <c r="V158" s="30">
        <f t="shared" si="85"/>
        <v>0</v>
      </c>
      <c r="W158" s="30">
        <f t="shared" ca="1" si="85"/>
        <v>0</v>
      </c>
      <c r="X158" s="30">
        <f t="shared" ca="1" si="85"/>
        <v>0</v>
      </c>
      <c r="Y158" s="30">
        <f t="shared" ca="1" si="85"/>
        <v>0</v>
      </c>
    </row>
    <row r="159" spans="2:25" ht="12.75" customHeight="1">
      <c r="B159" s="15" t="s">
        <v>30</v>
      </c>
      <c r="C159" s="28"/>
      <c r="D159" s="40">
        <f t="shared" si="85"/>
        <v>0</v>
      </c>
      <c r="E159" s="40">
        <f t="shared" si="85"/>
        <v>0</v>
      </c>
      <c r="F159" s="40">
        <f t="shared" si="85"/>
        <v>0</v>
      </c>
      <c r="G159" s="40">
        <f t="shared" si="85"/>
        <v>0</v>
      </c>
      <c r="H159" s="40">
        <f t="shared" si="85"/>
        <v>-0.15667718590192303</v>
      </c>
      <c r="I159" s="40">
        <f t="shared" si="85"/>
        <v>-0.30449300068460106</v>
      </c>
      <c r="J159" s="40">
        <f t="shared" si="85"/>
        <v>-0.27961799376895452</v>
      </c>
      <c r="K159" s="40">
        <f t="shared" si="85"/>
        <v>-0.14492074502482347</v>
      </c>
      <c r="L159" s="40">
        <f t="shared" si="85"/>
        <v>-0.2923881094380979</v>
      </c>
      <c r="M159" s="40">
        <f t="shared" si="85"/>
        <v>-0.19497065161604124</v>
      </c>
      <c r="N159" s="40">
        <f t="shared" si="85"/>
        <v>-0.23715162418217875</v>
      </c>
      <c r="O159" s="40">
        <f t="shared" si="86"/>
        <v>-0.16264465182571697</v>
      </c>
      <c r="P159" s="30">
        <f t="shared" si="85"/>
        <v>0</v>
      </c>
      <c r="Q159" s="30">
        <f t="shared" si="85"/>
        <v>-7.7419354838709681E-2</v>
      </c>
      <c r="R159" s="30">
        <f t="shared" si="85"/>
        <v>-6.1938441750933847E-2</v>
      </c>
      <c r="S159" s="30">
        <f t="shared" si="85"/>
        <v>-6.7958317033071619E-2</v>
      </c>
      <c r="T159" s="30">
        <f t="shared" si="85"/>
        <v>-5.7070149915617062E-2</v>
      </c>
      <c r="U159" s="30">
        <f t="shared" si="85"/>
        <v>-5.4195354206476531E-2</v>
      </c>
      <c r="V159" s="30">
        <f t="shared" si="85"/>
        <v>0</v>
      </c>
      <c r="W159" s="30">
        <f t="shared" ca="1" si="85"/>
        <v>0</v>
      </c>
      <c r="X159" s="30">
        <f t="shared" ca="1" si="85"/>
        <v>0</v>
      </c>
      <c r="Y159" s="30">
        <f t="shared" ca="1" si="85"/>
        <v>0</v>
      </c>
    </row>
    <row r="160" spans="2:25" ht="12.75" customHeight="1">
      <c r="B160" s="8" t="s">
        <v>287</v>
      </c>
      <c r="C160" s="8"/>
      <c r="D160" s="40">
        <f t="shared" si="85"/>
        <v>0</v>
      </c>
      <c r="E160" s="40">
        <f t="shared" si="85"/>
        <v>0</v>
      </c>
      <c r="F160" s="40">
        <f t="shared" si="85"/>
        <v>0</v>
      </c>
      <c r="G160" s="40">
        <f t="shared" si="85"/>
        <v>0</v>
      </c>
      <c r="H160" s="40">
        <f t="shared" si="85"/>
        <v>0.53564178429523701</v>
      </c>
      <c r="I160" s="40">
        <f t="shared" si="85"/>
        <v>0.27775181563601398</v>
      </c>
      <c r="J160" s="40">
        <f t="shared" si="85"/>
        <v>0.42834442327799083</v>
      </c>
      <c r="K160" s="40">
        <f t="shared" si="85"/>
        <v>0.21163025552319534</v>
      </c>
      <c r="L160" s="40">
        <f t="shared" si="85"/>
        <v>0.26931007522064693</v>
      </c>
      <c r="M160" s="40">
        <f t="shared" si="85"/>
        <v>0.17389666619513694</v>
      </c>
      <c r="N160" s="40">
        <f t="shared" si="85"/>
        <v>0.181531468412272</v>
      </c>
      <c r="O160" s="40">
        <f t="shared" si="86"/>
        <v>0.32633637744247468</v>
      </c>
      <c r="P160" s="30">
        <f t="shared" si="85"/>
        <v>0</v>
      </c>
      <c r="Q160" s="30">
        <f t="shared" si="85"/>
        <v>0.27956989247311831</v>
      </c>
      <c r="R160" s="30">
        <f t="shared" si="85"/>
        <v>0.25656531856429482</v>
      </c>
      <c r="S160" s="30">
        <f t="shared" si="85"/>
        <v>0.41201062261571497</v>
      </c>
      <c r="T160" s="30">
        <f t="shared" si="85"/>
        <v>0.3950303359317478</v>
      </c>
      <c r="U160" s="30">
        <f t="shared" si="85"/>
        <v>0.36105338123042413</v>
      </c>
      <c r="V160" s="30">
        <f t="shared" si="85"/>
        <v>0</v>
      </c>
      <c r="W160" s="30">
        <f t="shared" ca="1" si="85"/>
        <v>0</v>
      </c>
      <c r="X160" s="30">
        <f t="shared" ca="1" si="85"/>
        <v>0</v>
      </c>
      <c r="Y160" s="30">
        <f t="shared" ca="1" si="85"/>
        <v>0</v>
      </c>
    </row>
    <row r="161" spans="2:25" ht="12.75" customHeight="1">
      <c r="B161" s="18" t="s">
        <v>32</v>
      </c>
      <c r="C161" s="28"/>
      <c r="D161" s="40">
        <f t="shared" si="85"/>
        <v>0</v>
      </c>
      <c r="E161" s="40">
        <f t="shared" si="85"/>
        <v>0</v>
      </c>
      <c r="F161" s="40">
        <f t="shared" si="85"/>
        <v>0</v>
      </c>
      <c r="G161" s="40">
        <f t="shared" si="85"/>
        <v>0</v>
      </c>
      <c r="H161" s="40">
        <f t="shared" si="85"/>
        <v>0</v>
      </c>
      <c r="I161" s="40">
        <f t="shared" si="85"/>
        <v>0</v>
      </c>
      <c r="J161" s="40">
        <f t="shared" si="85"/>
        <v>0</v>
      </c>
      <c r="K161" s="40">
        <f t="shared" si="85"/>
        <v>0</v>
      </c>
      <c r="L161" s="40">
        <f t="shared" si="85"/>
        <v>0</v>
      </c>
      <c r="M161" s="40">
        <f t="shared" si="85"/>
        <v>1.041504070027275E-4</v>
      </c>
      <c r="N161" s="40">
        <f t="shared" si="85"/>
        <v>0</v>
      </c>
      <c r="O161" s="40">
        <f t="shared" si="86"/>
        <v>0</v>
      </c>
      <c r="P161" s="30">
        <f t="shared" si="85"/>
        <v>0</v>
      </c>
      <c r="Q161" s="30">
        <f t="shared" si="85"/>
        <v>6.6666666666666666E-2</v>
      </c>
      <c r="R161" s="30">
        <f t="shared" si="85"/>
        <v>4.1755053551907013E-2</v>
      </c>
      <c r="S161" s="30">
        <f t="shared" si="85"/>
        <v>2.2948694714067124E-2</v>
      </c>
      <c r="T161" s="30">
        <f t="shared" si="85"/>
        <v>4.4503152053649041E-2</v>
      </c>
      <c r="U161" s="30">
        <f t="shared" si="85"/>
        <v>4.6524198561307309E-2</v>
      </c>
      <c r="V161" s="30">
        <f t="shared" si="85"/>
        <v>0</v>
      </c>
      <c r="W161" s="30">
        <f t="shared" ca="1" si="85"/>
        <v>0</v>
      </c>
      <c r="X161" s="30">
        <f t="shared" ca="1" si="85"/>
        <v>0</v>
      </c>
      <c r="Y161" s="30">
        <f t="shared" ca="1" si="85"/>
        <v>0</v>
      </c>
    </row>
    <row r="162" spans="2:25" ht="12.75" customHeight="1">
      <c r="B162" s="18" t="s">
        <v>33</v>
      </c>
      <c r="C162" s="28"/>
      <c r="D162" s="40">
        <f t="shared" si="85"/>
        <v>0</v>
      </c>
      <c r="E162" s="40">
        <f t="shared" si="85"/>
        <v>0</v>
      </c>
      <c r="F162" s="40">
        <f t="shared" si="85"/>
        <v>0</v>
      </c>
      <c r="G162" s="40">
        <f t="shared" si="85"/>
        <v>0</v>
      </c>
      <c r="H162" s="40">
        <f t="shared" si="85"/>
        <v>8.3407559249650872E-3</v>
      </c>
      <c r="I162" s="40">
        <f t="shared" si="85"/>
        <v>5.3298809251862263E-2</v>
      </c>
      <c r="J162" s="40">
        <f t="shared" si="85"/>
        <v>0.12862223865531758</v>
      </c>
      <c r="K162" s="40">
        <f t="shared" si="85"/>
        <v>8.5559789114204726E-2</v>
      </c>
      <c r="L162" s="40">
        <f t="shared" si="85"/>
        <v>5.8735476922175289E-2</v>
      </c>
      <c r="M162" s="40">
        <f t="shared" si="85"/>
        <v>3.8464168591740615E-2</v>
      </c>
      <c r="N162" s="40">
        <f t="shared" si="85"/>
        <v>0.17115970925115037</v>
      </c>
      <c r="O162" s="40">
        <f t="shared" si="86"/>
        <v>0.20005338568275893</v>
      </c>
      <c r="P162" s="30">
        <f t="shared" si="85"/>
        <v>0</v>
      </c>
      <c r="Q162" s="30">
        <f t="shared" si="85"/>
        <v>8.8172043010752682E-2</v>
      </c>
      <c r="R162" s="30">
        <f t="shared" si="85"/>
        <v>4.2367834262090016E-2</v>
      </c>
      <c r="S162" s="30">
        <f t="shared" si="85"/>
        <v>5.0580029789263604E-2</v>
      </c>
      <c r="T162" s="30">
        <f t="shared" si="85"/>
        <v>5.3982507767630104E-2</v>
      </c>
      <c r="U162" s="30">
        <f t="shared" si="85"/>
        <v>3.9229001142784395E-2</v>
      </c>
      <c r="V162" s="30">
        <f t="shared" si="85"/>
        <v>0</v>
      </c>
      <c r="W162" s="30">
        <f t="shared" ca="1" si="85"/>
        <v>0</v>
      </c>
      <c r="X162" s="30">
        <f t="shared" ca="1" si="85"/>
        <v>0</v>
      </c>
      <c r="Y162" s="30">
        <f t="shared" ca="1" si="85"/>
        <v>0</v>
      </c>
    </row>
    <row r="163" spans="2:25" ht="12.75" customHeight="1">
      <c r="B163" s="18" t="s">
        <v>288</v>
      </c>
      <c r="C163" s="28"/>
      <c r="D163" s="40">
        <f t="shared" si="85"/>
        <v>0</v>
      </c>
      <c r="E163" s="40">
        <f t="shared" si="85"/>
        <v>0</v>
      </c>
      <c r="F163" s="40">
        <f t="shared" si="85"/>
        <v>0</v>
      </c>
      <c r="G163" s="40">
        <f t="shared" si="85"/>
        <v>0</v>
      </c>
      <c r="H163" s="40">
        <f t="shared" si="85"/>
        <v>0.54398254022020209</v>
      </c>
      <c r="I163" s="40">
        <f t="shared" si="85"/>
        <v>0.33105062488787623</v>
      </c>
      <c r="J163" s="40">
        <f t="shared" si="85"/>
        <v>0.55696666193330846</v>
      </c>
      <c r="K163" s="40">
        <f t="shared" si="85"/>
        <v>0.29719004463740006</v>
      </c>
      <c r="L163" s="40">
        <f t="shared" si="85"/>
        <v>0.32804555214282222</v>
      </c>
      <c r="M163" s="40">
        <f t="shared" si="85"/>
        <v>0.21246498519388027</v>
      </c>
      <c r="N163" s="40">
        <f t="shared" si="85"/>
        <v>0.35269117766342239</v>
      </c>
      <c r="O163" s="40">
        <f t="shared" si="86"/>
        <v>0.52638976312523367</v>
      </c>
      <c r="P163" s="30">
        <f t="shared" si="85"/>
        <v>0</v>
      </c>
      <c r="Q163" s="30">
        <f t="shared" si="85"/>
        <v>0.43440860215053761</v>
      </c>
      <c r="R163" s="30">
        <f t="shared" si="85"/>
        <v>0.34068820637829184</v>
      </c>
      <c r="S163" s="30">
        <f t="shared" si="85"/>
        <v>0.48553934711904573</v>
      </c>
      <c r="T163" s="30">
        <f t="shared" si="85"/>
        <v>0.49351599575302696</v>
      </c>
      <c r="U163" s="30">
        <f t="shared" si="85"/>
        <v>0.44680658093451581</v>
      </c>
      <c r="V163" s="30">
        <f t="shared" si="85"/>
        <v>0</v>
      </c>
      <c r="W163" s="30">
        <f t="shared" ca="1" si="85"/>
        <v>0</v>
      </c>
      <c r="X163" s="30">
        <f t="shared" ca="1" si="85"/>
        <v>0</v>
      </c>
      <c r="Y163" s="30">
        <f t="shared" ca="1" si="85"/>
        <v>0</v>
      </c>
    </row>
    <row r="164" spans="2:25" ht="12.75" customHeight="1">
      <c r="B164" s="8" t="s">
        <v>31</v>
      </c>
      <c r="C164" s="28"/>
      <c r="D164" s="40">
        <f t="shared" si="85"/>
        <v>0</v>
      </c>
      <c r="E164" s="40">
        <f t="shared" si="85"/>
        <v>0</v>
      </c>
      <c r="F164" s="40">
        <f t="shared" si="85"/>
        <v>0</v>
      </c>
      <c r="G164" s="40">
        <f t="shared" si="85"/>
        <v>0</v>
      </c>
      <c r="H164" s="40">
        <f t="shared" si="85"/>
        <v>-1.9623159291277904E-3</v>
      </c>
      <c r="I164" s="40">
        <f t="shared" si="85"/>
        <v>0</v>
      </c>
      <c r="J164" s="40">
        <f t="shared" si="85"/>
        <v>-6.3160254552137342E-5</v>
      </c>
      <c r="K164" s="40">
        <f t="shared" si="85"/>
        <v>-2.7606011576685207E-3</v>
      </c>
      <c r="L164" s="40">
        <f t="shared" si="85"/>
        <v>-0.13462256730301841</v>
      </c>
      <c r="M164" s="40">
        <f t="shared" si="85"/>
        <v>-1.6397538466877245E-2</v>
      </c>
      <c r="N164" s="40">
        <f t="shared" si="85"/>
        <v>-1.0006942955373944E-3</v>
      </c>
      <c r="O164" s="40">
        <f t="shared" si="86"/>
        <v>-1.5664506105707922E-4</v>
      </c>
      <c r="P164" s="30">
        <f t="shared" si="85"/>
        <v>0</v>
      </c>
      <c r="Q164" s="30">
        <f t="shared" si="85"/>
        <v>-6.4516129032258056E-3</v>
      </c>
      <c r="R164" s="30">
        <f t="shared" si="85"/>
        <v>-1.3047026045194622E-2</v>
      </c>
      <c r="S164" s="30">
        <f t="shared" si="85"/>
        <v>-2.1764374899512513E-2</v>
      </c>
      <c r="T164" s="30">
        <f t="shared" si="85"/>
        <v>-4.1063819704116572E-2</v>
      </c>
      <c r="U164" s="30">
        <f t="shared" si="85"/>
        <v>-3.5955660885683464E-2</v>
      </c>
      <c r="V164" s="30">
        <f t="shared" si="85"/>
        <v>0</v>
      </c>
      <c r="W164" s="30">
        <f t="shared" ca="1" si="85"/>
        <v>0</v>
      </c>
      <c r="X164" s="30">
        <f t="shared" ca="1" si="85"/>
        <v>0</v>
      </c>
      <c r="Y164" s="30">
        <f t="shared" ca="1" si="85"/>
        <v>0</v>
      </c>
    </row>
    <row r="165" spans="2:25" ht="12.75" customHeight="1">
      <c r="B165" s="8" t="s">
        <v>34</v>
      </c>
      <c r="C165" s="8"/>
      <c r="D165" s="40">
        <f t="shared" si="85"/>
        <v>0</v>
      </c>
      <c r="E165" s="40">
        <f t="shared" si="85"/>
        <v>0</v>
      </c>
      <c r="F165" s="40">
        <f t="shared" si="85"/>
        <v>0</v>
      </c>
      <c r="G165" s="40">
        <f t="shared" si="85"/>
        <v>0</v>
      </c>
      <c r="H165" s="40">
        <f t="shared" si="85"/>
        <v>0.54202022429107433</v>
      </c>
      <c r="I165" s="40">
        <f t="shared" si="85"/>
        <v>0.33105062488787623</v>
      </c>
      <c r="J165" s="40">
        <f t="shared" si="85"/>
        <v>0.55690350167875624</v>
      </c>
      <c r="K165" s="40">
        <f t="shared" si="85"/>
        <v>0.29442944347973149</v>
      </c>
      <c r="L165" s="40">
        <f t="shared" si="85"/>
        <v>0.1934229848398038</v>
      </c>
      <c r="M165" s="40">
        <f t="shared" si="85"/>
        <v>0.19606744672700302</v>
      </c>
      <c r="N165" s="40">
        <f t="shared" si="85"/>
        <v>0.351690483367885</v>
      </c>
      <c r="O165" s="40">
        <f t="shared" si="86"/>
        <v>0.5262331180641765</v>
      </c>
      <c r="P165" s="30">
        <f t="shared" si="85"/>
        <v>0</v>
      </c>
      <c r="Q165" s="30">
        <f t="shared" si="85"/>
        <v>0.42795698924731179</v>
      </c>
      <c r="R165" s="30">
        <f t="shared" si="85"/>
        <v>0.32764118033309725</v>
      </c>
      <c r="S165" s="30">
        <f t="shared" si="85"/>
        <v>0.46377497221953318</v>
      </c>
      <c r="T165" s="30">
        <f t="shared" si="85"/>
        <v>0.45245217604891041</v>
      </c>
      <c r="U165" s="30">
        <f t="shared" si="85"/>
        <v>0.41085092004883234</v>
      </c>
      <c r="V165" s="30">
        <f t="shared" si="85"/>
        <v>0</v>
      </c>
      <c r="W165" s="30">
        <f t="shared" ca="1" si="85"/>
        <v>0</v>
      </c>
      <c r="X165" s="30">
        <f t="shared" ca="1" si="85"/>
        <v>0</v>
      </c>
      <c r="Y165" s="30">
        <f t="shared" ca="1" si="85"/>
        <v>0</v>
      </c>
    </row>
    <row r="166" spans="2:25" ht="12.75" customHeight="1">
      <c r="B166" s="8" t="s">
        <v>35</v>
      </c>
      <c r="C166" s="28"/>
      <c r="D166" s="40">
        <f t="shared" si="85"/>
        <v>0</v>
      </c>
      <c r="E166" s="40">
        <f t="shared" si="85"/>
        <v>0</v>
      </c>
      <c r="F166" s="40">
        <f t="shared" si="85"/>
        <v>0</v>
      </c>
      <c r="G166" s="40">
        <f t="shared" si="85"/>
        <v>0</v>
      </c>
      <c r="H166" s="40">
        <f t="shared" si="85"/>
        <v>-0.15176566503868646</v>
      </c>
      <c r="I166" s="40">
        <f t="shared" si="85"/>
        <v>-9.2237255611643754E-2</v>
      </c>
      <c r="J166" s="40">
        <f t="shared" si="85"/>
        <v>-0.10916669439425669</v>
      </c>
      <c r="K166" s="40">
        <f t="shared" si="85"/>
        <v>-8.6403432526428722E-2</v>
      </c>
      <c r="L166" s="40">
        <f t="shared" si="85"/>
        <v>-7.7983764612397741E-2</v>
      </c>
      <c r="M166" s="40">
        <f t="shared" si="85"/>
        <v>-4.9612896059676455E-2</v>
      </c>
      <c r="N166" s="40">
        <f t="shared" si="85"/>
        <v>-8.9775070817979891E-2</v>
      </c>
      <c r="O166" s="40">
        <f t="shared" si="86"/>
        <v>-0.10533987107162426</v>
      </c>
      <c r="P166" s="30">
        <f t="shared" si="85"/>
        <v>0</v>
      </c>
      <c r="Q166" s="30">
        <f t="shared" si="85"/>
        <v>-6.8100358422939072E-2</v>
      </c>
      <c r="R166" s="30">
        <f t="shared" si="85"/>
        <v>-6.2562846951649709E-2</v>
      </c>
      <c r="S166" s="30">
        <f t="shared" si="85"/>
        <v>-8.6793640906086045E-2</v>
      </c>
      <c r="T166" s="30">
        <f t="shared" si="85"/>
        <v>-8.1585308824208169E-2</v>
      </c>
      <c r="U166" s="30">
        <f t="shared" si="85"/>
        <v>-8.6400341718428211E-2</v>
      </c>
      <c r="V166" s="30">
        <f t="shared" si="85"/>
        <v>0</v>
      </c>
      <c r="W166" s="30">
        <f t="shared" ca="1" si="85"/>
        <v>0</v>
      </c>
      <c r="X166" s="30">
        <f t="shared" ca="1" si="85"/>
        <v>0</v>
      </c>
      <c r="Y166" s="30">
        <f t="shared" ca="1" si="85"/>
        <v>0</v>
      </c>
    </row>
    <row r="167" spans="2:25" ht="12.75" customHeight="1">
      <c r="B167" s="8" t="s">
        <v>36</v>
      </c>
      <c r="C167" s="8"/>
      <c r="D167" s="40">
        <f t="shared" si="85"/>
        <v>0</v>
      </c>
      <c r="E167" s="40">
        <f t="shared" si="85"/>
        <v>0</v>
      </c>
      <c r="F167" s="40">
        <f t="shared" si="85"/>
        <v>0</v>
      </c>
      <c r="G167" s="40">
        <f t="shared" ref="E167:Y169" si="87">IFERROR(G22/G$10,0)</f>
        <v>0</v>
      </c>
      <c r="H167" s="40">
        <f t="shared" si="87"/>
        <v>0.39025455925238789</v>
      </c>
      <c r="I167" s="40">
        <f t="shared" si="87"/>
        <v>0.23881336927623248</v>
      </c>
      <c r="J167" s="40">
        <f t="shared" si="87"/>
        <v>0.44773680728449955</v>
      </c>
      <c r="K167" s="40">
        <f t="shared" si="87"/>
        <v>0.20802601095330278</v>
      </c>
      <c r="L167" s="40">
        <f t="shared" si="87"/>
        <v>0.11543922022740608</v>
      </c>
      <c r="M167" s="40">
        <f t="shared" si="87"/>
        <v>0.14645455066732657</v>
      </c>
      <c r="N167" s="40">
        <f t="shared" si="87"/>
        <v>0.26191541254990514</v>
      </c>
      <c r="O167" s="40">
        <f>IFERROR(O22/O$10,0)</f>
        <v>0.42089324699255226</v>
      </c>
      <c r="P167" s="30">
        <f t="shared" si="87"/>
        <v>0</v>
      </c>
      <c r="Q167" s="30">
        <f t="shared" si="87"/>
        <v>0.31971326164874547</v>
      </c>
      <c r="R167" s="30">
        <f t="shared" si="87"/>
        <v>0.25145264375109361</v>
      </c>
      <c r="S167" s="30">
        <f t="shared" si="87"/>
        <v>0.37086141804374928</v>
      </c>
      <c r="T167" s="30">
        <f t="shared" si="87"/>
        <v>0.37205107855616398</v>
      </c>
      <c r="U167" s="30">
        <f t="shared" si="87"/>
        <v>0.31090911576107627</v>
      </c>
      <c r="V167" s="30">
        <f t="shared" si="87"/>
        <v>0</v>
      </c>
      <c r="W167" s="30">
        <f t="shared" ca="1" si="87"/>
        <v>0</v>
      </c>
      <c r="X167" s="30">
        <f t="shared" ca="1" si="87"/>
        <v>0</v>
      </c>
      <c r="Y167" s="30">
        <f t="shared" ca="1" si="87"/>
        <v>0</v>
      </c>
    </row>
    <row r="168" spans="2:25" ht="12.75" customHeight="1">
      <c r="B168" s="8" t="s">
        <v>122</v>
      </c>
      <c r="C168" s="28"/>
      <c r="D168" s="40">
        <f t="shared" ref="D168:T169" si="88">IFERROR(D23/D$10,0)</f>
        <v>0</v>
      </c>
      <c r="E168" s="40">
        <f t="shared" si="87"/>
        <v>0</v>
      </c>
      <c r="F168" s="40">
        <f t="shared" si="87"/>
        <v>0</v>
      </c>
      <c r="G168" s="40">
        <f t="shared" si="87"/>
        <v>0</v>
      </c>
      <c r="H168" s="40">
        <f t="shared" si="87"/>
        <v>0</v>
      </c>
      <c r="I168" s="40">
        <f t="shared" si="87"/>
        <v>0</v>
      </c>
      <c r="J168" s="40">
        <f t="shared" si="87"/>
        <v>1.4626635473014022E-3</v>
      </c>
      <c r="K168" s="40">
        <f t="shared" si="87"/>
        <v>-1.5431980505811287E-2</v>
      </c>
      <c r="L168" s="40">
        <f t="shared" si="87"/>
        <v>-2.9570939198396748E-2</v>
      </c>
      <c r="M168" s="40">
        <f t="shared" si="87"/>
        <v>-3.0604408127649532E-3</v>
      </c>
      <c r="N168" s="40">
        <f t="shared" si="87"/>
        <v>-2.0333002160632347E-2</v>
      </c>
      <c r="O168" s="40">
        <f>IFERROR(O23/O$10,0)</f>
        <v>-8.932291313403258E-2</v>
      </c>
      <c r="P168" s="30">
        <f t="shared" si="87"/>
        <v>0</v>
      </c>
      <c r="Q168" s="30">
        <f t="shared" si="87"/>
        <v>-7.8136200716845877E-2</v>
      </c>
      <c r="R168" s="30">
        <f t="shared" si="87"/>
        <v>-5.0755605229369664E-2</v>
      </c>
      <c r="S168" s="30">
        <f t="shared" si="87"/>
        <v>-0.11618668306659691</v>
      </c>
      <c r="T168" s="30">
        <f t="shared" si="87"/>
        <v>-0.11718631348014252</v>
      </c>
      <c r="U168" s="30">
        <f t="shared" si="87"/>
        <v>-0.11519651620234436</v>
      </c>
      <c r="V168" s="30">
        <f t="shared" si="87"/>
        <v>0</v>
      </c>
      <c r="W168" s="30">
        <f t="shared" ca="1" si="87"/>
        <v>0</v>
      </c>
      <c r="X168" s="30">
        <f t="shared" ca="1" si="87"/>
        <v>0</v>
      </c>
      <c r="Y168" s="30">
        <f t="shared" ca="1" si="87"/>
        <v>0</v>
      </c>
    </row>
    <row r="169" spans="2:25" ht="12.75" customHeight="1">
      <c r="B169" s="8" t="s">
        <v>38</v>
      </c>
      <c r="C169" s="8"/>
      <c r="D169" s="40">
        <f t="shared" si="88"/>
        <v>0</v>
      </c>
      <c r="E169" s="40">
        <f t="shared" si="88"/>
        <v>0</v>
      </c>
      <c r="F169" s="40">
        <f t="shared" si="88"/>
        <v>0</v>
      </c>
      <c r="G169" s="40">
        <f t="shared" si="88"/>
        <v>0</v>
      </c>
      <c r="H169" s="40">
        <f t="shared" si="88"/>
        <v>0.39025455925238789</v>
      </c>
      <c r="I169" s="40">
        <f t="shared" si="88"/>
        <v>0.23881336927623248</v>
      </c>
      <c r="J169" s="40">
        <f t="shared" si="88"/>
        <v>0.44919947083180101</v>
      </c>
      <c r="K169" s="40">
        <f t="shared" si="88"/>
        <v>0.19259403044749149</v>
      </c>
      <c r="L169" s="40">
        <f t="shared" si="88"/>
        <v>8.5868281029009327E-2</v>
      </c>
      <c r="M169" s="40">
        <f t="shared" si="88"/>
        <v>0.14339410985456164</v>
      </c>
      <c r="N169" s="40">
        <f t="shared" si="88"/>
        <v>0.24158241038927278</v>
      </c>
      <c r="O169" s="40">
        <f>IFERROR(O24/O$10,0)</f>
        <v>0.33157033385851969</v>
      </c>
      <c r="P169" s="30">
        <f t="shared" si="88"/>
        <v>0</v>
      </c>
      <c r="Q169" s="30">
        <f t="shared" si="88"/>
        <v>0.24157706093189962</v>
      </c>
      <c r="R169" s="30">
        <f t="shared" si="88"/>
        <v>0.20069703852172396</v>
      </c>
      <c r="S169" s="30">
        <f t="shared" si="88"/>
        <v>0.25467473497715237</v>
      </c>
      <c r="T169" s="30">
        <f t="shared" si="88"/>
        <v>0.25486476507602146</v>
      </c>
      <c r="U169" s="30">
        <f t="shared" si="87"/>
        <v>0.19571259955873188</v>
      </c>
      <c r="V169" s="30">
        <f t="shared" si="87"/>
        <v>0</v>
      </c>
      <c r="W169" s="30">
        <f t="shared" ca="1" si="87"/>
        <v>0</v>
      </c>
      <c r="X169" s="30">
        <f t="shared" ca="1" si="87"/>
        <v>0</v>
      </c>
      <c r="Y169" s="30">
        <f t="shared" ca="1" si="87"/>
        <v>0</v>
      </c>
    </row>
    <row r="170" spans="2:25" ht="12.75" customHeight="1">
      <c r="B170" s="18" t="s">
        <v>4</v>
      </c>
      <c r="C170" s="8"/>
      <c r="D170" s="40">
        <f t="shared" ref="D170:Y170" si="89">IFERROR(D27/D$10,0)</f>
        <v>0</v>
      </c>
      <c r="E170" s="40">
        <f t="shared" si="89"/>
        <v>0</v>
      </c>
      <c r="F170" s="40">
        <f t="shared" si="89"/>
        <v>0</v>
      </c>
      <c r="G170" s="40">
        <f t="shared" si="89"/>
        <v>0</v>
      </c>
      <c r="H170" s="40">
        <f t="shared" si="89"/>
        <v>0.54944765267158702</v>
      </c>
      <c r="I170" s="40">
        <f t="shared" si="89"/>
        <v>0.34634809598893551</v>
      </c>
      <c r="J170" s="40">
        <f t="shared" si="89"/>
        <v>0.56775552492704384</v>
      </c>
      <c r="K170" s="40">
        <f t="shared" si="89"/>
        <v>0.30252098418494194</v>
      </c>
      <c r="L170" s="40">
        <f t="shared" si="89"/>
        <v>0.33823122187173071</v>
      </c>
      <c r="M170" s="40">
        <f t="shared" si="89"/>
        <v>0.21979871063848164</v>
      </c>
      <c r="N170" s="40">
        <f t="shared" si="89"/>
        <v>0.35909050835481249</v>
      </c>
      <c r="O170" s="40">
        <f>IFERROR(O27/O$10,0)</f>
        <v>0.53092886090772839</v>
      </c>
      <c r="P170" s="30">
        <f t="shared" si="89"/>
        <v>0</v>
      </c>
      <c r="Q170" s="30">
        <f t="shared" si="89"/>
        <v>0.28336917562724018</v>
      </c>
      <c r="R170" s="30">
        <f t="shared" si="89"/>
        <v>0.25812126261804924</v>
      </c>
      <c r="S170" s="30">
        <f t="shared" si="89"/>
        <v>0.41369335752530489</v>
      </c>
      <c r="T170" s="30">
        <f t="shared" si="89"/>
        <v>0.3962767520649062</v>
      </c>
      <c r="U170" s="30">
        <f t="shared" si="89"/>
        <v>0.36221187610405547</v>
      </c>
      <c r="V170" s="30">
        <f t="shared" si="89"/>
        <v>0</v>
      </c>
      <c r="W170" s="30">
        <f t="shared" ca="1" si="89"/>
        <v>0</v>
      </c>
      <c r="X170" s="30">
        <f t="shared" ca="1" si="89"/>
        <v>0</v>
      </c>
      <c r="Y170" s="30">
        <f t="shared" ca="1" si="89"/>
        <v>0</v>
      </c>
    </row>
    <row r="171" spans="2:25" ht="12.75" customHeight="1">
      <c r="B171" s="18"/>
      <c r="C171" s="8"/>
      <c r="D171" s="343"/>
      <c r="E171" s="343"/>
      <c r="F171" s="343"/>
      <c r="G171" s="343"/>
      <c r="H171" s="343"/>
      <c r="I171" s="343"/>
      <c r="J171" s="343"/>
      <c r="K171" s="343"/>
      <c r="L171" s="343"/>
      <c r="M171" s="343"/>
      <c r="N171" s="343"/>
      <c r="O171" s="343"/>
      <c r="P171" s="344"/>
      <c r="Q171" s="344"/>
      <c r="R171" s="344"/>
      <c r="S171" s="344"/>
      <c r="T171" s="344"/>
      <c r="U171" s="344"/>
      <c r="V171" s="344"/>
      <c r="W171" s="344"/>
      <c r="X171" s="344"/>
      <c r="Y171" s="344"/>
    </row>
    <row r="172" spans="2:25" ht="12.75" customHeight="1">
      <c r="B172" s="19" t="s">
        <v>216</v>
      </c>
      <c r="C172" s="19"/>
      <c r="D172" s="345"/>
      <c r="E172" s="345"/>
      <c r="F172" s="345"/>
      <c r="G172" s="345"/>
      <c r="H172" s="345"/>
      <c r="I172" s="345"/>
      <c r="J172" s="345"/>
      <c r="K172" s="345"/>
      <c r="L172" s="345"/>
      <c r="M172" s="345"/>
      <c r="N172" s="345"/>
      <c r="O172" s="345"/>
      <c r="P172" s="346"/>
      <c r="Q172" s="346"/>
      <c r="R172" s="346"/>
      <c r="S172" s="346"/>
      <c r="T172" s="346"/>
      <c r="U172" s="346"/>
      <c r="V172" s="346"/>
      <c r="W172" s="346"/>
      <c r="X172" s="346"/>
      <c r="Y172" s="346"/>
    </row>
    <row r="173" spans="2:25" ht="12.75" customHeight="1">
      <c r="B173" s="8" t="s">
        <v>26</v>
      </c>
      <c r="C173" s="28"/>
      <c r="D173" s="40">
        <f t="shared" ref="D173:Y185" si="90">IFERROR(IF(D10="",0,D10/C10-1),0)</f>
        <v>0</v>
      </c>
      <c r="E173" s="40">
        <f t="shared" si="90"/>
        <v>0</v>
      </c>
      <c r="F173" s="40">
        <f t="shared" si="90"/>
        <v>0</v>
      </c>
      <c r="G173" s="40">
        <f t="shared" si="90"/>
        <v>0</v>
      </c>
      <c r="H173" s="40">
        <f t="shared" si="90"/>
        <v>0</v>
      </c>
      <c r="I173" s="40">
        <f t="shared" si="90"/>
        <v>1.1555063862545012E-4</v>
      </c>
      <c r="J173" s="40">
        <f t="shared" si="90"/>
        <v>1.9677526222230179</v>
      </c>
      <c r="K173" s="40">
        <f t="shared" si="90"/>
        <v>3.4076980121972529</v>
      </c>
      <c r="L173" s="40">
        <f t="shared" si="90"/>
        <v>-0.23478314926169108</v>
      </c>
      <c r="M173" s="40">
        <f t="shared" si="90"/>
        <v>0.40894670807256306</v>
      </c>
      <c r="N173" s="40">
        <f t="shared" si="90"/>
        <v>-0.15095760336457831</v>
      </c>
      <c r="O173" s="40">
        <f t="shared" si="90"/>
        <v>0.47750656003902114</v>
      </c>
      <c r="P173" s="30">
        <f t="shared" ref="P173:P188" si="91">IFERROR(IF(P10="",0,P10/N10-1),0)</f>
        <v>0</v>
      </c>
      <c r="Q173" s="30">
        <f>IFERROR(IF(Q10="",0,Q10/O10-1),0)</f>
        <v>-0.99724406695646994</v>
      </c>
      <c r="R173" s="30">
        <f t="shared" si="90"/>
        <v>0.79678627774910415</v>
      </c>
      <c r="S173" s="30">
        <f t="shared" si="90"/>
        <v>0.1487021846183405</v>
      </c>
      <c r="T173" s="30">
        <f t="shared" si="90"/>
        <v>0.61338280935781819</v>
      </c>
      <c r="U173" s="30">
        <f t="shared" si="90"/>
        <v>0.2514917230669369</v>
      </c>
      <c r="V173" s="30">
        <f t="shared" si="90"/>
        <v>-1</v>
      </c>
      <c r="W173" s="30">
        <f t="shared" ca="1" si="90"/>
        <v>0</v>
      </c>
      <c r="X173" s="30">
        <f t="shared" ca="1" si="90"/>
        <v>0</v>
      </c>
      <c r="Y173" s="30">
        <f t="shared" ca="1" si="90"/>
        <v>0</v>
      </c>
    </row>
    <row r="174" spans="2:25" ht="12.75" customHeight="1">
      <c r="B174" s="8" t="s">
        <v>27</v>
      </c>
      <c r="C174" s="8"/>
      <c r="D174" s="40">
        <f t="shared" si="90"/>
        <v>0</v>
      </c>
      <c r="E174" s="40">
        <f t="shared" si="90"/>
        <v>0</v>
      </c>
      <c r="F174" s="40">
        <f t="shared" si="90"/>
        <v>0</v>
      </c>
      <c r="G174" s="40">
        <f t="shared" si="90"/>
        <v>0</v>
      </c>
      <c r="H174" s="40">
        <f t="shared" si="90"/>
        <v>0</v>
      </c>
      <c r="I174" s="40">
        <f t="shared" si="90"/>
        <v>0.15020325326882489</v>
      </c>
      <c r="J174" s="40">
        <f t="shared" si="90"/>
        <v>0.51203628010460078</v>
      </c>
      <c r="K174" s="40">
        <f t="shared" si="90"/>
        <v>32.500182522091173</v>
      </c>
      <c r="L174" s="40">
        <f t="shared" si="90"/>
        <v>-0.60823447054039148</v>
      </c>
      <c r="M174" s="40">
        <f t="shared" si="90"/>
        <v>1.6227839947179454</v>
      </c>
      <c r="N174" s="40">
        <f t="shared" si="90"/>
        <v>-0.35114716807388013</v>
      </c>
      <c r="O174" s="40">
        <f t="shared" si="90"/>
        <v>0.49542756236656449</v>
      </c>
      <c r="P174" s="30">
        <f t="shared" si="91"/>
        <v>0</v>
      </c>
      <c r="Q174" s="30">
        <f t="shared" ref="Q174:Q191" si="92">IFERROR(IF(Q11="",0,Q11/O11-1),0)</f>
        <v>-0.99640350164885427</v>
      </c>
      <c r="R174" s="30">
        <f t="shared" si="90"/>
        <v>0.97942801637415</v>
      </c>
      <c r="S174" s="30">
        <f t="shared" si="90"/>
        <v>-0.2099414773457432</v>
      </c>
      <c r="T174" s="30">
        <f t="shared" si="90"/>
        <v>0.76655096505702258</v>
      </c>
      <c r="U174" s="30">
        <f t="shared" si="90"/>
        <v>0.34445498329501256</v>
      </c>
      <c r="V174" s="30">
        <f t="shared" si="90"/>
        <v>-1</v>
      </c>
      <c r="W174" s="30">
        <f t="shared" ca="1" si="90"/>
        <v>0</v>
      </c>
      <c r="X174" s="30">
        <f t="shared" ca="1" si="90"/>
        <v>0</v>
      </c>
      <c r="Y174" s="30">
        <f t="shared" ca="1" si="90"/>
        <v>0</v>
      </c>
    </row>
    <row r="175" spans="2:25" ht="12.75" customHeight="1">
      <c r="B175" s="8" t="s">
        <v>28</v>
      </c>
      <c r="C175" s="8"/>
      <c r="D175" s="40">
        <f t="shared" si="90"/>
        <v>0</v>
      </c>
      <c r="E175" s="40">
        <f t="shared" si="90"/>
        <v>0</v>
      </c>
      <c r="F175" s="40">
        <f t="shared" si="90"/>
        <v>0</v>
      </c>
      <c r="G175" s="40">
        <f t="shared" si="90"/>
        <v>0</v>
      </c>
      <c r="H175" s="40">
        <f t="shared" si="90"/>
        <v>0</v>
      </c>
      <c r="I175" s="40">
        <f t="shared" si="90"/>
        <v>-2.0931068062462033E-2</v>
      </c>
      <c r="J175" s="40">
        <f t="shared" si="90"/>
        <v>2.207567047184118</v>
      </c>
      <c r="K175" s="40">
        <f t="shared" si="90"/>
        <v>1.1484400289509291</v>
      </c>
      <c r="L175" s="40">
        <f t="shared" si="90"/>
        <v>0.21742975588974089</v>
      </c>
      <c r="M175" s="40">
        <f t="shared" si="90"/>
        <v>-6.4043047023370603E-2</v>
      </c>
      <c r="N175" s="40">
        <f t="shared" si="90"/>
        <v>6.7636954310965614E-2</v>
      </c>
      <c r="O175" s="40">
        <f t="shared" si="90"/>
        <v>0.46561379570767625</v>
      </c>
      <c r="P175" s="30">
        <f t="shared" si="91"/>
        <v>0</v>
      </c>
      <c r="Q175" s="30">
        <f t="shared" si="92"/>
        <v>-0.99781323147013867</v>
      </c>
      <c r="R175" s="30">
        <f t="shared" si="90"/>
        <v>0.59338979609848508</v>
      </c>
      <c r="S175" s="30">
        <f t="shared" si="90"/>
        <v>0.64486503635351111</v>
      </c>
      <c r="T175" s="30">
        <f t="shared" si="90"/>
        <v>0.51160371998066223</v>
      </c>
      <c r="U175" s="30">
        <f t="shared" si="90"/>
        <v>0.17929962838022218</v>
      </c>
      <c r="V175" s="30">
        <f t="shared" si="90"/>
        <v>-1</v>
      </c>
      <c r="W175" s="30">
        <f t="shared" ca="1" si="90"/>
        <v>0</v>
      </c>
      <c r="X175" s="30">
        <f t="shared" ca="1" si="90"/>
        <v>0</v>
      </c>
      <c r="Y175" s="30">
        <f t="shared" ca="1" si="90"/>
        <v>0</v>
      </c>
    </row>
    <row r="176" spans="2:25" ht="12.75" customHeight="1">
      <c r="B176" s="15" t="s">
        <v>29</v>
      </c>
      <c r="C176" s="15"/>
      <c r="D176" s="40">
        <f t="shared" si="90"/>
        <v>0</v>
      </c>
      <c r="E176" s="40">
        <f t="shared" si="90"/>
        <v>0</v>
      </c>
      <c r="F176" s="40">
        <f t="shared" si="90"/>
        <v>0</v>
      </c>
      <c r="G176" s="40">
        <f t="shared" si="90"/>
        <v>0</v>
      </c>
      <c r="H176" s="40">
        <f t="shared" si="90"/>
        <v>0</v>
      </c>
      <c r="I176" s="40">
        <f t="shared" si="90"/>
        <v>0.4962153208608171</v>
      </c>
      <c r="J176" s="40">
        <f t="shared" si="90"/>
        <v>1.362635873497493</v>
      </c>
      <c r="K176" s="40">
        <f t="shared" si="90"/>
        <v>0.91862244106212598</v>
      </c>
      <c r="L176" s="40">
        <f t="shared" si="90"/>
        <v>0.2618657199173644</v>
      </c>
      <c r="M176" s="40">
        <f t="shared" si="90"/>
        <v>-2.597504783955018E-2</v>
      </c>
      <c r="N176" s="40">
        <f t="shared" si="90"/>
        <v>0.41883939759538125</v>
      </c>
      <c r="O176" s="40">
        <f t="shared" si="90"/>
        <v>-0.13107441945909859</v>
      </c>
      <c r="P176" s="30">
        <f t="shared" si="91"/>
        <v>0</v>
      </c>
      <c r="Q176" s="30">
        <f t="shared" si="92"/>
        <v>-0.99701671027312411</v>
      </c>
      <c r="R176" s="30">
        <f t="shared" si="90"/>
        <v>0.5635939569782713</v>
      </c>
      <c r="S176" s="30">
        <f t="shared" si="90"/>
        <v>0.37328022819185036</v>
      </c>
      <c r="T176" s="30">
        <f t="shared" si="90"/>
        <v>0.47941960200824685</v>
      </c>
      <c r="U176" s="30">
        <f t="shared" si="90"/>
        <v>0.30099295029021045</v>
      </c>
      <c r="V176" s="30">
        <f t="shared" si="90"/>
        <v>-1</v>
      </c>
      <c r="W176" s="30">
        <f t="shared" ca="1" si="90"/>
        <v>0</v>
      </c>
      <c r="X176" s="30">
        <f t="shared" ca="1" si="90"/>
        <v>0</v>
      </c>
      <c r="Y176" s="30">
        <f t="shared" ca="1" si="90"/>
        <v>0</v>
      </c>
    </row>
    <row r="177" spans="2:25" ht="12.75" customHeight="1">
      <c r="B177" s="15" t="s">
        <v>30</v>
      </c>
      <c r="C177" s="15"/>
      <c r="D177" s="40">
        <f t="shared" si="90"/>
        <v>0</v>
      </c>
      <c r="E177" s="40">
        <f t="shared" si="90"/>
        <v>0</v>
      </c>
      <c r="F177" s="40">
        <f t="shared" si="90"/>
        <v>0</v>
      </c>
      <c r="G177" s="40">
        <f t="shared" si="90"/>
        <v>0</v>
      </c>
      <c r="H177" s="40">
        <f t="shared" si="90"/>
        <v>0</v>
      </c>
      <c r="I177" s="40">
        <f t="shared" si="90"/>
        <v>0.94366642017629809</v>
      </c>
      <c r="J177" s="40">
        <f t="shared" si="90"/>
        <v>1.7253074204096843</v>
      </c>
      <c r="K177" s="40">
        <f t="shared" si="90"/>
        <v>1.2844269467860707</v>
      </c>
      <c r="L177" s="40">
        <f t="shared" si="90"/>
        <v>0.5438804724556503</v>
      </c>
      <c r="M177" s="40">
        <f t="shared" si="90"/>
        <v>-6.0484168480381184E-2</v>
      </c>
      <c r="N177" s="40">
        <f t="shared" si="90"/>
        <v>3.2728678355884666E-2</v>
      </c>
      <c r="O177" s="40">
        <f t="shared" si="90"/>
        <v>1.3311803604412642E-2</v>
      </c>
      <c r="P177" s="30">
        <f t="shared" si="91"/>
        <v>0</v>
      </c>
      <c r="Q177" s="30">
        <f t="shared" si="92"/>
        <v>-0.99868816738937471</v>
      </c>
      <c r="R177" s="30">
        <f t="shared" si="90"/>
        <v>0.43749767012518492</v>
      </c>
      <c r="S177" s="30">
        <f t="shared" si="90"/>
        <v>0.26034599889975718</v>
      </c>
      <c r="T177" s="30">
        <f t="shared" si="90"/>
        <v>0.35488933247893306</v>
      </c>
      <c r="U177" s="30">
        <f t="shared" si="90"/>
        <v>0.18845030753154157</v>
      </c>
      <c r="V177" s="30">
        <f t="shared" si="90"/>
        <v>-1</v>
      </c>
      <c r="W177" s="30">
        <f t="shared" ca="1" si="90"/>
        <v>0</v>
      </c>
      <c r="X177" s="30">
        <f t="shared" ca="1" si="90"/>
        <v>0</v>
      </c>
      <c r="Y177" s="30">
        <f t="shared" ca="1" si="90"/>
        <v>0</v>
      </c>
    </row>
    <row r="178" spans="2:25" ht="12.75" customHeight="1">
      <c r="B178" s="8" t="s">
        <v>287</v>
      </c>
      <c r="C178" s="8"/>
      <c r="D178" s="40">
        <f t="shared" si="90"/>
        <v>0</v>
      </c>
      <c r="E178" s="40">
        <f t="shared" si="90"/>
        <v>0</v>
      </c>
      <c r="F178" s="40">
        <f t="shared" si="90"/>
        <v>0</v>
      </c>
      <c r="G178" s="40">
        <f t="shared" si="90"/>
        <v>0</v>
      </c>
      <c r="H178" s="40">
        <f t="shared" si="90"/>
        <v>0</v>
      </c>
      <c r="I178" s="40">
        <f t="shared" si="90"/>
        <v>-0.48139984933927393</v>
      </c>
      <c r="J178" s="40">
        <f t="shared" si="90"/>
        <v>3.5768207940853296</v>
      </c>
      <c r="K178" s="40">
        <f t="shared" si="90"/>
        <v>1.1776920765115375</v>
      </c>
      <c r="L178" s="40">
        <f t="shared" si="90"/>
        <v>-2.622331989835236E-2</v>
      </c>
      <c r="M178" s="40">
        <f t="shared" si="90"/>
        <v>-9.022662750477195E-2</v>
      </c>
      <c r="N178" s="40">
        <f t="shared" si="90"/>
        <v>-0.1136810361128533</v>
      </c>
      <c r="O178" s="40">
        <f t="shared" si="90"/>
        <v>1.6560912147506812</v>
      </c>
      <c r="P178" s="30">
        <f t="shared" si="91"/>
        <v>0</v>
      </c>
      <c r="Q178" s="30">
        <f t="shared" si="92"/>
        <v>-0.997639013122959</v>
      </c>
      <c r="R178" s="30">
        <f t="shared" si="90"/>
        <v>0.64893665646410303</v>
      </c>
      <c r="S178" s="30">
        <f t="shared" si="90"/>
        <v>0.84466671073484112</v>
      </c>
      <c r="T178" s="30">
        <f t="shared" si="90"/>
        <v>0.5468900998738877</v>
      </c>
      <c r="U178" s="30">
        <f t="shared" si="90"/>
        <v>0.1438496669614695</v>
      </c>
      <c r="V178" s="30">
        <f t="shared" si="90"/>
        <v>-1</v>
      </c>
      <c r="W178" s="30">
        <f t="shared" ca="1" si="90"/>
        <v>0</v>
      </c>
      <c r="X178" s="30">
        <f t="shared" ca="1" si="90"/>
        <v>0</v>
      </c>
      <c r="Y178" s="30">
        <f t="shared" ca="1" si="90"/>
        <v>0</v>
      </c>
    </row>
    <row r="179" spans="2:25" ht="12.75" customHeight="1">
      <c r="B179" s="18" t="s">
        <v>32</v>
      </c>
      <c r="C179" s="8"/>
      <c r="D179" s="40">
        <f t="shared" si="90"/>
        <v>0</v>
      </c>
      <c r="E179" s="40">
        <f t="shared" si="90"/>
        <v>0</v>
      </c>
      <c r="F179" s="40">
        <f t="shared" si="90"/>
        <v>0</v>
      </c>
      <c r="G179" s="40">
        <f t="shared" si="90"/>
        <v>0</v>
      </c>
      <c r="H179" s="40">
        <f t="shared" si="90"/>
        <v>0</v>
      </c>
      <c r="I179" s="40">
        <f t="shared" si="90"/>
        <v>0</v>
      </c>
      <c r="J179" s="40">
        <f t="shared" si="90"/>
        <v>0</v>
      </c>
      <c r="K179" s="40">
        <f t="shared" si="90"/>
        <v>0</v>
      </c>
      <c r="L179" s="40">
        <f t="shared" si="90"/>
        <v>0</v>
      </c>
      <c r="M179" s="40">
        <f t="shared" si="90"/>
        <v>0</v>
      </c>
      <c r="N179" s="40">
        <f t="shared" si="90"/>
        <v>-1</v>
      </c>
      <c r="O179" s="40">
        <f t="shared" si="90"/>
        <v>0</v>
      </c>
      <c r="P179" s="30">
        <f t="shared" si="91"/>
        <v>0</v>
      </c>
      <c r="Q179" s="30">
        <f t="shared" si="92"/>
        <v>0</v>
      </c>
      <c r="R179" s="30">
        <f t="shared" si="90"/>
        <v>0.12537360873118275</v>
      </c>
      <c r="S179" s="30">
        <f t="shared" si="90"/>
        <v>-0.36867005284958343</v>
      </c>
      <c r="T179" s="30">
        <f t="shared" si="90"/>
        <v>2.1287452894469858</v>
      </c>
      <c r="U179" s="30">
        <f t="shared" si="90"/>
        <v>0.30832641588192078</v>
      </c>
      <c r="V179" s="30">
        <f t="shared" si="90"/>
        <v>-1</v>
      </c>
      <c r="W179" s="30">
        <f t="shared" si="90"/>
        <v>0</v>
      </c>
      <c r="X179" s="30">
        <f t="shared" si="90"/>
        <v>0</v>
      </c>
      <c r="Y179" s="30">
        <f t="shared" si="90"/>
        <v>0</v>
      </c>
    </row>
    <row r="180" spans="2:25" ht="12.75" customHeight="1">
      <c r="B180" s="18" t="s">
        <v>33</v>
      </c>
      <c r="C180" s="8"/>
      <c r="D180" s="40">
        <f t="shared" si="90"/>
        <v>0</v>
      </c>
      <c r="E180" s="40">
        <f t="shared" si="90"/>
        <v>0</v>
      </c>
      <c r="F180" s="40">
        <f t="shared" si="90"/>
        <v>0</v>
      </c>
      <c r="G180" s="40">
        <f t="shared" si="90"/>
        <v>0</v>
      </c>
      <c r="H180" s="40">
        <f t="shared" si="90"/>
        <v>0</v>
      </c>
      <c r="I180" s="40">
        <f t="shared" si="90"/>
        <v>5.3909037073917743</v>
      </c>
      <c r="J180" s="40">
        <f t="shared" si="90"/>
        <v>6.1618670548850263</v>
      </c>
      <c r="K180" s="40">
        <f t="shared" si="90"/>
        <v>1.9320101744870786</v>
      </c>
      <c r="L180" s="40">
        <f t="shared" si="90"/>
        <v>-0.4746904224248758</v>
      </c>
      <c r="M180" s="40">
        <f t="shared" si="90"/>
        <v>-7.732146641308113E-2</v>
      </c>
      <c r="N180" s="40">
        <f t="shared" si="90"/>
        <v>2.7781097335670353</v>
      </c>
      <c r="O180" s="40">
        <f t="shared" si="90"/>
        <v>0.72692621994686002</v>
      </c>
      <c r="P180" s="30">
        <f t="shared" si="91"/>
        <v>0</v>
      </c>
      <c r="Q180" s="30">
        <f t="shared" si="92"/>
        <v>-0.99878534299222399</v>
      </c>
      <c r="R180" s="30">
        <f t="shared" si="90"/>
        <v>-0.13662040006504061</v>
      </c>
      <c r="S180" s="30">
        <f t="shared" si="90"/>
        <v>0.37135616509376135</v>
      </c>
      <c r="T180" s="30">
        <f t="shared" si="90"/>
        <v>0.72191377508453858</v>
      </c>
      <c r="U180" s="30">
        <f t="shared" si="90"/>
        <v>-9.0542987633910776E-2</v>
      </c>
      <c r="V180" s="30">
        <f t="shared" si="90"/>
        <v>-1</v>
      </c>
      <c r="W180" s="30">
        <f t="shared" si="90"/>
        <v>0</v>
      </c>
      <c r="X180" s="30">
        <f t="shared" si="90"/>
        <v>0</v>
      </c>
      <c r="Y180" s="30">
        <f t="shared" si="90"/>
        <v>0</v>
      </c>
    </row>
    <row r="181" spans="2:25" ht="12.75" customHeight="1">
      <c r="B181" s="5" t="s">
        <v>288</v>
      </c>
      <c r="D181" s="40">
        <f t="shared" si="90"/>
        <v>0</v>
      </c>
      <c r="E181" s="40">
        <f t="shared" si="90"/>
        <v>0</v>
      </c>
      <c r="F181" s="40">
        <f t="shared" si="90"/>
        <v>0</v>
      </c>
      <c r="G181" s="40">
        <f t="shared" si="90"/>
        <v>0</v>
      </c>
      <c r="H181" s="40">
        <f t="shared" si="90"/>
        <v>0</v>
      </c>
      <c r="I181" s="40">
        <f t="shared" si="90"/>
        <v>-0.39136120459863322</v>
      </c>
      <c r="J181" s="40">
        <f t="shared" si="90"/>
        <v>3.9930105765642709</v>
      </c>
      <c r="K181" s="40">
        <f t="shared" si="90"/>
        <v>1.3518893652380446</v>
      </c>
      <c r="L181" s="40">
        <f t="shared" si="90"/>
        <v>-0.15533515055756486</v>
      </c>
      <c r="M181" s="40">
        <f t="shared" si="90"/>
        <v>-8.7468677705851983E-2</v>
      </c>
      <c r="N181" s="40">
        <f t="shared" si="90"/>
        <v>0.40940759006602967</v>
      </c>
      <c r="O181" s="40">
        <f t="shared" si="90"/>
        <v>1.2051709183866524</v>
      </c>
      <c r="P181" s="30">
        <f t="shared" si="91"/>
        <v>0</v>
      </c>
      <c r="Q181" s="30">
        <f t="shared" si="92"/>
        <v>-0.99772563772146239</v>
      </c>
      <c r="R181" s="30">
        <f t="shared" si="90"/>
        <v>0.4091431228135316</v>
      </c>
      <c r="S181" s="30">
        <f t="shared" si="90"/>
        <v>0.6370983741494991</v>
      </c>
      <c r="T181" s="30">
        <f t="shared" si="90"/>
        <v>0.63988815410220101</v>
      </c>
      <c r="U181" s="30">
        <f t="shared" si="90"/>
        <v>0.13304278415165105</v>
      </c>
      <c r="V181" s="30">
        <f t="shared" si="90"/>
        <v>-1</v>
      </c>
      <c r="W181" s="30">
        <f t="shared" ca="1" si="90"/>
        <v>0</v>
      </c>
      <c r="X181" s="30">
        <f t="shared" ca="1" si="90"/>
        <v>0</v>
      </c>
      <c r="Y181" s="30">
        <f t="shared" ca="1" si="90"/>
        <v>0</v>
      </c>
    </row>
    <row r="182" spans="2:25" ht="12.75" customHeight="1">
      <c r="B182" s="8" t="s">
        <v>31</v>
      </c>
      <c r="C182" s="8"/>
      <c r="D182" s="40">
        <f t="shared" si="90"/>
        <v>0</v>
      </c>
      <c r="E182" s="40">
        <f t="shared" si="90"/>
        <v>0</v>
      </c>
      <c r="F182" s="40">
        <f t="shared" si="90"/>
        <v>0</v>
      </c>
      <c r="G182" s="40">
        <f t="shared" si="90"/>
        <v>0</v>
      </c>
      <c r="H182" s="40">
        <f t="shared" si="90"/>
        <v>0</v>
      </c>
      <c r="I182" s="40">
        <f t="shared" si="90"/>
        <v>-1</v>
      </c>
      <c r="J182" s="40">
        <f t="shared" si="90"/>
        <v>0</v>
      </c>
      <c r="K182" s="40">
        <f t="shared" si="90"/>
        <v>191.65115888791513</v>
      </c>
      <c r="L182" s="40">
        <f t="shared" si="90"/>
        <v>36.316313044266046</v>
      </c>
      <c r="M182" s="40">
        <f t="shared" si="90"/>
        <v>-0.82838495576007398</v>
      </c>
      <c r="N182" s="40">
        <f t="shared" si="90"/>
        <v>-0.94818540083325886</v>
      </c>
      <c r="O182" s="40">
        <f t="shared" si="90"/>
        <v>-0.76871647381055863</v>
      </c>
      <c r="P182" s="30">
        <f t="shared" si="91"/>
        <v>0</v>
      </c>
      <c r="Q182" s="30">
        <f t="shared" si="92"/>
        <v>-0.88649362409462906</v>
      </c>
      <c r="R182" s="30">
        <f t="shared" si="90"/>
        <v>2.6336211913333334</v>
      </c>
      <c r="S182" s="30">
        <f t="shared" si="90"/>
        <v>0.91620564773308555</v>
      </c>
      <c r="T182" s="30">
        <f t="shared" si="90"/>
        <v>2.0440415175293851</v>
      </c>
      <c r="U182" s="30">
        <f t="shared" si="90"/>
        <v>9.5811649283164213E-2</v>
      </c>
      <c r="V182" s="30">
        <f t="shared" si="90"/>
        <v>-1</v>
      </c>
      <c r="W182" s="30">
        <f t="shared" si="90"/>
        <v>0</v>
      </c>
      <c r="X182" s="30">
        <f t="shared" si="90"/>
        <v>0</v>
      </c>
      <c r="Y182" s="30">
        <f t="shared" si="90"/>
        <v>0</v>
      </c>
    </row>
    <row r="183" spans="2:25" ht="12.75" customHeight="1">
      <c r="B183" s="8" t="s">
        <v>34</v>
      </c>
      <c r="C183" s="8"/>
      <c r="D183" s="40">
        <f t="shared" si="90"/>
        <v>0</v>
      </c>
      <c r="E183" s="40">
        <f t="shared" si="90"/>
        <v>0</v>
      </c>
      <c r="F183" s="40">
        <f t="shared" si="90"/>
        <v>0</v>
      </c>
      <c r="G183" s="40">
        <f t="shared" si="90"/>
        <v>0</v>
      </c>
      <c r="H183" s="40">
        <f t="shared" si="90"/>
        <v>0</v>
      </c>
      <c r="I183" s="40">
        <f t="shared" si="90"/>
        <v>-0.38915770452654019</v>
      </c>
      <c r="J183" s="40">
        <f t="shared" si="90"/>
        <v>3.9924443670573995</v>
      </c>
      <c r="K183" s="40">
        <f t="shared" si="90"/>
        <v>1.3303069002905148</v>
      </c>
      <c r="L183" s="40">
        <f t="shared" si="90"/>
        <v>-0.49729712636668633</v>
      </c>
      <c r="M183" s="40">
        <f t="shared" si="90"/>
        <v>0.428209702455979</v>
      </c>
      <c r="N183" s="40">
        <f t="shared" si="90"/>
        <v>0.52294598546131255</v>
      </c>
      <c r="O183" s="40">
        <f t="shared" si="90"/>
        <v>1.2107873849867414</v>
      </c>
      <c r="P183" s="30">
        <f t="shared" si="91"/>
        <v>0</v>
      </c>
      <c r="Q183" s="30">
        <f t="shared" si="92"/>
        <v>-0.9977587484189232</v>
      </c>
      <c r="R183" s="30">
        <f t="shared" si="90"/>
        <v>0.37560827755946424</v>
      </c>
      <c r="S183" s="30">
        <f t="shared" si="90"/>
        <v>0.62598402074573523</v>
      </c>
      <c r="T183" s="30">
        <f t="shared" si="90"/>
        <v>0.57399300656592023</v>
      </c>
      <c r="U183" s="30">
        <f t="shared" si="90"/>
        <v>0.13642182107654754</v>
      </c>
      <c r="V183" s="30">
        <f t="shared" si="90"/>
        <v>-1</v>
      </c>
      <c r="W183" s="30">
        <f t="shared" ca="1" si="90"/>
        <v>0</v>
      </c>
      <c r="X183" s="30">
        <f t="shared" ca="1" si="90"/>
        <v>0</v>
      </c>
      <c r="Y183" s="30">
        <f t="shared" ca="1" si="90"/>
        <v>0</v>
      </c>
    </row>
    <row r="184" spans="2:25" ht="12.75" customHeight="1">
      <c r="B184" s="8" t="s">
        <v>35</v>
      </c>
      <c r="C184" s="8"/>
      <c r="D184" s="40">
        <f t="shared" si="90"/>
        <v>0</v>
      </c>
      <c r="E184" s="40">
        <f t="shared" si="90"/>
        <v>0</v>
      </c>
      <c r="F184" s="40">
        <f t="shared" si="90"/>
        <v>0</v>
      </c>
      <c r="G184" s="40">
        <f t="shared" si="90"/>
        <v>0</v>
      </c>
      <c r="H184" s="40">
        <f t="shared" si="90"/>
        <v>0</v>
      </c>
      <c r="I184" s="40">
        <f t="shared" si="90"/>
        <v>-0.39216875133173312</v>
      </c>
      <c r="J184" s="40">
        <f t="shared" si="90"/>
        <v>2.5124607882097036</v>
      </c>
      <c r="K184" s="40">
        <f t="shared" si="90"/>
        <v>2.4886119792026564</v>
      </c>
      <c r="L184" s="40">
        <f t="shared" si="90"/>
        <v>-0.30935046189092552</v>
      </c>
      <c r="M184" s="40">
        <f t="shared" si="90"/>
        <v>-0.10363487927698145</v>
      </c>
      <c r="N184" s="40">
        <f t="shared" si="90"/>
        <v>0.53635137916013531</v>
      </c>
      <c r="O184" s="40">
        <f t="shared" si="90"/>
        <v>0.73367003917549001</v>
      </c>
      <c r="P184" s="30">
        <f t="shared" si="91"/>
        <v>0</v>
      </c>
      <c r="Q184" s="30">
        <f t="shared" si="92"/>
        <v>-0.99821833816441252</v>
      </c>
      <c r="R184" s="30">
        <f t="shared" si="90"/>
        <v>0.65068242668421061</v>
      </c>
      <c r="S184" s="30">
        <f t="shared" si="90"/>
        <v>0.59359827401799237</v>
      </c>
      <c r="T184" s="30">
        <f t="shared" si="90"/>
        <v>0.51656657537333794</v>
      </c>
      <c r="U184" s="30">
        <f t="shared" si="90"/>
        <v>0.32535273922605423</v>
      </c>
      <c r="V184" s="30">
        <f t="shared" si="90"/>
        <v>-1</v>
      </c>
      <c r="W184" s="30">
        <f t="shared" si="90"/>
        <v>0</v>
      </c>
      <c r="X184" s="30">
        <f t="shared" si="90"/>
        <v>0</v>
      </c>
      <c r="Y184" s="30">
        <f t="shared" si="90"/>
        <v>0</v>
      </c>
    </row>
    <row r="185" spans="2:25" ht="12.75" customHeight="1">
      <c r="B185" s="8" t="s">
        <v>36</v>
      </c>
      <c r="C185" s="8"/>
      <c r="D185" s="40">
        <f t="shared" si="90"/>
        <v>0</v>
      </c>
      <c r="E185" s="40">
        <f t="shared" si="90"/>
        <v>0</v>
      </c>
      <c r="F185" s="40">
        <f t="shared" si="90"/>
        <v>0</v>
      </c>
      <c r="G185" s="40">
        <f t="shared" ref="G185:Y185" si="93">IFERROR(IF(G22="",0,G22/F22-1),0)</f>
        <v>0</v>
      </c>
      <c r="H185" s="40">
        <f t="shared" si="93"/>
        <v>0</v>
      </c>
      <c r="I185" s="40">
        <f t="shared" si="93"/>
        <v>-0.38798674185610249</v>
      </c>
      <c r="J185" s="40">
        <f t="shared" si="93"/>
        <v>4.5640607052755131</v>
      </c>
      <c r="K185" s="40">
        <f t="shared" si="93"/>
        <v>1.0478902338301008</v>
      </c>
      <c r="L185" s="40">
        <f t="shared" si="93"/>
        <v>-0.5753606188510183</v>
      </c>
      <c r="M185" s="40">
        <f t="shared" si="93"/>
        <v>0.78749177825776773</v>
      </c>
      <c r="N185" s="40">
        <f t="shared" si="93"/>
        <v>0.51840477864193901</v>
      </c>
      <c r="O185" s="40">
        <f t="shared" si="93"/>
        <v>1.3743258460940284</v>
      </c>
      <c r="P185" s="30">
        <f t="shared" si="91"/>
        <v>0</v>
      </c>
      <c r="Q185" s="30">
        <f t="shared" si="92"/>
        <v>-0.99790657524555593</v>
      </c>
      <c r="R185" s="30">
        <f t="shared" si="93"/>
        <v>0.41316208613228755</v>
      </c>
      <c r="S185" s="30">
        <f t="shared" si="93"/>
        <v>0.69419304860920805</v>
      </c>
      <c r="T185" s="30">
        <f t="shared" si="93"/>
        <v>0.61855826769971367</v>
      </c>
      <c r="U185" s="30">
        <f t="shared" si="93"/>
        <v>4.5824639216331065E-2</v>
      </c>
      <c r="V185" s="30">
        <f t="shared" si="93"/>
        <v>-1</v>
      </c>
      <c r="W185" s="30">
        <f t="shared" si="93"/>
        <v>0</v>
      </c>
      <c r="X185" s="30">
        <f t="shared" si="93"/>
        <v>0</v>
      </c>
      <c r="Y185" s="30">
        <f t="shared" si="93"/>
        <v>0</v>
      </c>
    </row>
    <row r="186" spans="2:25" ht="12.75" customHeight="1">
      <c r="B186" s="8" t="s">
        <v>37</v>
      </c>
      <c r="C186" s="8"/>
      <c r="D186" s="40">
        <f t="shared" ref="D186:F188" si="94">IFERROR(IF(D23="",0,D23/C23-1),0)</f>
        <v>0</v>
      </c>
      <c r="E186" s="40">
        <f t="shared" si="94"/>
        <v>0</v>
      </c>
      <c r="F186" s="40">
        <f t="shared" si="94"/>
        <v>0</v>
      </c>
      <c r="G186" s="40">
        <f t="shared" ref="G186:Y186" si="95">IFERROR(IF(G23="",0,G23/F23-1),0)</f>
        <v>0</v>
      </c>
      <c r="H186" s="40">
        <f t="shared" si="95"/>
        <v>0</v>
      </c>
      <c r="I186" s="40">
        <f t="shared" si="95"/>
        <v>0</v>
      </c>
      <c r="J186" s="40">
        <f t="shared" si="95"/>
        <v>0</v>
      </c>
      <c r="K186" s="40">
        <f t="shared" si="95"/>
        <v>-47.503866131911472</v>
      </c>
      <c r="L186" s="40">
        <f t="shared" si="95"/>
        <v>0.46631736336434448</v>
      </c>
      <c r="M186" s="40">
        <f t="shared" si="95"/>
        <v>-0.8541812290956966</v>
      </c>
      <c r="N186" s="40">
        <f t="shared" si="95"/>
        <v>4.6408804944865851</v>
      </c>
      <c r="O186" s="40">
        <f t="shared" si="95"/>
        <v>5.4906888355548382</v>
      </c>
      <c r="P186" s="30">
        <f t="shared" si="91"/>
        <v>0</v>
      </c>
      <c r="Q186" s="30">
        <f t="shared" si="92"/>
        <v>-0.99758921725796912</v>
      </c>
      <c r="R186" s="30">
        <f t="shared" si="95"/>
        <v>0.16715394603669731</v>
      </c>
      <c r="S186" s="30">
        <f t="shared" si="95"/>
        <v>1.6295400490058567</v>
      </c>
      <c r="T186" s="30">
        <f t="shared" si="95"/>
        <v>0.62726380227678558</v>
      </c>
      <c r="U186" s="30">
        <f t="shared" si="95"/>
        <v>0.23024167474821855</v>
      </c>
      <c r="V186" s="30">
        <f t="shared" si="95"/>
        <v>-1</v>
      </c>
      <c r="W186" s="30">
        <f t="shared" si="95"/>
        <v>0</v>
      </c>
      <c r="X186" s="30">
        <f t="shared" si="95"/>
        <v>0</v>
      </c>
      <c r="Y186" s="30">
        <f t="shared" si="95"/>
        <v>0</v>
      </c>
    </row>
    <row r="187" spans="2:25" ht="12.75" customHeight="1">
      <c r="B187" s="8" t="s">
        <v>38</v>
      </c>
      <c r="C187" s="8"/>
      <c r="D187" s="40">
        <f t="shared" si="94"/>
        <v>0</v>
      </c>
      <c r="E187" s="40">
        <f t="shared" si="94"/>
        <v>0</v>
      </c>
      <c r="F187" s="40">
        <f t="shared" si="94"/>
        <v>0</v>
      </c>
      <c r="G187" s="40">
        <f t="shared" ref="G187:Y187" si="96">IFERROR(IF(G24="",0,G24/F24-1),0)</f>
        <v>0</v>
      </c>
      <c r="H187" s="40">
        <f t="shared" si="96"/>
        <v>0</v>
      </c>
      <c r="I187" s="40">
        <f t="shared" si="96"/>
        <v>-0.38798674185610249</v>
      </c>
      <c r="J187" s="40">
        <f t="shared" si="96"/>
        <v>4.582237340826067</v>
      </c>
      <c r="K187" s="40">
        <f t="shared" si="96"/>
        <v>0.88979814155285952</v>
      </c>
      <c r="L187" s="40">
        <f t="shared" si="96"/>
        <v>-0.65882714311207546</v>
      </c>
      <c r="M187" s="40">
        <f t="shared" si="96"/>
        <v>1.3528438745422844</v>
      </c>
      <c r="N187" s="40">
        <f t="shared" si="96"/>
        <v>0.43041934504777113</v>
      </c>
      <c r="O187" s="40">
        <f t="shared" si="96"/>
        <v>1.0278684304908507</v>
      </c>
      <c r="P187" s="30">
        <f t="shared" si="91"/>
        <v>0</v>
      </c>
      <c r="Q187" s="30">
        <f t="shared" si="92"/>
        <v>-0.99799206944411023</v>
      </c>
      <c r="R187" s="30">
        <f t="shared" si="96"/>
        <v>0.49273148456083171</v>
      </c>
      <c r="S187" s="30">
        <f t="shared" si="96"/>
        <v>0.45764694182911891</v>
      </c>
      <c r="T187" s="30">
        <f t="shared" si="96"/>
        <v>0.61458666373624116</v>
      </c>
      <c r="U187" s="30">
        <f t="shared" si="96"/>
        <v>-3.8969947946284722E-2</v>
      </c>
      <c r="V187" s="30">
        <f t="shared" si="96"/>
        <v>-1</v>
      </c>
      <c r="W187" s="30">
        <f t="shared" si="96"/>
        <v>0</v>
      </c>
      <c r="X187" s="30">
        <f t="shared" si="96"/>
        <v>0</v>
      </c>
      <c r="Y187" s="30">
        <f t="shared" si="96"/>
        <v>0</v>
      </c>
    </row>
    <row r="188" spans="2:25" ht="12.75" customHeight="1">
      <c r="B188" s="8" t="s">
        <v>123</v>
      </c>
      <c r="C188" s="8"/>
      <c r="D188" s="40">
        <f t="shared" si="94"/>
        <v>0</v>
      </c>
      <c r="E188" s="40">
        <f t="shared" si="94"/>
        <v>0</v>
      </c>
      <c r="F188" s="40">
        <f t="shared" si="94"/>
        <v>0</v>
      </c>
      <c r="G188" s="40">
        <f t="shared" ref="G188:Y188" si="97">IFERROR(IF(G25="",0,G25/F25-1),0)</f>
        <v>0</v>
      </c>
      <c r="H188" s="40">
        <f t="shared" si="97"/>
        <v>0</v>
      </c>
      <c r="I188" s="40">
        <f t="shared" si="97"/>
        <v>-0.90336632766148983</v>
      </c>
      <c r="J188" s="40">
        <f t="shared" si="97"/>
        <v>2.314453421115477</v>
      </c>
      <c r="K188" s="40">
        <f t="shared" si="97"/>
        <v>0.25986542770190635</v>
      </c>
      <c r="L188" s="40">
        <f t="shared" si="97"/>
        <v>-0.86353085724483014</v>
      </c>
      <c r="M188" s="40">
        <f t="shared" si="97"/>
        <v>0.52616899970310338</v>
      </c>
      <c r="N188" s="40">
        <f t="shared" si="97"/>
        <v>0.11657581984410958</v>
      </c>
      <c r="O188" s="40">
        <f t="shared" si="97"/>
        <v>0.50423912498266188</v>
      </c>
      <c r="P188" s="30">
        <f t="shared" si="91"/>
        <v>0</v>
      </c>
      <c r="Q188" s="30">
        <f t="shared" si="92"/>
        <v>0</v>
      </c>
      <c r="R188" s="30">
        <f t="shared" si="97"/>
        <v>0</v>
      </c>
      <c r="S188" s="30">
        <f t="shared" si="97"/>
        <v>0</v>
      </c>
      <c r="T188" s="30">
        <f t="shared" si="97"/>
        <v>0</v>
      </c>
      <c r="U188" s="30">
        <f t="shared" si="97"/>
        <v>0</v>
      </c>
      <c r="V188" s="30">
        <f t="shared" si="97"/>
        <v>0</v>
      </c>
      <c r="W188" s="30">
        <f t="shared" si="97"/>
        <v>0</v>
      </c>
      <c r="X188" s="30">
        <f t="shared" si="97"/>
        <v>0</v>
      </c>
      <c r="Y188" s="30">
        <f t="shared" si="97"/>
        <v>0</v>
      </c>
    </row>
    <row r="189" spans="2:25" ht="12.75" customHeight="1">
      <c r="B189" s="8" t="s">
        <v>4</v>
      </c>
      <c r="C189" s="8"/>
      <c r="D189" s="40">
        <f t="shared" ref="D189:T191" si="98">IFERROR(IF(D27="",0,D27/C27-1),0)</f>
        <v>0</v>
      </c>
      <c r="E189" s="40">
        <f t="shared" si="98"/>
        <v>0</v>
      </c>
      <c r="F189" s="40">
        <f t="shared" si="98"/>
        <v>0</v>
      </c>
      <c r="G189" s="40">
        <f t="shared" si="98"/>
        <v>0</v>
      </c>
      <c r="H189" s="40">
        <f t="shared" si="98"/>
        <v>0</v>
      </c>
      <c r="I189" s="40">
        <f t="shared" si="98"/>
        <v>-0.36957030383446732</v>
      </c>
      <c r="J189" s="40">
        <f t="shared" si="98"/>
        <v>3.8649262617504565</v>
      </c>
      <c r="K189" s="40">
        <f t="shared" si="98"/>
        <v>1.3485832935069526</v>
      </c>
      <c r="L189" s="40">
        <f t="shared" si="98"/>
        <v>-0.14445528094728832</v>
      </c>
      <c r="M189" s="40">
        <f t="shared" si="98"/>
        <v>-8.4399517942415403E-2</v>
      </c>
      <c r="N189" s="40">
        <f t="shared" si="98"/>
        <v>0.38710124794164291</v>
      </c>
      <c r="O189" s="40">
        <f t="shared" si="98"/>
        <v>1.1845491781423205</v>
      </c>
      <c r="P189" s="30">
        <f>IFERROR(IF(P27="",0,P27/N27-1),0)</f>
        <v>0</v>
      </c>
      <c r="Q189" s="30">
        <f t="shared" si="92"/>
        <v>-0.99879524166646616</v>
      </c>
      <c r="R189" s="30">
        <f t="shared" si="98"/>
        <v>0.63669439924361271</v>
      </c>
      <c r="S189" s="30">
        <f t="shared" si="98"/>
        <v>0.84103571604869654</v>
      </c>
      <c r="T189" s="30">
        <f t="shared" si="98"/>
        <v>0.54545894416630158</v>
      </c>
      <c r="U189" s="30">
        <f t="shared" ref="U189:Y191" si="99">IFERROR(IF(U27="",0,U27/T27-1),0)</f>
        <v>0.14391056901194488</v>
      </c>
      <c r="V189" s="30">
        <f t="shared" si="99"/>
        <v>-1</v>
      </c>
      <c r="W189" s="30">
        <f t="shared" ca="1" si="99"/>
        <v>0</v>
      </c>
      <c r="X189" s="30">
        <f t="shared" ca="1" si="99"/>
        <v>0</v>
      </c>
      <c r="Y189" s="30">
        <f t="shared" ca="1" si="99"/>
        <v>0</v>
      </c>
    </row>
    <row r="190" spans="2:25" ht="12.75" customHeight="1">
      <c r="B190" s="8" t="s">
        <v>41</v>
      </c>
      <c r="C190" s="8"/>
      <c r="D190" s="40">
        <f t="shared" si="98"/>
        <v>0</v>
      </c>
      <c r="E190" s="40">
        <f t="shared" si="98"/>
        <v>0</v>
      </c>
      <c r="F190" s="40">
        <f t="shared" si="98"/>
        <v>0</v>
      </c>
      <c r="G190" s="40">
        <f t="shared" si="98"/>
        <v>0</v>
      </c>
      <c r="H190" s="40">
        <f t="shared" si="98"/>
        <v>0</v>
      </c>
      <c r="I190" s="40">
        <f t="shared" si="98"/>
        <v>1.7994371332171353</v>
      </c>
      <c r="J190" s="40">
        <f t="shared" si="98"/>
        <v>1.093069908675695</v>
      </c>
      <c r="K190" s="40">
        <f t="shared" si="98"/>
        <v>1.1779099114047304</v>
      </c>
      <c r="L190" s="40">
        <f t="shared" si="98"/>
        <v>0.46207737737521981</v>
      </c>
      <c r="M190" s="40">
        <f t="shared" si="98"/>
        <v>1.4447611015003359E-2</v>
      </c>
      <c r="N190" s="40">
        <f t="shared" si="98"/>
        <v>-0.25913465016880866</v>
      </c>
      <c r="O190" s="40">
        <f t="shared" si="98"/>
        <v>4.8007529805861759E-2</v>
      </c>
      <c r="P190" s="30">
        <f>IFERROR(IF(P28="",0,P28/N28-1),0)</f>
        <v>0</v>
      </c>
      <c r="Q190" s="30">
        <f t="shared" si="92"/>
        <v>-0.99852909394811618</v>
      </c>
      <c r="R190" s="30">
        <f t="shared" si="98"/>
        <v>-0.26415094339622647</v>
      </c>
      <c r="S190" s="30">
        <f t="shared" si="98"/>
        <v>0.24230769230769234</v>
      </c>
      <c r="T190" s="30">
        <f t="shared" si="98"/>
        <v>0.195046439628483</v>
      </c>
      <c r="U190" s="30">
        <f t="shared" si="99"/>
        <v>0.16321243523316076</v>
      </c>
      <c r="V190" s="30">
        <f t="shared" si="99"/>
        <v>-1</v>
      </c>
      <c r="W190" s="30">
        <f t="shared" ca="1" si="99"/>
        <v>0</v>
      </c>
      <c r="X190" s="30">
        <f t="shared" ca="1" si="99"/>
        <v>0</v>
      </c>
      <c r="Y190" s="30">
        <f t="shared" ca="1" si="99"/>
        <v>0</v>
      </c>
    </row>
    <row r="191" spans="2:25" ht="12.75" customHeight="1">
      <c r="B191" s="8" t="s">
        <v>124</v>
      </c>
      <c r="C191" s="8"/>
      <c r="D191" s="40">
        <f t="shared" si="98"/>
        <v>0</v>
      </c>
      <c r="E191" s="40">
        <f t="shared" si="98"/>
        <v>0</v>
      </c>
      <c r="F191" s="40">
        <f t="shared" si="98"/>
        <v>0</v>
      </c>
      <c r="G191" s="40">
        <f t="shared" si="98"/>
        <v>0</v>
      </c>
      <c r="H191" s="40">
        <f t="shared" si="98"/>
        <v>0</v>
      </c>
      <c r="I191" s="40">
        <f t="shared" si="98"/>
        <v>5.333333333333333</v>
      </c>
      <c r="J191" s="40">
        <f t="shared" si="98"/>
        <v>0.68421052631578938</v>
      </c>
      <c r="K191" s="40">
        <f t="shared" si="98"/>
        <v>0.5</v>
      </c>
      <c r="L191" s="40">
        <f t="shared" si="98"/>
        <v>1.5</v>
      </c>
      <c r="M191" s="40">
        <f t="shared" si="98"/>
        <v>0.54166666666666674</v>
      </c>
      <c r="N191" s="40">
        <f t="shared" si="98"/>
        <v>0.28107677027027034</v>
      </c>
      <c r="O191" s="40">
        <f t="shared" si="98"/>
        <v>0.348102437180142</v>
      </c>
      <c r="P191" s="30">
        <f>IFERROR(IF(P29="",0,P29/N29-1),0)</f>
        <v>0</v>
      </c>
      <c r="Q191" s="30">
        <f t="shared" si="92"/>
        <v>-0.99769324863928877</v>
      </c>
      <c r="R191" s="30">
        <f t="shared" si="98"/>
        <v>0</v>
      </c>
      <c r="S191" s="30">
        <f t="shared" si="98"/>
        <v>0</v>
      </c>
      <c r="T191" s="30">
        <f t="shared" si="98"/>
        <v>0</v>
      </c>
      <c r="U191" s="30">
        <f t="shared" si="99"/>
        <v>0</v>
      </c>
      <c r="V191" s="30">
        <f t="shared" si="99"/>
        <v>0</v>
      </c>
      <c r="W191" s="30">
        <f t="shared" si="99"/>
        <v>0</v>
      </c>
      <c r="X191" s="30">
        <f t="shared" si="99"/>
        <v>0</v>
      </c>
      <c r="Y191" s="30">
        <f t="shared" si="99"/>
        <v>0</v>
      </c>
    </row>
    <row r="192" spans="2:25" ht="12.75" customHeight="1">
      <c r="B192" s="8"/>
      <c r="C192" s="8"/>
      <c r="D192" s="307"/>
      <c r="E192" s="307"/>
      <c r="F192" s="307"/>
      <c r="G192" s="307"/>
      <c r="H192" s="307"/>
      <c r="I192" s="307"/>
      <c r="J192" s="307"/>
      <c r="K192" s="307"/>
      <c r="L192" s="307"/>
      <c r="M192" s="307"/>
      <c r="N192" s="307"/>
      <c r="O192" s="307"/>
      <c r="P192" s="296"/>
      <c r="Q192" s="296"/>
      <c r="R192" s="296"/>
      <c r="S192" s="296"/>
      <c r="T192" s="296"/>
      <c r="U192" s="296"/>
      <c r="V192" s="296"/>
      <c r="W192" s="296"/>
      <c r="X192" s="296"/>
      <c r="Y192" s="296"/>
    </row>
    <row r="193" spans="2:25" ht="12.75" customHeight="1">
      <c r="B193" s="19" t="s">
        <v>217</v>
      </c>
      <c r="C193" s="32"/>
      <c r="D193" s="310"/>
      <c r="E193" s="310"/>
      <c r="F193" s="310"/>
      <c r="G193" s="310"/>
      <c r="H193" s="310"/>
      <c r="I193" s="310"/>
      <c r="J193" s="310"/>
      <c r="K193" s="310"/>
      <c r="L193" s="310"/>
      <c r="M193" s="310"/>
      <c r="N193" s="310"/>
      <c r="O193" s="310"/>
      <c r="P193" s="298"/>
      <c r="Q193" s="298"/>
      <c r="R193" s="298"/>
      <c r="S193" s="298"/>
      <c r="T193" s="298"/>
      <c r="U193" s="298"/>
      <c r="V193" s="298"/>
      <c r="W193" s="298"/>
      <c r="X193" s="298"/>
      <c r="Y193" s="298"/>
    </row>
    <row r="194" spans="2:25" ht="12.75" customHeight="1">
      <c r="B194" s="4" t="s">
        <v>44</v>
      </c>
      <c r="C194" s="8"/>
      <c r="D194" s="309"/>
      <c r="E194" s="309"/>
      <c r="F194" s="309"/>
      <c r="G194" s="309"/>
      <c r="H194" s="309"/>
      <c r="I194" s="309"/>
      <c r="J194" s="309"/>
      <c r="K194" s="309"/>
      <c r="L194" s="309"/>
      <c r="M194" s="309"/>
      <c r="N194" s="309"/>
      <c r="O194" s="309"/>
      <c r="P194" s="2"/>
      <c r="Q194" s="2"/>
      <c r="R194" s="2"/>
      <c r="S194" s="2"/>
      <c r="T194" s="2"/>
      <c r="U194" s="2"/>
      <c r="V194" s="2"/>
      <c r="W194" s="2"/>
      <c r="X194" s="2"/>
      <c r="Y194" s="2"/>
    </row>
    <row r="195" spans="2:25" ht="12.75" customHeight="1">
      <c r="B195" s="8" t="s">
        <v>125</v>
      </c>
      <c r="C195" s="8"/>
      <c r="D195" s="339">
        <f t="shared" ref="D195:Y207" si="100">IFERROR(D33/D$45,0)</f>
        <v>0</v>
      </c>
      <c r="E195" s="339">
        <f t="shared" si="100"/>
        <v>0</v>
      </c>
      <c r="F195" s="339">
        <f t="shared" si="100"/>
        <v>0</v>
      </c>
      <c r="G195" s="339">
        <f t="shared" si="100"/>
        <v>0</v>
      </c>
      <c r="H195" s="339">
        <f t="shared" si="100"/>
        <v>0.49540377237053423</v>
      </c>
      <c r="I195" s="339">
        <f t="shared" si="100"/>
        <v>0.12992392650859241</v>
      </c>
      <c r="J195" s="339">
        <f t="shared" si="100"/>
        <v>0.14251515457091643</v>
      </c>
      <c r="K195" s="339">
        <f t="shared" si="100"/>
        <v>0.23491448514625771</v>
      </c>
      <c r="L195" s="339">
        <f t="shared" si="100"/>
        <v>0.12114253136131005</v>
      </c>
      <c r="M195" s="339">
        <f t="shared" si="100"/>
        <v>0.1666388528514138</v>
      </c>
      <c r="N195" s="339">
        <f t="shared" si="100"/>
        <v>5.7471553498949425E-2</v>
      </c>
      <c r="O195" s="339">
        <f t="shared" ref="O195:O206" si="101">IFERROR(O33/O$45,0)</f>
        <v>0.35934086368065532</v>
      </c>
      <c r="P195" s="340">
        <f t="shared" si="100"/>
        <v>0</v>
      </c>
      <c r="Q195" s="340">
        <f t="shared" si="100"/>
        <v>0</v>
      </c>
      <c r="R195" s="340">
        <f t="shared" si="100"/>
        <v>0</v>
      </c>
      <c r="S195" s="340">
        <f t="shared" si="100"/>
        <v>0</v>
      </c>
      <c r="T195" s="340">
        <f t="shared" si="100"/>
        <v>0</v>
      </c>
      <c r="U195" s="340">
        <f t="shared" si="100"/>
        <v>0</v>
      </c>
      <c r="V195" s="340">
        <f t="shared" si="100"/>
        <v>0</v>
      </c>
      <c r="W195" s="340">
        <f t="shared" si="100"/>
        <v>0</v>
      </c>
      <c r="X195" s="340">
        <f t="shared" si="100"/>
        <v>0</v>
      </c>
      <c r="Y195" s="340">
        <f t="shared" si="100"/>
        <v>0</v>
      </c>
    </row>
    <row r="196" spans="2:25" ht="12.75" customHeight="1">
      <c r="B196" s="8" t="s">
        <v>46</v>
      </c>
      <c r="C196" s="8"/>
      <c r="D196" s="339">
        <f t="shared" si="100"/>
        <v>0</v>
      </c>
      <c r="E196" s="339">
        <f t="shared" si="100"/>
        <v>0</v>
      </c>
      <c r="F196" s="339">
        <f t="shared" si="100"/>
        <v>0</v>
      </c>
      <c r="G196" s="339">
        <f t="shared" si="100"/>
        <v>0</v>
      </c>
      <c r="H196" s="339">
        <f t="shared" si="100"/>
        <v>0</v>
      </c>
      <c r="I196" s="339">
        <f t="shared" si="100"/>
        <v>0</v>
      </c>
      <c r="J196" s="339">
        <f t="shared" si="100"/>
        <v>0</v>
      </c>
      <c r="K196" s="339">
        <f t="shared" si="100"/>
        <v>0</v>
      </c>
      <c r="L196" s="339">
        <f t="shared" si="100"/>
        <v>0</v>
      </c>
      <c r="M196" s="339">
        <f t="shared" si="100"/>
        <v>0</v>
      </c>
      <c r="N196" s="339">
        <f t="shared" si="100"/>
        <v>0</v>
      </c>
      <c r="O196" s="339">
        <f t="shared" si="101"/>
        <v>0</v>
      </c>
      <c r="P196" s="340">
        <f t="shared" si="100"/>
        <v>0</v>
      </c>
      <c r="Q196" s="340">
        <f t="shared" si="100"/>
        <v>0</v>
      </c>
      <c r="R196" s="340">
        <f t="shared" si="100"/>
        <v>0</v>
      </c>
      <c r="S196" s="340">
        <f t="shared" si="100"/>
        <v>0</v>
      </c>
      <c r="T196" s="340">
        <f t="shared" si="100"/>
        <v>0</v>
      </c>
      <c r="U196" s="340">
        <f t="shared" si="100"/>
        <v>0</v>
      </c>
      <c r="V196" s="340">
        <f t="shared" si="100"/>
        <v>0</v>
      </c>
      <c r="W196" s="340">
        <f t="shared" si="100"/>
        <v>0</v>
      </c>
      <c r="X196" s="340">
        <f t="shared" si="100"/>
        <v>0</v>
      </c>
      <c r="Y196" s="340">
        <f t="shared" si="100"/>
        <v>0</v>
      </c>
    </row>
    <row r="197" spans="2:25" ht="12.75" customHeight="1">
      <c r="B197" s="8" t="s">
        <v>48</v>
      </c>
      <c r="C197" s="8"/>
      <c r="D197" s="339">
        <f t="shared" si="100"/>
        <v>0</v>
      </c>
      <c r="E197" s="339">
        <f t="shared" si="100"/>
        <v>0</v>
      </c>
      <c r="F197" s="339">
        <f t="shared" si="100"/>
        <v>0</v>
      </c>
      <c r="G197" s="339">
        <f t="shared" si="100"/>
        <v>0</v>
      </c>
      <c r="H197" s="339">
        <f t="shared" si="100"/>
        <v>0</v>
      </c>
      <c r="I197" s="339">
        <f t="shared" si="100"/>
        <v>1.0918744344239882E-2</v>
      </c>
      <c r="J197" s="339">
        <f t="shared" si="100"/>
        <v>3.0765118543812334E-3</v>
      </c>
      <c r="K197" s="339">
        <f t="shared" si="100"/>
        <v>7.5530700966506895E-2</v>
      </c>
      <c r="L197" s="339">
        <f t="shared" si="100"/>
        <v>0.15549293440943179</v>
      </c>
      <c r="M197" s="339">
        <f t="shared" si="100"/>
        <v>0.15409192126760166</v>
      </c>
      <c r="N197" s="339">
        <f t="shared" si="100"/>
        <v>0.10348820674297818</v>
      </c>
      <c r="O197" s="339">
        <f t="shared" si="101"/>
        <v>5.5174139383130844E-2</v>
      </c>
      <c r="P197" s="340">
        <f t="shared" si="100"/>
        <v>0</v>
      </c>
      <c r="Q197" s="340">
        <f t="shared" si="100"/>
        <v>0</v>
      </c>
      <c r="R197" s="340">
        <f t="shared" si="100"/>
        <v>0</v>
      </c>
      <c r="S197" s="340">
        <f t="shared" si="100"/>
        <v>0</v>
      </c>
      <c r="T197" s="340">
        <f t="shared" si="100"/>
        <v>0</v>
      </c>
      <c r="U197" s="340">
        <f t="shared" si="100"/>
        <v>0</v>
      </c>
      <c r="V197" s="340">
        <f t="shared" si="100"/>
        <v>0</v>
      </c>
      <c r="W197" s="340">
        <f t="shared" si="100"/>
        <v>0</v>
      </c>
      <c r="X197" s="340">
        <f t="shared" si="100"/>
        <v>0</v>
      </c>
      <c r="Y197" s="340">
        <f t="shared" si="100"/>
        <v>0</v>
      </c>
    </row>
    <row r="198" spans="2:25" ht="12.75" customHeight="1">
      <c r="B198" s="8" t="s">
        <v>49</v>
      </c>
      <c r="C198" s="8"/>
      <c r="D198" s="339">
        <f t="shared" si="100"/>
        <v>0</v>
      </c>
      <c r="E198" s="339">
        <f t="shared" si="100"/>
        <v>0</v>
      </c>
      <c r="F198" s="339">
        <f t="shared" si="100"/>
        <v>0</v>
      </c>
      <c r="G198" s="339">
        <f t="shared" si="100"/>
        <v>0</v>
      </c>
      <c r="H198" s="339">
        <f t="shared" si="100"/>
        <v>0.17313097188817897</v>
      </c>
      <c r="I198" s="339">
        <f t="shared" si="100"/>
        <v>0.15524691494822718</v>
      </c>
      <c r="J198" s="339">
        <f t="shared" si="100"/>
        <v>0.30587369537846565</v>
      </c>
      <c r="K198" s="339">
        <f t="shared" si="100"/>
        <v>0.36268465056736948</v>
      </c>
      <c r="L198" s="339">
        <f t="shared" si="100"/>
        <v>9.4893489232203185E-2</v>
      </c>
      <c r="M198" s="339">
        <f t="shared" si="100"/>
        <v>0.15825473777765109</v>
      </c>
      <c r="N198" s="339">
        <f t="shared" si="100"/>
        <v>0.34125699527694664</v>
      </c>
      <c r="O198" s="339">
        <f t="shared" si="101"/>
        <v>0.23106929544420585</v>
      </c>
      <c r="P198" s="340">
        <f t="shared" si="100"/>
        <v>0</v>
      </c>
      <c r="Q198" s="340">
        <f t="shared" si="100"/>
        <v>0</v>
      </c>
      <c r="R198" s="340">
        <f t="shared" si="100"/>
        <v>0</v>
      </c>
      <c r="S198" s="340">
        <f t="shared" si="100"/>
        <v>0</v>
      </c>
      <c r="T198" s="340">
        <f t="shared" si="100"/>
        <v>0</v>
      </c>
      <c r="U198" s="340">
        <f t="shared" si="100"/>
        <v>0</v>
      </c>
      <c r="V198" s="340">
        <f t="shared" si="100"/>
        <v>0</v>
      </c>
      <c r="W198" s="340">
        <f t="shared" si="100"/>
        <v>0</v>
      </c>
      <c r="X198" s="340">
        <f t="shared" si="100"/>
        <v>0</v>
      </c>
      <c r="Y198" s="340">
        <f t="shared" si="100"/>
        <v>0</v>
      </c>
    </row>
    <row r="199" spans="2:25" ht="12.75" customHeight="1">
      <c r="B199" s="8" t="s">
        <v>50</v>
      </c>
      <c r="C199" s="8"/>
      <c r="D199" s="339">
        <f t="shared" si="100"/>
        <v>0</v>
      </c>
      <c r="E199" s="339">
        <f t="shared" si="100"/>
        <v>0</v>
      </c>
      <c r="F199" s="339">
        <f t="shared" si="100"/>
        <v>0</v>
      </c>
      <c r="G199" s="339">
        <f t="shared" si="100"/>
        <v>0</v>
      </c>
      <c r="H199" s="339">
        <f t="shared" si="100"/>
        <v>0.30839267712596008</v>
      </c>
      <c r="I199" s="339">
        <f t="shared" si="100"/>
        <v>0.58452434270880349</v>
      </c>
      <c r="J199" s="339">
        <f t="shared" si="100"/>
        <v>0.37536853924502084</v>
      </c>
      <c r="K199" s="339">
        <f t="shared" si="100"/>
        <v>0.1132868992561724</v>
      </c>
      <c r="L199" s="339">
        <f t="shared" si="100"/>
        <v>0.28961433795027858</v>
      </c>
      <c r="M199" s="339">
        <f t="shared" si="100"/>
        <v>0.23217060013557328</v>
      </c>
      <c r="N199" s="339">
        <f t="shared" si="100"/>
        <v>0.23427700380952937</v>
      </c>
      <c r="O199" s="339">
        <f t="shared" si="101"/>
        <v>0.13150779547338326</v>
      </c>
      <c r="P199" s="340">
        <f t="shared" si="100"/>
        <v>0</v>
      </c>
      <c r="Q199" s="340">
        <f t="shared" si="100"/>
        <v>0</v>
      </c>
      <c r="R199" s="340">
        <f t="shared" si="100"/>
        <v>0</v>
      </c>
      <c r="S199" s="340">
        <f t="shared" si="100"/>
        <v>0</v>
      </c>
      <c r="T199" s="340">
        <f t="shared" si="100"/>
        <v>0</v>
      </c>
      <c r="U199" s="340">
        <f t="shared" si="100"/>
        <v>0</v>
      </c>
      <c r="V199" s="340">
        <f t="shared" si="100"/>
        <v>0</v>
      </c>
      <c r="W199" s="340">
        <f t="shared" si="100"/>
        <v>0</v>
      </c>
      <c r="X199" s="340">
        <f t="shared" si="100"/>
        <v>0</v>
      </c>
      <c r="Y199" s="340">
        <f t="shared" si="100"/>
        <v>0</v>
      </c>
    </row>
    <row r="200" spans="2:25" ht="12.75" customHeight="1">
      <c r="B200" s="4" t="s">
        <v>51</v>
      </c>
      <c r="C200" s="4"/>
      <c r="D200" s="341">
        <f t="shared" si="100"/>
        <v>0</v>
      </c>
      <c r="E200" s="341">
        <f t="shared" si="100"/>
        <v>0</v>
      </c>
      <c r="F200" s="341">
        <f t="shared" si="100"/>
        <v>0</v>
      </c>
      <c r="G200" s="341">
        <f t="shared" si="100"/>
        <v>0</v>
      </c>
      <c r="H200" s="341">
        <f t="shared" si="100"/>
        <v>0.9769274370823382</v>
      </c>
      <c r="I200" s="341">
        <f t="shared" si="100"/>
        <v>0.88061392818225148</v>
      </c>
      <c r="J200" s="341">
        <f t="shared" si="100"/>
        <v>0.82683390086615016</v>
      </c>
      <c r="K200" s="341">
        <f t="shared" si="100"/>
        <v>0.78641673593630645</v>
      </c>
      <c r="L200" s="341">
        <f t="shared" si="100"/>
        <v>0.6611432929532236</v>
      </c>
      <c r="M200" s="341">
        <f t="shared" si="100"/>
        <v>0.71115611203223983</v>
      </c>
      <c r="N200" s="341">
        <f t="shared" si="100"/>
        <v>0.73649375932840366</v>
      </c>
      <c r="O200" s="341">
        <f t="shared" si="101"/>
        <v>0.77709209402766188</v>
      </c>
      <c r="P200" s="342">
        <f t="shared" si="100"/>
        <v>0</v>
      </c>
      <c r="Q200" s="342">
        <f t="shared" si="100"/>
        <v>0</v>
      </c>
      <c r="R200" s="342">
        <f t="shared" si="100"/>
        <v>0</v>
      </c>
      <c r="S200" s="342">
        <f t="shared" si="100"/>
        <v>0</v>
      </c>
      <c r="T200" s="342">
        <f t="shared" si="100"/>
        <v>0</v>
      </c>
      <c r="U200" s="342">
        <f t="shared" si="100"/>
        <v>0</v>
      </c>
      <c r="V200" s="342">
        <f t="shared" si="100"/>
        <v>0</v>
      </c>
      <c r="W200" s="342">
        <f t="shared" si="100"/>
        <v>0</v>
      </c>
      <c r="X200" s="342">
        <f t="shared" si="100"/>
        <v>0</v>
      </c>
      <c r="Y200" s="342">
        <f t="shared" si="100"/>
        <v>0</v>
      </c>
    </row>
    <row r="201" spans="2:25" ht="12.75" customHeight="1">
      <c r="B201" s="8" t="s">
        <v>126</v>
      </c>
      <c r="C201" s="8"/>
      <c r="D201" s="339">
        <f t="shared" si="100"/>
        <v>0</v>
      </c>
      <c r="E201" s="339">
        <f t="shared" si="100"/>
        <v>0</v>
      </c>
      <c r="F201" s="339">
        <f t="shared" si="100"/>
        <v>0</v>
      </c>
      <c r="G201" s="339">
        <f t="shared" si="100"/>
        <v>0</v>
      </c>
      <c r="H201" s="339">
        <f t="shared" si="100"/>
        <v>2.1484875970127857E-2</v>
      </c>
      <c r="I201" s="339">
        <f t="shared" si="100"/>
        <v>9.595494612152462E-3</v>
      </c>
      <c r="J201" s="339">
        <f t="shared" si="100"/>
        <v>2.0129683248847747E-2</v>
      </c>
      <c r="K201" s="339">
        <f t="shared" si="100"/>
        <v>2.5155437801774164E-2</v>
      </c>
      <c r="L201" s="339">
        <f t="shared" si="100"/>
        <v>5.1517323723038959E-2</v>
      </c>
      <c r="M201" s="339">
        <f t="shared" si="100"/>
        <v>5.6847521062368067E-2</v>
      </c>
      <c r="N201" s="339">
        <f t="shared" si="100"/>
        <v>3.5366875894651845E-2</v>
      </c>
      <c r="O201" s="339">
        <f t="shared" si="101"/>
        <v>1.9497866451985861E-2</v>
      </c>
      <c r="P201" s="340">
        <f t="shared" si="100"/>
        <v>0</v>
      </c>
      <c r="Q201" s="340">
        <f t="shared" si="100"/>
        <v>0</v>
      </c>
      <c r="R201" s="340">
        <f t="shared" si="100"/>
        <v>0</v>
      </c>
      <c r="S201" s="340">
        <f t="shared" si="100"/>
        <v>0</v>
      </c>
      <c r="T201" s="340">
        <f t="shared" si="100"/>
        <v>0</v>
      </c>
      <c r="U201" s="340">
        <f t="shared" si="100"/>
        <v>0</v>
      </c>
      <c r="V201" s="340">
        <f t="shared" si="100"/>
        <v>0</v>
      </c>
      <c r="W201" s="340">
        <f t="shared" si="100"/>
        <v>0</v>
      </c>
      <c r="X201" s="340">
        <f t="shared" si="100"/>
        <v>0</v>
      </c>
      <c r="Y201" s="340">
        <f t="shared" si="100"/>
        <v>0</v>
      </c>
    </row>
    <row r="202" spans="2:25" ht="12.75" customHeight="1">
      <c r="B202" s="8" t="s">
        <v>53</v>
      </c>
      <c r="C202" s="8"/>
      <c r="D202" s="339">
        <f t="shared" si="100"/>
        <v>0</v>
      </c>
      <c r="E202" s="339">
        <f t="shared" si="100"/>
        <v>0</v>
      </c>
      <c r="F202" s="339">
        <f t="shared" si="100"/>
        <v>0</v>
      </c>
      <c r="G202" s="339">
        <f t="shared" si="100"/>
        <v>0</v>
      </c>
      <c r="H202" s="339">
        <f t="shared" si="100"/>
        <v>-3.6907235255011438E-3</v>
      </c>
      <c r="I202" s="339">
        <f t="shared" si="100"/>
        <v>-2.1125546299023165E-3</v>
      </c>
      <c r="J202" s="339">
        <f t="shared" si="100"/>
        <v>-2.8507534594406467E-3</v>
      </c>
      <c r="K202" s="339">
        <f t="shared" si="100"/>
        <v>-5.1597187077917182E-3</v>
      </c>
      <c r="L202" s="339">
        <f t="shared" si="100"/>
        <v>-6.4536915742828853E-3</v>
      </c>
      <c r="M202" s="339">
        <f t="shared" si="100"/>
        <v>-1.0931277001746105E-2</v>
      </c>
      <c r="N202" s="339">
        <f t="shared" si="100"/>
        <v>-7.3208203702405565E-3</v>
      </c>
      <c r="O202" s="339">
        <f t="shared" si="101"/>
        <v>-4.5551999344151566E-3</v>
      </c>
      <c r="P202" s="340">
        <f t="shared" si="100"/>
        <v>0</v>
      </c>
      <c r="Q202" s="340">
        <f t="shared" si="100"/>
        <v>0</v>
      </c>
      <c r="R202" s="340">
        <f t="shared" si="100"/>
        <v>0</v>
      </c>
      <c r="S202" s="340">
        <f t="shared" si="100"/>
        <v>0</v>
      </c>
      <c r="T202" s="340">
        <f t="shared" si="100"/>
        <v>0</v>
      </c>
      <c r="U202" s="340">
        <f t="shared" si="100"/>
        <v>0</v>
      </c>
      <c r="V202" s="340">
        <f t="shared" si="100"/>
        <v>0</v>
      </c>
      <c r="W202" s="340">
        <f t="shared" si="100"/>
        <v>0</v>
      </c>
      <c r="X202" s="340">
        <f t="shared" si="100"/>
        <v>0</v>
      </c>
      <c r="Y202" s="340">
        <f t="shared" si="100"/>
        <v>0</v>
      </c>
    </row>
    <row r="203" spans="2:25" ht="12.75" customHeight="1">
      <c r="B203" s="8" t="s">
        <v>54</v>
      </c>
      <c r="C203" s="8"/>
      <c r="D203" s="339">
        <f t="shared" si="100"/>
        <v>0</v>
      </c>
      <c r="E203" s="339">
        <f t="shared" si="100"/>
        <v>0</v>
      </c>
      <c r="F203" s="339">
        <f t="shared" si="100"/>
        <v>0</v>
      </c>
      <c r="G203" s="339">
        <f t="shared" si="100"/>
        <v>0</v>
      </c>
      <c r="H203" s="339">
        <f t="shared" si="100"/>
        <v>1.7794154014393208E-2</v>
      </c>
      <c r="I203" s="339">
        <f t="shared" si="100"/>
        <v>7.482939982250145E-3</v>
      </c>
      <c r="J203" s="339">
        <f t="shared" si="100"/>
        <v>1.7278929789407097E-2</v>
      </c>
      <c r="K203" s="339">
        <f t="shared" si="100"/>
        <v>1.9995719093982445E-2</v>
      </c>
      <c r="L203" s="339">
        <f t="shared" si="100"/>
        <v>4.5063632148756076E-2</v>
      </c>
      <c r="M203" s="339">
        <f t="shared" si="100"/>
        <v>4.5916244060621961E-2</v>
      </c>
      <c r="N203" s="339">
        <f t="shared" si="100"/>
        <v>2.8046055603262267E-2</v>
      </c>
      <c r="O203" s="339">
        <f t="shared" si="101"/>
        <v>1.4942666517570702E-2</v>
      </c>
      <c r="P203" s="340">
        <f t="shared" si="100"/>
        <v>0</v>
      </c>
      <c r="Q203" s="340">
        <f t="shared" si="100"/>
        <v>0</v>
      </c>
      <c r="R203" s="340">
        <f t="shared" si="100"/>
        <v>0</v>
      </c>
      <c r="S203" s="340">
        <f t="shared" si="100"/>
        <v>0</v>
      </c>
      <c r="T203" s="340">
        <f t="shared" si="100"/>
        <v>0</v>
      </c>
      <c r="U203" s="340">
        <f t="shared" si="100"/>
        <v>0</v>
      </c>
      <c r="V203" s="340">
        <f t="shared" si="100"/>
        <v>0</v>
      </c>
      <c r="W203" s="340">
        <f t="shared" si="100"/>
        <v>0</v>
      </c>
      <c r="X203" s="340">
        <f t="shared" si="100"/>
        <v>0</v>
      </c>
      <c r="Y203" s="340">
        <f t="shared" si="100"/>
        <v>0</v>
      </c>
    </row>
    <row r="204" spans="2:25" ht="12.75" customHeight="1">
      <c r="B204" s="8" t="s">
        <v>55</v>
      </c>
      <c r="C204" s="8"/>
      <c r="D204" s="339">
        <f t="shared" si="100"/>
        <v>0</v>
      </c>
      <c r="E204" s="339">
        <f t="shared" si="100"/>
        <v>0</v>
      </c>
      <c r="F204" s="339">
        <f t="shared" si="100"/>
        <v>0</v>
      </c>
      <c r="G204" s="339">
        <f t="shared" si="100"/>
        <v>0</v>
      </c>
      <c r="H204" s="339">
        <f t="shared" si="100"/>
        <v>0</v>
      </c>
      <c r="I204" s="339">
        <f t="shared" si="100"/>
        <v>0</v>
      </c>
      <c r="J204" s="339">
        <f t="shared" si="100"/>
        <v>0</v>
      </c>
      <c r="K204" s="339">
        <f t="shared" si="100"/>
        <v>0</v>
      </c>
      <c r="L204" s="339">
        <f t="shared" si="100"/>
        <v>0.19653644456856623</v>
      </c>
      <c r="M204" s="339">
        <f t="shared" si="100"/>
        <v>0.13490643159550691</v>
      </c>
      <c r="N204" s="339">
        <f t="shared" si="100"/>
        <v>8.6850134904267726E-2</v>
      </c>
      <c r="O204" s="339">
        <f t="shared" si="101"/>
        <v>0</v>
      </c>
      <c r="P204" s="340">
        <f t="shared" si="100"/>
        <v>0</v>
      </c>
      <c r="Q204" s="340">
        <f t="shared" si="100"/>
        <v>0</v>
      </c>
      <c r="R204" s="340">
        <f t="shared" si="100"/>
        <v>0</v>
      </c>
      <c r="S204" s="340">
        <f t="shared" si="100"/>
        <v>0</v>
      </c>
      <c r="T204" s="340">
        <f t="shared" si="100"/>
        <v>0</v>
      </c>
      <c r="U204" s="340">
        <f t="shared" si="100"/>
        <v>0</v>
      </c>
      <c r="V204" s="340">
        <f t="shared" si="100"/>
        <v>0</v>
      </c>
      <c r="W204" s="340">
        <f t="shared" si="100"/>
        <v>0</v>
      </c>
      <c r="X204" s="340">
        <f t="shared" si="100"/>
        <v>0</v>
      </c>
      <c r="Y204" s="340">
        <f t="shared" si="100"/>
        <v>0</v>
      </c>
    </row>
    <row r="205" spans="2:25" ht="12.75" customHeight="1">
      <c r="B205" s="8" t="s">
        <v>56</v>
      </c>
      <c r="C205" s="8"/>
      <c r="D205" s="339">
        <f t="shared" si="100"/>
        <v>0</v>
      </c>
      <c r="E205" s="339">
        <f t="shared" si="100"/>
        <v>0</v>
      </c>
      <c r="F205" s="339">
        <f t="shared" si="100"/>
        <v>0</v>
      </c>
      <c r="G205" s="339">
        <f t="shared" si="100"/>
        <v>0</v>
      </c>
      <c r="H205" s="339">
        <f t="shared" si="100"/>
        <v>5.2784387288318524E-3</v>
      </c>
      <c r="I205" s="339">
        <f t="shared" si="100"/>
        <v>0.11190313183549835</v>
      </c>
      <c r="J205" s="339">
        <f t="shared" si="100"/>
        <v>0.15588716934444277</v>
      </c>
      <c r="K205" s="339">
        <f t="shared" si="100"/>
        <v>0.19358754496971106</v>
      </c>
      <c r="L205" s="339">
        <f t="shared" si="100"/>
        <v>9.7256630442289924E-2</v>
      </c>
      <c r="M205" s="339">
        <f t="shared" si="100"/>
        <v>0.10802121206666905</v>
      </c>
      <c r="N205" s="339">
        <f t="shared" si="100"/>
        <v>0.14861005008521555</v>
      </c>
      <c r="O205" s="339">
        <f t="shared" si="101"/>
        <v>0.20796523945476744</v>
      </c>
      <c r="P205" s="340">
        <f t="shared" si="100"/>
        <v>0</v>
      </c>
      <c r="Q205" s="340">
        <f t="shared" si="100"/>
        <v>0</v>
      </c>
      <c r="R205" s="340">
        <f t="shared" si="100"/>
        <v>0</v>
      </c>
      <c r="S205" s="340">
        <f t="shared" si="100"/>
        <v>0</v>
      </c>
      <c r="T205" s="340">
        <f t="shared" si="100"/>
        <v>0</v>
      </c>
      <c r="U205" s="340">
        <f t="shared" si="100"/>
        <v>0</v>
      </c>
      <c r="V205" s="340">
        <f t="shared" si="100"/>
        <v>0</v>
      </c>
      <c r="W205" s="340">
        <f t="shared" si="100"/>
        <v>0</v>
      </c>
      <c r="X205" s="340">
        <f t="shared" si="100"/>
        <v>0</v>
      </c>
      <c r="Y205" s="340">
        <f t="shared" si="100"/>
        <v>0</v>
      </c>
    </row>
    <row r="206" spans="2:25" ht="12.75" customHeight="1">
      <c r="B206" s="4" t="s">
        <v>57</v>
      </c>
      <c r="C206" s="4"/>
      <c r="D206" s="341">
        <f t="shared" si="100"/>
        <v>0</v>
      </c>
      <c r="E206" s="341">
        <f t="shared" si="100"/>
        <v>0</v>
      </c>
      <c r="F206" s="341">
        <f t="shared" si="100"/>
        <v>0</v>
      </c>
      <c r="G206" s="341">
        <f t="shared" si="100"/>
        <v>0</v>
      </c>
      <c r="H206" s="341">
        <f t="shared" si="100"/>
        <v>2.3072592743225061E-2</v>
      </c>
      <c r="I206" s="341">
        <f t="shared" si="100"/>
        <v>0.1193860718177485</v>
      </c>
      <c r="J206" s="341">
        <f t="shared" si="100"/>
        <v>0.17316609913384987</v>
      </c>
      <c r="K206" s="341">
        <f t="shared" si="100"/>
        <v>0.21358326406369346</v>
      </c>
      <c r="L206" s="341">
        <f t="shared" si="100"/>
        <v>0.3388567070467764</v>
      </c>
      <c r="M206" s="341">
        <f t="shared" si="100"/>
        <v>0.28884388784527909</v>
      </c>
      <c r="N206" s="341">
        <f t="shared" si="100"/>
        <v>0.26350624059274558</v>
      </c>
      <c r="O206" s="341">
        <f t="shared" si="101"/>
        <v>0.22290790597233812</v>
      </c>
      <c r="P206" s="342">
        <f t="shared" si="100"/>
        <v>0</v>
      </c>
      <c r="Q206" s="342">
        <f t="shared" si="100"/>
        <v>0</v>
      </c>
      <c r="R206" s="342">
        <f t="shared" si="100"/>
        <v>0</v>
      </c>
      <c r="S206" s="342">
        <f t="shared" si="100"/>
        <v>0</v>
      </c>
      <c r="T206" s="342">
        <f t="shared" si="100"/>
        <v>0</v>
      </c>
      <c r="U206" s="342">
        <f t="shared" si="100"/>
        <v>0</v>
      </c>
      <c r="V206" s="342">
        <f t="shared" si="100"/>
        <v>0</v>
      </c>
      <c r="W206" s="342">
        <f t="shared" si="100"/>
        <v>0</v>
      </c>
      <c r="X206" s="342">
        <f t="shared" si="100"/>
        <v>0</v>
      </c>
      <c r="Y206" s="342">
        <f t="shared" si="100"/>
        <v>0</v>
      </c>
    </row>
    <row r="207" spans="2:25" ht="12.75" customHeight="1">
      <c r="B207" s="4" t="s">
        <v>58</v>
      </c>
      <c r="C207" s="4"/>
      <c r="D207" s="341">
        <f t="shared" si="100"/>
        <v>0</v>
      </c>
      <c r="E207" s="341">
        <f t="shared" si="100"/>
        <v>0</v>
      </c>
      <c r="F207" s="341">
        <f t="shared" si="100"/>
        <v>0</v>
      </c>
      <c r="G207" s="341">
        <f t="shared" ref="G207:Y207" si="102">IFERROR(G45/G$45,0)</f>
        <v>0</v>
      </c>
      <c r="H207" s="341">
        <f t="shared" si="102"/>
        <v>1</v>
      </c>
      <c r="I207" s="341">
        <f t="shared" si="102"/>
        <v>1</v>
      </c>
      <c r="J207" s="341">
        <f t="shared" si="102"/>
        <v>1</v>
      </c>
      <c r="K207" s="341">
        <f t="shared" si="102"/>
        <v>1</v>
      </c>
      <c r="L207" s="341">
        <f t="shared" si="102"/>
        <v>1</v>
      </c>
      <c r="M207" s="341">
        <f t="shared" si="102"/>
        <v>1</v>
      </c>
      <c r="N207" s="341">
        <f t="shared" si="102"/>
        <v>1</v>
      </c>
      <c r="O207" s="341">
        <f>IFERROR(O45/O$45,0)</f>
        <v>1</v>
      </c>
      <c r="P207" s="342">
        <f t="shared" si="102"/>
        <v>0</v>
      </c>
      <c r="Q207" s="342">
        <f t="shared" si="102"/>
        <v>0</v>
      </c>
      <c r="R207" s="342">
        <f t="shared" si="102"/>
        <v>0</v>
      </c>
      <c r="S207" s="342">
        <f t="shared" si="102"/>
        <v>0</v>
      </c>
      <c r="T207" s="342">
        <f t="shared" si="102"/>
        <v>0</v>
      </c>
      <c r="U207" s="342">
        <f t="shared" si="102"/>
        <v>0</v>
      </c>
      <c r="V207" s="342">
        <f t="shared" si="102"/>
        <v>0</v>
      </c>
      <c r="W207" s="342">
        <f t="shared" si="102"/>
        <v>0</v>
      </c>
      <c r="X207" s="342">
        <f t="shared" si="102"/>
        <v>0</v>
      </c>
      <c r="Y207" s="342">
        <f t="shared" si="102"/>
        <v>0</v>
      </c>
    </row>
    <row r="208" spans="2:25" ht="12.75" customHeight="1">
      <c r="B208" s="8"/>
      <c r="C208" s="8"/>
      <c r="D208" s="309"/>
      <c r="E208" s="309"/>
      <c r="F208" s="309"/>
      <c r="G208" s="309"/>
      <c r="H208" s="309"/>
      <c r="I208" s="309"/>
      <c r="J208" s="309"/>
      <c r="K208" s="309"/>
      <c r="L208" s="309"/>
      <c r="M208" s="309"/>
      <c r="N208" s="309"/>
      <c r="O208" s="309"/>
      <c r="P208" s="2"/>
      <c r="Q208" s="2"/>
      <c r="R208" s="2"/>
      <c r="S208" s="2"/>
      <c r="T208" s="2"/>
      <c r="U208" s="2"/>
      <c r="V208" s="2"/>
      <c r="W208" s="2"/>
      <c r="X208" s="2"/>
      <c r="Y208" s="2"/>
    </row>
    <row r="209" spans="2:25" ht="12.75" customHeight="1">
      <c r="B209" s="4" t="s">
        <v>59</v>
      </c>
      <c r="C209" s="8"/>
      <c r="D209" s="307"/>
      <c r="E209" s="307"/>
      <c r="F209" s="307"/>
      <c r="G209" s="307"/>
      <c r="H209" s="307"/>
      <c r="I209" s="307"/>
      <c r="J209" s="307"/>
      <c r="K209" s="307"/>
      <c r="L209" s="307"/>
      <c r="M209" s="307"/>
      <c r="N209" s="307"/>
      <c r="O209" s="307"/>
      <c r="P209" s="296"/>
      <c r="Q209" s="296"/>
      <c r="R209" s="296"/>
      <c r="S209" s="296"/>
      <c r="T209" s="296"/>
      <c r="U209" s="296"/>
      <c r="V209" s="296"/>
      <c r="W209" s="296"/>
      <c r="X209" s="296"/>
      <c r="Y209" s="296"/>
    </row>
    <row r="210" spans="2:25" ht="12.75" customHeight="1">
      <c r="B210" s="8" t="s">
        <v>60</v>
      </c>
      <c r="C210" s="8"/>
      <c r="D210" s="339">
        <f t="shared" ref="D210:Y222" si="103">IFERROR(D48/D$45,0)</f>
        <v>0</v>
      </c>
      <c r="E210" s="339">
        <f t="shared" si="103"/>
        <v>0</v>
      </c>
      <c r="F210" s="339">
        <f t="shared" si="103"/>
        <v>0</v>
      </c>
      <c r="G210" s="339">
        <f t="shared" si="103"/>
        <v>0</v>
      </c>
      <c r="H210" s="339">
        <f t="shared" si="103"/>
        <v>0</v>
      </c>
      <c r="I210" s="339">
        <f t="shared" si="103"/>
        <v>3.275099812848422E-2</v>
      </c>
      <c r="J210" s="339">
        <f t="shared" si="103"/>
        <v>1.6134975543940311E-3</v>
      </c>
      <c r="K210" s="339">
        <f t="shared" si="103"/>
        <v>2.0837877790514021E-3</v>
      </c>
      <c r="L210" s="339">
        <f t="shared" si="103"/>
        <v>4.8421385953719394E-3</v>
      </c>
      <c r="M210" s="339">
        <f t="shared" si="103"/>
        <v>4.380276203477057E-2</v>
      </c>
      <c r="N210" s="339">
        <f t="shared" si="103"/>
        <v>1.6797682621760839E-2</v>
      </c>
      <c r="O210" s="339">
        <f t="shared" ref="O210:O221" si="104">IFERROR(O48/O$45,0)</f>
        <v>2.5468031968753295E-2</v>
      </c>
      <c r="P210" s="340">
        <f t="shared" si="103"/>
        <v>0</v>
      </c>
      <c r="Q210" s="340">
        <f t="shared" si="103"/>
        <v>0</v>
      </c>
      <c r="R210" s="340">
        <f t="shared" si="103"/>
        <v>0</v>
      </c>
      <c r="S210" s="340">
        <f t="shared" si="103"/>
        <v>0</v>
      </c>
      <c r="T210" s="340">
        <f t="shared" si="103"/>
        <v>0</v>
      </c>
      <c r="U210" s="340">
        <f t="shared" si="103"/>
        <v>0</v>
      </c>
      <c r="V210" s="340">
        <f t="shared" si="103"/>
        <v>0</v>
      </c>
      <c r="W210" s="340">
        <f t="shared" si="103"/>
        <v>0</v>
      </c>
      <c r="X210" s="340">
        <f t="shared" si="103"/>
        <v>0</v>
      </c>
      <c r="Y210" s="340">
        <f t="shared" si="103"/>
        <v>0</v>
      </c>
    </row>
    <row r="211" spans="2:25" ht="12.75" customHeight="1">
      <c r="B211" s="8" t="s">
        <v>61</v>
      </c>
      <c r="C211" s="8"/>
      <c r="D211" s="339">
        <f t="shared" si="103"/>
        <v>0</v>
      </c>
      <c r="E211" s="339">
        <f t="shared" si="103"/>
        <v>0</v>
      </c>
      <c r="F211" s="339">
        <f t="shared" si="103"/>
        <v>0</v>
      </c>
      <c r="G211" s="339">
        <f t="shared" si="103"/>
        <v>0</v>
      </c>
      <c r="H211" s="339">
        <f t="shared" si="103"/>
        <v>0</v>
      </c>
      <c r="I211" s="339">
        <f t="shared" si="103"/>
        <v>5.2417840770251051E-2</v>
      </c>
      <c r="J211" s="339">
        <f t="shared" si="103"/>
        <v>0.2195362388016604</v>
      </c>
      <c r="K211" s="339">
        <f t="shared" si="103"/>
        <v>0.26131610086487372</v>
      </c>
      <c r="L211" s="339">
        <f t="shared" si="103"/>
        <v>0.12282175399264263</v>
      </c>
      <c r="M211" s="339">
        <f t="shared" si="103"/>
        <v>5.5116516674507266E-4</v>
      </c>
      <c r="N211" s="339">
        <f t="shared" si="103"/>
        <v>0</v>
      </c>
      <c r="O211" s="339">
        <f t="shared" si="104"/>
        <v>4.6286592562884529E-4</v>
      </c>
      <c r="P211" s="340">
        <f t="shared" si="103"/>
        <v>0</v>
      </c>
      <c r="Q211" s="340">
        <f t="shared" si="103"/>
        <v>0</v>
      </c>
      <c r="R211" s="340">
        <f t="shared" si="103"/>
        <v>0</v>
      </c>
      <c r="S211" s="340">
        <f t="shared" si="103"/>
        <v>0</v>
      </c>
      <c r="T211" s="340">
        <f t="shared" si="103"/>
        <v>0</v>
      </c>
      <c r="U211" s="340">
        <f t="shared" si="103"/>
        <v>0</v>
      </c>
      <c r="V211" s="340">
        <f t="shared" si="103"/>
        <v>0</v>
      </c>
      <c r="W211" s="340">
        <f t="shared" si="103"/>
        <v>0</v>
      </c>
      <c r="X211" s="340">
        <f t="shared" si="103"/>
        <v>0</v>
      </c>
      <c r="Y211" s="340">
        <f t="shared" si="103"/>
        <v>0</v>
      </c>
    </row>
    <row r="212" spans="2:25" ht="12.75" customHeight="1">
      <c r="B212" s="8" t="s">
        <v>62</v>
      </c>
      <c r="C212" s="8"/>
      <c r="D212" s="339">
        <f t="shared" si="103"/>
        <v>0</v>
      </c>
      <c r="E212" s="339">
        <f t="shared" si="103"/>
        <v>0</v>
      </c>
      <c r="F212" s="339">
        <f t="shared" si="103"/>
        <v>0</v>
      </c>
      <c r="G212" s="339">
        <f t="shared" si="103"/>
        <v>0</v>
      </c>
      <c r="H212" s="339">
        <f t="shared" si="103"/>
        <v>0.58384233195016288</v>
      </c>
      <c r="I212" s="339">
        <f t="shared" si="103"/>
        <v>0.52596828924342232</v>
      </c>
      <c r="J212" s="339">
        <f t="shared" si="103"/>
        <v>0.48542683550599947</v>
      </c>
      <c r="K212" s="339">
        <f t="shared" si="103"/>
        <v>0.29048071722704472</v>
      </c>
      <c r="L212" s="339">
        <f t="shared" si="103"/>
        <v>0.3391703362602223</v>
      </c>
      <c r="M212" s="339">
        <f t="shared" si="103"/>
        <v>0.24097648663687532</v>
      </c>
      <c r="N212" s="339">
        <f t="shared" si="103"/>
        <v>0.40207955185802907</v>
      </c>
      <c r="O212" s="339">
        <f t="shared" si="104"/>
        <v>0.42090281014463232</v>
      </c>
      <c r="P212" s="340">
        <f t="shared" si="103"/>
        <v>0</v>
      </c>
      <c r="Q212" s="340">
        <f t="shared" si="103"/>
        <v>0</v>
      </c>
      <c r="R212" s="340">
        <f t="shared" si="103"/>
        <v>0</v>
      </c>
      <c r="S212" s="340">
        <f t="shared" si="103"/>
        <v>0</v>
      </c>
      <c r="T212" s="340">
        <f t="shared" si="103"/>
        <v>0</v>
      </c>
      <c r="U212" s="340">
        <f t="shared" si="103"/>
        <v>0</v>
      </c>
      <c r="V212" s="340">
        <f t="shared" si="103"/>
        <v>0</v>
      </c>
      <c r="W212" s="340">
        <f t="shared" si="103"/>
        <v>0</v>
      </c>
      <c r="X212" s="340">
        <f t="shared" si="103"/>
        <v>0</v>
      </c>
      <c r="Y212" s="340">
        <f t="shared" si="103"/>
        <v>0</v>
      </c>
    </row>
    <row r="213" spans="2:25" ht="12.75" customHeight="1">
      <c r="B213" s="4" t="s">
        <v>63</v>
      </c>
      <c r="C213" s="4"/>
      <c r="D213" s="341">
        <f t="shared" si="103"/>
        <v>0</v>
      </c>
      <c r="E213" s="341">
        <f t="shared" si="103"/>
        <v>0</v>
      </c>
      <c r="F213" s="341">
        <f t="shared" si="103"/>
        <v>0</v>
      </c>
      <c r="G213" s="341">
        <f t="shared" si="103"/>
        <v>0</v>
      </c>
      <c r="H213" s="341">
        <f t="shared" si="103"/>
        <v>0.58384233195016288</v>
      </c>
      <c r="I213" s="341">
        <f t="shared" si="103"/>
        <v>0.61113712814215759</v>
      </c>
      <c r="J213" s="341">
        <f t="shared" si="103"/>
        <v>0.70657657186205403</v>
      </c>
      <c r="K213" s="341">
        <f t="shared" si="103"/>
        <v>0.55388060587096988</v>
      </c>
      <c r="L213" s="341">
        <f t="shared" si="103"/>
        <v>0.46683422884823689</v>
      </c>
      <c r="M213" s="341">
        <f t="shared" si="103"/>
        <v>0.28533041383839097</v>
      </c>
      <c r="N213" s="341">
        <f t="shared" si="103"/>
        <v>0.41887723447978992</v>
      </c>
      <c r="O213" s="341">
        <f t="shared" si="104"/>
        <v>0.44683370803901445</v>
      </c>
      <c r="P213" s="342">
        <f t="shared" si="103"/>
        <v>0</v>
      </c>
      <c r="Q213" s="342">
        <f t="shared" si="103"/>
        <v>0</v>
      </c>
      <c r="R213" s="342">
        <f t="shared" si="103"/>
        <v>0</v>
      </c>
      <c r="S213" s="342">
        <f t="shared" si="103"/>
        <v>0</v>
      </c>
      <c r="T213" s="342">
        <f t="shared" si="103"/>
        <v>0</v>
      </c>
      <c r="U213" s="342">
        <f t="shared" si="103"/>
        <v>0</v>
      </c>
      <c r="V213" s="342">
        <f t="shared" si="103"/>
        <v>0</v>
      </c>
      <c r="W213" s="342">
        <f t="shared" si="103"/>
        <v>0</v>
      </c>
      <c r="X213" s="342">
        <f t="shared" si="103"/>
        <v>0</v>
      </c>
      <c r="Y213" s="342">
        <f t="shared" si="103"/>
        <v>0</v>
      </c>
    </row>
    <row r="214" spans="2:25" ht="12.75" customHeight="1">
      <c r="B214" s="8" t="s">
        <v>64</v>
      </c>
      <c r="C214" s="8"/>
      <c r="D214" s="339">
        <f t="shared" si="103"/>
        <v>0</v>
      </c>
      <c r="E214" s="339">
        <f t="shared" si="103"/>
        <v>0</v>
      </c>
      <c r="F214" s="339">
        <f t="shared" si="103"/>
        <v>0</v>
      </c>
      <c r="G214" s="339">
        <f t="shared" si="103"/>
        <v>0</v>
      </c>
      <c r="H214" s="339">
        <f t="shared" si="103"/>
        <v>0</v>
      </c>
      <c r="I214" s="339">
        <f t="shared" si="103"/>
        <v>1.9656690288844144E-4</v>
      </c>
      <c r="J214" s="339">
        <f t="shared" si="103"/>
        <v>1.3161698444565361E-2</v>
      </c>
      <c r="K214" s="339">
        <f t="shared" si="103"/>
        <v>1.8410814050484527E-2</v>
      </c>
      <c r="L214" s="339">
        <f t="shared" si="103"/>
        <v>1.3669847959743969E-2</v>
      </c>
      <c r="M214" s="339">
        <f t="shared" si="103"/>
        <v>1.417841771164658E-4</v>
      </c>
      <c r="N214" s="339">
        <f t="shared" si="103"/>
        <v>5.4970171689747729E-2</v>
      </c>
      <c r="O214" s="339">
        <f t="shared" si="104"/>
        <v>5.5131688884499798E-2</v>
      </c>
      <c r="P214" s="340">
        <f t="shared" si="103"/>
        <v>0</v>
      </c>
      <c r="Q214" s="340">
        <f t="shared" si="103"/>
        <v>0</v>
      </c>
      <c r="R214" s="340">
        <f t="shared" si="103"/>
        <v>0</v>
      </c>
      <c r="S214" s="340">
        <f t="shared" si="103"/>
        <v>0</v>
      </c>
      <c r="T214" s="340">
        <f t="shared" si="103"/>
        <v>0</v>
      </c>
      <c r="U214" s="340">
        <f t="shared" si="103"/>
        <v>0</v>
      </c>
      <c r="V214" s="340">
        <f t="shared" si="103"/>
        <v>0</v>
      </c>
      <c r="W214" s="340">
        <f t="shared" si="103"/>
        <v>0</v>
      </c>
      <c r="X214" s="340">
        <f t="shared" si="103"/>
        <v>0</v>
      </c>
      <c r="Y214" s="340">
        <f t="shared" si="103"/>
        <v>0</v>
      </c>
    </row>
    <row r="215" spans="2:25" ht="12.75" customHeight="1">
      <c r="B215" s="8" t="s">
        <v>65</v>
      </c>
      <c r="C215" s="8"/>
      <c r="D215" s="339">
        <f t="shared" si="103"/>
        <v>0</v>
      </c>
      <c r="E215" s="339">
        <f t="shared" si="103"/>
        <v>0</v>
      </c>
      <c r="F215" s="339">
        <f t="shared" si="103"/>
        <v>0</v>
      </c>
      <c r="G215" s="339">
        <f t="shared" si="103"/>
        <v>0</v>
      </c>
      <c r="H215" s="339">
        <f t="shared" si="103"/>
        <v>3.860840690140806E-3</v>
      </c>
      <c r="I215" s="339">
        <f t="shared" si="103"/>
        <v>9.828345144422072E-3</v>
      </c>
      <c r="J215" s="339">
        <f t="shared" si="103"/>
        <v>5.6263581610428914E-3</v>
      </c>
      <c r="K215" s="339">
        <f t="shared" si="103"/>
        <v>7.5153355784965282E-3</v>
      </c>
      <c r="L215" s="339">
        <f t="shared" si="103"/>
        <v>3.6383780994107421E-3</v>
      </c>
      <c r="M215" s="339">
        <f t="shared" si="103"/>
        <v>4.6342389779886889E-3</v>
      </c>
      <c r="N215" s="339">
        <f t="shared" si="103"/>
        <v>2.8858351345837489E-3</v>
      </c>
      <c r="O215" s="339">
        <f t="shared" si="104"/>
        <v>1.7370335255154925E-3</v>
      </c>
      <c r="P215" s="340">
        <f t="shared" si="103"/>
        <v>0</v>
      </c>
      <c r="Q215" s="340">
        <f t="shared" si="103"/>
        <v>0</v>
      </c>
      <c r="R215" s="340">
        <f t="shared" si="103"/>
        <v>0</v>
      </c>
      <c r="S215" s="340">
        <f t="shared" si="103"/>
        <v>0</v>
      </c>
      <c r="T215" s="340">
        <f t="shared" si="103"/>
        <v>0</v>
      </c>
      <c r="U215" s="340">
        <f t="shared" si="103"/>
        <v>0</v>
      </c>
      <c r="V215" s="340">
        <f t="shared" si="103"/>
        <v>0</v>
      </c>
      <c r="W215" s="340">
        <f t="shared" si="103"/>
        <v>0</v>
      </c>
      <c r="X215" s="340">
        <f t="shared" si="103"/>
        <v>0</v>
      </c>
      <c r="Y215" s="340">
        <f t="shared" si="103"/>
        <v>0</v>
      </c>
    </row>
    <row r="216" spans="2:25" ht="12.75" customHeight="1">
      <c r="B216" s="4" t="s">
        <v>66</v>
      </c>
      <c r="C216" s="4"/>
      <c r="D216" s="341">
        <f t="shared" si="103"/>
        <v>0</v>
      </c>
      <c r="E216" s="341">
        <f t="shared" si="103"/>
        <v>0</v>
      </c>
      <c r="F216" s="341">
        <f t="shared" si="103"/>
        <v>0</v>
      </c>
      <c r="G216" s="341">
        <f t="shared" si="103"/>
        <v>0</v>
      </c>
      <c r="H216" s="341">
        <f t="shared" si="103"/>
        <v>3.860840690140806E-3</v>
      </c>
      <c r="I216" s="341">
        <f t="shared" si="103"/>
        <v>1.0024912047310514E-2</v>
      </c>
      <c r="J216" s="341">
        <f t="shared" si="103"/>
        <v>1.8788056605608248E-2</v>
      </c>
      <c r="K216" s="341">
        <f t="shared" si="103"/>
        <v>2.5926149628981054E-2</v>
      </c>
      <c r="L216" s="341">
        <f t="shared" si="103"/>
        <v>1.7308226059154708E-2</v>
      </c>
      <c r="M216" s="341">
        <f t="shared" si="103"/>
        <v>4.7760231551051543E-3</v>
      </c>
      <c r="N216" s="341">
        <f t="shared" si="103"/>
        <v>5.7856006824331487E-2</v>
      </c>
      <c r="O216" s="341">
        <f t="shared" si="104"/>
        <v>5.6868722410015282E-2</v>
      </c>
      <c r="P216" s="342">
        <f t="shared" si="103"/>
        <v>0</v>
      </c>
      <c r="Q216" s="342">
        <f t="shared" si="103"/>
        <v>0</v>
      </c>
      <c r="R216" s="342">
        <f t="shared" si="103"/>
        <v>0</v>
      </c>
      <c r="S216" s="342">
        <f t="shared" si="103"/>
        <v>0</v>
      </c>
      <c r="T216" s="342">
        <f t="shared" si="103"/>
        <v>0</v>
      </c>
      <c r="U216" s="342">
        <f t="shared" si="103"/>
        <v>0</v>
      </c>
      <c r="V216" s="342">
        <f t="shared" si="103"/>
        <v>0</v>
      </c>
      <c r="W216" s="342">
        <f t="shared" si="103"/>
        <v>0</v>
      </c>
      <c r="X216" s="342">
        <f t="shared" si="103"/>
        <v>0</v>
      </c>
      <c r="Y216" s="342">
        <f t="shared" si="103"/>
        <v>0</v>
      </c>
    </row>
    <row r="217" spans="2:25" ht="12.75" customHeight="1">
      <c r="B217" s="4" t="s">
        <v>67</v>
      </c>
      <c r="C217" s="4"/>
      <c r="D217" s="341">
        <f t="shared" si="103"/>
        <v>0</v>
      </c>
      <c r="E217" s="341">
        <f t="shared" si="103"/>
        <v>0</v>
      </c>
      <c r="F217" s="341">
        <f t="shared" si="103"/>
        <v>0</v>
      </c>
      <c r="G217" s="341">
        <f t="shared" si="103"/>
        <v>0</v>
      </c>
      <c r="H217" s="341">
        <f t="shared" si="103"/>
        <v>0.58770317264030369</v>
      </c>
      <c r="I217" s="341">
        <f t="shared" si="103"/>
        <v>0.62116204018946808</v>
      </c>
      <c r="J217" s="341">
        <f t="shared" si="103"/>
        <v>0.72536462846766214</v>
      </c>
      <c r="K217" s="341">
        <f t="shared" si="103"/>
        <v>0.57980675549995087</v>
      </c>
      <c r="L217" s="341">
        <f t="shared" si="103"/>
        <v>0.48414245479455581</v>
      </c>
      <c r="M217" s="341">
        <f t="shared" si="103"/>
        <v>0.29010643687101495</v>
      </c>
      <c r="N217" s="341">
        <f t="shared" si="103"/>
        <v>0.47673324130412142</v>
      </c>
      <c r="O217" s="341">
        <f t="shared" si="104"/>
        <v>0.50370243044902974</v>
      </c>
      <c r="P217" s="342">
        <f t="shared" si="103"/>
        <v>0</v>
      </c>
      <c r="Q217" s="342">
        <f t="shared" si="103"/>
        <v>0</v>
      </c>
      <c r="R217" s="342">
        <f t="shared" si="103"/>
        <v>0</v>
      </c>
      <c r="S217" s="342">
        <f t="shared" si="103"/>
        <v>0</v>
      </c>
      <c r="T217" s="342">
        <f t="shared" si="103"/>
        <v>0</v>
      </c>
      <c r="U217" s="342">
        <f t="shared" si="103"/>
        <v>0</v>
      </c>
      <c r="V217" s="342">
        <f t="shared" si="103"/>
        <v>0</v>
      </c>
      <c r="W217" s="342">
        <f t="shared" si="103"/>
        <v>0</v>
      </c>
      <c r="X217" s="342">
        <f t="shared" si="103"/>
        <v>0</v>
      </c>
      <c r="Y217" s="342">
        <f t="shared" si="103"/>
        <v>0</v>
      </c>
    </row>
    <row r="218" spans="2:25" ht="12.75" customHeight="1">
      <c r="B218" s="44" t="s">
        <v>68</v>
      </c>
      <c r="C218" s="44"/>
      <c r="D218" s="339">
        <f t="shared" si="103"/>
        <v>0</v>
      </c>
      <c r="E218" s="339">
        <f t="shared" si="103"/>
        <v>0</v>
      </c>
      <c r="F218" s="339">
        <f t="shared" si="103"/>
        <v>0</v>
      </c>
      <c r="G218" s="339">
        <f t="shared" si="103"/>
        <v>0</v>
      </c>
      <c r="H218" s="339">
        <f t="shared" si="103"/>
        <v>0</v>
      </c>
      <c r="I218" s="339">
        <f t="shared" si="103"/>
        <v>0</v>
      </c>
      <c r="J218" s="339">
        <f t="shared" si="103"/>
        <v>0</v>
      </c>
      <c r="K218" s="339">
        <f t="shared" si="103"/>
        <v>0</v>
      </c>
      <c r="L218" s="339">
        <f t="shared" si="103"/>
        <v>0</v>
      </c>
      <c r="M218" s="339">
        <f t="shared" si="103"/>
        <v>0</v>
      </c>
      <c r="N218" s="339">
        <f t="shared" si="103"/>
        <v>0</v>
      </c>
      <c r="O218" s="339">
        <f t="shared" si="104"/>
        <v>0</v>
      </c>
      <c r="P218" s="340">
        <f t="shared" si="103"/>
        <v>0</v>
      </c>
      <c r="Q218" s="340">
        <f t="shared" si="103"/>
        <v>0</v>
      </c>
      <c r="R218" s="340">
        <f t="shared" si="103"/>
        <v>0</v>
      </c>
      <c r="S218" s="340">
        <f t="shared" si="103"/>
        <v>0</v>
      </c>
      <c r="T218" s="340">
        <f t="shared" si="103"/>
        <v>0</v>
      </c>
      <c r="U218" s="340">
        <f t="shared" si="103"/>
        <v>0</v>
      </c>
      <c r="V218" s="340">
        <f t="shared" si="103"/>
        <v>0</v>
      </c>
      <c r="W218" s="340">
        <f t="shared" si="103"/>
        <v>0</v>
      </c>
      <c r="X218" s="340">
        <f t="shared" si="103"/>
        <v>0</v>
      </c>
      <c r="Y218" s="340">
        <f t="shared" si="103"/>
        <v>0</v>
      </c>
    </row>
    <row r="219" spans="2:25" ht="12.75" customHeight="1">
      <c r="B219" s="44" t="s">
        <v>72</v>
      </c>
      <c r="C219" s="44"/>
      <c r="D219" s="339">
        <f t="shared" si="103"/>
        <v>0</v>
      </c>
      <c r="E219" s="339">
        <f t="shared" si="103"/>
        <v>0</v>
      </c>
      <c r="F219" s="339">
        <f t="shared" si="103"/>
        <v>0</v>
      </c>
      <c r="G219" s="339">
        <f t="shared" si="103"/>
        <v>0</v>
      </c>
      <c r="H219" s="339">
        <f t="shared" si="103"/>
        <v>0</v>
      </c>
      <c r="I219" s="339">
        <f t="shared" si="103"/>
        <v>1.1204313464641161E-2</v>
      </c>
      <c r="J219" s="339">
        <f t="shared" si="103"/>
        <v>6.2460811867473612E-3</v>
      </c>
      <c r="K219" s="339">
        <f t="shared" si="103"/>
        <v>7.6771121049270053E-3</v>
      </c>
      <c r="L219" s="339">
        <f t="shared" si="103"/>
        <v>3.6316503558880886E-2</v>
      </c>
      <c r="M219" s="339">
        <f t="shared" si="103"/>
        <v>3.9169802862299062E-2</v>
      </c>
      <c r="N219" s="339">
        <f t="shared" si="103"/>
        <v>8.659714808190451E-3</v>
      </c>
      <c r="O219" s="339">
        <f t="shared" si="104"/>
        <v>5.0304179927085184E-3</v>
      </c>
      <c r="P219" s="340">
        <f t="shared" si="103"/>
        <v>0</v>
      </c>
      <c r="Q219" s="340">
        <f t="shared" si="103"/>
        <v>0</v>
      </c>
      <c r="R219" s="340">
        <f t="shared" si="103"/>
        <v>0</v>
      </c>
      <c r="S219" s="340">
        <f t="shared" si="103"/>
        <v>0</v>
      </c>
      <c r="T219" s="340">
        <f t="shared" si="103"/>
        <v>0</v>
      </c>
      <c r="U219" s="340">
        <f t="shared" si="103"/>
        <v>0</v>
      </c>
      <c r="V219" s="340">
        <f t="shared" si="103"/>
        <v>0</v>
      </c>
      <c r="W219" s="340">
        <f t="shared" si="103"/>
        <v>0</v>
      </c>
      <c r="X219" s="340">
        <f t="shared" si="103"/>
        <v>0</v>
      </c>
      <c r="Y219" s="340">
        <f t="shared" si="103"/>
        <v>0</v>
      </c>
    </row>
    <row r="220" spans="2:25" ht="12.75" customHeight="1">
      <c r="B220" s="44" t="s">
        <v>69</v>
      </c>
      <c r="C220" s="44"/>
      <c r="D220" s="339">
        <f t="shared" si="103"/>
        <v>0</v>
      </c>
      <c r="E220" s="339">
        <f t="shared" si="103"/>
        <v>0</v>
      </c>
      <c r="F220" s="339">
        <f t="shared" si="103"/>
        <v>0</v>
      </c>
      <c r="G220" s="339">
        <f t="shared" si="103"/>
        <v>0</v>
      </c>
      <c r="H220" s="339">
        <f t="shared" si="103"/>
        <v>0.23546497398703839</v>
      </c>
      <c r="I220" s="339">
        <f t="shared" si="103"/>
        <v>0.26208920385125523</v>
      </c>
      <c r="J220" s="339">
        <f t="shared" si="103"/>
        <v>0.14610716226309617</v>
      </c>
      <c r="K220" s="339">
        <f t="shared" si="103"/>
        <v>0.2326397607553638</v>
      </c>
      <c r="L220" s="339">
        <f t="shared" si="103"/>
        <v>0.36107451793886675</v>
      </c>
      <c r="M220" s="339">
        <f t="shared" si="103"/>
        <v>0.5144208222954012</v>
      </c>
      <c r="N220" s="339">
        <f t="shared" si="103"/>
        <v>0.41633065521041857</v>
      </c>
      <c r="O220" s="339">
        <f t="shared" si="104"/>
        <v>0.34714944422163396</v>
      </c>
      <c r="P220" s="340">
        <f t="shared" si="103"/>
        <v>0</v>
      </c>
      <c r="Q220" s="340">
        <f t="shared" si="103"/>
        <v>0</v>
      </c>
      <c r="R220" s="340">
        <f t="shared" si="103"/>
        <v>0</v>
      </c>
      <c r="S220" s="340">
        <f t="shared" si="103"/>
        <v>0</v>
      </c>
      <c r="T220" s="340">
        <f t="shared" si="103"/>
        <v>0</v>
      </c>
      <c r="U220" s="340">
        <f t="shared" si="103"/>
        <v>0</v>
      </c>
      <c r="V220" s="340">
        <f t="shared" si="103"/>
        <v>0</v>
      </c>
      <c r="W220" s="340">
        <f t="shared" si="103"/>
        <v>0</v>
      </c>
      <c r="X220" s="340">
        <f t="shared" si="103"/>
        <v>0</v>
      </c>
      <c r="Y220" s="340">
        <f t="shared" si="103"/>
        <v>0</v>
      </c>
    </row>
    <row r="221" spans="2:25" ht="12.75" customHeight="1">
      <c r="B221" s="44" t="s">
        <v>70</v>
      </c>
      <c r="C221" s="44"/>
      <c r="D221" s="339">
        <f t="shared" si="103"/>
        <v>0</v>
      </c>
      <c r="E221" s="339">
        <f t="shared" si="103"/>
        <v>0</v>
      </c>
      <c r="F221" s="339">
        <f t="shared" si="103"/>
        <v>0</v>
      </c>
      <c r="G221" s="339">
        <f t="shared" si="103"/>
        <v>0</v>
      </c>
      <c r="H221" s="339">
        <f t="shared" si="103"/>
        <v>0.17683188005868833</v>
      </c>
      <c r="I221" s="339">
        <f t="shared" si="103"/>
        <v>2.3663685309477208E-2</v>
      </c>
      <c r="J221" s="339">
        <f t="shared" si="103"/>
        <v>7.2664030215522216E-2</v>
      </c>
      <c r="K221" s="339">
        <f t="shared" si="103"/>
        <v>0.11387421141818586</v>
      </c>
      <c r="L221" s="339">
        <f t="shared" si="103"/>
        <v>5.5520503983443138E-2</v>
      </c>
      <c r="M221" s="339">
        <f t="shared" si="103"/>
        <v>0.12708133015798262</v>
      </c>
      <c r="N221" s="339">
        <f t="shared" si="103"/>
        <v>7.4241196318226205E-2</v>
      </c>
      <c r="O221" s="339">
        <f t="shared" si="104"/>
        <v>0.11196362618224052</v>
      </c>
      <c r="P221" s="340">
        <f t="shared" si="103"/>
        <v>0</v>
      </c>
      <c r="Q221" s="340">
        <f t="shared" si="103"/>
        <v>0</v>
      </c>
      <c r="R221" s="340">
        <f t="shared" si="103"/>
        <v>0</v>
      </c>
      <c r="S221" s="340">
        <f t="shared" si="103"/>
        <v>0</v>
      </c>
      <c r="T221" s="340">
        <f t="shared" si="103"/>
        <v>0</v>
      </c>
      <c r="U221" s="340">
        <f t="shared" si="103"/>
        <v>0</v>
      </c>
      <c r="V221" s="340">
        <f t="shared" si="103"/>
        <v>0</v>
      </c>
      <c r="W221" s="340">
        <f t="shared" si="103"/>
        <v>0</v>
      </c>
      <c r="X221" s="340">
        <f t="shared" si="103"/>
        <v>0</v>
      </c>
      <c r="Y221" s="340">
        <f t="shared" si="103"/>
        <v>0</v>
      </c>
    </row>
    <row r="222" spans="2:25" ht="12.75" customHeight="1">
      <c r="B222" s="44" t="s">
        <v>71</v>
      </c>
      <c r="C222" s="44"/>
      <c r="D222" s="339">
        <f t="shared" si="103"/>
        <v>0</v>
      </c>
      <c r="E222" s="339">
        <f t="shared" si="103"/>
        <v>0</v>
      </c>
      <c r="F222" s="339">
        <f t="shared" si="103"/>
        <v>0</v>
      </c>
      <c r="G222" s="339">
        <f t="shared" ref="G222:Y222" si="105">IFERROR(G60/G$45,0)</f>
        <v>0</v>
      </c>
      <c r="H222" s="339">
        <f t="shared" si="105"/>
        <v>0</v>
      </c>
      <c r="I222" s="339">
        <f t="shared" si="105"/>
        <v>8.1880757185158234E-2</v>
      </c>
      <c r="J222" s="339">
        <f t="shared" si="105"/>
        <v>4.9618097866972195E-2</v>
      </c>
      <c r="K222" s="339">
        <f t="shared" si="105"/>
        <v>6.6002160221572445E-2</v>
      </c>
      <c r="L222" s="339">
        <f t="shared" si="105"/>
        <v>6.2946019611417617E-2</v>
      </c>
      <c r="M222" s="339">
        <f t="shared" si="105"/>
        <v>2.9221607690821071E-2</v>
      </c>
      <c r="N222" s="339">
        <f t="shared" si="105"/>
        <v>2.4035192280192654E-2</v>
      </c>
      <c r="O222" s="339">
        <f>IFERROR(O60/O$45,0)</f>
        <v>3.2154081154387261E-2</v>
      </c>
      <c r="P222" s="340">
        <f t="shared" si="105"/>
        <v>0</v>
      </c>
      <c r="Q222" s="340">
        <f t="shared" si="105"/>
        <v>0</v>
      </c>
      <c r="R222" s="340">
        <f t="shared" si="105"/>
        <v>0</v>
      </c>
      <c r="S222" s="340">
        <f t="shared" si="105"/>
        <v>0</v>
      </c>
      <c r="T222" s="340">
        <f t="shared" si="105"/>
        <v>0</v>
      </c>
      <c r="U222" s="340">
        <f t="shared" si="105"/>
        <v>0</v>
      </c>
      <c r="V222" s="340">
        <f t="shared" si="105"/>
        <v>0</v>
      </c>
      <c r="W222" s="340">
        <f t="shared" si="105"/>
        <v>0</v>
      </c>
      <c r="X222" s="340">
        <f t="shared" si="105"/>
        <v>0</v>
      </c>
      <c r="Y222" s="340">
        <f t="shared" si="105"/>
        <v>0</v>
      </c>
    </row>
    <row r="223" spans="2:25" ht="12.75" customHeight="1">
      <c r="B223" s="4" t="s">
        <v>73</v>
      </c>
      <c r="C223" s="4"/>
      <c r="D223" s="341">
        <f t="shared" ref="D223:Y224" si="106">IFERROR(D61/D$45,0)</f>
        <v>0</v>
      </c>
      <c r="E223" s="341">
        <f t="shared" si="106"/>
        <v>0</v>
      </c>
      <c r="F223" s="341">
        <f t="shared" si="106"/>
        <v>0</v>
      </c>
      <c r="G223" s="341">
        <f t="shared" si="106"/>
        <v>0</v>
      </c>
      <c r="H223" s="341">
        <f t="shared" si="106"/>
        <v>0.41229685404572669</v>
      </c>
      <c r="I223" s="341">
        <f t="shared" si="106"/>
        <v>0.37883795981053187</v>
      </c>
      <c r="J223" s="341">
        <f t="shared" si="106"/>
        <v>0.27463537153233797</v>
      </c>
      <c r="K223" s="341">
        <f t="shared" si="106"/>
        <v>0.42019324450004913</v>
      </c>
      <c r="L223" s="341">
        <f t="shared" si="106"/>
        <v>0.51585754520544413</v>
      </c>
      <c r="M223" s="341">
        <f t="shared" si="106"/>
        <v>0.70989356300650397</v>
      </c>
      <c r="N223" s="341">
        <f t="shared" si="106"/>
        <v>0.52326675869587869</v>
      </c>
      <c r="O223" s="341">
        <f>IFERROR(O61/O$45,0)</f>
        <v>0.49629756955097032</v>
      </c>
      <c r="P223" s="342">
        <f t="shared" si="106"/>
        <v>0</v>
      </c>
      <c r="Q223" s="342">
        <f t="shared" si="106"/>
        <v>0</v>
      </c>
      <c r="R223" s="342">
        <f t="shared" si="106"/>
        <v>0</v>
      </c>
      <c r="S223" s="342">
        <f t="shared" si="106"/>
        <v>0</v>
      </c>
      <c r="T223" s="342">
        <f t="shared" si="106"/>
        <v>0</v>
      </c>
      <c r="U223" s="342">
        <f t="shared" si="106"/>
        <v>0</v>
      </c>
      <c r="V223" s="342">
        <f t="shared" si="106"/>
        <v>0</v>
      </c>
      <c r="W223" s="342">
        <f t="shared" si="106"/>
        <v>0</v>
      </c>
      <c r="X223" s="342">
        <f t="shared" si="106"/>
        <v>0</v>
      </c>
      <c r="Y223" s="342">
        <f t="shared" si="106"/>
        <v>0</v>
      </c>
    </row>
    <row r="224" spans="2:25" ht="12.75" customHeight="1">
      <c r="B224" s="4" t="s">
        <v>74</v>
      </c>
      <c r="C224" s="4"/>
      <c r="D224" s="341">
        <f t="shared" si="106"/>
        <v>0</v>
      </c>
      <c r="E224" s="341">
        <f t="shared" si="106"/>
        <v>0</v>
      </c>
      <c r="F224" s="341">
        <f t="shared" si="106"/>
        <v>0</v>
      </c>
      <c r="G224" s="341">
        <f t="shared" si="106"/>
        <v>0</v>
      </c>
      <c r="H224" s="341">
        <f t="shared" si="106"/>
        <v>1.0000000266860303</v>
      </c>
      <c r="I224" s="341">
        <f t="shared" si="106"/>
        <v>1</v>
      </c>
      <c r="J224" s="341">
        <f t="shared" si="106"/>
        <v>1</v>
      </c>
      <c r="K224" s="341">
        <f t="shared" si="106"/>
        <v>1</v>
      </c>
      <c r="L224" s="341">
        <f t="shared" si="106"/>
        <v>1</v>
      </c>
      <c r="M224" s="341">
        <f t="shared" si="106"/>
        <v>1</v>
      </c>
      <c r="N224" s="341">
        <f t="shared" si="106"/>
        <v>1</v>
      </c>
      <c r="O224" s="341">
        <f>IFERROR(O62/O$45,0)</f>
        <v>1</v>
      </c>
      <c r="P224" s="342">
        <f t="shared" si="106"/>
        <v>0</v>
      </c>
      <c r="Q224" s="342">
        <f t="shared" si="106"/>
        <v>0</v>
      </c>
      <c r="R224" s="342">
        <f t="shared" si="106"/>
        <v>0</v>
      </c>
      <c r="S224" s="342">
        <f t="shared" si="106"/>
        <v>0</v>
      </c>
      <c r="T224" s="342">
        <f t="shared" si="106"/>
        <v>0</v>
      </c>
      <c r="U224" s="342">
        <f t="shared" si="106"/>
        <v>0</v>
      </c>
      <c r="V224" s="342">
        <f t="shared" si="106"/>
        <v>0</v>
      </c>
      <c r="W224" s="342">
        <f t="shared" si="106"/>
        <v>0</v>
      </c>
      <c r="X224" s="342">
        <f t="shared" si="106"/>
        <v>0</v>
      </c>
      <c r="Y224" s="342">
        <f t="shared" si="106"/>
        <v>0</v>
      </c>
    </row>
    <row r="225" spans="1:25" ht="12.75" customHeight="1">
      <c r="D225" s="311"/>
      <c r="E225" s="311"/>
      <c r="F225" s="311"/>
      <c r="G225" s="311"/>
      <c r="H225" s="311"/>
      <c r="I225" s="311"/>
      <c r="J225" s="311"/>
      <c r="K225" s="311"/>
      <c r="L225" s="311"/>
      <c r="M225" s="311"/>
      <c r="N225" s="311"/>
      <c r="O225" s="311"/>
      <c r="P225" s="48"/>
      <c r="Q225" s="48"/>
      <c r="R225" s="48"/>
      <c r="S225" s="48"/>
      <c r="T225" s="48"/>
      <c r="U225" s="48"/>
      <c r="V225" s="48"/>
      <c r="W225" s="48"/>
      <c r="X225" s="48"/>
      <c r="Y225" s="48"/>
    </row>
    <row r="226" spans="1:25" ht="12.75" customHeight="1">
      <c r="B226" s="19" t="s">
        <v>76</v>
      </c>
      <c r="C226" s="23"/>
      <c r="D226" s="312"/>
      <c r="E226" s="312"/>
      <c r="F226" s="312"/>
      <c r="G226" s="312"/>
      <c r="H226" s="312"/>
      <c r="I226" s="312"/>
      <c r="J226" s="312"/>
      <c r="K226" s="312"/>
      <c r="L226" s="312"/>
      <c r="M226" s="312"/>
      <c r="N226" s="312"/>
      <c r="O226" s="312"/>
      <c r="P226" s="293"/>
      <c r="Q226" s="293"/>
      <c r="R226" s="293"/>
      <c r="S226" s="293"/>
      <c r="T226" s="293"/>
      <c r="U226" s="293"/>
      <c r="V226" s="293"/>
      <c r="W226" s="293"/>
      <c r="X226" s="293"/>
      <c r="Y226" s="293"/>
    </row>
    <row r="227" spans="1:25" ht="12.75" customHeight="1">
      <c r="B227" s="8" t="s">
        <v>77</v>
      </c>
      <c r="D227" s="245">
        <f>IF(D35="",0,C35-D35)</f>
        <v>0</v>
      </c>
      <c r="E227" s="245">
        <f t="shared" ref="E227:Y229" si="107">IF(E35="",0,D35-E35)</f>
        <v>0</v>
      </c>
      <c r="F227" s="245">
        <f t="shared" si="107"/>
        <v>0</v>
      </c>
      <c r="G227" s="245">
        <f t="shared" si="107"/>
        <v>0</v>
      </c>
      <c r="H227" s="245">
        <f t="shared" si="107"/>
        <v>0</v>
      </c>
      <c r="I227" s="245">
        <f t="shared" si="107"/>
        <v>-3.3328329999999999</v>
      </c>
      <c r="J227" s="245">
        <f t="shared" si="107"/>
        <v>1.6483094999999999</v>
      </c>
      <c r="K227" s="245">
        <f t="shared" si="107"/>
        <v>-50.262366899999996</v>
      </c>
      <c r="L227" s="245">
        <f t="shared" si="107"/>
        <v>-85.857735899999994</v>
      </c>
      <c r="M227" s="245">
        <f t="shared" si="107"/>
        <v>11.995941799999997</v>
      </c>
      <c r="N227" s="245">
        <f t="shared" si="107"/>
        <v>-5.4366186000000027</v>
      </c>
      <c r="O227" s="245">
        <f t="shared" si="107"/>
        <v>12.044177399999995</v>
      </c>
      <c r="P227" s="249" t="e">
        <f t="shared" ref="P227:Q229" si="108">IF(P35="",0,N35-P35)</f>
        <v>#REF!</v>
      </c>
      <c r="Q227" s="249" t="e">
        <f t="shared" si="108"/>
        <v>#REF!</v>
      </c>
      <c r="R227" s="249" t="e">
        <f t="shared" si="107"/>
        <v>#REF!</v>
      </c>
      <c r="S227" s="249" t="e">
        <f t="shared" si="107"/>
        <v>#REF!</v>
      </c>
      <c r="T227" s="249" t="e">
        <f t="shared" si="107"/>
        <v>#REF!</v>
      </c>
      <c r="U227" s="249" t="e">
        <f t="shared" si="107"/>
        <v>#REF!</v>
      </c>
      <c r="V227" s="249" t="e">
        <f t="shared" si="107"/>
        <v>#REF!</v>
      </c>
      <c r="W227" s="249" t="e">
        <f t="shared" si="107"/>
        <v>#REF!</v>
      </c>
      <c r="X227" s="249" t="e">
        <f t="shared" si="107"/>
        <v>#REF!</v>
      </c>
      <c r="Y227" s="249" t="e">
        <f t="shared" si="107"/>
        <v>#REF!</v>
      </c>
    </row>
    <row r="228" spans="1:25" ht="12.75" customHeight="1">
      <c r="B228" s="8" t="s">
        <v>78</v>
      </c>
      <c r="D228" s="245">
        <f>IF(D36="",0,C36-D36)</f>
        <v>0</v>
      </c>
      <c r="E228" s="245">
        <f t="shared" si="107"/>
        <v>0</v>
      </c>
      <c r="F228" s="245">
        <f t="shared" si="107"/>
        <v>0</v>
      </c>
      <c r="G228" s="245">
        <f t="shared" si="107"/>
        <v>0</v>
      </c>
      <c r="H228" s="245">
        <f t="shared" si="107"/>
        <v>-11.029090800000001</v>
      </c>
      <c r="I228" s="245">
        <f t="shared" si="107"/>
        <v>-36.358413200000001</v>
      </c>
      <c r="J228" s="245">
        <f t="shared" si="107"/>
        <v>-120.09159319999998</v>
      </c>
      <c r="K228" s="245">
        <f t="shared" si="107"/>
        <v>-81.960396300000014</v>
      </c>
      <c r="L228" s="245">
        <f t="shared" si="107"/>
        <v>165.34074089999999</v>
      </c>
      <c r="M228" s="245">
        <f t="shared" si="107"/>
        <v>-45.108672499999983</v>
      </c>
      <c r="N228" s="245">
        <f t="shared" si="107"/>
        <v>-303.57983820000004</v>
      </c>
      <c r="O228" s="245">
        <f t="shared" si="107"/>
        <v>-66.427050500000007</v>
      </c>
      <c r="P228" s="249" t="e">
        <f t="shared" si="108"/>
        <v>#REF!</v>
      </c>
      <c r="Q228" s="249" t="e">
        <f t="shared" si="108"/>
        <v>#REF!</v>
      </c>
      <c r="R228" s="249" t="e">
        <f t="shared" si="107"/>
        <v>#REF!</v>
      </c>
      <c r="S228" s="249" t="e">
        <f t="shared" si="107"/>
        <v>#REF!</v>
      </c>
      <c r="T228" s="249" t="e">
        <f t="shared" si="107"/>
        <v>#REF!</v>
      </c>
      <c r="U228" s="249" t="e">
        <f t="shared" si="107"/>
        <v>#REF!</v>
      </c>
      <c r="V228" s="249" t="e">
        <f t="shared" si="107"/>
        <v>#REF!</v>
      </c>
      <c r="W228" s="249" t="e">
        <f t="shared" si="107"/>
        <v>#REF!</v>
      </c>
      <c r="X228" s="249" t="e">
        <f t="shared" si="107"/>
        <v>#REF!</v>
      </c>
      <c r="Y228" s="249" t="e">
        <f t="shared" si="107"/>
        <v>#REF!</v>
      </c>
    </row>
    <row r="229" spans="1:25" ht="12.75" customHeight="1">
      <c r="B229" s="8" t="s">
        <v>79</v>
      </c>
      <c r="D229" s="245">
        <f>IF(D37="",0,C37-D37)</f>
        <v>0</v>
      </c>
      <c r="E229" s="245">
        <f t="shared" si="107"/>
        <v>0</v>
      </c>
      <c r="F229" s="245">
        <f t="shared" si="107"/>
        <v>0</v>
      </c>
      <c r="G229" s="245">
        <f t="shared" si="107"/>
        <v>0</v>
      </c>
      <c r="H229" s="245">
        <f t="shared" si="107"/>
        <v>-19.645767599999999</v>
      </c>
      <c r="I229" s="245">
        <f t="shared" si="107"/>
        <v>-158.7742006</v>
      </c>
      <c r="J229" s="245">
        <f t="shared" si="107"/>
        <v>-27.110566199999994</v>
      </c>
      <c r="K229" s="245">
        <f t="shared" si="107"/>
        <v>127.61649329999999</v>
      </c>
      <c r="L229" s="245">
        <f t="shared" si="107"/>
        <v>-178.75482790000001</v>
      </c>
      <c r="M229" s="245">
        <f t="shared" si="107"/>
        <v>67.112677200000036</v>
      </c>
      <c r="N229" s="245">
        <f t="shared" si="107"/>
        <v>-107.55743440000001</v>
      </c>
      <c r="O229" s="245">
        <f t="shared" si="107"/>
        <v>12.997237000000041</v>
      </c>
      <c r="P229" s="249" t="e">
        <f t="shared" si="108"/>
        <v>#REF!</v>
      </c>
      <c r="Q229" s="249" t="e">
        <f t="shared" si="108"/>
        <v>#REF!</v>
      </c>
      <c r="R229" s="249" t="e">
        <f t="shared" si="107"/>
        <v>#REF!</v>
      </c>
      <c r="S229" s="249" t="e">
        <f t="shared" si="107"/>
        <v>#REF!</v>
      </c>
      <c r="T229" s="249" t="e">
        <f t="shared" si="107"/>
        <v>#REF!</v>
      </c>
      <c r="U229" s="249" t="e">
        <f t="shared" si="107"/>
        <v>#REF!</v>
      </c>
      <c r="V229" s="249" t="e">
        <f t="shared" si="107"/>
        <v>#REF!</v>
      </c>
      <c r="W229" s="249" t="e">
        <f t="shared" si="107"/>
        <v>#REF!</v>
      </c>
      <c r="X229" s="249" t="e">
        <f t="shared" si="107"/>
        <v>#REF!</v>
      </c>
      <c r="Y229" s="249" t="e">
        <f t="shared" si="107"/>
        <v>#REF!</v>
      </c>
    </row>
    <row r="230" spans="1:25" ht="12.75" customHeight="1">
      <c r="B230" s="8" t="s">
        <v>80</v>
      </c>
      <c r="D230" s="245">
        <f>IF(D48="",0,D48-C48)</f>
        <v>0</v>
      </c>
      <c r="E230" s="245">
        <f t="shared" ref="E230:Y231" si="109">IF(E48="",0,E48-D48)</f>
        <v>0</v>
      </c>
      <c r="F230" s="245">
        <f t="shared" si="109"/>
        <v>0</v>
      </c>
      <c r="G230" s="245">
        <f t="shared" si="109"/>
        <v>0</v>
      </c>
      <c r="H230" s="245">
        <f t="shared" si="109"/>
        <v>0</v>
      </c>
      <c r="I230" s="245">
        <f t="shared" si="109"/>
        <v>9.9969010999999988</v>
      </c>
      <c r="J230" s="245">
        <f t="shared" si="109"/>
        <v>-9.1134412999999981</v>
      </c>
      <c r="K230" s="245">
        <f t="shared" si="109"/>
        <v>0.54968320000000004</v>
      </c>
      <c r="L230" s="245">
        <f t="shared" si="109"/>
        <v>2.8581715999999995</v>
      </c>
      <c r="M230" s="245">
        <f t="shared" si="109"/>
        <v>31.471545800000001</v>
      </c>
      <c r="N230" s="245">
        <f t="shared" si="109"/>
        <v>-14.459786200000003</v>
      </c>
      <c r="O230" s="245">
        <f t="shared" si="109"/>
        <v>33.719407600000004</v>
      </c>
      <c r="P230" s="249" t="e">
        <f>IF(P48="",0,P48-N48)</f>
        <v>#REF!</v>
      </c>
      <c r="Q230" s="249" t="e">
        <f>IF(Q48="",0,Q48-O48)</f>
        <v>#REF!</v>
      </c>
      <c r="R230" s="249" t="e">
        <f t="shared" si="109"/>
        <v>#REF!</v>
      </c>
      <c r="S230" s="249" t="e">
        <f t="shared" si="109"/>
        <v>#REF!</v>
      </c>
      <c r="T230" s="249" t="e">
        <f t="shared" si="109"/>
        <v>#REF!</v>
      </c>
      <c r="U230" s="249" t="e">
        <f t="shared" si="109"/>
        <v>#REF!</v>
      </c>
      <c r="V230" s="249" t="e">
        <f t="shared" si="109"/>
        <v>#REF!</v>
      </c>
      <c r="W230" s="249" t="e">
        <f t="shared" si="109"/>
        <v>#REF!</v>
      </c>
      <c r="X230" s="249" t="e">
        <f t="shared" si="109"/>
        <v>#REF!</v>
      </c>
      <c r="Y230" s="249" t="e">
        <f t="shared" si="109"/>
        <v>#REF!</v>
      </c>
    </row>
    <row r="231" spans="1:25" ht="12.75" customHeight="1">
      <c r="B231" s="8" t="s">
        <v>81</v>
      </c>
      <c r="D231" s="245">
        <f>IF(D49="",0,D49-C49)</f>
        <v>0</v>
      </c>
      <c r="E231" s="245">
        <f t="shared" si="109"/>
        <v>0</v>
      </c>
      <c r="F231" s="245">
        <f t="shared" si="109"/>
        <v>0</v>
      </c>
      <c r="G231" s="245">
        <f t="shared" si="109"/>
        <v>0</v>
      </c>
      <c r="H231" s="245">
        <f t="shared" si="109"/>
        <v>0</v>
      </c>
      <c r="I231" s="245">
        <f t="shared" si="109"/>
        <v>16</v>
      </c>
      <c r="J231" s="245">
        <f t="shared" si="109"/>
        <v>104.2056</v>
      </c>
      <c r="K231" s="245">
        <f t="shared" si="109"/>
        <v>59.516799999999989</v>
      </c>
      <c r="L231" s="245">
        <f t="shared" si="109"/>
        <v>-70.872399999999999</v>
      </c>
      <c r="M231" s="245">
        <f t="shared" si="109"/>
        <v>-108.39999999999999</v>
      </c>
      <c r="N231" s="245">
        <f t="shared" si="109"/>
        <v>-0.45</v>
      </c>
      <c r="O231" s="245">
        <f t="shared" si="109"/>
        <v>1</v>
      </c>
      <c r="P231" s="249" t="e">
        <f>IF(P49="",0,P49-N49)</f>
        <v>#REF!</v>
      </c>
      <c r="Q231" s="249" t="e">
        <f>IF(Q49="",0,Q49-O49)</f>
        <v>#REF!</v>
      </c>
      <c r="R231" s="249" t="e">
        <f t="shared" si="109"/>
        <v>#REF!</v>
      </c>
      <c r="S231" s="249" t="e">
        <f t="shared" si="109"/>
        <v>#REF!</v>
      </c>
      <c r="T231" s="249" t="e">
        <f t="shared" si="109"/>
        <v>#REF!</v>
      </c>
      <c r="U231" s="249" t="e">
        <f t="shared" si="109"/>
        <v>#REF!</v>
      </c>
      <c r="V231" s="249" t="e">
        <f t="shared" si="109"/>
        <v>#REF!</v>
      </c>
      <c r="W231" s="249" t="e">
        <f t="shared" si="109"/>
        <v>#REF!</v>
      </c>
      <c r="X231" s="249" t="e">
        <f t="shared" si="109"/>
        <v>#REF!</v>
      </c>
      <c r="Y231" s="249" t="e">
        <f t="shared" si="109"/>
        <v>#REF!</v>
      </c>
    </row>
    <row r="232" spans="1:25" ht="12.75" customHeight="1">
      <c r="B232" s="24" t="s">
        <v>466</v>
      </c>
      <c r="C232" s="33"/>
      <c r="D232" s="414">
        <f t="shared" ref="D232:Y232" si="110">SUM(D227:D231)</f>
        <v>0</v>
      </c>
      <c r="E232" s="414">
        <f t="shared" si="110"/>
        <v>0</v>
      </c>
      <c r="F232" s="414">
        <f t="shared" si="110"/>
        <v>0</v>
      </c>
      <c r="G232" s="414">
        <f t="shared" si="110"/>
        <v>0</v>
      </c>
      <c r="H232" s="414">
        <f t="shared" si="110"/>
        <v>-30.674858399999998</v>
      </c>
      <c r="I232" s="414">
        <f t="shared" si="110"/>
        <v>-172.46854569999999</v>
      </c>
      <c r="J232" s="414">
        <f t="shared" si="110"/>
        <v>-50.46169119999999</v>
      </c>
      <c r="K232" s="414">
        <f t="shared" si="110"/>
        <v>55.460213299999978</v>
      </c>
      <c r="L232" s="414">
        <f t="shared" si="110"/>
        <v>-167.2860513</v>
      </c>
      <c r="M232" s="414">
        <f t="shared" si="110"/>
        <v>-42.92850769999994</v>
      </c>
      <c r="N232" s="414">
        <f t="shared" si="110"/>
        <v>-431.48367740000003</v>
      </c>
      <c r="O232" s="414">
        <f>SUM(O227:O231)</f>
        <v>-6.666228499999967</v>
      </c>
      <c r="P232" s="415" t="e">
        <f t="shared" si="110"/>
        <v>#REF!</v>
      </c>
      <c r="Q232" s="415" t="e">
        <f t="shared" si="110"/>
        <v>#REF!</v>
      </c>
      <c r="R232" s="415" t="e">
        <f t="shared" si="110"/>
        <v>#REF!</v>
      </c>
      <c r="S232" s="415" t="e">
        <f t="shared" si="110"/>
        <v>#REF!</v>
      </c>
      <c r="T232" s="415" t="e">
        <f t="shared" si="110"/>
        <v>#REF!</v>
      </c>
      <c r="U232" s="415" t="e">
        <f t="shared" si="110"/>
        <v>#REF!</v>
      </c>
      <c r="V232" s="415" t="e">
        <f t="shared" si="110"/>
        <v>#REF!</v>
      </c>
      <c r="W232" s="415" t="e">
        <f t="shared" si="110"/>
        <v>#REF!</v>
      </c>
      <c r="X232" s="415" t="e">
        <f t="shared" si="110"/>
        <v>#REF!</v>
      </c>
      <c r="Y232" s="415" t="e">
        <f t="shared" si="110"/>
        <v>#REF!</v>
      </c>
    </row>
    <row r="233" spans="1:25" ht="12.75" customHeight="1">
      <c r="B233" s="9"/>
    </row>
    <row r="234" spans="1:25" ht="12.75" customHeight="1">
      <c r="B234" s="9"/>
    </row>
    <row r="235" spans="1:25" ht="12.75" customHeight="1">
      <c r="B235" s="9"/>
      <c r="M235" s="904">
        <f>$T$2/M146</f>
        <v>6.9785833896645286</v>
      </c>
      <c r="N235" s="904">
        <f>$T$2/N146</f>
        <v>-12.743984599303561</v>
      </c>
      <c r="O235" s="904"/>
      <c r="P235" s="904" t="e">
        <f>$T$2/P146</f>
        <v>#DIV/0!</v>
      </c>
      <c r="Q235" s="904" t="e">
        <f>$T$2/Q146</f>
        <v>#DIV/0!</v>
      </c>
      <c r="R235" s="904" t="e">
        <f>$T$2/R146</f>
        <v>#DIV/0!</v>
      </c>
    </row>
    <row r="236" spans="1:25" ht="12.75" customHeight="1">
      <c r="B236" s="9"/>
    </row>
    <row r="237" spans="1:25" ht="12.75" customHeight="1">
      <c r="B237" s="10" t="s">
        <v>1117</v>
      </c>
    </row>
    <row r="238" spans="1:25" ht="12.75" customHeight="1">
      <c r="B238" s="9"/>
    </row>
    <row r="239" spans="1:25" ht="12.75" customHeight="1">
      <c r="B239" s="9" t="s">
        <v>661</v>
      </c>
      <c r="M239" s="526">
        <f t="shared" ref="M239:R239" si="111">M24</f>
        <v>57.859951200000012</v>
      </c>
      <c r="N239" s="526">
        <f t="shared" si="111"/>
        <v>82.763993500000012</v>
      </c>
      <c r="O239" s="526">
        <f t="shared" si="111"/>
        <v>167.83448960000001</v>
      </c>
      <c r="P239" s="526" t="e">
        <f t="shared" si="111"/>
        <v>#REF!</v>
      </c>
      <c r="Q239" s="526">
        <f t="shared" si="111"/>
        <v>0.33699999999999997</v>
      </c>
      <c r="R239" s="526">
        <f t="shared" si="111"/>
        <v>0.50305051029700021</v>
      </c>
    </row>
    <row r="240" spans="1:25" ht="12.75" customHeight="1">
      <c r="A240" s="903"/>
      <c r="B240" s="9" t="s">
        <v>243</v>
      </c>
      <c r="M240" s="526" t="e">
        <f>#REF!</f>
        <v>#REF!</v>
      </c>
      <c r="N240" s="526" t="e">
        <f>#REF!</f>
        <v>#REF!</v>
      </c>
      <c r="O240" s="526" t="e">
        <f>#REF!</f>
        <v>#REF!</v>
      </c>
      <c r="P240" s="526" t="e">
        <f>#REF!</f>
        <v>#REF!</v>
      </c>
      <c r="Q240" s="526" t="e">
        <f>#REF!</f>
        <v>#REF!</v>
      </c>
      <c r="R240" s="526" t="e">
        <f>#REF!</f>
        <v>#REF!</v>
      </c>
    </row>
    <row r="241" spans="2:18" ht="12.75" customHeight="1">
      <c r="B241" s="9" t="s">
        <v>1112</v>
      </c>
      <c r="M241" s="526">
        <f t="shared" ref="M241:R241" si="112">M19*(1-0.78)</f>
        <v>-1.4556202539999998</v>
      </c>
      <c r="N241" s="526">
        <f t="shared" si="112"/>
        <v>-7.5422379999999983E-2</v>
      </c>
      <c r="O241" s="526">
        <f t="shared" si="112"/>
        <v>-1.7443953999999998E-2</v>
      </c>
      <c r="P241" s="526" t="e">
        <f t="shared" si="112"/>
        <v>#REF!</v>
      </c>
      <c r="Q241" s="526">
        <f t="shared" si="112"/>
        <v>-1.9799999999999996E-3</v>
      </c>
      <c r="R241" s="526">
        <f t="shared" si="112"/>
        <v>-7.1945699588399983E-3</v>
      </c>
    </row>
    <row r="242" spans="2:18" ht="12.75" customHeight="1">
      <c r="B242" s="9" t="s">
        <v>587</v>
      </c>
      <c r="M242" s="526" t="e">
        <f>#REF!</f>
        <v>#REF!</v>
      </c>
      <c r="N242" s="526" t="e">
        <f>#REF!</f>
        <v>#REF!</v>
      </c>
      <c r="O242" s="526" t="e">
        <f>#REF!</f>
        <v>#REF!</v>
      </c>
      <c r="P242" s="526" t="e">
        <f>#REF!</f>
        <v>#REF!</v>
      </c>
      <c r="Q242" s="526" t="e">
        <f>#REF!</f>
        <v>#REF!</v>
      </c>
      <c r="R242" s="526" t="e">
        <f>#REF!</f>
        <v>#REF!</v>
      </c>
    </row>
    <row r="243" spans="2:18" ht="12.75" customHeight="1">
      <c r="B243" s="9" t="s">
        <v>1118</v>
      </c>
      <c r="M243" s="526" t="e">
        <f>M244-L244</f>
        <v>#REF!</v>
      </c>
      <c r="N243" s="526" t="e">
        <f>N244-M244</f>
        <v>#REF!</v>
      </c>
      <c r="O243" s="526" t="e">
        <f>O244-N244</f>
        <v>#REF!</v>
      </c>
      <c r="P243" s="526" t="e">
        <f>P244-N244</f>
        <v>#REF!</v>
      </c>
      <c r="Q243" s="526" t="e">
        <f>Q244-P244</f>
        <v>#REF!</v>
      </c>
      <c r="R243" s="526" t="e">
        <f>R244-Q244</f>
        <v>#REF!</v>
      </c>
    </row>
    <row r="244" spans="2:18" ht="12.75" customHeight="1">
      <c r="B244" s="9" t="s">
        <v>1114</v>
      </c>
      <c r="L244" s="526" t="e">
        <f>#REF!-#REF!</f>
        <v>#REF!</v>
      </c>
      <c r="M244" s="526" t="e">
        <f>#REF!-#REF!</f>
        <v>#REF!</v>
      </c>
      <c r="N244" s="526" t="e">
        <f>#REF!-#REF!</f>
        <v>#REF!</v>
      </c>
      <c r="O244" s="526" t="e">
        <f>#REF!-#REF!</f>
        <v>#REF!</v>
      </c>
      <c r="P244" s="526" t="e">
        <f>#REF!-#REF!</f>
        <v>#REF!</v>
      </c>
      <c r="Q244" s="526" t="e">
        <f>#REF!-#REF!</f>
        <v>#REF!</v>
      </c>
      <c r="R244" s="526" t="e">
        <f>#REF!-#REF!</f>
        <v>#REF!</v>
      </c>
    </row>
    <row r="245" spans="2:18" ht="12.75" customHeight="1">
      <c r="B245" s="9"/>
      <c r="M245" s="526" t="e">
        <f t="shared" ref="M245:R245" si="113">M239+M240-M241-M242-M243</f>
        <v>#REF!</v>
      </c>
      <c r="N245" s="526" t="e">
        <f t="shared" si="113"/>
        <v>#REF!</v>
      </c>
      <c r="O245" s="526" t="e">
        <f t="shared" si="113"/>
        <v>#REF!</v>
      </c>
      <c r="P245" s="526" t="e">
        <f t="shared" si="113"/>
        <v>#REF!</v>
      </c>
      <c r="Q245" s="526" t="e">
        <f t="shared" si="113"/>
        <v>#REF!</v>
      </c>
      <c r="R245" s="526" t="e">
        <f t="shared" si="113"/>
        <v>#REF!</v>
      </c>
    </row>
    <row r="246" spans="2:18" ht="12.75" customHeight="1">
      <c r="B246" s="9"/>
      <c r="M246" s="526" t="e">
        <f t="shared" ref="M246:R246" si="114">M245/M2*10^3</f>
        <v>#REF!</v>
      </c>
      <c r="N246" s="526" t="e">
        <f t="shared" si="114"/>
        <v>#REF!</v>
      </c>
      <c r="O246" s="526" t="e">
        <f t="shared" si="114"/>
        <v>#REF!</v>
      </c>
      <c r="P246" s="526" t="e">
        <f t="shared" si="114"/>
        <v>#REF!</v>
      </c>
      <c r="Q246" s="526" t="e">
        <f t="shared" si="114"/>
        <v>#REF!</v>
      </c>
      <c r="R246" s="526" t="e">
        <f t="shared" si="114"/>
        <v>#REF!</v>
      </c>
    </row>
    <row r="247" spans="2:18" ht="12.75" customHeight="1">
      <c r="B247" s="9"/>
      <c r="M247" s="902" t="e">
        <f t="shared" ref="M247:R247" si="115">$T$2/M246</f>
        <v>#REF!</v>
      </c>
      <c r="N247" s="902" t="e">
        <f t="shared" si="115"/>
        <v>#REF!</v>
      </c>
      <c r="O247" s="902" t="e">
        <f t="shared" si="115"/>
        <v>#REF!</v>
      </c>
      <c r="P247" s="902" t="e">
        <f t="shared" si="115"/>
        <v>#REF!</v>
      </c>
      <c r="Q247" s="902" t="e">
        <f t="shared" si="115"/>
        <v>#REF!</v>
      </c>
      <c r="R247" s="902" t="e">
        <f t="shared" si="115"/>
        <v>#REF!</v>
      </c>
    </row>
    <row r="248" spans="2:18" ht="12.75" customHeight="1">
      <c r="B248" s="9"/>
    </row>
    <row r="249" spans="2:18" ht="12.75" customHeight="1">
      <c r="B249" s="9"/>
    </row>
    <row r="250" spans="2:18" ht="12.75" customHeight="1">
      <c r="B250" s="11"/>
    </row>
    <row r="251" spans="2:18" ht="12.75" customHeight="1">
      <c r="B251" s="10"/>
    </row>
    <row r="252" spans="2:18" ht="12.75" customHeight="1">
      <c r="B252" s="9"/>
    </row>
    <row r="253" spans="2:18" ht="12.75" customHeight="1">
      <c r="B253" s="9"/>
    </row>
    <row r="254" spans="2:18" ht="12.75" customHeight="1">
      <c r="B254" s="9"/>
    </row>
    <row r="255" spans="2:18" ht="12.75" customHeight="1">
      <c r="B255" s="9"/>
    </row>
    <row r="256" spans="2:18" ht="12.75" customHeight="1">
      <c r="B256" s="8"/>
    </row>
    <row r="257" spans="2:2" ht="12.75" customHeight="1">
      <c r="B257" s="12"/>
    </row>
    <row r="258" spans="2:2" ht="12.75" customHeight="1">
      <c r="B258" s="13"/>
    </row>
    <row r="259" spans="2:2" ht="12.75" customHeight="1">
      <c r="B259" s="9"/>
    </row>
    <row r="260" spans="2:2" ht="12.75" customHeight="1">
      <c r="B260" s="12"/>
    </row>
    <row r="261" spans="2:2" ht="12.75" customHeight="1">
      <c r="B261" s="9"/>
    </row>
    <row r="262" spans="2:2" ht="12.75" customHeight="1">
      <c r="B262" s="9"/>
    </row>
    <row r="263" spans="2:2" ht="12.75" customHeight="1">
      <c r="B263" s="9"/>
    </row>
    <row r="264" spans="2:2" ht="12.75" customHeight="1">
      <c r="B264" s="12"/>
    </row>
    <row r="265" spans="2:2" ht="12.75" customHeight="1">
      <c r="B265" s="8"/>
    </row>
    <row r="266" spans="2:2" ht="12.75" customHeight="1">
      <c r="B266" s="4"/>
    </row>
    <row r="267" spans="2:2" ht="12.75" customHeight="1">
      <c r="B267" s="8"/>
    </row>
    <row r="268" spans="2:2" ht="12.75" customHeight="1">
      <c r="B268" s="8"/>
    </row>
    <row r="269" spans="2:2" ht="12.75" customHeight="1">
      <c r="B269" s="8"/>
    </row>
    <row r="270" spans="2:2" ht="12.75" customHeight="1">
      <c r="B270" s="8"/>
    </row>
    <row r="271" spans="2:2" ht="12.75" customHeight="1">
      <c r="B271" s="8"/>
    </row>
    <row r="272" spans="2:2" ht="12.75" customHeight="1">
      <c r="B272" s="8"/>
    </row>
    <row r="273" spans="2:2" ht="12.75" customHeight="1">
      <c r="B273" s="4"/>
    </row>
    <row r="274" spans="2:2" ht="12.75" customHeight="1">
      <c r="B274" s="8"/>
    </row>
    <row r="275" spans="2:2" ht="12.75" customHeight="1">
      <c r="B275" s="8"/>
    </row>
    <row r="276" spans="2:2" ht="12.75" customHeight="1">
      <c r="B276" s="4"/>
    </row>
    <row r="277" spans="2:2" ht="12.75" customHeight="1">
      <c r="B277" s="8"/>
    </row>
    <row r="278" spans="2:2" ht="12.75" customHeight="1">
      <c r="B278" s="8"/>
    </row>
    <row r="279" spans="2:2" ht="12.75" customHeight="1">
      <c r="B279" s="8"/>
    </row>
    <row r="280" spans="2:2" ht="12.75" customHeight="1">
      <c r="B280" s="8"/>
    </row>
    <row r="281" spans="2:2" ht="12.75" customHeight="1">
      <c r="B281" s="4"/>
    </row>
  </sheetData>
  <sheetProtection selectLockedCells="1"/>
  <conditionalFormatting sqref="B7">
    <cfRule type="cellIs" dxfId="13" priority="1" operator="equal">
      <formula>0</formula>
    </cfRule>
  </conditionalFormatting>
  <dataValidations count="1">
    <dataValidation allowBlank="1" showInputMessage="1" showErrorMessage="1" sqref="B7" xr:uid="{00000000-0002-0000-0400-000000000000}"/>
  </dataValidations>
  <pageMargins left="0.7" right="0.7" top="0.75" bottom="0.75" header="0.3" footer="0.3"/>
  <pageSetup paperSize="9" orientation="portrait" r:id="rId1"/>
  <ignoredErrors>
    <ignoredError sqref="D31:O32 D10:N10 Z10:AA10 D11:N20 Z11:AA30 D46:O47 D33:N45 Q33:AA45 D64:O65 D48:N63 Q48:AA63 D89:O89 D66:N88 Q66:AA88 D93:O281 D90:N92 Q90:AA92 Q31:AA32 Q46:AA47 Q64:AA65 Q89:AA89 Q93:AA100 O11:O20 O10 D21:J30 Q16:Y17 Q19:Y20 R18:Y18 Q102:AA102 R101:AA101 Q104:AA172 R103:AA103 Q192:AA226 R173:AA173 R174:AA191 Q232:AA281 R227:AA227 R228:AA228 R229:AA229 R230:AA230 R231:AA231" unlockedFormula="1"/>
    <ignoredError sqref="Q10:Y10 Q11:Y11" evalError="1" unlockedFormula="1"/>
    <ignoredError sqref="Q12:Y15 Q21:Y28 Q18 Q30:Y30 R29:Y29" evalError="1" formula="1" unlockedFormula="1"/>
    <ignoredError sqref="O21:O30 K21:N30" formula="1"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5">
    <tabColor theme="3" tint="0.59999389629810485"/>
    <pageSetUpPr fitToPage="1"/>
  </sheetPr>
  <dimension ref="A2:AB91"/>
  <sheetViews>
    <sheetView showGridLines="0" topLeftCell="E44" zoomScale="130" zoomScaleNormal="130" workbookViewId="0">
      <selection activeCell="K52" sqref="K52"/>
    </sheetView>
  </sheetViews>
  <sheetFormatPr defaultColWidth="9.140625" defaultRowHeight="12" customHeight="1"/>
  <cols>
    <col min="1" max="1" width="3.140625" style="313" customWidth="1"/>
    <col min="2" max="2" width="1.7109375" style="138" customWidth="1"/>
    <col min="3" max="3" width="16" style="138" customWidth="1"/>
    <col min="4" max="5" width="9.7109375" style="138" customWidth="1"/>
    <col min="6" max="6" width="8.85546875" style="138" customWidth="1"/>
    <col min="7" max="7" width="1.7109375" style="138" customWidth="1"/>
    <col min="8" max="8" width="3.7109375" style="138" customWidth="1"/>
    <col min="9" max="9" width="1.7109375" style="138" customWidth="1"/>
    <col min="10" max="10" width="18.7109375" style="138" customWidth="1"/>
    <col min="11" max="14" width="8.140625" style="138" customWidth="1"/>
    <col min="15" max="15" width="10.140625" style="138" hidden="1" customWidth="1"/>
    <col min="16" max="16" width="2.140625" style="138" customWidth="1"/>
    <col min="17" max="17" width="18.7109375" style="138" customWidth="1"/>
    <col min="18" max="21" width="8.140625" style="138" customWidth="1"/>
    <col min="22" max="22" width="10.140625" style="138" hidden="1" customWidth="1"/>
    <col min="23" max="23" width="1.7109375" style="138" customWidth="1"/>
    <col min="24" max="24" width="9.140625" style="138"/>
    <col min="25" max="25" width="27" style="138" customWidth="1"/>
    <col min="26" max="26" width="30.42578125" style="138" customWidth="1"/>
    <col min="27" max="27" width="28.140625" style="138" customWidth="1"/>
    <col min="28" max="28" width="25.85546875" style="138" customWidth="1"/>
    <col min="29" max="29" width="32.140625" style="138" bestFit="1" customWidth="1"/>
    <col min="30" max="16384" width="9.140625" style="138"/>
  </cols>
  <sheetData>
    <row r="2" spans="1:28" ht="12" customHeight="1">
      <c r="F2" s="14"/>
    </row>
    <row r="3" spans="1:28" ht="12" customHeight="1">
      <c r="F3" s="160"/>
    </row>
    <row r="4" spans="1:28" ht="12" customHeight="1">
      <c r="F4" s="66"/>
    </row>
    <row r="5" spans="1:28" ht="12" customHeight="1">
      <c r="F5" s="161"/>
    </row>
    <row r="6" spans="1:28" ht="12" customHeight="1">
      <c r="F6" s="160"/>
    </row>
    <row r="7" spans="1:28" ht="12" customHeight="1">
      <c r="C7" s="138" t="s">
        <v>653</v>
      </c>
      <c r="F7" s="360" t="s">
        <v>563</v>
      </c>
    </row>
    <row r="8" spans="1:28" ht="12" customHeight="1">
      <c r="C8" s="472" t="str">
        <f>C7&amp;" VN EQUITY"</f>
        <v>DXG VN EQUITY</v>
      </c>
      <c r="F8" s="359" t="s">
        <v>568</v>
      </c>
    </row>
    <row r="9" spans="1:28" ht="12" customHeight="1">
      <c r="C9" s="149" t="s">
        <v>562</v>
      </c>
      <c r="E9" s="381">
        <f>IF(F9="VND million",1,1000)</f>
        <v>1000</v>
      </c>
      <c r="F9" s="359" t="s">
        <v>575</v>
      </c>
    </row>
    <row r="10" spans="1:28" ht="12" customHeight="1">
      <c r="A10" s="330" t="str">
        <f>IF(C9="Ho Chi Minh","VNIndex", "HNIndex")</f>
        <v>VNIndex</v>
      </c>
      <c r="C10" s="286">
        <f ca="1">YEAR(TODAY())</f>
        <v>2025</v>
      </c>
      <c r="E10" s="313" t="s">
        <v>578</v>
      </c>
      <c r="F10" s="382">
        <v>21000</v>
      </c>
    </row>
    <row r="11" spans="1:28" ht="12" customHeight="1">
      <c r="A11" s="331">
        <f ca="1">year+9</f>
        <v>2034</v>
      </c>
      <c r="C11" s="379">
        <f ca="1">TODAY()</f>
        <v>45874</v>
      </c>
    </row>
    <row r="12" spans="1:28" ht="12" customHeight="1" thickBot="1">
      <c r="A12" s="330"/>
    </row>
    <row r="13" spans="1:28" ht="12" customHeight="1">
      <c r="A13" s="374"/>
      <c r="B13" s="139"/>
      <c r="C13" s="162" t="str">
        <f>IF(F16&gt;VCSC!C64,VCSC!D64,IF(F16&gt;VCSC!C65,VCSC!D65,IF(F16&gt;VCSC!C66,VCSC!D66,IF(F16&gt;VCSC!C67,VCSC!D67,"Sell"))))</f>
        <v>HOLD</v>
      </c>
      <c r="D13" s="104"/>
      <c r="E13" s="104"/>
      <c r="F13" s="163"/>
      <c r="G13" s="142"/>
      <c r="I13" s="139"/>
      <c r="J13" s="140" t="str">
        <f>VCSC!F8</f>
        <v>English</v>
      </c>
      <c r="K13" s="141"/>
      <c r="L13" s="141"/>
      <c r="M13" s="141"/>
      <c r="N13" s="141"/>
      <c r="O13" s="141"/>
      <c r="P13" s="239"/>
      <c r="Q13" s="141"/>
      <c r="R13" s="141"/>
      <c r="S13" s="141"/>
      <c r="T13" s="141"/>
      <c r="U13" s="141"/>
      <c r="V13" s="141"/>
      <c r="W13" s="142"/>
    </row>
    <row r="14" spans="1:28" s="145" customFormat="1" ht="12" customHeight="1">
      <c r="A14" s="375"/>
      <c r="B14" s="143"/>
      <c r="C14" s="96"/>
      <c r="D14" s="96"/>
      <c r="E14" s="96"/>
      <c r="F14" s="105"/>
      <c r="G14" s="144"/>
      <c r="I14" s="143"/>
      <c r="J14" s="479" t="str">
        <f>IF($J$13="English",Y14,Z14)</f>
        <v>Income statement</v>
      </c>
      <c r="K14" s="477">
        <f ca="1">'FS Year'!M9</f>
        <v>2022</v>
      </c>
      <c r="L14" s="477">
        <f ca="1">'FS Year'!N9</f>
        <v>2023</v>
      </c>
      <c r="M14" s="477">
        <f ca="1">'FS Year'!P9</f>
        <v>2024</v>
      </c>
      <c r="N14" s="477">
        <f ca="1">'FS Year'!Q9</f>
        <v>2025</v>
      </c>
      <c r="O14" s="477">
        <f ca="1">'FS Year'!R9</f>
        <v>2026</v>
      </c>
      <c r="P14" s="488"/>
      <c r="Q14" s="478" t="str">
        <f>IF($J$13="english",AA14,AB14)</f>
        <v>Balance sheet</v>
      </c>
      <c r="R14" s="477">
        <f ca="1">K14</f>
        <v>2022</v>
      </c>
      <c r="S14" s="477">
        <f ca="1">L14</f>
        <v>2023</v>
      </c>
      <c r="T14" s="477">
        <f ca="1">M14</f>
        <v>2024</v>
      </c>
      <c r="U14" s="477">
        <f ca="1">N14</f>
        <v>2025</v>
      </c>
      <c r="V14" s="477">
        <f ca="1">O14</f>
        <v>2026</v>
      </c>
      <c r="W14" s="144"/>
      <c r="Y14" s="146" t="s">
        <v>300</v>
      </c>
      <c r="Z14" s="147" t="s">
        <v>349</v>
      </c>
      <c r="AA14" s="147" t="s">
        <v>350</v>
      </c>
      <c r="AB14" s="147" t="s">
        <v>349</v>
      </c>
    </row>
    <row r="15" spans="1:28" ht="12" customHeight="1">
      <c r="A15" s="374"/>
      <c r="B15" s="148"/>
      <c r="C15" s="96" t="s">
        <v>251</v>
      </c>
      <c r="D15" s="96"/>
      <c r="F15" s="267" t="e">
        <f>ROUNDDOWN('Valuation summary'!T25/1000,1)*1000</f>
        <v>#REF!</v>
      </c>
      <c r="G15" s="150"/>
      <c r="I15" s="148"/>
      <c r="J15" s="480" t="str">
        <f t="shared" ref="J15:J58" si="0">IF($J$13="english",Y15,Z15)</f>
        <v>Revenue</v>
      </c>
      <c r="K15" s="267">
        <f>'FS Year'!M10</f>
        <v>403.5029839</v>
      </c>
      <c r="L15" s="267">
        <f>'FS Year'!N10</f>
        <v>342.59114049999999</v>
      </c>
      <c r="M15" s="267">
        <f>'FS Year'!O10</f>
        <v>506.1806575</v>
      </c>
      <c r="N15" s="267">
        <f>'FS Year'!Q10</f>
        <v>1.395</v>
      </c>
      <c r="O15" s="267">
        <f>'FS Year'!R10</f>
        <v>2.5065168574600003</v>
      </c>
      <c r="P15" s="489"/>
      <c r="Q15" s="483" t="str">
        <f t="shared" ref="Q15:Q45" si="1">IF($J$13="english",AA15,AB15)</f>
        <v>Assets</v>
      </c>
      <c r="R15" s="249"/>
      <c r="S15" s="249"/>
      <c r="T15" s="249"/>
      <c r="U15" s="249"/>
      <c r="V15" s="249"/>
      <c r="W15" s="150"/>
      <c r="Y15" s="138" t="s">
        <v>26</v>
      </c>
      <c r="Z15" s="138" t="s">
        <v>182</v>
      </c>
      <c r="AA15" s="147" t="s">
        <v>44</v>
      </c>
      <c r="AB15" s="147" t="s">
        <v>299</v>
      </c>
    </row>
    <row r="16" spans="1:28" ht="12" customHeight="1">
      <c r="A16" s="374"/>
      <c r="B16" s="148"/>
      <c r="C16" s="96" t="s">
        <v>252</v>
      </c>
      <c r="D16" s="96"/>
      <c r="E16" s="96"/>
      <c r="F16" s="510">
        <f>IFERROR(F15/F21-1,0)*100</f>
        <v>0</v>
      </c>
      <c r="G16" s="150"/>
      <c r="I16" s="148"/>
      <c r="J16" s="480" t="str">
        <f t="shared" si="0"/>
        <v>  - Cost of goods sold</v>
      </c>
      <c r="K16" s="267">
        <f>'FS Year'!M11</f>
        <v>-210.6181958</v>
      </c>
      <c r="L16" s="267">
        <f>'FS Year'!N11</f>
        <v>-136.66021280000001</v>
      </c>
      <c r="M16" s="267">
        <f>'FS Year'!O11</f>
        <v>-204.36544889999999</v>
      </c>
      <c r="N16" s="267">
        <f>'FS Year'!Q11</f>
        <v>-0.73499999999999999</v>
      </c>
      <c r="O16" s="267">
        <f>'FS Year'!R11</f>
        <v>-1.4548795920350002</v>
      </c>
      <c r="P16" s="489"/>
      <c r="Q16" s="484" t="str">
        <f t="shared" si="1"/>
        <v>  + Cash &amp; equivalent</v>
      </c>
      <c r="R16" s="267">
        <f>'FS Year'!M33</f>
        <v>136.05265410000001</v>
      </c>
      <c r="S16" s="267">
        <f>'FS Year'!N33</f>
        <v>72.886290099999997</v>
      </c>
      <c r="T16" s="267">
        <f>'FS Year'!O33</f>
        <v>776.33898669999996</v>
      </c>
      <c r="U16" s="267" t="e">
        <f>'FS Year'!Q33</f>
        <v>#REF!</v>
      </c>
      <c r="V16" s="267" t="e">
        <f>'FS Year'!R33</f>
        <v>#REF!</v>
      </c>
      <c r="W16" s="150"/>
      <c r="Y16" s="138" t="s">
        <v>465</v>
      </c>
      <c r="Z16" s="138" t="s">
        <v>361</v>
      </c>
      <c r="AA16" s="138" t="s">
        <v>598</v>
      </c>
      <c r="AB16" s="138" t="s">
        <v>394</v>
      </c>
    </row>
    <row r="17" spans="1:28" ht="12" customHeight="1">
      <c r="A17" s="374"/>
      <c r="B17" s="148"/>
      <c r="C17" s="96"/>
      <c r="D17" s="96"/>
      <c r="E17" s="96"/>
      <c r="F17" s="105"/>
      <c r="G17" s="150"/>
      <c r="I17" s="148"/>
      <c r="J17" s="480" t="str">
        <f t="shared" si="0"/>
        <v>Gross profit</v>
      </c>
      <c r="K17" s="267">
        <f>'FS Year'!M12</f>
        <v>192.88478810000001</v>
      </c>
      <c r="L17" s="267">
        <f>'FS Year'!N12</f>
        <v>205.93092769999998</v>
      </c>
      <c r="M17" s="267">
        <f>'FS Year'!O12</f>
        <v>301.81520860000001</v>
      </c>
      <c r="N17" s="267">
        <f>'FS Year'!Q12</f>
        <v>0.66</v>
      </c>
      <c r="O17" s="267">
        <f>'FS Year'!R12</f>
        <v>1.0516372654250001</v>
      </c>
      <c r="P17" s="489"/>
      <c r="Q17" s="484" t="str">
        <f t="shared" si="1"/>
        <v>  + Short-term investments</v>
      </c>
      <c r="R17" s="267">
        <f>'FS Year'!M34</f>
        <v>0</v>
      </c>
      <c r="S17" s="267">
        <f>'FS Year'!N34</f>
        <v>0</v>
      </c>
      <c r="T17" s="267">
        <f>'FS Year'!O34</f>
        <v>0</v>
      </c>
      <c r="U17" s="267" t="e">
        <f>'FS Year'!Q34</f>
        <v>#REF!</v>
      </c>
      <c r="V17" s="267" t="e">
        <f>'FS Year'!R34</f>
        <v>#REF!</v>
      </c>
      <c r="W17" s="150"/>
      <c r="Y17" s="138" t="s">
        <v>28</v>
      </c>
      <c r="Z17" s="138" t="s">
        <v>183</v>
      </c>
      <c r="AA17" s="138" t="s">
        <v>304</v>
      </c>
      <c r="AB17" s="138" t="s">
        <v>605</v>
      </c>
    </row>
    <row r="18" spans="1:28" ht="12" customHeight="1">
      <c r="A18" s="376"/>
      <c r="B18" s="148"/>
      <c r="C18" s="404" t="s">
        <v>577</v>
      </c>
      <c r="D18" s="96"/>
      <c r="E18" s="96"/>
      <c r="F18" s="105"/>
      <c r="G18" s="150"/>
      <c r="I18" s="148"/>
      <c r="J18" s="480" t="str">
        <f t="shared" si="0"/>
        <v xml:space="preserve">  - Sales &amp; marketing</v>
      </c>
      <c r="K18" s="267">
        <f>'FS Year'!M13</f>
        <v>-44.045724700000001</v>
      </c>
      <c r="L18" s="267">
        <f>'FS Year'!N13</f>
        <v>-62.493809500000005</v>
      </c>
      <c r="M18" s="267">
        <f>'FS Year'!O13</f>
        <v>-54.302469700000003</v>
      </c>
      <c r="N18" s="267">
        <f>'FS Year'!Q13</f>
        <v>-0.16200000000000001</v>
      </c>
      <c r="O18" s="267">
        <f>'FS Year'!R13</f>
        <v>-0.25330222103047995</v>
      </c>
      <c r="P18" s="489"/>
      <c r="Q18" s="484" t="str">
        <f t="shared" si="1"/>
        <v>  + Accounts receivable</v>
      </c>
      <c r="R18" s="267">
        <f>'FS Year'!M35</f>
        <v>125.8086845</v>
      </c>
      <c r="S18" s="267">
        <f>'FS Year'!N35</f>
        <v>131.2453031</v>
      </c>
      <c r="T18" s="267">
        <f>'FS Year'!O35</f>
        <v>119.20112570000001</v>
      </c>
      <c r="U18" s="267" t="e">
        <f>'FS Year'!Q35</f>
        <v>#REF!</v>
      </c>
      <c r="V18" s="267" t="e">
        <f>'FS Year'!R35</f>
        <v>#REF!</v>
      </c>
      <c r="W18" s="150"/>
      <c r="Y18" s="138" t="s">
        <v>516</v>
      </c>
      <c r="Z18" s="138" t="s">
        <v>362</v>
      </c>
      <c r="AA18" s="138" t="s">
        <v>499</v>
      </c>
      <c r="AB18" s="138" t="s">
        <v>395</v>
      </c>
    </row>
    <row r="19" spans="1:28" ht="12" customHeight="1">
      <c r="A19" s="374"/>
      <c r="B19" s="148"/>
      <c r="C19" s="96"/>
      <c r="D19" s="96"/>
      <c r="E19" s="96"/>
      <c r="F19" s="105"/>
      <c r="G19" s="150"/>
      <c r="I19" s="148"/>
      <c r="J19" s="480" t="str">
        <f t="shared" si="0"/>
        <v xml:space="preserve">  - General &amp; admin</v>
      </c>
      <c r="K19" s="267">
        <f>'FS Year'!M14</f>
        <v>-78.671239700000001</v>
      </c>
      <c r="L19" s="267">
        <f>'FS Year'!N14</f>
        <v>-81.2460454</v>
      </c>
      <c r="M19" s="267">
        <f>'FS Year'!O14</f>
        <v>-82.327576799999989</v>
      </c>
      <c r="N19" s="267">
        <f>'FS Year'!Q14</f>
        <v>-0.10800000000000001</v>
      </c>
      <c r="O19" s="267">
        <f>'FS Year'!R14</f>
        <v>-0.15524974837351999</v>
      </c>
      <c r="P19" s="489"/>
      <c r="Q19" s="484" t="str">
        <f t="shared" si="1"/>
        <v>  + Inventories</v>
      </c>
      <c r="R19" s="267">
        <f>'FS Year'!M36</f>
        <v>129.20742509999999</v>
      </c>
      <c r="S19" s="267">
        <f>'FS Year'!N36</f>
        <v>432.78726330000001</v>
      </c>
      <c r="T19" s="267">
        <f>'FS Year'!O36</f>
        <v>499.21431380000001</v>
      </c>
      <c r="U19" s="267" t="e">
        <f>'FS Year'!Q36</f>
        <v>#REF!</v>
      </c>
      <c r="V19" s="267" t="e">
        <f>'FS Year'!R36</f>
        <v>#REF!</v>
      </c>
      <c r="W19" s="150"/>
      <c r="Y19" s="138" t="s">
        <v>517</v>
      </c>
      <c r="Z19" s="138" t="s">
        <v>601</v>
      </c>
      <c r="AA19" s="138" t="s">
        <v>49</v>
      </c>
      <c r="AB19" s="138" t="s">
        <v>397</v>
      </c>
    </row>
    <row r="20" spans="1:28" ht="12" customHeight="1">
      <c r="A20" s="374"/>
      <c r="B20" s="148"/>
      <c r="C20" s="14" t="s">
        <v>253</v>
      </c>
      <c r="D20" s="96"/>
      <c r="E20" s="96"/>
      <c r="F20" s="105"/>
      <c r="G20" s="150"/>
      <c r="I20" s="148"/>
      <c r="J20" s="480" t="str">
        <f t="shared" si="0"/>
        <v>Operating profit</v>
      </c>
      <c r="K20" s="267">
        <f>'FS Year'!M15</f>
        <v>70.167823700000014</v>
      </c>
      <c r="L20" s="267">
        <f>'FS Year'!N15</f>
        <v>62.191072799999986</v>
      </c>
      <c r="M20" s="267">
        <f>'FS Year'!O15</f>
        <v>165.18516210000001</v>
      </c>
      <c r="N20" s="267">
        <f>'FS Year'!Q15</f>
        <v>0.39</v>
      </c>
      <c r="O20" s="267">
        <f>'FS Year'!R15</f>
        <v>0.64308529602100017</v>
      </c>
      <c r="P20" s="489"/>
      <c r="Q20" s="484" t="str">
        <f t="shared" si="1"/>
        <v>  + Other current assets</v>
      </c>
      <c r="R20" s="267">
        <f>'FS Year'!M37</f>
        <v>189.55619179999999</v>
      </c>
      <c r="S20" s="267">
        <f>'FS Year'!N37</f>
        <v>297.1136262</v>
      </c>
      <c r="T20" s="267">
        <f>'FS Year'!O37</f>
        <v>284.11638919999996</v>
      </c>
      <c r="U20" s="267" t="e">
        <f>'FS Year'!Q37</f>
        <v>#REF!</v>
      </c>
      <c r="V20" s="267" t="e">
        <f>'FS Year'!R37</f>
        <v>#REF!</v>
      </c>
      <c r="W20" s="150"/>
      <c r="Y20" s="138" t="s">
        <v>287</v>
      </c>
      <c r="Z20" s="138" t="s">
        <v>184</v>
      </c>
      <c r="AA20" s="138" t="s">
        <v>305</v>
      </c>
      <c r="AB20" s="138" t="s">
        <v>396</v>
      </c>
    </row>
    <row r="21" spans="1:28" ht="12" customHeight="1">
      <c r="A21" s="372"/>
      <c r="B21" s="148"/>
      <c r="C21" s="96" t="s">
        <v>263</v>
      </c>
      <c r="D21" s="96"/>
      <c r="E21" s="96"/>
      <c r="F21" s="267">
        <f>Price!C382</f>
        <v>15700</v>
      </c>
      <c r="G21" s="150"/>
      <c r="I21" s="148"/>
      <c r="J21" s="480" t="str">
        <f t="shared" si="0"/>
        <v>  - Forex gains/(losses)</v>
      </c>
      <c r="K21" s="267">
        <f>'FS Year'!M16</f>
        <v>4.2025E-2</v>
      </c>
      <c r="L21" s="267">
        <f>'FS Year'!N16</f>
        <v>0</v>
      </c>
      <c r="M21" s="267">
        <f>'FS Year'!O16</f>
        <v>0</v>
      </c>
      <c r="N21" s="267">
        <f>'FS Year'!Q16</f>
        <v>9.2999999999999999E-2</v>
      </c>
      <c r="O21" s="267">
        <f>'FS Year'!R16</f>
        <v>0.10465974561199999</v>
      </c>
      <c r="P21" s="489"/>
      <c r="Q21" s="484" t="str">
        <f t="shared" si="1"/>
        <v>Total current assets</v>
      </c>
      <c r="R21" s="267">
        <f>'FS Year'!M38</f>
        <v>580.62495550000006</v>
      </c>
      <c r="S21" s="267">
        <f>'FS Year'!N38</f>
        <v>934.03248270000006</v>
      </c>
      <c r="T21" s="267">
        <f>'FS Year'!O38</f>
        <v>1678.8708154999999</v>
      </c>
      <c r="U21" s="267" t="e">
        <f>'FS Year'!Q38</f>
        <v>#REF!</v>
      </c>
      <c r="V21" s="267" t="e">
        <f>'FS Year'!R38</f>
        <v>#REF!</v>
      </c>
      <c r="W21" s="150"/>
      <c r="Y21" s="138" t="s">
        <v>518</v>
      </c>
      <c r="Z21" s="138" t="s">
        <v>393</v>
      </c>
      <c r="AA21" s="147" t="s">
        <v>297</v>
      </c>
      <c r="AB21" s="147" t="s">
        <v>392</v>
      </c>
    </row>
    <row r="22" spans="1:28" ht="12" customHeight="1">
      <c r="A22" s="374"/>
      <c r="B22" s="148"/>
      <c r="C22" s="96"/>
      <c r="D22" s="96"/>
      <c r="E22" s="96"/>
      <c r="G22" s="150"/>
      <c r="I22" s="148"/>
      <c r="J22" s="480" t="str">
        <f t="shared" si="0"/>
        <v>  - Net non-op gains</v>
      </c>
      <c r="K22" s="267">
        <f>'FS Year'!M17</f>
        <v>15.5204068</v>
      </c>
      <c r="L22" s="267">
        <f>'FS Year'!N17</f>
        <v>58.637800000000006</v>
      </c>
      <c r="M22" s="267">
        <f>'FS Year'!O17</f>
        <v>101.2631543</v>
      </c>
      <c r="N22" s="267">
        <f>'FS Year'!Q17</f>
        <v>0.123</v>
      </c>
      <c r="O22" s="267">
        <f>'FS Year'!R17</f>
        <v>0.106195690792</v>
      </c>
      <c r="P22" s="489"/>
      <c r="Q22" s="484" t="str">
        <f t="shared" ref="Q22:Q28" si="2">IF($J$13="english",AA22,AB22)</f>
        <v>   + Gross fixed assets</v>
      </c>
      <c r="R22" s="267">
        <f>'FS Year'!M39</f>
        <v>46.413282299999999</v>
      </c>
      <c r="S22" s="267">
        <f>'FS Year'!N39</f>
        <v>44.852804900000002</v>
      </c>
      <c r="T22" s="267">
        <f>'FS Year'!O39</f>
        <v>42.124220800000003</v>
      </c>
      <c r="U22" s="267" t="e">
        <f>'FS Year'!Q39</f>
        <v>#REF!</v>
      </c>
      <c r="V22" s="267" t="e">
        <f>'FS Year'!R39</f>
        <v>#REF!</v>
      </c>
      <c r="W22" s="150"/>
      <c r="Y22" s="138" t="s">
        <v>519</v>
      </c>
      <c r="Z22" s="138" t="s">
        <v>363</v>
      </c>
      <c r="AA22" s="138" t="s">
        <v>306</v>
      </c>
      <c r="AB22" s="138" t="s">
        <v>398</v>
      </c>
    </row>
    <row r="23" spans="1:28" ht="12" customHeight="1">
      <c r="A23" s="372"/>
      <c r="B23" s="148"/>
      <c r="C23" s="96" t="s">
        <v>254</v>
      </c>
      <c r="D23" s="96"/>
      <c r="E23" s="96"/>
      <c r="F23" s="314">
        <f>MIN(Price!C17:C382)</f>
        <v>7592.43</v>
      </c>
      <c r="G23" s="150"/>
      <c r="I23" s="148"/>
      <c r="J23" s="480" t="str">
        <f t="shared" si="0"/>
        <v>EBIT</v>
      </c>
      <c r="K23" s="267">
        <f>'FS Year'!M18</f>
        <v>85.730255500000013</v>
      </c>
      <c r="L23" s="267">
        <f>'FS Year'!N18</f>
        <v>120.8288728</v>
      </c>
      <c r="M23" s="267">
        <f>'FS Year'!O18</f>
        <v>266.44831640000001</v>
      </c>
      <c r="N23" s="267">
        <f>'FS Year'!Q18</f>
        <v>0.60599999999999998</v>
      </c>
      <c r="O23" s="267">
        <f>'FS Year'!R18</f>
        <v>0.85394073242500013</v>
      </c>
      <c r="P23" s="489"/>
      <c r="Q23" s="484" t="str">
        <f t="shared" si="2"/>
        <v>    - Accum. depreciation</v>
      </c>
      <c r="R23" s="267">
        <f>'FS Year'!M40</f>
        <v>-8.9248649000000011</v>
      </c>
      <c r="S23" s="267">
        <f>'FS Year'!N40</f>
        <v>-9.2843747000000008</v>
      </c>
      <c r="T23" s="267">
        <f>'FS Year'!O40</f>
        <v>-9.8412945999999994</v>
      </c>
      <c r="U23" s="267" t="e">
        <f>'FS Year'!Q40</f>
        <v>#REF!</v>
      </c>
      <c r="V23" s="267" t="e">
        <f>'FS Year'!R40</f>
        <v>#REF!</v>
      </c>
      <c r="W23" s="150"/>
      <c r="Y23" s="138" t="s">
        <v>288</v>
      </c>
      <c r="Z23" s="138" t="s">
        <v>185</v>
      </c>
      <c r="AA23" s="138" t="s">
        <v>500</v>
      </c>
      <c r="AB23" s="138" t="s">
        <v>399</v>
      </c>
    </row>
    <row r="24" spans="1:28" ht="12" customHeight="1">
      <c r="A24" s="372"/>
      <c r="B24" s="148"/>
      <c r="C24" s="96" t="s">
        <v>255</v>
      </c>
      <c r="D24" s="96"/>
      <c r="E24" s="96"/>
      <c r="F24" s="314">
        <f>MAX(Price!C17:C382)</f>
        <v>17500</v>
      </c>
      <c r="G24" s="150"/>
      <c r="I24" s="148"/>
      <c r="J24" s="480" t="str">
        <f t="shared" si="0"/>
        <v>  - Interest expense</v>
      </c>
      <c r="K24" s="267">
        <f>'FS Year'!M19</f>
        <v>-6.6164557000000004</v>
      </c>
      <c r="L24" s="267">
        <f>'FS Year'!N19</f>
        <v>-0.34282899999999999</v>
      </c>
      <c r="M24" s="267">
        <f>'FS Year'!O19</f>
        <v>-7.9290700000000006E-2</v>
      </c>
      <c r="N24" s="267">
        <f>'FS Year'!Q19</f>
        <v>-8.9999999999999993E-3</v>
      </c>
      <c r="O24" s="267">
        <f>'FS Year'!R19</f>
        <v>-3.2702590721999998E-2</v>
      </c>
      <c r="P24" s="489"/>
      <c r="Q24" s="484" t="str">
        <f t="shared" si="2"/>
        <v>  + Net fixed assets</v>
      </c>
      <c r="R24" s="267">
        <f>'FS Year'!M41</f>
        <v>37.488417399999996</v>
      </c>
      <c r="S24" s="267">
        <f>'FS Year'!N41</f>
        <v>35.568430300000003</v>
      </c>
      <c r="T24" s="267">
        <f>'FS Year'!O41</f>
        <v>32.282926199999999</v>
      </c>
      <c r="U24" s="267" t="e">
        <f>'FS Year'!Q41</f>
        <v>#REF!</v>
      </c>
      <c r="V24" s="267" t="e">
        <f>'FS Year'!R41</f>
        <v>#REF!</v>
      </c>
      <c r="W24" s="150"/>
      <c r="Y24" s="138" t="s">
        <v>520</v>
      </c>
      <c r="Z24" s="138" t="s">
        <v>364</v>
      </c>
      <c r="AA24" s="138" t="s">
        <v>307</v>
      </c>
      <c r="AB24" s="138" t="s">
        <v>400</v>
      </c>
    </row>
    <row r="25" spans="1:28" ht="12" customHeight="1">
      <c r="A25" s="372"/>
      <c r="B25" s="148"/>
      <c r="C25" s="96" t="s">
        <v>564</v>
      </c>
      <c r="D25" s="96"/>
      <c r="E25" s="96"/>
      <c r="F25" s="314">
        <f>AVERAGE(Price!L17:L46)</f>
        <v>530328.66666666663</v>
      </c>
      <c r="G25" s="150"/>
      <c r="I25" s="148"/>
      <c r="J25" s="480" t="str">
        <f t="shared" si="0"/>
        <v>EBT</v>
      </c>
      <c r="K25" s="267">
        <f>'FS Year'!M20</f>
        <v>79.11379980000001</v>
      </c>
      <c r="L25" s="267">
        <f>'FS Year'!N20</f>
        <v>120.4860438</v>
      </c>
      <c r="M25" s="267">
        <f>'FS Year'!O20</f>
        <v>266.36902570000001</v>
      </c>
      <c r="N25" s="267">
        <f>'FS Year'!Q20</f>
        <v>0.59699999999999998</v>
      </c>
      <c r="O25" s="267">
        <f>'FS Year'!R20</f>
        <v>0.82123814170300014</v>
      </c>
      <c r="P25" s="489"/>
      <c r="Q25" s="484" t="str">
        <f t="shared" si="2"/>
        <v>  + Long-term investments</v>
      </c>
      <c r="R25" s="267">
        <f>'FS Year'!M42</f>
        <v>110.14464969999999</v>
      </c>
      <c r="S25" s="267">
        <f>'FS Year'!N42</f>
        <v>110.14464969999999</v>
      </c>
      <c r="T25" s="267">
        <f>'FS Year'!O42</f>
        <v>0</v>
      </c>
      <c r="U25" s="267" t="e">
        <f>'FS Year'!Q42</f>
        <v>#REF!</v>
      </c>
      <c r="V25" s="267" t="e">
        <f>'FS Year'!R42</f>
        <v>#REF!</v>
      </c>
      <c r="W25" s="150"/>
      <c r="Y25" s="138" t="s">
        <v>34</v>
      </c>
      <c r="Z25" s="138" t="s">
        <v>186</v>
      </c>
      <c r="AA25" s="138" t="s">
        <v>308</v>
      </c>
      <c r="AB25" s="138" t="s">
        <v>401</v>
      </c>
    </row>
    <row r="26" spans="1:28" ht="12" customHeight="1">
      <c r="A26" s="372"/>
      <c r="B26" s="148"/>
      <c r="C26" s="96" t="s">
        <v>530</v>
      </c>
      <c r="D26" s="96"/>
      <c r="E26" s="513" t="e">
        <f ca="1">_xll.BDH(ticker,"EQY_SH_OUT",C11-1,C11,"Dir=H","Dts=H","Sort=A","Quote=C","QtTyp=Y","Days=A","Per=cd","DtFmt=D","Fill=P","cols=2;rows=1")</f>
        <v>#NAME?</v>
      </c>
      <c r="F26" s="314">
        <v>75</v>
      </c>
      <c r="G26" s="150"/>
      <c r="I26" s="148"/>
      <c r="J26" s="480" t="str">
        <f t="shared" si="0"/>
        <v>  - Income tax expense</v>
      </c>
      <c r="K26" s="267">
        <f>'FS Year'!M21</f>
        <v>-20.018951600000001</v>
      </c>
      <c r="L26" s="267">
        <f>'FS Year'!N21</f>
        <v>-30.756143899999998</v>
      </c>
      <c r="M26" s="267">
        <f>'FS Year'!O21</f>
        <v>-53.321005200000002</v>
      </c>
      <c r="N26" s="267">
        <f>'FS Year'!Q21</f>
        <v>-9.5000000000000001E-2</v>
      </c>
      <c r="O26" s="267">
        <f>'FS Year'!R21</f>
        <v>-0.156814830535</v>
      </c>
      <c r="P26" s="489"/>
      <c r="Q26" s="484" t="str">
        <f t="shared" si="2"/>
        <v>  + Other long-term assets</v>
      </c>
      <c r="R26" s="267">
        <f>'FS Year'!M43</f>
        <v>88.194153700000001</v>
      </c>
      <c r="S26" s="267">
        <f>'FS Year'!N43</f>
        <v>188.46950469999999</v>
      </c>
      <c r="T26" s="267">
        <f>'FS Year'!O43</f>
        <v>449.2990906</v>
      </c>
      <c r="U26" s="267" t="e">
        <f>'FS Year'!Q43</f>
        <v>#REF!</v>
      </c>
      <c r="V26" s="267" t="e">
        <f>'FS Year'!R43</f>
        <v>#REF!</v>
      </c>
      <c r="W26" s="150"/>
      <c r="Y26" s="138" t="s">
        <v>521</v>
      </c>
      <c r="Z26" s="138" t="s">
        <v>365</v>
      </c>
      <c r="AA26" s="138" t="s">
        <v>309</v>
      </c>
      <c r="AB26" s="138" t="s">
        <v>402</v>
      </c>
    </row>
    <row r="27" spans="1:28" ht="12" customHeight="1">
      <c r="A27" s="377"/>
      <c r="B27" s="148"/>
      <c r="C27" s="96" t="s">
        <v>265</v>
      </c>
      <c r="D27" s="96"/>
      <c r="E27" s="96"/>
      <c r="F27" s="314">
        <f>price*shares/unit</f>
        <v>1177.5</v>
      </c>
      <c r="G27" s="150"/>
      <c r="I27" s="148"/>
      <c r="J27" s="480" t="str">
        <f t="shared" si="0"/>
        <v>Profit after tax</v>
      </c>
      <c r="K27" s="267">
        <f>'FS Year'!M22</f>
        <v>59.094848200000008</v>
      </c>
      <c r="L27" s="267">
        <f>'FS Year'!N22</f>
        <v>89.729899900000007</v>
      </c>
      <c r="M27" s="267">
        <f>'FS Year'!O22</f>
        <v>213.04802050000001</v>
      </c>
      <c r="N27" s="267">
        <f>'FS Year'!Q22</f>
        <v>0.44599999999999995</v>
      </c>
      <c r="O27" s="267">
        <f>'FS Year'!R22</f>
        <v>0.63027029041500016</v>
      </c>
      <c r="P27" s="489"/>
      <c r="Q27" s="484" t="str">
        <f t="shared" si="2"/>
        <v>Total long-term assets</v>
      </c>
      <c r="R27" s="267">
        <f>'FS Year'!M44</f>
        <v>235.82722089999999</v>
      </c>
      <c r="S27" s="267">
        <f>'FS Year'!N44</f>
        <v>334.18258470000001</v>
      </c>
      <c r="T27" s="267">
        <f>'FS Year'!O44</f>
        <v>481.58201679999996</v>
      </c>
      <c r="U27" s="267" t="e">
        <f>'FS Year'!Q44</f>
        <v>#REF!</v>
      </c>
      <c r="V27" s="267" t="e">
        <f>'FS Year'!R44</f>
        <v>#REF!</v>
      </c>
      <c r="W27" s="150"/>
      <c r="Y27" s="138" t="s">
        <v>36</v>
      </c>
      <c r="Z27" s="147" t="s">
        <v>189</v>
      </c>
      <c r="AA27" s="147" t="s">
        <v>301</v>
      </c>
      <c r="AB27" s="147" t="s">
        <v>187</v>
      </c>
    </row>
    <row r="28" spans="1:28" s="145" customFormat="1" ht="12" customHeight="1">
      <c r="A28" s="377"/>
      <c r="B28" s="143"/>
      <c r="C28" s="96" t="s">
        <v>264</v>
      </c>
      <c r="D28" s="96"/>
      <c r="E28" s="96"/>
      <c r="F28" s="314">
        <f>F27/F10*10^3</f>
        <v>56.071428571428569</v>
      </c>
      <c r="G28" s="144"/>
      <c r="I28" s="143"/>
      <c r="J28" s="480" t="str">
        <f t="shared" si="0"/>
        <v>  - Minority interests</v>
      </c>
      <c r="K28" s="267">
        <f>'FS Year'!M23</f>
        <v>-1.2348969999999999</v>
      </c>
      <c r="L28" s="267">
        <f>'FS Year'!N23</f>
        <v>-6.9659063999999997</v>
      </c>
      <c r="M28" s="267">
        <f>'FS Year'!O23</f>
        <v>-45.213530899999995</v>
      </c>
      <c r="N28" s="267">
        <f>'FS Year'!Q23</f>
        <v>-0.109</v>
      </c>
      <c r="O28" s="267">
        <f>'FS Year'!R23</f>
        <v>-0.127219780118</v>
      </c>
      <c r="P28" s="489"/>
      <c r="Q28" s="483" t="str">
        <f t="shared" si="2"/>
        <v>Total Assets</v>
      </c>
      <c r="R28" s="357">
        <f>'FS Year'!M45</f>
        <v>816.45217649999995</v>
      </c>
      <c r="S28" s="357">
        <f>'FS Year'!N45</f>
        <v>1268.2150674999998</v>
      </c>
      <c r="T28" s="357">
        <f>'FS Year'!O45</f>
        <v>2160.4528323</v>
      </c>
      <c r="U28" s="357" t="e">
        <f>'FS Year'!Q45</f>
        <v>#REF!</v>
      </c>
      <c r="V28" s="357" t="e">
        <f>'FS Year'!R45</f>
        <v>#REF!</v>
      </c>
      <c r="W28" s="144"/>
      <c r="Y28" s="138" t="s">
        <v>522</v>
      </c>
      <c r="Z28" s="138" t="s">
        <v>369</v>
      </c>
      <c r="AA28" s="147" t="s">
        <v>58</v>
      </c>
      <c r="AB28" s="147" t="s">
        <v>190</v>
      </c>
    </row>
    <row r="29" spans="1:28" ht="12" customHeight="1">
      <c r="A29" s="378"/>
      <c r="B29" s="148"/>
      <c r="C29" s="96" t="s">
        <v>579</v>
      </c>
      <c r="D29" s="96"/>
      <c r="E29" s="514" t="e">
        <f ca="1">_xll.BDH(ticker,"TOTAL_FOREIGN_PER_SHR_TOT",C11-1,C11,"Dir=H","Dts=H","Sort=A","Quote=C","QtTyp=Y","Days=A","Per=cd","DtFmt=D","Fill=P","cols=2;rows=1")/100</f>
        <v>#NAME?</v>
      </c>
      <c r="F29" s="515">
        <v>24.81</v>
      </c>
      <c r="G29" s="150"/>
      <c r="I29" s="148"/>
      <c r="J29" s="480" t="str">
        <f t="shared" si="0"/>
        <v>Net Income to common</v>
      </c>
      <c r="K29" s="267">
        <f>'FS Year'!M24</f>
        <v>57.859951200000012</v>
      </c>
      <c r="L29" s="267">
        <f>'FS Year'!N24</f>
        <v>82.763993500000012</v>
      </c>
      <c r="M29" s="267">
        <f>'FS Year'!O24</f>
        <v>167.83448960000001</v>
      </c>
      <c r="N29" s="267">
        <f>'FS Year'!Q24</f>
        <v>0.33699999999999997</v>
      </c>
      <c r="O29" s="267">
        <f>'FS Year'!R24</f>
        <v>0.50305051029700021</v>
      </c>
      <c r="P29" s="489"/>
      <c r="Q29" s="484"/>
      <c r="R29" s="267"/>
      <c r="S29" s="267"/>
      <c r="T29" s="267"/>
      <c r="U29" s="267"/>
      <c r="V29" s="267"/>
      <c r="W29" s="150"/>
      <c r="Y29" s="138" t="s">
        <v>38</v>
      </c>
      <c r="Z29" s="138" t="s">
        <v>191</v>
      </c>
    </row>
    <row r="30" spans="1:28" ht="12" customHeight="1">
      <c r="A30" s="374"/>
      <c r="B30" s="148"/>
      <c r="C30" s="96"/>
      <c r="D30" s="96"/>
      <c r="E30" s="96"/>
      <c r="F30" s="105"/>
      <c r="G30" s="150"/>
      <c r="I30" s="148"/>
      <c r="J30" s="480" t="str">
        <f t="shared" si="0"/>
        <v>EPS</v>
      </c>
      <c r="K30" s="267">
        <f>'FS Year'!M25</f>
        <v>1251.0259718918921</v>
      </c>
      <c r="L30" s="267">
        <f>'FS Year'!N25</f>
        <v>1396.8653502114635</v>
      </c>
      <c r="M30" s="267">
        <f>'FS Year'!O25</f>
        <v>2101.2195121206914</v>
      </c>
      <c r="N30" s="267" t="e">
        <f>'FS Year'!Q25</f>
        <v>#REF!</v>
      </c>
      <c r="O30" s="267" t="e">
        <f>'FS Year'!R25</f>
        <v>#REF!</v>
      </c>
      <c r="P30" s="489"/>
      <c r="Q30" s="483" t="str">
        <f t="shared" si="1"/>
        <v>Liabilities &amp; Equity</v>
      </c>
      <c r="R30" s="267"/>
      <c r="S30" s="267"/>
      <c r="T30" s="267"/>
      <c r="U30" s="267"/>
      <c r="V30" s="267"/>
      <c r="W30" s="150"/>
      <c r="Y30" s="138" t="s">
        <v>523</v>
      </c>
      <c r="Z30" s="138" t="s">
        <v>348</v>
      </c>
      <c r="AA30" s="147" t="s">
        <v>501</v>
      </c>
      <c r="AB30" s="147" t="s">
        <v>418</v>
      </c>
    </row>
    <row r="31" spans="1:28" ht="12" customHeight="1">
      <c r="A31" s="374"/>
      <c r="B31" s="148"/>
      <c r="C31" s="14"/>
      <c r="D31" s="373">
        <f ca="1">L14</f>
        <v>2023</v>
      </c>
      <c r="E31" s="373">
        <f ca="1">M14</f>
        <v>2024</v>
      </c>
      <c r="F31" s="511" t="str">
        <f ca="1">N14&amp;"F"</f>
        <v>2025F</v>
      </c>
      <c r="G31" s="150"/>
      <c r="I31" s="148"/>
      <c r="J31" s="480" t="str">
        <f t="shared" si="0"/>
        <v>EBITDA</v>
      </c>
      <c r="K31" s="267">
        <f>'FS Year'!M27</f>
        <v>88.68943560000001</v>
      </c>
      <c r="L31" s="267">
        <f>'FS Year'!N27</f>
        <v>123.02122679999999</v>
      </c>
      <c r="M31" s="267">
        <f>'FS Year'!O27</f>
        <v>268.74591989999999</v>
      </c>
      <c r="N31" s="267">
        <f>'FS Year'!Q27</f>
        <v>0.39530000000000004</v>
      </c>
      <c r="O31" s="267">
        <f>'FS Year'!R27</f>
        <v>0.64698529602100019</v>
      </c>
      <c r="P31" s="489"/>
      <c r="Q31" s="484" t="str">
        <f t="shared" si="1"/>
        <v>  + Accounts payable</v>
      </c>
      <c r="R31" s="267">
        <f>'FS Year'!M48</f>
        <v>35.762860400000001</v>
      </c>
      <c r="S31" s="267">
        <f>'FS Year'!N48</f>
        <v>21.303074199999998</v>
      </c>
      <c r="T31" s="267">
        <f>'FS Year'!O48</f>
        <v>55.022481800000001</v>
      </c>
      <c r="U31" s="267" t="e">
        <f>'FS Year'!Q48</f>
        <v>#REF!</v>
      </c>
      <c r="V31" s="267" t="e">
        <f>'FS Year'!R48</f>
        <v>#REF!</v>
      </c>
      <c r="W31" s="150"/>
      <c r="Y31" s="138" t="s">
        <v>4</v>
      </c>
      <c r="Z31" s="138" t="s">
        <v>4</v>
      </c>
      <c r="AA31" s="138" t="s">
        <v>310</v>
      </c>
      <c r="AB31" s="138" t="s">
        <v>403</v>
      </c>
    </row>
    <row r="32" spans="1:28" ht="12" customHeight="1">
      <c r="A32" s="374"/>
      <c r="B32" s="148"/>
      <c r="C32" s="96" t="s">
        <v>338</v>
      </c>
      <c r="D32" s="267">
        <f>'FS Year'!N25</f>
        <v>1396.8653502114635</v>
      </c>
      <c r="E32" s="267">
        <f>'FS Year'!O25</f>
        <v>2101.2195121206914</v>
      </c>
      <c r="F32" s="267" t="e">
        <f>'FS Year'!Q25</f>
        <v>#REF!</v>
      </c>
      <c r="G32" s="150"/>
      <c r="I32" s="148"/>
      <c r="J32" s="480" t="str">
        <f t="shared" si="0"/>
        <v>Depreciation</v>
      </c>
      <c r="K32" s="267">
        <f>'FS Year'!M28</f>
        <v>-2.9591801000000002</v>
      </c>
      <c r="L32" s="267">
        <f>'FS Year'!N28</f>
        <v>-2.1923539999999999</v>
      </c>
      <c r="M32" s="267">
        <f>'FS Year'!O28</f>
        <v>-2.2976035000000001</v>
      </c>
      <c r="N32" s="267">
        <f>'FS Year'!Q28</f>
        <v>-5.3E-3</v>
      </c>
      <c r="O32" s="267">
        <f>'FS Year'!R28</f>
        <v>-3.8999999999999998E-3</v>
      </c>
      <c r="P32" s="489"/>
      <c r="Q32" s="484" t="str">
        <f t="shared" si="1"/>
        <v>  + Short-term borrowings</v>
      </c>
      <c r="R32" s="267">
        <f>'FS Year'!M49</f>
        <v>0.45</v>
      </c>
      <c r="S32" s="267">
        <f>'FS Year'!N49</f>
        <v>0</v>
      </c>
      <c r="T32" s="267">
        <f>'FS Year'!O49</f>
        <v>1</v>
      </c>
      <c r="U32" s="267" t="e">
        <f>'FS Year'!Q49</f>
        <v>#REF!</v>
      </c>
      <c r="V32" s="267" t="e">
        <f>'FS Year'!R49</f>
        <v>#REF!</v>
      </c>
      <c r="W32" s="144"/>
      <c r="Y32" s="241" t="s">
        <v>243</v>
      </c>
      <c r="Z32" s="241" t="s">
        <v>192</v>
      </c>
      <c r="AA32" s="138" t="s">
        <v>311</v>
      </c>
      <c r="AB32" s="138" t="s">
        <v>404</v>
      </c>
    </row>
    <row r="33" spans="1:28" ht="12" customHeight="1">
      <c r="A33" s="374"/>
      <c r="B33" s="148"/>
      <c r="C33" s="96" t="s">
        <v>611</v>
      </c>
      <c r="D33" s="510">
        <f>'FS Year'!N188*100</f>
        <v>11.657581984410958</v>
      </c>
      <c r="E33" s="510">
        <f>'FS Year'!P188*100</f>
        <v>0</v>
      </c>
      <c r="F33" s="510">
        <f>'FS Year'!Q188*100</f>
        <v>0</v>
      </c>
      <c r="G33" s="150"/>
      <c r="I33" s="148"/>
      <c r="J33" s="480" t="str">
        <f t="shared" si="0"/>
        <v>Revenue growth %</v>
      </c>
      <c r="K33" s="252">
        <f>'FS Year'!M173</f>
        <v>0.40894670807256306</v>
      </c>
      <c r="L33" s="252">
        <f>'FS Year'!N173</f>
        <v>-0.15095760336457831</v>
      </c>
      <c r="M33" s="252">
        <f>'FS Year'!O173</f>
        <v>0.47750656003902114</v>
      </c>
      <c r="N33" s="252">
        <f>'FS Year'!Q173</f>
        <v>-0.99724406695646994</v>
      </c>
      <c r="O33" s="252">
        <f>'FS Year'!R173</f>
        <v>0.79678627774910415</v>
      </c>
      <c r="P33" s="489"/>
      <c r="Q33" s="484" t="str">
        <f t="shared" si="1"/>
        <v>  + Other ST liabilities</v>
      </c>
      <c r="R33" s="267">
        <f>'FS Year'!M50</f>
        <v>196.745777</v>
      </c>
      <c r="S33" s="267">
        <f>'FS Year'!N50</f>
        <v>509.92334600000004</v>
      </c>
      <c r="T33" s="267">
        <f>'FS Year'!O50</f>
        <v>909.34066830000006</v>
      </c>
      <c r="U33" s="267" t="e">
        <f>'FS Year'!Q50</f>
        <v>#REF!</v>
      </c>
      <c r="V33" s="267" t="e">
        <f>'FS Year'!R50</f>
        <v>#REF!</v>
      </c>
      <c r="W33" s="150"/>
      <c r="Y33" s="138" t="s">
        <v>621</v>
      </c>
      <c r="Z33" s="138" t="s">
        <v>194</v>
      </c>
      <c r="AA33" s="138" t="s">
        <v>502</v>
      </c>
      <c r="AB33" s="138" t="s">
        <v>405</v>
      </c>
    </row>
    <row r="34" spans="1:28" ht="12" customHeight="1">
      <c r="A34" s="374"/>
      <c r="B34" s="148"/>
      <c r="C34" s="96" t="s">
        <v>612</v>
      </c>
      <c r="D34" s="510">
        <f>'FS Year'!N92*100</f>
        <v>0.28184398637375169</v>
      </c>
      <c r="E34" s="510">
        <f>'FS Year'!O92*100</f>
        <v>1.6608901924764294</v>
      </c>
      <c r="F34" s="512" t="e">
        <f>'FS Year'!Q92*100</f>
        <v>#REF!</v>
      </c>
      <c r="G34" s="150"/>
      <c r="I34" s="148"/>
      <c r="J34" s="480" t="str">
        <f t="shared" si="0"/>
        <v>Operating profit growth %</v>
      </c>
      <c r="K34" s="252">
        <f>'FS Year'!M178</f>
        <v>-9.022662750477195E-2</v>
      </c>
      <c r="L34" s="252">
        <f>'FS Year'!N178</f>
        <v>-0.1136810361128533</v>
      </c>
      <c r="M34" s="252">
        <f>'FS Year'!O178</f>
        <v>1.6560912147506812</v>
      </c>
      <c r="N34" s="252">
        <f>'FS Year'!Q178</f>
        <v>-0.997639013122959</v>
      </c>
      <c r="O34" s="252">
        <f>'FS Year'!R178</f>
        <v>0.64893665646410303</v>
      </c>
      <c r="P34" s="489"/>
      <c r="Q34" s="485" t="str">
        <f t="shared" si="1"/>
        <v>Current liabilities</v>
      </c>
      <c r="R34" s="357">
        <f>'FS Year'!M51</f>
        <v>232.95863740000001</v>
      </c>
      <c r="S34" s="357">
        <f>'FS Year'!N51</f>
        <v>531.22642020000001</v>
      </c>
      <c r="T34" s="357">
        <f>'FS Year'!O51</f>
        <v>965.36315009999998</v>
      </c>
      <c r="U34" s="357" t="e">
        <f>'FS Year'!Q51</f>
        <v>#REF!</v>
      </c>
      <c r="V34" s="357" t="e">
        <f>'FS Year'!R51</f>
        <v>#REF!</v>
      </c>
      <c r="W34" s="150"/>
      <c r="Y34" s="138" t="s">
        <v>622</v>
      </c>
      <c r="Z34" s="138" t="s">
        <v>366</v>
      </c>
      <c r="AA34" s="147" t="s">
        <v>592</v>
      </c>
      <c r="AB34" s="146" t="s">
        <v>193</v>
      </c>
    </row>
    <row r="35" spans="1:28" ht="12" customHeight="1">
      <c r="A35" s="374"/>
      <c r="B35" s="148"/>
      <c r="C35" s="96" t="s">
        <v>613</v>
      </c>
      <c r="D35" s="249">
        <f>'FS Year'!N138</f>
        <v>10.143480182598969</v>
      </c>
      <c r="E35" s="249">
        <f>'FS Year'!P138</f>
        <v>0</v>
      </c>
      <c r="F35" s="249">
        <f>'FS Year'!Q138</f>
        <v>0</v>
      </c>
      <c r="G35" s="150"/>
      <c r="I35" s="148"/>
      <c r="J35" s="480" t="str">
        <f t="shared" si="0"/>
        <v>EBIT growth %</v>
      </c>
      <c r="K35" s="252">
        <f>'FS Year'!M181</f>
        <v>-8.7468677705851983E-2</v>
      </c>
      <c r="L35" s="252">
        <f>'FS Year'!N181</f>
        <v>0.40940759006602967</v>
      </c>
      <c r="M35" s="252">
        <f>'FS Year'!O181</f>
        <v>1.2051709183866524</v>
      </c>
      <c r="N35" s="252">
        <f>'FS Year'!Q181</f>
        <v>-0.99772563772146239</v>
      </c>
      <c r="O35" s="252">
        <f>'FS Year'!R181</f>
        <v>0.4091431228135316</v>
      </c>
      <c r="P35" s="489"/>
      <c r="Q35" s="484" t="str">
        <f t="shared" si="1"/>
        <v>  + Long-term debt</v>
      </c>
      <c r="R35" s="267">
        <f>'FS Year'!M52</f>
        <v>0.11576</v>
      </c>
      <c r="S35" s="267">
        <f>'FS Year'!N52</f>
        <v>69.713999999999999</v>
      </c>
      <c r="T35" s="267">
        <f>'FS Year'!O52</f>
        <v>119.10941340000001</v>
      </c>
      <c r="U35" s="267" t="e">
        <f>'FS Year'!Q52</f>
        <v>#REF!</v>
      </c>
      <c r="V35" s="267" t="e">
        <f>'FS Year'!R52</f>
        <v>#REF!</v>
      </c>
      <c r="W35" s="150"/>
      <c r="Y35" s="138" t="s">
        <v>623</v>
      </c>
      <c r="Z35" s="138" t="s">
        <v>624</v>
      </c>
      <c r="AA35" s="138" t="s">
        <v>298</v>
      </c>
      <c r="AB35" s="138" t="s">
        <v>406</v>
      </c>
    </row>
    <row r="36" spans="1:28" ht="12" customHeight="1">
      <c r="A36" s="330"/>
      <c r="B36" s="148"/>
      <c r="C36" s="96" t="s">
        <v>614</v>
      </c>
      <c r="D36" s="249">
        <f>'FS Year'!N139</f>
        <v>1.657471666750272</v>
      </c>
      <c r="E36" s="249">
        <f>'FS Year'!P139</f>
        <v>0</v>
      </c>
      <c r="F36" s="249">
        <f>'FS Year'!Q139</f>
        <v>0</v>
      </c>
      <c r="G36" s="150"/>
      <c r="I36" s="148"/>
      <c r="J36" s="480" t="str">
        <f t="shared" si="0"/>
        <v>EPS growth %</v>
      </c>
      <c r="K36" s="252">
        <f>'FS Year'!M188</f>
        <v>0.52616899970310338</v>
      </c>
      <c r="L36" s="252">
        <f>'FS Year'!N188</f>
        <v>0.11657581984410958</v>
      </c>
      <c r="M36" s="252">
        <f>'FS Year'!O188</f>
        <v>0.50423912498266188</v>
      </c>
      <c r="N36" s="252">
        <f>'FS Year'!Q188</f>
        <v>0</v>
      </c>
      <c r="O36" s="252">
        <f>'FS Year'!R188</f>
        <v>0</v>
      </c>
      <c r="P36" s="489"/>
      <c r="Q36" s="484" t="str">
        <f t="shared" si="1"/>
        <v>  + Other LT liabilities</v>
      </c>
      <c r="R36" s="267">
        <f>'FS Year'!M53</f>
        <v>3.7836345000000002</v>
      </c>
      <c r="S36" s="267">
        <f>'FS Year'!N53</f>
        <v>3.6598595999999999</v>
      </c>
      <c r="T36" s="267">
        <f>'FS Year'!O53</f>
        <v>3.7527789999999999</v>
      </c>
      <c r="U36" s="267" t="e">
        <f>'FS Year'!Q53</f>
        <v>#REF!</v>
      </c>
      <c r="V36" s="267" t="e">
        <f>'FS Year'!R53</f>
        <v>#REF!</v>
      </c>
      <c r="W36" s="150"/>
      <c r="Y36" s="138" t="s">
        <v>611</v>
      </c>
      <c r="Z36" s="138" t="s">
        <v>625</v>
      </c>
      <c r="AA36" s="138" t="s">
        <v>503</v>
      </c>
      <c r="AB36" s="138" t="s">
        <v>407</v>
      </c>
    </row>
    <row r="37" spans="1:28" ht="12" customHeight="1">
      <c r="A37" s="330"/>
      <c r="B37" s="148"/>
      <c r="C37" s="96" t="s">
        <v>615</v>
      </c>
      <c r="D37" s="249">
        <f>'FS Year'!N140</f>
        <v>7.0461371045277215</v>
      </c>
      <c r="E37" s="249">
        <f>'FS Year'!P140</f>
        <v>0</v>
      </c>
      <c r="F37" s="249">
        <f>'FS Year'!Q140</f>
        <v>0</v>
      </c>
      <c r="G37" s="150"/>
      <c r="I37" s="148"/>
      <c r="J37" s="481" t="str">
        <f t="shared" si="0"/>
        <v>Profitability ratios</v>
      </c>
      <c r="K37" s="477">
        <f ca="1">K14</f>
        <v>2022</v>
      </c>
      <c r="L37" s="477">
        <f ca="1">L14</f>
        <v>2023</v>
      </c>
      <c r="M37" s="477">
        <f ca="1">M14</f>
        <v>2024</v>
      </c>
      <c r="N37" s="477">
        <f ca="1">N14</f>
        <v>2025</v>
      </c>
      <c r="O37" s="477">
        <f ca="1">O14</f>
        <v>2026</v>
      </c>
      <c r="P37" s="488"/>
      <c r="Q37" s="484" t="str">
        <f t="shared" si="1"/>
        <v>Total LT liabilities</v>
      </c>
      <c r="R37" s="267">
        <f>'FS Year'!M54</f>
        <v>3.8993945000000001</v>
      </c>
      <c r="S37" s="267">
        <f>'FS Year'!N54</f>
        <v>73.373859600000003</v>
      </c>
      <c r="T37" s="267">
        <f>'FS Year'!O54</f>
        <v>122.8621924</v>
      </c>
      <c r="U37" s="267" t="e">
        <f>'FS Year'!Q54</f>
        <v>#REF!</v>
      </c>
      <c r="V37" s="267" t="e">
        <f>'FS Year'!R54</f>
        <v>#REF!</v>
      </c>
      <c r="W37" s="150"/>
      <c r="Y37" s="147" t="s">
        <v>117</v>
      </c>
      <c r="Z37" s="147" t="s">
        <v>205</v>
      </c>
      <c r="AA37" s="147" t="s">
        <v>590</v>
      </c>
      <c r="AB37" s="147" t="s">
        <v>195</v>
      </c>
    </row>
    <row r="38" spans="1:28" ht="12" customHeight="1">
      <c r="A38" s="330"/>
      <c r="B38" s="148"/>
      <c r="C38" s="96" t="s">
        <v>616</v>
      </c>
      <c r="D38" s="510">
        <f>'FS Year'!N112*100</f>
        <v>14.435208365820717</v>
      </c>
      <c r="E38" s="510">
        <f>'FS Year'!P112*100</f>
        <v>0</v>
      </c>
      <c r="F38" s="510">
        <f>'FS Year'!Q112*100</f>
        <v>0</v>
      </c>
      <c r="G38" s="150"/>
      <c r="I38" s="148"/>
      <c r="J38" s="480" t="str">
        <f t="shared" si="0"/>
        <v>Gross margin</v>
      </c>
      <c r="K38" s="252">
        <f>'FS Year'!M108</f>
        <v>0.47802567960142417</v>
      </c>
      <c r="L38" s="252">
        <f>'FS Year'!N108</f>
        <v>0.6010982286332649</v>
      </c>
      <c r="M38" s="252">
        <f>'FS Year'!O108</f>
        <v>0.59625986123343722</v>
      </c>
      <c r="N38" s="252">
        <f>'FS Year'!Q108</f>
        <v>0.4731182795698925</v>
      </c>
      <c r="O38" s="252">
        <f>'FS Year'!R108</f>
        <v>0.41956121790885759</v>
      </c>
      <c r="P38" s="489"/>
      <c r="Q38" s="483" t="str">
        <f t="shared" si="1"/>
        <v>Total Liabilities</v>
      </c>
      <c r="R38" s="357">
        <f>'FS Year'!M55</f>
        <v>236.85803179999999</v>
      </c>
      <c r="S38" s="357">
        <f>'FS Year'!N55</f>
        <v>604.60027980000007</v>
      </c>
      <c r="T38" s="357">
        <f>'FS Year'!O55</f>
        <v>1088.2253425000001</v>
      </c>
      <c r="U38" s="357" t="e">
        <f>'FS Year'!Q55</f>
        <v>#REF!</v>
      </c>
      <c r="V38" s="357" t="e">
        <f>'FS Year'!R55</f>
        <v>#REF!</v>
      </c>
      <c r="W38" s="150"/>
      <c r="Y38" s="138" t="s">
        <v>197</v>
      </c>
      <c r="Z38" s="138" t="s">
        <v>198</v>
      </c>
      <c r="AA38" s="147" t="s">
        <v>67</v>
      </c>
      <c r="AB38" s="147" t="s">
        <v>387</v>
      </c>
    </row>
    <row r="39" spans="1:28" ht="12" customHeight="1">
      <c r="A39" s="330"/>
      <c r="B39" s="148"/>
      <c r="C39" s="96" t="s">
        <v>617</v>
      </c>
      <c r="D39" s="510">
        <f>'FS Year'!N113*100</f>
        <v>8.6085585273387668</v>
      </c>
      <c r="E39" s="510">
        <f>'FS Year'!P113*100</f>
        <v>0</v>
      </c>
      <c r="F39" s="510">
        <f>'FS Year'!Q113*100</f>
        <v>0</v>
      </c>
      <c r="G39" s="516"/>
      <c r="I39" s="148"/>
      <c r="J39" s="480" t="str">
        <f t="shared" si="0"/>
        <v>Profit after tax margin</v>
      </c>
      <c r="K39" s="252">
        <f>'FS Year'!M111</f>
        <v>0.14645455066732657</v>
      </c>
      <c r="L39" s="252">
        <f>'FS Year'!N111</f>
        <v>0.26191541254990514</v>
      </c>
      <c r="M39" s="252">
        <f>'FS Year'!O111</f>
        <v>0.42089324699255226</v>
      </c>
      <c r="N39" s="252">
        <f>'FS Year'!Q111</f>
        <v>0.31971326164874547</v>
      </c>
      <c r="O39" s="252">
        <f>'FS Year'!R111</f>
        <v>0.25145264375109361</v>
      </c>
      <c r="P39" s="489"/>
      <c r="Q39" s="484" t="str">
        <f t="shared" si="1"/>
        <v>  + Total preferred equity</v>
      </c>
      <c r="R39" s="267">
        <f>'FS Year'!M56</f>
        <v>0</v>
      </c>
      <c r="S39" s="267">
        <f>'FS Year'!N56</f>
        <v>0</v>
      </c>
      <c r="T39" s="267">
        <f>'FS Year'!O56</f>
        <v>0</v>
      </c>
      <c r="U39" s="267" t="e">
        <f>'FS Year'!Q56</f>
        <v>#REF!</v>
      </c>
      <c r="V39" s="267" t="e">
        <f>'FS Year'!R56</f>
        <v>#REF!</v>
      </c>
      <c r="W39" s="150"/>
      <c r="Y39" s="138" t="s">
        <v>326</v>
      </c>
      <c r="Z39" s="138" t="s">
        <v>367</v>
      </c>
      <c r="AA39" s="138" t="s">
        <v>314</v>
      </c>
      <c r="AB39" s="138" t="s">
        <v>388</v>
      </c>
    </row>
    <row r="40" spans="1:28" ht="12" customHeight="1">
      <c r="A40" s="330"/>
      <c r="B40" s="148"/>
      <c r="C40" s="96" t="s">
        <v>618</v>
      </c>
      <c r="D40" s="510">
        <f>'FS Year'!N119*100</f>
        <v>13.66283553501742</v>
      </c>
      <c r="E40" s="510">
        <f>'FS Year'!P119*100</f>
        <v>0</v>
      </c>
      <c r="F40" s="510">
        <f>'FS Year'!Q119*100</f>
        <v>0</v>
      </c>
      <c r="G40" s="150"/>
      <c r="I40" s="148"/>
      <c r="J40" s="480" t="str">
        <f t="shared" si="0"/>
        <v>ROE Dupont</v>
      </c>
      <c r="K40" s="252">
        <f>'FS Year'!M112</f>
        <v>0.11399803205769127</v>
      </c>
      <c r="L40" s="252">
        <f>'FS Year'!N112</f>
        <v>0.14435208365820718</v>
      </c>
      <c r="M40" s="252">
        <f>'FS Year'!O112</f>
        <v>0.24546933009010094</v>
      </c>
      <c r="N40" s="252">
        <f>'FS Year'!Q112</f>
        <v>0</v>
      </c>
      <c r="O40" s="252">
        <f>'FS Year'!R112</f>
        <v>0</v>
      </c>
      <c r="P40" s="489"/>
      <c r="Q40" s="484" t="str">
        <f t="shared" si="1"/>
        <v>  + Addt’l paid in capital</v>
      </c>
      <c r="R40" s="267">
        <f>'FS Year'!M57</f>
        <v>31.9802708</v>
      </c>
      <c r="S40" s="267">
        <f>'FS Year'!N57</f>
        <v>10.982380800000001</v>
      </c>
      <c r="T40" s="267">
        <f>'FS Year'!O57</f>
        <v>10.8679808</v>
      </c>
      <c r="U40" s="267" t="e">
        <f>'FS Year'!Q57</f>
        <v>#REF!</v>
      </c>
      <c r="V40" s="267" t="e">
        <f>'FS Year'!R57</f>
        <v>#REF!</v>
      </c>
      <c r="W40" s="150"/>
      <c r="Y40" s="138" t="s">
        <v>379</v>
      </c>
      <c r="Z40" s="138" t="s">
        <v>7</v>
      </c>
      <c r="AA40" s="138" t="s">
        <v>504</v>
      </c>
      <c r="AB40" s="138" t="s">
        <v>389</v>
      </c>
    </row>
    <row r="41" spans="1:28" ht="12" customHeight="1">
      <c r="A41" s="330"/>
      <c r="B41" s="148"/>
      <c r="C41" s="96" t="s">
        <v>619</v>
      </c>
      <c r="D41" s="510">
        <f>'FS Year'!N133</f>
        <v>0.10505190856523766</v>
      </c>
      <c r="E41" s="510">
        <f>'FS Year'!P133</f>
        <v>0</v>
      </c>
      <c r="F41" s="510">
        <f>'FS Year'!Q133</f>
        <v>0</v>
      </c>
      <c r="G41" s="150"/>
      <c r="I41" s="148"/>
      <c r="J41" s="480" t="str">
        <f t="shared" si="0"/>
        <v>ROA Dupont</v>
      </c>
      <c r="K41" s="252">
        <f>'FS Year'!M113</f>
        <v>6.9413276470559448E-2</v>
      </c>
      <c r="L41" s="252">
        <f>'FS Year'!N113</f>
        <v>8.6085585273387666E-2</v>
      </c>
      <c r="M41" s="252">
        <f>'FS Year'!O113</f>
        <v>0.12427451519141151</v>
      </c>
      <c r="N41" s="252">
        <f>'FS Year'!Q113</f>
        <v>0</v>
      </c>
      <c r="O41" s="252">
        <f>'FS Year'!R113</f>
        <v>0</v>
      </c>
      <c r="P41" s="489"/>
      <c r="Q41" s="484" t="str">
        <f t="shared" si="1"/>
        <v>  + Share capital</v>
      </c>
      <c r="R41" s="267">
        <f>'FS Year'!M58</f>
        <v>420</v>
      </c>
      <c r="S41" s="267">
        <f>'FS Year'!N58</f>
        <v>527.9968100000001</v>
      </c>
      <c r="T41" s="267">
        <f>'FS Year'!O58</f>
        <v>750</v>
      </c>
      <c r="U41" s="267" t="e">
        <f>'FS Year'!Q58</f>
        <v>#REF!</v>
      </c>
      <c r="V41" s="267" t="e">
        <f>'FS Year'!R58</f>
        <v>#REF!</v>
      </c>
      <c r="W41" s="150"/>
      <c r="Y41" s="138" t="s">
        <v>378</v>
      </c>
      <c r="Z41" s="138" t="s">
        <v>8</v>
      </c>
      <c r="AA41" s="138" t="s">
        <v>315</v>
      </c>
      <c r="AB41" s="138" t="s">
        <v>390</v>
      </c>
    </row>
    <row r="42" spans="1:28" ht="12" customHeight="1">
      <c r="A42" s="330"/>
      <c r="B42" s="148"/>
      <c r="C42" s="96"/>
      <c r="D42" s="96"/>
      <c r="E42" s="96"/>
      <c r="F42" s="105"/>
      <c r="G42" s="150"/>
      <c r="I42" s="148"/>
      <c r="J42" s="482" t="str">
        <f t="shared" si="0"/>
        <v>* EBIT Margin</v>
      </c>
      <c r="K42" s="252">
        <f>'FS Year'!M114</f>
        <v>0.21246498519388027</v>
      </c>
      <c r="L42" s="252">
        <f>'FS Year'!N114</f>
        <v>0.35269117766342239</v>
      </c>
      <c r="M42" s="252">
        <f>'FS Year'!O114</f>
        <v>0.52638976312523367</v>
      </c>
      <c r="N42" s="252">
        <f>'FS Year'!Q114</f>
        <v>0.43440860215053761</v>
      </c>
      <c r="O42" s="252">
        <f>'FS Year'!R114</f>
        <v>0.34068820637829184</v>
      </c>
      <c r="P42" s="490"/>
      <c r="Q42" s="484" t="str">
        <f t="shared" si="1"/>
        <v>  + Retained earnings</v>
      </c>
      <c r="R42" s="267">
        <f>'FS Year'!M59</f>
        <v>103.75582859999999</v>
      </c>
      <c r="S42" s="267">
        <f>'FS Year'!N59</f>
        <v>94.153803799999991</v>
      </c>
      <c r="T42" s="267">
        <f>'FS Year'!O59</f>
        <v>241.89213329999998</v>
      </c>
      <c r="U42" s="267" t="e">
        <f>'FS Year'!Q59</f>
        <v>#REF!</v>
      </c>
      <c r="V42" s="267" t="e">
        <f>'FS Year'!R59</f>
        <v>#REF!</v>
      </c>
      <c r="W42" s="150"/>
      <c r="Y42" s="149" t="s">
        <v>377</v>
      </c>
      <c r="Z42" s="138" t="s">
        <v>376</v>
      </c>
      <c r="AA42" s="138" t="s">
        <v>505</v>
      </c>
      <c r="AB42" s="138" t="s">
        <v>600</v>
      </c>
    </row>
    <row r="43" spans="1:28" ht="12" customHeight="1">
      <c r="A43" s="330"/>
      <c r="B43" s="148"/>
      <c r="C43" s="14" t="s">
        <v>620</v>
      </c>
      <c r="D43" s="106" t="s">
        <v>267</v>
      </c>
      <c r="E43" s="106" t="s">
        <v>268</v>
      </c>
      <c r="F43" s="106" t="s">
        <v>270</v>
      </c>
      <c r="G43" s="150"/>
      <c r="I43" s="148"/>
      <c r="J43" s="482" t="str">
        <f t="shared" si="0"/>
        <v>* Tax burden</v>
      </c>
      <c r="K43" s="252">
        <f>'FS Year'!M115</f>
        <v>0.74696005436968027</v>
      </c>
      <c r="L43" s="252">
        <f>'FS Year'!N115</f>
        <v>0.74473272646371014</v>
      </c>
      <c r="M43" s="252">
        <f>'FS Year'!O115</f>
        <v>0.79982280199480416</v>
      </c>
      <c r="N43" s="252">
        <f>'FS Year'!Q115</f>
        <v>0.7470686767169179</v>
      </c>
      <c r="O43" s="252">
        <f>'FS Year'!R115</f>
        <v>0.76746349007610593</v>
      </c>
      <c r="P43" s="490"/>
      <c r="Q43" s="484" t="str">
        <f t="shared" si="1"/>
        <v>  + Minority interest</v>
      </c>
      <c r="R43" s="267">
        <f>'FS Year'!M60</f>
        <v>23.858045199999999</v>
      </c>
      <c r="S43" s="267">
        <f>'FS Year'!N60</f>
        <v>30.481793000000003</v>
      </c>
      <c r="T43" s="267">
        <f>'FS Year'!O60</f>
        <v>69.467375700000005</v>
      </c>
      <c r="U43" s="267" t="e">
        <f>'FS Year'!Q60</f>
        <v>#REF!</v>
      </c>
      <c r="V43" s="267" t="e">
        <f>'FS Year'!R60</f>
        <v>#REF!</v>
      </c>
      <c r="W43" s="150"/>
      <c r="Y43" s="149" t="s">
        <v>328</v>
      </c>
      <c r="Z43" s="138" t="s">
        <v>380</v>
      </c>
      <c r="AA43" s="138" t="s">
        <v>316</v>
      </c>
      <c r="AB43" s="138" t="s">
        <v>391</v>
      </c>
    </row>
    <row r="44" spans="1:28" ht="12" customHeight="1">
      <c r="A44" s="330"/>
      <c r="B44" s="148"/>
      <c r="C44" s="517" t="str">
        <f>C7</f>
        <v>DXG</v>
      </c>
      <c r="D44" s="510">
        <f>Price!G11*100</f>
        <v>5.3691275167785157</v>
      </c>
      <c r="E44" s="510">
        <f>Price!H11*100</f>
        <v>21.705426356589143</v>
      </c>
      <c r="F44" s="510">
        <f>Price!I11*100</f>
        <v>75.317525722542712</v>
      </c>
      <c r="G44" s="150"/>
      <c r="I44" s="148"/>
      <c r="J44" s="482" t="str">
        <f t="shared" si="0"/>
        <v>* Interest burden</v>
      </c>
      <c r="K44" s="252">
        <f>'FS Year'!M116</f>
        <v>0.92282239611428662</v>
      </c>
      <c r="L44" s="252">
        <f>'FS Year'!N116</f>
        <v>0.99716268974413547</v>
      </c>
      <c r="M44" s="252">
        <f>'FS Year'!O116</f>
        <v>0.99970241620937483</v>
      </c>
      <c r="N44" s="252">
        <f>'FS Year'!Q116</f>
        <v>0.98514851485148514</v>
      </c>
      <c r="O44" s="252">
        <f>'FS Year'!R116</f>
        <v>0.96170391049372717</v>
      </c>
      <c r="P44" s="490"/>
      <c r="Q44" s="484" t="str">
        <f t="shared" si="1"/>
        <v>Total equity</v>
      </c>
      <c r="R44" s="267">
        <f>'FS Year'!M61</f>
        <v>579.59414460000005</v>
      </c>
      <c r="S44" s="267">
        <f>'FS Year'!N61</f>
        <v>663.61478769999997</v>
      </c>
      <c r="T44" s="267">
        <f>'FS Year'!O61</f>
        <v>1072.2274898000001</v>
      </c>
      <c r="U44" s="267" t="e">
        <f>'FS Year'!Q61</f>
        <v>#REF!</v>
      </c>
      <c r="V44" s="267" t="e">
        <f>'FS Year'!R61</f>
        <v>#REF!</v>
      </c>
      <c r="W44" s="150"/>
      <c r="Y44" s="149" t="s">
        <v>329</v>
      </c>
      <c r="Z44" s="145" t="s">
        <v>381</v>
      </c>
      <c r="AA44" s="147" t="s">
        <v>591</v>
      </c>
      <c r="AB44" s="147" t="s">
        <v>199</v>
      </c>
    </row>
    <row r="45" spans="1:28" ht="12" customHeight="1">
      <c r="A45" s="330"/>
      <c r="B45" s="148"/>
      <c r="C45" s="96" t="s">
        <v>271</v>
      </c>
      <c r="D45" s="510">
        <f>Price!G12*100</f>
        <v>1.8426967609899814</v>
      </c>
      <c r="E45" s="510">
        <f>Price!H12*100</f>
        <v>9.6126945270151865</v>
      </c>
      <c r="F45" s="510">
        <f>Price!I12*100</f>
        <v>56.077931486973931</v>
      </c>
      <c r="G45" s="150"/>
      <c r="I45" s="148"/>
      <c r="J45" s="482" t="str">
        <f t="shared" si="0"/>
        <v>* Asset turnover</v>
      </c>
      <c r="K45" s="249">
        <f>'FS Year'!M117</f>
        <v>0.4739577988821434</v>
      </c>
      <c r="L45" s="249">
        <f>'FS Year'!N117</f>
        <v>0.32867705048470558</v>
      </c>
      <c r="M45" s="249">
        <f>'FS Year'!O117</f>
        <v>0.29526374224200974</v>
      </c>
      <c r="N45" s="249">
        <f>'FS Year'!Q117</f>
        <v>0</v>
      </c>
      <c r="O45" s="249">
        <f>'FS Year'!R117</f>
        <v>0</v>
      </c>
      <c r="P45" s="490"/>
      <c r="Q45" s="483" t="str">
        <f t="shared" si="1"/>
        <v>Liabilities &amp; equity</v>
      </c>
      <c r="R45" s="357">
        <f>'FS Year'!M62</f>
        <v>816.45217649999995</v>
      </c>
      <c r="S45" s="357">
        <f>'FS Year'!N62</f>
        <v>1268.2150674999998</v>
      </c>
      <c r="T45" s="357">
        <f>'FS Year'!O62</f>
        <v>2160.4528323</v>
      </c>
      <c r="U45" s="357" t="e">
        <f>'FS Year'!Q62</f>
        <v>#REF!</v>
      </c>
      <c r="V45" s="357" t="e">
        <f>'FS Year'!R62</f>
        <v>#REF!</v>
      </c>
      <c r="W45" s="150"/>
      <c r="Y45" s="149" t="s">
        <v>330</v>
      </c>
      <c r="Z45" s="138" t="s">
        <v>382</v>
      </c>
      <c r="AA45" s="147" t="s">
        <v>593</v>
      </c>
      <c r="AB45" s="147" t="s">
        <v>200</v>
      </c>
    </row>
    <row r="46" spans="1:28" ht="12" customHeight="1">
      <c r="A46" s="330"/>
      <c r="B46" s="148"/>
      <c r="C46" s="96"/>
      <c r="D46" s="96"/>
      <c r="E46" s="96"/>
      <c r="F46" s="105"/>
      <c r="G46" s="150"/>
      <c r="I46" s="148"/>
      <c r="J46" s="482" t="str">
        <f t="shared" si="0"/>
        <v>Leverage ratio</v>
      </c>
      <c r="K46" s="249">
        <f>'FS Year'!M118</f>
        <v>1.6423087607172921</v>
      </c>
      <c r="L46" s="249">
        <f>'FS Year'!N118</f>
        <v>1.6768438432494681</v>
      </c>
      <c r="M46" s="249">
        <f>'FS Year'!O118</f>
        <v>1.9752185692458455</v>
      </c>
      <c r="N46" s="249">
        <f>'FS Year'!Q118</f>
        <v>0</v>
      </c>
      <c r="O46" s="249">
        <f>'FS Year'!R118</f>
        <v>0</v>
      </c>
      <c r="P46" s="490"/>
      <c r="Q46" s="484"/>
      <c r="R46" s="314"/>
      <c r="S46" s="314"/>
      <c r="T46" s="314"/>
      <c r="U46" s="314"/>
      <c r="V46" s="314"/>
      <c r="W46" s="150"/>
      <c r="X46" s="151"/>
      <c r="Y46" s="138" t="s">
        <v>331</v>
      </c>
      <c r="Z46" s="138" t="s">
        <v>375</v>
      </c>
    </row>
    <row r="47" spans="1:28" ht="12" customHeight="1">
      <c r="A47" s="330"/>
      <c r="B47" s="148"/>
      <c r="G47" s="150"/>
      <c r="I47" s="148"/>
      <c r="J47" s="480" t="str">
        <f t="shared" si="0"/>
        <v>ROIC</v>
      </c>
      <c r="K47" s="252">
        <f>'FS Year'!M119</f>
        <v>0.10203718931218464</v>
      </c>
      <c r="L47" s="252">
        <f>'FS Year'!N119</f>
        <v>0.1366283553501742</v>
      </c>
      <c r="M47" s="252">
        <f>'FS Year'!P119</f>
        <v>0</v>
      </c>
      <c r="N47" s="252">
        <f>'FS Year'!Q119</f>
        <v>0</v>
      </c>
      <c r="O47" s="252">
        <f>'FS Year'!R119</f>
        <v>0</v>
      </c>
      <c r="P47" s="489"/>
      <c r="Q47" s="484"/>
      <c r="R47" s="314"/>
      <c r="S47" s="314"/>
      <c r="T47" s="314"/>
      <c r="U47" s="314"/>
      <c r="V47" s="314"/>
      <c r="W47" s="150"/>
      <c r="X47" s="151"/>
      <c r="Y47" s="138" t="s">
        <v>9</v>
      </c>
      <c r="Z47" s="138" t="s">
        <v>9</v>
      </c>
    </row>
    <row r="48" spans="1:28" ht="12" customHeight="1">
      <c r="A48" s="330"/>
      <c r="B48" s="148"/>
      <c r="G48" s="150"/>
      <c r="I48" s="148"/>
      <c r="J48" s="481" t="str">
        <f t="shared" si="0"/>
        <v>Efficiency ratios</v>
      </c>
      <c r="K48" s="477">
        <f ca="1">K37</f>
        <v>2022</v>
      </c>
      <c r="L48" s="477">
        <f ca="1">L37</f>
        <v>2023</v>
      </c>
      <c r="M48" s="477">
        <f ca="1">M37</f>
        <v>2024</v>
      </c>
      <c r="N48" s="477">
        <f ca="1">N37</f>
        <v>2025</v>
      </c>
      <c r="O48" s="477">
        <f ca="1">O37</f>
        <v>2026</v>
      </c>
      <c r="P48" s="488"/>
      <c r="Q48" s="486" t="str">
        <f t="shared" ref="Q48:Q68" si="3">IF($J$13="english",AA48,AB48)</f>
        <v>Cash flow</v>
      </c>
      <c r="R48" s="477">
        <f ca="1">R14</f>
        <v>2022</v>
      </c>
      <c r="S48" s="477">
        <f ca="1">S14</f>
        <v>2023</v>
      </c>
      <c r="T48" s="477">
        <f ca="1">T14</f>
        <v>2024</v>
      </c>
      <c r="U48" s="477">
        <f ca="1">U14</f>
        <v>2025</v>
      </c>
      <c r="V48" s="477">
        <f ca="1">V14</f>
        <v>2026</v>
      </c>
      <c r="W48" s="150"/>
      <c r="X48" s="151"/>
      <c r="Y48" s="147" t="s">
        <v>327</v>
      </c>
      <c r="Z48" s="147" t="s">
        <v>207</v>
      </c>
      <c r="AA48" s="146" t="s">
        <v>569</v>
      </c>
      <c r="AB48" s="146" t="s">
        <v>201</v>
      </c>
    </row>
    <row r="49" spans="1:28" ht="12" customHeight="1">
      <c r="A49" s="330"/>
      <c r="B49" s="148"/>
      <c r="G49" s="150"/>
      <c r="I49" s="148"/>
      <c r="J49" s="480" t="str">
        <f t="shared" si="0"/>
        <v>Days inventory on hand</v>
      </c>
      <c r="K49" s="249">
        <f>'FS Year'!M121</f>
        <v>184.82912780819672</v>
      </c>
      <c r="L49" s="249">
        <f>'FS Year'!N121</f>
        <v>750.50395818643119</v>
      </c>
      <c r="M49" s="249">
        <f>'FS Year'!O121</f>
        <v>832.28495196357051</v>
      </c>
      <c r="N49" s="249">
        <f>'FS Year'!Q121</f>
        <v>0</v>
      </c>
      <c r="O49" s="249">
        <f>'FS Year'!R121</f>
        <v>0</v>
      </c>
      <c r="P49" s="489"/>
      <c r="Q49" s="485" t="str">
        <f t="shared" si="3"/>
        <v>Beginning cash</v>
      </c>
      <c r="R49" s="357">
        <f>'FS Year'!M66</f>
        <v>107.3617996</v>
      </c>
      <c r="S49" s="357">
        <f>'FS Year'!N66</f>
        <v>136.05265410000001</v>
      </c>
      <c r="T49" s="357">
        <f>'FS Year'!O66</f>
        <v>72.886290099999997</v>
      </c>
      <c r="U49" s="357" t="e">
        <f>'FS Year'!Q66</f>
        <v>#REF!</v>
      </c>
      <c r="V49" s="357" t="e">
        <f>'FS Year'!R66</f>
        <v>#REF!</v>
      </c>
      <c r="W49" s="150"/>
      <c r="X49" s="151"/>
      <c r="Y49" s="138" t="s">
        <v>321</v>
      </c>
      <c r="Z49" s="138" t="s">
        <v>208</v>
      </c>
      <c r="AA49" s="147" t="s">
        <v>83</v>
      </c>
      <c r="AB49" s="147" t="s">
        <v>385</v>
      </c>
    </row>
    <row r="50" spans="1:28" ht="12" customHeight="1">
      <c r="A50" s="330"/>
      <c r="B50" s="148"/>
      <c r="G50" s="150"/>
      <c r="I50" s="148"/>
      <c r="J50" s="480" t="str">
        <f t="shared" si="0"/>
        <v>Days AR outstanding</v>
      </c>
      <c r="K50" s="249">
        <f>'FS Year'!M122</f>
        <v>119.22942615195862</v>
      </c>
      <c r="L50" s="249">
        <f>'FS Year'!N122</f>
        <v>136.93393433505909</v>
      </c>
      <c r="M50" s="249">
        <f>'FS Year'!O122</f>
        <v>90.296759820380942</v>
      </c>
      <c r="N50" s="249">
        <f>'FS Year'!Q122</f>
        <v>0</v>
      </c>
      <c r="O50" s="249">
        <f>'FS Year'!R122</f>
        <v>0</v>
      </c>
      <c r="P50" s="489"/>
      <c r="Q50" s="485" t="str">
        <f t="shared" si="3"/>
        <v>Net Income</v>
      </c>
      <c r="R50" s="357">
        <f>'FS Year'!M67</f>
        <v>57.859951099999996</v>
      </c>
      <c r="S50" s="357">
        <f>'FS Year'!N67</f>
        <v>82.763993600000006</v>
      </c>
      <c r="T50" s="357">
        <f>'FS Year'!O67</f>
        <v>167.83448960000001</v>
      </c>
      <c r="U50" s="357" t="e">
        <f>'FS Year'!Q67</f>
        <v>#REF!</v>
      </c>
      <c r="V50" s="357" t="e">
        <f>'FS Year'!R67</f>
        <v>#REF!</v>
      </c>
      <c r="W50" s="150"/>
      <c r="X50" s="151"/>
      <c r="Y50" s="138" t="s">
        <v>318</v>
      </c>
      <c r="Z50" s="138" t="s">
        <v>209</v>
      </c>
      <c r="AA50" s="147" t="s">
        <v>188</v>
      </c>
      <c r="AB50" s="147" t="s">
        <v>202</v>
      </c>
    </row>
    <row r="51" spans="1:28" ht="12" customHeight="1">
      <c r="A51" s="330"/>
      <c r="B51" s="148"/>
      <c r="G51" s="150"/>
      <c r="I51" s="148"/>
      <c r="J51" s="480" t="str">
        <f t="shared" si="0"/>
        <v>Days AP outstanding</v>
      </c>
      <c r="K51" s="249">
        <f>'FS Year'!M123</f>
        <v>34.706815855745738</v>
      </c>
      <c r="L51" s="249">
        <f>'FS Year'!N123</f>
        <v>76.207499250286546</v>
      </c>
      <c r="M51" s="249">
        <f>'FS Year'!O123</f>
        <v>68.159339286436506</v>
      </c>
      <c r="N51" s="249">
        <f>'FS Year'!Q123</f>
        <v>0</v>
      </c>
      <c r="O51" s="249">
        <f>'FS Year'!R123</f>
        <v>0</v>
      </c>
      <c r="P51" s="489"/>
      <c r="Q51" s="487" t="str">
        <f t="shared" si="3"/>
        <v>  + Depreciation</v>
      </c>
      <c r="R51" s="267">
        <f>'FS Year'!M68</f>
        <v>3.8956334999999997</v>
      </c>
      <c r="S51" s="267">
        <f>'FS Year'!N68</f>
        <v>3.5395210000000001</v>
      </c>
      <c r="T51" s="267">
        <f>'FS Year'!O68</f>
        <v>3.2894436999999996</v>
      </c>
      <c r="U51" s="267" t="e">
        <f>'FS Year'!Q68</f>
        <v>#REF!</v>
      </c>
      <c r="V51" s="267" t="e">
        <f>'FS Year'!R68</f>
        <v>#REF!</v>
      </c>
      <c r="W51" s="150"/>
      <c r="X51" s="151"/>
      <c r="Y51" s="138" t="s">
        <v>319</v>
      </c>
      <c r="Z51" s="138" t="s">
        <v>210</v>
      </c>
      <c r="AA51" s="138" t="s">
        <v>507</v>
      </c>
      <c r="AB51" s="138" t="s">
        <v>399</v>
      </c>
    </row>
    <row r="52" spans="1:28" ht="12" customHeight="1">
      <c r="A52" s="330"/>
      <c r="B52" s="148"/>
      <c r="G52" s="150"/>
      <c r="I52" s="148"/>
      <c r="J52" s="480" t="str">
        <f t="shared" si="0"/>
        <v>Cash conversion cycle</v>
      </c>
      <c r="K52" s="249">
        <f>'FS Year'!M124</f>
        <v>269.35173810440961</v>
      </c>
      <c r="L52" s="249">
        <f>'FS Year'!N124</f>
        <v>811.23039327120375</v>
      </c>
      <c r="M52" s="249">
        <f>'FS Year'!O124</f>
        <v>854.42237249751497</v>
      </c>
      <c r="N52" s="249">
        <f>'FS Year'!Q124</f>
        <v>0</v>
      </c>
      <c r="O52" s="249">
        <f>'FS Year'!R124</f>
        <v>0</v>
      </c>
      <c r="P52" s="489"/>
      <c r="Q52" s="487" t="str">
        <f t="shared" si="3"/>
        <v>  + Other non-cash adjust.</v>
      </c>
      <c r="R52" s="267">
        <f>'FS Year'!M69</f>
        <v>-38.1373836</v>
      </c>
      <c r="S52" s="267">
        <f>'FS Year'!N69</f>
        <v>-41.166668000000001</v>
      </c>
      <c r="T52" s="267">
        <f>'FS Year'!O69</f>
        <v>-312.16898070000002</v>
      </c>
      <c r="U52" s="267" t="e">
        <f>'FS Year'!Q69</f>
        <v>#REF!</v>
      </c>
      <c r="V52" s="267" t="e">
        <f>'FS Year'!R69</f>
        <v>#REF!</v>
      </c>
      <c r="W52" s="150"/>
      <c r="X52" s="151"/>
      <c r="Y52" s="138" t="s">
        <v>524</v>
      </c>
      <c r="Z52" s="138" t="s">
        <v>384</v>
      </c>
      <c r="AA52" s="138" t="s">
        <v>508</v>
      </c>
      <c r="AB52" s="138" t="s">
        <v>408</v>
      </c>
    </row>
    <row r="53" spans="1:28" s="145" customFormat="1" ht="12" customHeight="1">
      <c r="A53" s="331"/>
      <c r="B53" s="143"/>
      <c r="G53" s="144"/>
      <c r="I53" s="143"/>
      <c r="J53" s="480" t="str">
        <f t="shared" si="0"/>
        <v>Inventory turnover</v>
      </c>
      <c r="K53" s="249">
        <f>'FS Year'!M125</f>
        <v>1.9747969615415408</v>
      </c>
      <c r="L53" s="249">
        <f>'FS Year'!N125</f>
        <v>0.48633987338589235</v>
      </c>
      <c r="M53" s="249">
        <f>'FS Year'!O125</f>
        <v>0.43855172334772219</v>
      </c>
      <c r="N53" s="249">
        <f>'FS Year'!Q125</f>
        <v>0</v>
      </c>
      <c r="O53" s="249">
        <f>'FS Year'!R125</f>
        <v>0</v>
      </c>
      <c r="P53" s="489"/>
      <c r="Q53" s="487" t="str">
        <f t="shared" si="3"/>
        <v>  + Changes in non-cash</v>
      </c>
      <c r="R53" s="267">
        <f>'FS Year'!M70</f>
        <v>91.698899099999991</v>
      </c>
      <c r="S53" s="267">
        <f>'FS Year'!N70</f>
        <v>-126.03356479999999</v>
      </c>
      <c r="T53" s="267">
        <f>'FS Year'!O70</f>
        <v>473.60412400000001</v>
      </c>
      <c r="U53" s="267" t="e">
        <f>'FS Year'!Q70</f>
        <v>#REF!</v>
      </c>
      <c r="V53" s="267" t="e">
        <f>'FS Year'!R70</f>
        <v>#REF!</v>
      </c>
      <c r="W53" s="144"/>
      <c r="X53" s="151"/>
      <c r="Y53" s="138" t="s">
        <v>525</v>
      </c>
      <c r="Z53" s="138" t="s">
        <v>383</v>
      </c>
      <c r="AA53" s="138" t="s">
        <v>509</v>
      </c>
      <c r="AB53" s="138" t="s">
        <v>409</v>
      </c>
    </row>
    <row r="54" spans="1:28" ht="12" customHeight="1">
      <c r="A54" s="330"/>
      <c r="B54" s="148"/>
      <c r="G54" s="150"/>
      <c r="I54" s="148"/>
      <c r="J54" s="481" t="str">
        <f t="shared" si="0"/>
        <v>Liquidity/Solvency</v>
      </c>
      <c r="K54" s="477">
        <f ca="1">K14</f>
        <v>2022</v>
      </c>
      <c r="L54" s="477">
        <f ca="1">L14</f>
        <v>2023</v>
      </c>
      <c r="M54" s="477">
        <f ca="1">M14</f>
        <v>2024</v>
      </c>
      <c r="N54" s="477">
        <f ca="1">N14</f>
        <v>2025</v>
      </c>
      <c r="O54" s="477">
        <f ca="1">O14</f>
        <v>2026</v>
      </c>
      <c r="P54" s="488"/>
      <c r="Q54" s="485" t="str">
        <f t="shared" si="3"/>
        <v>Cash from Operations</v>
      </c>
      <c r="R54" s="357">
        <f>'FS Year'!M71</f>
        <v>115.3171002</v>
      </c>
      <c r="S54" s="357">
        <f>'FS Year'!N71</f>
        <v>-80.896718200000009</v>
      </c>
      <c r="T54" s="357">
        <f>'FS Year'!O71</f>
        <v>332.55907659999997</v>
      </c>
      <c r="U54" s="357" t="e">
        <f>'FS Year'!Q71</f>
        <v>#REF!</v>
      </c>
      <c r="V54" s="357" t="e">
        <f>'FS Year'!R71</f>
        <v>#REF!</v>
      </c>
      <c r="W54" s="150"/>
      <c r="X54" s="151"/>
      <c r="Y54" s="147" t="s">
        <v>526</v>
      </c>
      <c r="Z54" s="152" t="s">
        <v>604</v>
      </c>
      <c r="AA54" s="147" t="s">
        <v>510</v>
      </c>
      <c r="AB54" s="147" t="s">
        <v>603</v>
      </c>
    </row>
    <row r="55" spans="1:28" ht="12" customHeight="1">
      <c r="A55" s="330"/>
      <c r="B55" s="148"/>
      <c r="G55" s="150"/>
      <c r="I55" s="148"/>
      <c r="J55" s="480" t="str">
        <f t="shared" si="0"/>
        <v>Current ratio</v>
      </c>
      <c r="K55" s="475">
        <f>'FS Year'!M127</f>
        <v>2.4923950533889929</v>
      </c>
      <c r="L55" s="475">
        <f>'FS Year'!N127</f>
        <v>1.7582568320836691</v>
      </c>
      <c r="M55" s="475">
        <f>'FS Year'!O127</f>
        <v>1.7391080396284955</v>
      </c>
      <c r="N55" s="475">
        <f>'FS Year'!Q127</f>
        <v>0</v>
      </c>
      <c r="O55" s="475">
        <f>'FS Year'!R127</f>
        <v>0</v>
      </c>
      <c r="P55" s="489"/>
      <c r="Q55" s="487" t="str">
        <f t="shared" si="3"/>
        <v>  + Disposal fixed assets</v>
      </c>
      <c r="R55" s="267">
        <f>'FS Year'!M72</f>
        <v>1.7545500000000002E-2</v>
      </c>
      <c r="S55" s="267">
        <f>'FS Year'!N72</f>
        <v>0.66897280000000003</v>
      </c>
      <c r="T55" s="267">
        <f>'FS Year'!O72</f>
        <v>1.5</v>
      </c>
      <c r="U55" s="267" t="e">
        <f>'FS Year'!Q72</f>
        <v>#REF!</v>
      </c>
      <c r="V55" s="267" t="e">
        <f>'FS Year'!R72</f>
        <v>#REF!</v>
      </c>
      <c r="W55" s="150"/>
      <c r="X55" s="151"/>
      <c r="Y55" s="138" t="s">
        <v>337</v>
      </c>
      <c r="Z55" s="138" t="s">
        <v>203</v>
      </c>
      <c r="AA55" s="138" t="s">
        <v>597</v>
      </c>
      <c r="AB55" s="138" t="s">
        <v>410</v>
      </c>
    </row>
    <row r="56" spans="1:28" ht="12" customHeight="1">
      <c r="A56" s="330"/>
      <c r="B56" s="148"/>
      <c r="G56" s="150"/>
      <c r="I56" s="148"/>
      <c r="J56" s="480" t="str">
        <f t="shared" si="0"/>
        <v>Quick ratio</v>
      </c>
      <c r="K56" s="475">
        <f>'FS Year'!M128</f>
        <v>1.9377582880728166</v>
      </c>
      <c r="L56" s="475">
        <f>'FS Year'!N128</f>
        <v>0.94356229347796294</v>
      </c>
      <c r="M56" s="475">
        <f>'FS Year'!O128</f>
        <v>1.2219821127187231</v>
      </c>
      <c r="N56" s="475">
        <f>'FS Year'!Q128</f>
        <v>0</v>
      </c>
      <c r="O56" s="475">
        <f>'FS Year'!R128</f>
        <v>0</v>
      </c>
      <c r="P56" s="489"/>
      <c r="Q56" s="487" t="str">
        <f t="shared" si="3"/>
        <v>  + Capex</v>
      </c>
      <c r="R56" s="267">
        <f>'FS Year'!M73</f>
        <v>-2.7833427999999998</v>
      </c>
      <c r="S56" s="267">
        <f>'FS Year'!N73</f>
        <v>-2.4838598000000003</v>
      </c>
      <c r="T56" s="267">
        <f>'FS Year'!O73</f>
        <v>-3.0833069000000002</v>
      </c>
      <c r="U56" s="267" t="e">
        <f>'FS Year'!Q73</f>
        <v>#REF!</v>
      </c>
      <c r="V56" s="267" t="e">
        <f>'FS Year'!R73</f>
        <v>#REF!</v>
      </c>
      <c r="W56" s="150"/>
      <c r="X56" s="151"/>
      <c r="Y56" s="138" t="s">
        <v>336</v>
      </c>
      <c r="Z56" s="138" t="s">
        <v>204</v>
      </c>
      <c r="AA56" s="145" t="s">
        <v>511</v>
      </c>
      <c r="AB56" s="138" t="s">
        <v>411</v>
      </c>
    </row>
    <row r="57" spans="1:28" ht="12" customHeight="1">
      <c r="A57" s="330"/>
      <c r="B57" s="148"/>
      <c r="G57" s="150"/>
      <c r="I57" s="148"/>
      <c r="J57" s="480" t="str">
        <f t="shared" si="0"/>
        <v>Cash ratio</v>
      </c>
      <c r="K57" s="475">
        <f>'FS Year'!M129</f>
        <v>0.58402064683436372</v>
      </c>
      <c r="L57" s="475">
        <f>'FS Year'!N129</f>
        <v>0.13720381240179891</v>
      </c>
      <c r="M57" s="475">
        <f>'FS Year'!O129</f>
        <v>0.80419372400902256</v>
      </c>
      <c r="N57" s="475">
        <f>'FS Year'!Q129</f>
        <v>0</v>
      </c>
      <c r="O57" s="475">
        <f>'FS Year'!R129</f>
        <v>0</v>
      </c>
      <c r="P57" s="489"/>
      <c r="Q57" s="487" t="str">
        <f t="shared" si="3"/>
        <v>  + Change in investments</v>
      </c>
      <c r="R57" s="267">
        <f>'FS Year'!M74</f>
        <v>0</v>
      </c>
      <c r="S57" s="267">
        <f>'FS Year'!N74</f>
        <v>0</v>
      </c>
      <c r="T57" s="267">
        <f>'FS Year'!O74</f>
        <v>0</v>
      </c>
      <c r="U57" s="267">
        <f>'FS Year'!Q74</f>
        <v>0</v>
      </c>
      <c r="V57" s="267">
        <f>'FS Year'!R74</f>
        <v>0</v>
      </c>
      <c r="W57" s="150"/>
      <c r="X57" s="151"/>
      <c r="Y57" s="138" t="s">
        <v>120</v>
      </c>
      <c r="Z57" s="138" t="s">
        <v>368</v>
      </c>
      <c r="AA57" s="138" t="s">
        <v>317</v>
      </c>
      <c r="AB57" s="138" t="s">
        <v>412</v>
      </c>
    </row>
    <row r="58" spans="1:28" ht="12" customHeight="1">
      <c r="A58" s="330"/>
      <c r="B58" s="148"/>
      <c r="G58" s="150"/>
      <c r="I58" s="148"/>
      <c r="J58" s="480" t="str">
        <f t="shared" si="0"/>
        <v>Debt-to-assets (*)</v>
      </c>
      <c r="K58" s="476">
        <f>'FS Year'!M131</f>
        <v>6.9294934386153852E-4</v>
      </c>
      <c r="L58" s="476">
        <f>'FS Year'!N131</f>
        <v>5.4970171689747729E-2</v>
      </c>
      <c r="M58" s="476">
        <f>'FS Year'!O131</f>
        <v>5.5594554810128642E-2</v>
      </c>
      <c r="N58" s="476">
        <f>'FS Year'!Q131</f>
        <v>0</v>
      </c>
      <c r="O58" s="476">
        <f>'FS Year'!R131</f>
        <v>0</v>
      </c>
      <c r="P58" s="489"/>
      <c r="Q58" s="487" t="str">
        <f t="shared" si="3"/>
        <v>  + Other investments</v>
      </c>
      <c r="R58" s="267">
        <f>'FS Year'!M76</f>
        <v>-43.103909000000002</v>
      </c>
      <c r="S58" s="267">
        <f>'FS Year'!N76</f>
        <v>-165.64607219999999</v>
      </c>
      <c r="T58" s="267">
        <f>'FS Year'!O76</f>
        <v>102.1981554</v>
      </c>
      <c r="U58" s="267" t="e">
        <f>'FS Year'!Q76</f>
        <v>#REF!</v>
      </c>
      <c r="V58" s="267" t="e">
        <f>'FS Year'!R76</f>
        <v>#REF!</v>
      </c>
      <c r="W58" s="150"/>
      <c r="X58" s="151"/>
      <c r="Y58" s="138" t="s">
        <v>533</v>
      </c>
      <c r="Z58" s="138" t="s">
        <v>370</v>
      </c>
      <c r="AA58" s="138" t="s">
        <v>594</v>
      </c>
      <c r="AB58" s="138" t="s">
        <v>413</v>
      </c>
    </row>
    <row r="59" spans="1:28" ht="12" customHeight="1">
      <c r="A59" s="330"/>
      <c r="B59" s="148"/>
      <c r="G59" s="150"/>
      <c r="I59" s="148"/>
      <c r="J59" s="480" t="str">
        <f t="shared" ref="J59:J68" si="4">IF($J$13="english",Y59,Z59)</f>
        <v>Debt-to-capital (*)</v>
      </c>
      <c r="K59" s="476">
        <f>'FS Year'!M132</f>
        <v>9.751794212495119E-4</v>
      </c>
      <c r="L59" s="476">
        <f>'FS Year'!N132</f>
        <v>9.5065134724425321E-2</v>
      </c>
      <c r="M59" s="476">
        <f>'FS Year'!O132</f>
        <v>0.10073445942807753</v>
      </c>
      <c r="N59" s="476">
        <f>'FS Year'!Q132</f>
        <v>0</v>
      </c>
      <c r="O59" s="476">
        <f>'FS Year'!R132</f>
        <v>0</v>
      </c>
      <c r="P59" s="489"/>
      <c r="Q59" s="485" t="str">
        <f t="shared" si="3"/>
        <v>Cash  from Investing</v>
      </c>
      <c r="R59" s="357">
        <f>'FS Year'!M77</f>
        <v>-45.869706299999997</v>
      </c>
      <c r="S59" s="357">
        <f>'FS Year'!N77</f>
        <v>-167.46095920000002</v>
      </c>
      <c r="T59" s="357">
        <f>'FS Year'!O77</f>
        <v>100.61484849999999</v>
      </c>
      <c r="U59" s="357" t="e">
        <f>'FS Year'!Q77</f>
        <v>#REF!</v>
      </c>
      <c r="V59" s="357" t="e">
        <f>'FS Year'!R77</f>
        <v>#REF!</v>
      </c>
      <c r="W59" s="150"/>
      <c r="X59" s="151"/>
      <c r="Y59" s="153" t="s">
        <v>532</v>
      </c>
      <c r="Z59" s="138" t="s">
        <v>371</v>
      </c>
      <c r="AA59" s="147" t="s">
        <v>512</v>
      </c>
      <c r="AB59" s="147" t="s">
        <v>211</v>
      </c>
    </row>
    <row r="60" spans="1:28" ht="12" customHeight="1">
      <c r="A60" s="330"/>
      <c r="B60" s="148"/>
      <c r="G60" s="150"/>
      <c r="I60" s="148"/>
      <c r="J60" s="480" t="str">
        <f t="shared" si="4"/>
        <v>Debt-to-equity (*)</v>
      </c>
      <c r="K60" s="476">
        <f>'FS Year'!M133</f>
        <v>9.7613132442953248E-4</v>
      </c>
      <c r="L60" s="476">
        <f>'FS Year'!N133</f>
        <v>0.10505190856523766</v>
      </c>
      <c r="M60" s="476">
        <f>'FS Year'!O133</f>
        <v>0.11201859170986533</v>
      </c>
      <c r="N60" s="476">
        <f>'FS Year'!Q133</f>
        <v>0</v>
      </c>
      <c r="O60" s="476">
        <f>'FS Year'!R133</f>
        <v>0</v>
      </c>
      <c r="P60" s="489"/>
      <c r="Q60" s="487" t="str">
        <f t="shared" si="3"/>
        <v>  + Dividends paid</v>
      </c>
      <c r="R60" s="267">
        <f>'FS Year'!M78</f>
        <v>-5.2611493999999999</v>
      </c>
      <c r="S60" s="267">
        <f>'FS Year'!N78</f>
        <v>-2.0874000000000001</v>
      </c>
      <c r="T60" s="267">
        <f>'FS Year'!O78</f>
        <v>-15.779832000000001</v>
      </c>
      <c r="U60" s="267" t="e">
        <f>'FS Year'!Q78</f>
        <v>#REF!</v>
      </c>
      <c r="V60" s="267" t="e">
        <f>'FS Year'!R78</f>
        <v>#REF!</v>
      </c>
      <c r="W60" s="150"/>
      <c r="X60" s="151"/>
      <c r="Y60" s="138" t="s">
        <v>531</v>
      </c>
      <c r="Z60" s="138" t="s">
        <v>372</v>
      </c>
      <c r="AA60" s="138" t="s">
        <v>313</v>
      </c>
      <c r="AB60" s="138" t="s">
        <v>414</v>
      </c>
    </row>
    <row r="61" spans="1:28" ht="12" customHeight="1">
      <c r="A61" s="330"/>
      <c r="B61" s="148"/>
      <c r="G61" s="150"/>
      <c r="I61" s="148"/>
      <c r="J61" s="480" t="str">
        <f t="shared" si="4"/>
        <v>Short-term debt to equity</v>
      </c>
      <c r="K61" s="476">
        <f>'FS Year'!M134</f>
        <v>5.5116516674507266E-4</v>
      </c>
      <c r="L61" s="476">
        <f>'FS Year'!N134</f>
        <v>0</v>
      </c>
      <c r="M61" s="476">
        <f>'FS Year'!O134</f>
        <v>4.6286592562884529E-4</v>
      </c>
      <c r="N61" s="476">
        <f>'FS Year'!Q134</f>
        <v>0</v>
      </c>
      <c r="O61" s="476">
        <f>'FS Year'!R134</f>
        <v>0</v>
      </c>
      <c r="P61" s="489"/>
      <c r="Q61" s="487" t="str">
        <f t="shared" si="3"/>
        <v>  + Change in capital</v>
      </c>
      <c r="R61" s="267">
        <f>'FS Year'!M79</f>
        <v>101.392</v>
      </c>
      <c r="S61" s="267">
        <f>'FS Year'!N79</f>
        <v>113.54204799999999</v>
      </c>
      <c r="T61" s="267">
        <f>'FS Year'!O79</f>
        <v>235.66319000000001</v>
      </c>
      <c r="U61" s="267">
        <f>'FS Year'!Q79</f>
        <v>0</v>
      </c>
      <c r="V61" s="267">
        <f>'FS Year'!R79</f>
        <v>0</v>
      </c>
      <c r="W61" s="150"/>
      <c r="X61" s="151"/>
      <c r="Y61" s="138" t="s">
        <v>527</v>
      </c>
      <c r="Z61" s="138" t="s">
        <v>373</v>
      </c>
      <c r="AA61" s="138" t="s">
        <v>595</v>
      </c>
      <c r="AB61" s="138" t="s">
        <v>415</v>
      </c>
    </row>
    <row r="62" spans="1:28" ht="12" customHeight="1">
      <c r="A62" s="330"/>
      <c r="B62" s="148"/>
      <c r="G62" s="150"/>
      <c r="I62" s="148"/>
      <c r="J62" s="480" t="str">
        <f t="shared" si="4"/>
        <v>Long-term debt to equity</v>
      </c>
      <c r="K62" s="476">
        <f>'FS Year'!M135</f>
        <v>1.417841771164658E-4</v>
      </c>
      <c r="L62" s="476">
        <f>'FS Year'!N135</f>
        <v>5.4970171689747729E-2</v>
      </c>
      <c r="M62" s="476">
        <f>'FS Year'!O135</f>
        <v>5.5131688884499798E-2</v>
      </c>
      <c r="N62" s="476">
        <f>'FS Year'!Q135</f>
        <v>0</v>
      </c>
      <c r="O62" s="476">
        <f>'FS Year'!R135</f>
        <v>0</v>
      </c>
      <c r="P62" s="489"/>
      <c r="Q62" s="487" t="str">
        <f t="shared" si="3"/>
        <v>  + Change in ST debt</v>
      </c>
      <c r="R62" s="267">
        <f>'FS Year'!M82</f>
        <v>-108.39999999999999</v>
      </c>
      <c r="S62" s="267">
        <f>'FS Year'!N82</f>
        <v>-0.45</v>
      </c>
      <c r="T62" s="267">
        <f>'FS Year'!O82</f>
        <v>1</v>
      </c>
      <c r="U62" s="267" t="e">
        <f>'FS Year'!Q82</f>
        <v>#REF!</v>
      </c>
      <c r="V62" s="267" t="e">
        <f>'FS Year'!R82</f>
        <v>#REF!</v>
      </c>
      <c r="W62" s="150"/>
      <c r="X62" s="151"/>
      <c r="Y62" s="138" t="s">
        <v>528</v>
      </c>
      <c r="Z62" s="138" t="s">
        <v>374</v>
      </c>
      <c r="AA62" s="138" t="s">
        <v>513</v>
      </c>
      <c r="AB62" s="138" t="s">
        <v>416</v>
      </c>
    </row>
    <row r="63" spans="1:28" ht="12" customHeight="1">
      <c r="A63" s="330"/>
      <c r="B63" s="148"/>
      <c r="C63" s="14" t="s">
        <v>468</v>
      </c>
      <c r="D63" s="96"/>
      <c r="G63" s="150"/>
      <c r="I63" s="148"/>
      <c r="J63" s="480" t="str">
        <f t="shared" si="4"/>
        <v>Interest coverage ratio</v>
      </c>
      <c r="K63" s="475">
        <f>'FS Year'!M136</f>
        <v>12.957126804310048</v>
      </c>
      <c r="L63" s="475">
        <f>'FS Year'!N136</f>
        <v>352.44647564820946</v>
      </c>
      <c r="M63" s="475">
        <f>First_page!C73</f>
        <v>2083.3038479001139</v>
      </c>
      <c r="N63" s="475">
        <f>First_page!D73</f>
        <v>43.333333333333336</v>
      </c>
      <c r="O63" s="475">
        <f>'FS Year'!R136</f>
        <v>26.112326686415368</v>
      </c>
      <c r="P63" s="489"/>
      <c r="Q63" s="487" t="str">
        <f t="shared" si="3"/>
        <v xml:space="preserve">  + Change in LT debt</v>
      </c>
      <c r="R63" s="267">
        <f>'FS Year'!M83</f>
        <v>-11.999056000000001</v>
      </c>
      <c r="S63" s="267">
        <f>'FS Year'!N83</f>
        <v>69.598240000000004</v>
      </c>
      <c r="T63" s="267">
        <f>'FS Year'!O83</f>
        <v>49.39541340000001</v>
      </c>
      <c r="U63" s="267">
        <f>'FS Year'!Q83</f>
        <v>0</v>
      </c>
      <c r="V63" s="267">
        <f>'FS Year'!R83</f>
        <v>0</v>
      </c>
      <c r="W63" s="150"/>
      <c r="Y63" s="138" t="s">
        <v>127</v>
      </c>
      <c r="Z63" s="149" t="s">
        <v>606</v>
      </c>
      <c r="AA63" s="138" t="s">
        <v>514</v>
      </c>
      <c r="AB63" s="138" t="s">
        <v>417</v>
      </c>
    </row>
    <row r="64" spans="1:28" ht="12" customHeight="1">
      <c r="A64" s="330"/>
      <c r="B64" s="148"/>
      <c r="C64" s="358">
        <v>0.2</v>
      </c>
      <c r="D64" s="96" t="s">
        <v>257</v>
      </c>
      <c r="G64" s="150"/>
      <c r="I64" s="148"/>
      <c r="J64" s="481" t="str">
        <f t="shared" si="4"/>
        <v>Valuation ratios</v>
      </c>
      <c r="K64" s="477">
        <f ca="1">K48</f>
        <v>2022</v>
      </c>
      <c r="L64" s="477">
        <f ca="1">L48</f>
        <v>2023</v>
      </c>
      <c r="M64" s="477">
        <f ca="1">M48</f>
        <v>2024</v>
      </c>
      <c r="N64" s="477">
        <f ca="1">N48</f>
        <v>2025</v>
      </c>
      <c r="O64" s="477">
        <f ca="1">O48</f>
        <v>2026</v>
      </c>
      <c r="P64" s="488"/>
      <c r="Q64" s="487" t="str">
        <f t="shared" si="3"/>
        <v>  + Other financing act.</v>
      </c>
      <c r="R64" s="267">
        <f>'FS Year'!M84</f>
        <v>0</v>
      </c>
      <c r="S64" s="267">
        <f>'FS Year'!N84</f>
        <v>0</v>
      </c>
      <c r="T64" s="267">
        <f>'FS Year'!O84</f>
        <v>0</v>
      </c>
      <c r="U64" s="267" t="e">
        <f>'FS Year'!Q84</f>
        <v>#REF!</v>
      </c>
      <c r="V64" s="267" t="e">
        <f>'FS Year'!R84</f>
        <v>#REF!</v>
      </c>
      <c r="W64" s="150"/>
      <c r="Y64" s="147" t="s">
        <v>339</v>
      </c>
      <c r="Z64" s="146" t="s">
        <v>212</v>
      </c>
      <c r="AA64" s="138" t="s">
        <v>596</v>
      </c>
      <c r="AB64" s="138" t="s">
        <v>607</v>
      </c>
    </row>
    <row r="65" spans="1:28" ht="12" customHeight="1">
      <c r="A65" s="330"/>
      <c r="B65" s="148"/>
      <c r="C65" s="358">
        <v>0.1</v>
      </c>
      <c r="D65" s="96" t="s">
        <v>258</v>
      </c>
      <c r="G65" s="150"/>
      <c r="I65" s="148"/>
      <c r="J65" s="480" t="str">
        <f t="shared" si="4"/>
        <v>Price-to-earnings (P/E)</v>
      </c>
      <c r="K65" s="249">
        <f>price/K30</f>
        <v>12.54969948885819</v>
      </c>
      <c r="L65" s="249">
        <f>price/L30</f>
        <v>11.239451245335326</v>
      </c>
      <c r="M65" s="249">
        <f>price/M30</f>
        <v>7.4718514222031516</v>
      </c>
      <c r="N65" s="249" t="e">
        <f>price/N30</f>
        <v>#REF!</v>
      </c>
      <c r="O65" s="249" t="e">
        <f>price/O30</f>
        <v>#REF!</v>
      </c>
      <c r="P65" s="489"/>
      <c r="Q65" s="485" t="str">
        <f t="shared" si="3"/>
        <v>Cash from Financing</v>
      </c>
      <c r="R65" s="357">
        <f>'FS Year'!M85</f>
        <v>-40.756539400000001</v>
      </c>
      <c r="S65" s="357">
        <f>'FS Year'!N85</f>
        <v>185.19131349999998</v>
      </c>
      <c r="T65" s="357">
        <f>'FS Year'!O85</f>
        <v>270.27877140000004</v>
      </c>
      <c r="U65" s="357" t="e">
        <f>'FS Year'!Q85</f>
        <v>#REF!</v>
      </c>
      <c r="V65" s="357" t="e">
        <f>'FS Year'!R85</f>
        <v>#REF!</v>
      </c>
      <c r="W65" s="150"/>
      <c r="Y65" s="138" t="s">
        <v>340</v>
      </c>
      <c r="Z65" s="149" t="s">
        <v>5</v>
      </c>
      <c r="AA65" s="147" t="s">
        <v>515</v>
      </c>
      <c r="AB65" s="147" t="s">
        <v>602</v>
      </c>
    </row>
    <row r="66" spans="1:28" ht="12" customHeight="1">
      <c r="A66" s="330"/>
      <c r="B66" s="148"/>
      <c r="C66" s="358">
        <v>-0.1</v>
      </c>
      <c r="D66" s="96" t="s">
        <v>259</v>
      </c>
      <c r="G66" s="150"/>
      <c r="I66" s="148"/>
      <c r="J66" s="480" t="str">
        <f t="shared" si="4"/>
        <v>Price-to-book value (P/B)</v>
      </c>
      <c r="K66" s="249">
        <f>price/K68</f>
        <v>1.4831680016646402</v>
      </c>
      <c r="L66" s="249">
        <f>price/L68</f>
        <v>1.6366229665395766</v>
      </c>
      <c r="M66" s="249">
        <f>price/M68</f>
        <v>1.1742589114215347</v>
      </c>
      <c r="N66" s="249" t="e">
        <f>price/N68</f>
        <v>#DIV/0!</v>
      </c>
      <c r="O66" s="249" t="e">
        <f>price/O68</f>
        <v>#DIV/0!</v>
      </c>
      <c r="P66" s="489"/>
      <c r="Q66" s="487" t="str">
        <f t="shared" si="3"/>
        <v xml:space="preserve">     Net changes in cash</v>
      </c>
      <c r="R66" s="267">
        <f>'FS Year'!M86</f>
        <v>28.6908545</v>
      </c>
      <c r="S66" s="267">
        <f>'FS Year'!N86</f>
        <v>-63.166364000000002</v>
      </c>
      <c r="T66" s="267">
        <f>'FS Year'!O86</f>
        <v>703.4526965</v>
      </c>
      <c r="U66" s="267" t="e">
        <f>'FS Year'!Q86</f>
        <v>#REF!</v>
      </c>
      <c r="V66" s="267" t="e">
        <f>'FS Year'!R86</f>
        <v>#REF!</v>
      </c>
      <c r="W66" s="150"/>
      <c r="Y66" s="138" t="s">
        <v>341</v>
      </c>
      <c r="Z66" s="149" t="s">
        <v>6</v>
      </c>
      <c r="AA66" s="138" t="s">
        <v>529</v>
      </c>
      <c r="AB66" s="138" t="s">
        <v>213</v>
      </c>
    </row>
    <row r="67" spans="1:28" ht="12" customHeight="1">
      <c r="A67" s="330"/>
      <c r="B67" s="148"/>
      <c r="C67" s="358">
        <v>-0.2</v>
      </c>
      <c r="D67" s="96" t="s">
        <v>260</v>
      </c>
      <c r="G67" s="150"/>
      <c r="I67" s="148"/>
      <c r="J67" s="480" t="str">
        <f t="shared" si="4"/>
        <v>EV / EBITDA</v>
      </c>
      <c r="K67" s="249">
        <f>'FS Year'!M140</f>
        <v>6.2709966225109204</v>
      </c>
      <c r="L67" s="249">
        <f>'FS Year'!N140</f>
        <v>7.0461371045277215</v>
      </c>
      <c r="M67" s="249">
        <f>'FS Year'!O140</f>
        <v>2.25394232078163</v>
      </c>
      <c r="N67" s="249">
        <f>'FS Year'!Q140</f>
        <v>0</v>
      </c>
      <c r="O67" s="249">
        <f>'FS Year'!R140</f>
        <v>0</v>
      </c>
      <c r="P67" s="489"/>
      <c r="Q67" s="485" t="str">
        <f t="shared" si="3"/>
        <v>Ending cash</v>
      </c>
      <c r="R67" s="357">
        <f>'FS Year'!M87</f>
        <v>136.05265409999998</v>
      </c>
      <c r="S67" s="357">
        <f>'FS Year'!N87</f>
        <v>72.886290100000011</v>
      </c>
      <c r="T67" s="357">
        <f>'FS Year'!O87</f>
        <v>776.3389866</v>
      </c>
      <c r="U67" s="357" t="e">
        <f>'FS Year'!Q87</f>
        <v>#REF!</v>
      </c>
      <c r="V67" s="357" t="e">
        <f>'FS Year'!R87</f>
        <v>#REF!</v>
      </c>
      <c r="W67" s="150"/>
      <c r="Y67" s="138" t="s">
        <v>116</v>
      </c>
      <c r="Z67" s="138" t="s">
        <v>116</v>
      </c>
      <c r="AA67" s="147" t="s">
        <v>102</v>
      </c>
      <c r="AB67" s="154" t="s">
        <v>386</v>
      </c>
    </row>
    <row r="68" spans="1:28" ht="12" customHeight="1">
      <c r="A68" s="330"/>
      <c r="B68" s="148"/>
      <c r="G68" s="150"/>
      <c r="I68" s="148"/>
      <c r="J68" s="492" t="str">
        <f t="shared" si="4"/>
        <v>Book value per share</v>
      </c>
      <c r="K68" s="362">
        <f>'FS Year'!M142</f>
        <v>10585.449512380954</v>
      </c>
      <c r="L68" s="362">
        <f>'FS Year'!N142</f>
        <v>9592.9241621212113</v>
      </c>
      <c r="M68" s="362">
        <f>'FS Year'!O142</f>
        <v>13370.134854666667</v>
      </c>
      <c r="N68" s="362">
        <f>'FS Year'!Q142</f>
        <v>0</v>
      </c>
      <c r="O68" s="362">
        <f>'FS Year'!R142</f>
        <v>0</v>
      </c>
      <c r="P68" s="260"/>
      <c r="Q68" s="493" t="str">
        <f t="shared" si="3"/>
        <v>Units in VND bn</v>
      </c>
      <c r="R68" s="241"/>
      <c r="S68" s="241"/>
      <c r="T68" s="241"/>
      <c r="U68" s="241"/>
      <c r="W68" s="150"/>
      <c r="Y68" s="138" t="s">
        <v>115</v>
      </c>
      <c r="AA68" s="147" t="s">
        <v>599</v>
      </c>
      <c r="AB68" s="491"/>
    </row>
    <row r="69" spans="1:28" ht="12" customHeight="1">
      <c r="A69" s="330"/>
      <c r="B69" s="148"/>
      <c r="G69" s="150"/>
      <c r="I69" s="148"/>
      <c r="P69" s="101"/>
      <c r="Q69" s="155"/>
      <c r="W69" s="150"/>
    </row>
    <row r="70" spans="1:28" ht="12" customHeight="1" thickBot="1">
      <c r="A70" s="330"/>
      <c r="B70" s="156"/>
      <c r="C70" s="157"/>
      <c r="D70" s="157"/>
      <c r="E70" s="157"/>
      <c r="F70" s="157"/>
      <c r="G70" s="158"/>
      <c r="I70" s="156"/>
      <c r="J70" s="237"/>
      <c r="K70" s="157"/>
      <c r="L70" s="157"/>
      <c r="M70" s="157"/>
      <c r="N70" s="157"/>
      <c r="O70" s="157"/>
      <c r="P70" s="238"/>
      <c r="Q70" s="240"/>
      <c r="R70" s="157"/>
      <c r="S70" s="157"/>
      <c r="T70" s="157"/>
      <c r="U70" s="157"/>
      <c r="V70" s="157"/>
      <c r="W70" s="158"/>
      <c r="Z70" s="149"/>
    </row>
    <row r="71" spans="1:28" ht="12" customHeight="1">
      <c r="J71" s="149"/>
      <c r="K71" s="29"/>
      <c r="L71" s="29"/>
      <c r="M71" s="29"/>
      <c r="N71" s="29"/>
      <c r="O71" s="29"/>
      <c r="Y71" s="149"/>
      <c r="Z71" s="149"/>
    </row>
    <row r="72" spans="1:28" ht="12" customHeight="1">
      <c r="K72" s="236"/>
    </row>
    <row r="91" spans="10:16" ht="12" customHeight="1">
      <c r="J91" s="147"/>
      <c r="K91" s="159"/>
      <c r="L91" s="159"/>
      <c r="M91" s="159"/>
      <c r="N91" s="159"/>
      <c r="O91" s="159"/>
      <c r="P91" s="159"/>
    </row>
  </sheetData>
  <sheetProtection selectLockedCells="1"/>
  <conditionalFormatting sqref="C8">
    <cfRule type="cellIs" dxfId="12" priority="1" operator="equal">
      <formula>0</formula>
    </cfRule>
  </conditionalFormatting>
  <dataValidations disablePrompts="1" count="4">
    <dataValidation allowBlank="1" showInputMessage="1" showErrorMessage="1" sqref="C8" xr:uid="{00000000-0002-0000-0500-000000000000}"/>
    <dataValidation type="list" allowBlank="1" showInputMessage="1" showErrorMessage="1" sqref="F8" xr:uid="{00000000-0002-0000-0500-000001000000}">
      <formula1>"English, Vietnamese"</formula1>
    </dataValidation>
    <dataValidation type="list" allowBlank="1" showInputMessage="1" showErrorMessage="1" sqref="F9" xr:uid="{00000000-0002-0000-0500-000002000000}">
      <formula1>"VND Million, VND Billion"</formula1>
    </dataValidation>
    <dataValidation type="list" allowBlank="1" showInputMessage="1" showErrorMessage="1" sqref="C9" xr:uid="{00000000-0002-0000-0500-000003000000}">
      <formula1>"Ho Chi Minh, Hanoi"</formula1>
    </dataValidation>
  </dataValidations>
  <pageMargins left="0.7" right="0.63" top="0.75" bottom="0.75" header="0.3" footer="0.3"/>
  <pageSetup scale="4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tabColor rgb="FF002060"/>
  </sheetPr>
  <dimension ref="B7:X270"/>
  <sheetViews>
    <sheetView showGridLines="0" zoomScale="130" zoomScaleNormal="130" workbookViewId="0">
      <pane xSplit="2" ySplit="9" topLeftCell="I31" activePane="bottomRight" state="frozen"/>
      <selection activeCell="C25" sqref="C25"/>
      <selection pane="topRight" activeCell="C25" sqref="C25"/>
      <selection pane="bottomLeft" activeCell="C25" sqref="C25"/>
      <selection pane="bottomRight" activeCell="Q32" sqref="Q32"/>
    </sheetView>
  </sheetViews>
  <sheetFormatPr defaultColWidth="9.140625" defaultRowHeight="12.75" customHeight="1"/>
  <cols>
    <col min="1" max="1" width="3.7109375" style="5" customWidth="1"/>
    <col min="2" max="2" width="35.7109375" style="5" customWidth="1"/>
    <col min="3" max="3" width="9.7109375" style="5" customWidth="1"/>
    <col min="4" max="13" width="9.7109375" style="1" customWidth="1"/>
    <col min="14" max="14" width="10.42578125" style="1" bestFit="1" customWidth="1"/>
    <col min="15" max="24" width="9.140625" style="1"/>
    <col min="25" max="16384" width="9.140625" style="5"/>
  </cols>
  <sheetData>
    <row r="7" spans="2:24" ht="12.75" customHeight="1">
      <c r="B7" s="38" t="str">
        <f>ticker</f>
        <v>DXG VN EQUITY</v>
      </c>
      <c r="C7" s="8"/>
      <c r="D7" s="2"/>
      <c r="E7" s="2"/>
      <c r="F7" s="2"/>
      <c r="G7" s="2"/>
      <c r="H7" s="100"/>
      <c r="I7" s="2"/>
      <c r="J7" s="2"/>
      <c r="K7" s="2"/>
      <c r="L7" s="129"/>
      <c r="M7" s="2"/>
      <c r="N7" s="2"/>
    </row>
    <row r="8" spans="2:24" ht="12.75" customHeight="1">
      <c r="B8" s="26">
        <v>1000</v>
      </c>
      <c r="D8" s="303"/>
      <c r="E8" s="303"/>
      <c r="F8" s="303"/>
      <c r="G8" s="303"/>
      <c r="H8" s="303"/>
      <c r="I8" s="303"/>
      <c r="J8" s="303"/>
      <c r="K8" s="303"/>
      <c r="L8" s="303"/>
      <c r="M8" s="303"/>
      <c r="N8" s="303"/>
    </row>
    <row r="9" spans="2:24" ht="12.75" customHeight="1">
      <c r="B9" s="19" t="s">
        <v>25</v>
      </c>
      <c r="C9" s="20"/>
      <c r="D9" s="425">
        <f>Bloomberg!C67</f>
        <v>40998</v>
      </c>
      <c r="E9" s="425">
        <f>Bloomberg!D67</f>
        <v>41089</v>
      </c>
      <c r="F9" s="425">
        <f>Bloomberg!E67</f>
        <v>41180</v>
      </c>
      <c r="G9" s="425">
        <f>Bloomberg!F67</f>
        <v>41274</v>
      </c>
      <c r="H9" s="425">
        <f>Bloomberg!G67</f>
        <v>41362</v>
      </c>
      <c r="I9" s="425">
        <f>Bloomberg!H67</f>
        <v>41453</v>
      </c>
      <c r="J9" s="425">
        <f>Bloomberg!I67</f>
        <v>41547</v>
      </c>
      <c r="K9" s="425">
        <f>Bloomberg!J67</f>
        <v>41639</v>
      </c>
      <c r="L9" s="425">
        <f>Bloomberg!K67</f>
        <v>41729</v>
      </c>
      <c r="M9" s="425">
        <f>Bloomberg!L67</f>
        <v>41820</v>
      </c>
      <c r="N9" s="425">
        <f>Bloomberg!M67</f>
        <v>41912</v>
      </c>
      <c r="O9" s="425">
        <f>Bloomberg!N67</f>
        <v>42004</v>
      </c>
      <c r="P9" s="425">
        <f>Bloomberg!O67</f>
        <v>42094</v>
      </c>
      <c r="Q9" s="425">
        <v>42185</v>
      </c>
      <c r="R9" s="425"/>
      <c r="S9" s="425"/>
      <c r="T9" s="425"/>
      <c r="U9" s="425"/>
      <c r="V9" s="425"/>
      <c r="W9" s="425"/>
      <c r="X9" s="425"/>
    </row>
    <row r="10" spans="2:24" ht="12.75" customHeight="1">
      <c r="B10" s="18" t="s">
        <v>26</v>
      </c>
      <c r="C10" s="18"/>
      <c r="D10" s="287">
        <f>Bloomberg!C68/unit</f>
        <v>34.725550499999997</v>
      </c>
      <c r="E10" s="287">
        <f>Bloomberg!D68/unit</f>
        <v>94.877759000000012</v>
      </c>
      <c r="F10" s="287">
        <f>Bloomberg!E68/unit</f>
        <v>152.94241600000001</v>
      </c>
      <c r="G10" s="287">
        <f>Bloomberg!F68/unit</f>
        <v>120.95725849999999</v>
      </c>
      <c r="H10" s="287">
        <f>Bloomberg!G68/unit</f>
        <v>48.773071000000002</v>
      </c>
      <c r="I10" s="287">
        <f>Bloomberg!H68/unit</f>
        <v>139.0551433</v>
      </c>
      <c r="J10" s="287">
        <f>Bloomberg!I68/unit</f>
        <v>31.3242534</v>
      </c>
      <c r="K10" s="287">
        <f>Bloomberg!J68/unit</f>
        <v>123.4386727</v>
      </c>
      <c r="L10" s="287">
        <f>Bloomberg!K68/unit</f>
        <v>92.389558499999993</v>
      </c>
      <c r="M10" s="287">
        <f>Bloomberg!L68/unit</f>
        <v>117.63306440000001</v>
      </c>
      <c r="N10" s="287">
        <f>Bloomberg!M68/unit</f>
        <v>57.464836900000002</v>
      </c>
      <c r="O10" s="287">
        <f>Bloomberg!N68/unit</f>
        <v>238.69319769999998</v>
      </c>
      <c r="P10" s="287">
        <f>Bloomberg!O68/unit</f>
        <v>171.59967120000002</v>
      </c>
      <c r="Q10" s="335">
        <v>212.3</v>
      </c>
      <c r="R10" s="335"/>
      <c r="S10" s="335"/>
      <c r="T10" s="335"/>
      <c r="U10" s="335"/>
      <c r="V10" s="335"/>
      <c r="W10" s="335"/>
      <c r="X10" s="335"/>
    </row>
    <row r="11" spans="2:24" ht="12.75" customHeight="1">
      <c r="B11" s="18" t="s">
        <v>465</v>
      </c>
      <c r="C11" s="18"/>
      <c r="D11" s="287">
        <f>-Bloomberg!C69/unit</f>
        <v>-3.8214098999999999</v>
      </c>
      <c r="E11" s="287">
        <f>-Bloomberg!D69/unit</f>
        <v>-46.378935800000001</v>
      </c>
      <c r="F11" s="287">
        <f>-Bloomberg!E69/unit</f>
        <v>-89.321595299999998</v>
      </c>
      <c r="G11" s="287">
        <f>-Bloomberg!F69/unit</f>
        <v>-71.096254799999997</v>
      </c>
      <c r="H11" s="287">
        <f>-Bloomberg!G69/unit</f>
        <v>-19.5812372</v>
      </c>
      <c r="I11" s="287">
        <f>-Bloomberg!H69/unit</f>
        <v>-65.363034999999996</v>
      </c>
      <c r="J11" s="287">
        <f>-Bloomberg!I69/unit</f>
        <v>-5.5994086999999997</v>
      </c>
      <c r="K11" s="287">
        <f>-Bloomberg!J69/unit</f>
        <v>-46.116531799999997</v>
      </c>
      <c r="L11" s="287">
        <f>-Bloomberg!K69/unit</f>
        <v>-42.966623399999996</v>
      </c>
      <c r="M11" s="287">
        <f>-Bloomberg!L69/unit</f>
        <v>-34.341225299999998</v>
      </c>
      <c r="N11" s="287">
        <f>-Bloomberg!M69/unit</f>
        <v>-20.105175299999999</v>
      </c>
      <c r="O11" s="287">
        <f>-Bloomberg!N69/unit</f>
        <v>-106.95242500000001</v>
      </c>
      <c r="P11" s="287">
        <f>-Bloomberg!O69/unit</f>
        <v>-71.341776600000003</v>
      </c>
      <c r="Q11" s="335">
        <v>-70.599999999999994</v>
      </c>
      <c r="R11" s="335"/>
      <c r="S11" s="335"/>
      <c r="T11" s="335"/>
      <c r="U11" s="335"/>
      <c r="V11" s="335"/>
      <c r="W11" s="335"/>
      <c r="X11" s="335"/>
    </row>
    <row r="12" spans="2:24" ht="12.75" customHeight="1">
      <c r="B12" s="18" t="s">
        <v>28</v>
      </c>
      <c r="C12" s="18"/>
      <c r="D12" s="287">
        <f>SUM(D10:D11)</f>
        <v>30.904140599999998</v>
      </c>
      <c r="E12" s="287">
        <f t="shared" ref="E12:K12" si="0">SUM(E10:E11)</f>
        <v>48.498823200000011</v>
      </c>
      <c r="F12" s="287">
        <f t="shared" si="0"/>
        <v>63.62082070000001</v>
      </c>
      <c r="G12" s="287">
        <f t="shared" si="0"/>
        <v>49.861003699999998</v>
      </c>
      <c r="H12" s="287">
        <f t="shared" si="0"/>
        <v>29.191833800000001</v>
      </c>
      <c r="I12" s="287">
        <f t="shared" si="0"/>
        <v>73.692108300000001</v>
      </c>
      <c r="J12" s="287">
        <f t="shared" si="0"/>
        <v>25.724844699999998</v>
      </c>
      <c r="K12" s="287">
        <f t="shared" si="0"/>
        <v>77.322140899999994</v>
      </c>
      <c r="L12" s="287">
        <f t="shared" ref="L12:Q12" si="1">SUM(L10:L11)</f>
        <v>49.422935099999997</v>
      </c>
      <c r="M12" s="287">
        <f t="shared" si="1"/>
        <v>83.291839100000004</v>
      </c>
      <c r="N12" s="287">
        <f t="shared" si="1"/>
        <v>37.359661600000003</v>
      </c>
      <c r="O12" s="287">
        <f t="shared" si="1"/>
        <v>131.74077269999998</v>
      </c>
      <c r="P12" s="287">
        <f t="shared" si="1"/>
        <v>100.25789460000001</v>
      </c>
      <c r="Q12" s="335">
        <f t="shared" si="1"/>
        <v>141.70000000000002</v>
      </c>
      <c r="R12" s="335"/>
      <c r="S12" s="335"/>
      <c r="T12" s="335"/>
      <c r="U12" s="335"/>
      <c r="V12" s="335"/>
      <c r="W12" s="335"/>
      <c r="X12" s="335"/>
    </row>
    <row r="13" spans="2:24" ht="12.75" customHeight="1">
      <c r="B13" s="15" t="s">
        <v>544</v>
      </c>
      <c r="C13" s="15"/>
      <c r="D13" s="287">
        <f>-Bloomberg!C70/unit</f>
        <v>-6.7188995</v>
      </c>
      <c r="E13" s="287">
        <f>-Bloomberg!D70/unit</f>
        <v>-13.199600700000001</v>
      </c>
      <c r="F13" s="287">
        <f>-Bloomberg!E70/unit</f>
        <v>-11.821989</v>
      </c>
      <c r="G13" s="287">
        <f>-Bloomberg!F70/unit</f>
        <v>-12.3052355</v>
      </c>
      <c r="H13" s="287">
        <f>-Bloomberg!G70/unit</f>
        <v>-11.6435137</v>
      </c>
      <c r="I13" s="287">
        <f>-Bloomberg!H70/unit</f>
        <v>-26.212991300000002</v>
      </c>
      <c r="J13" s="287">
        <f>-Bloomberg!I70/unit</f>
        <v>-10.0771964</v>
      </c>
      <c r="K13" s="287">
        <f>-Bloomberg!J70/unit</f>
        <v>-14.560108099999999</v>
      </c>
      <c r="L13" s="287">
        <f>-Bloomberg!K70/unit</f>
        <v>-6.8286184999999993</v>
      </c>
      <c r="M13" s="287">
        <f>-Bloomberg!L70/unit</f>
        <v>-12.496487399999999</v>
      </c>
      <c r="N13" s="287">
        <f>-Bloomberg!M70/unit</f>
        <v>-10.398006199999999</v>
      </c>
      <c r="O13" s="287">
        <f>-Bloomberg!N70/unit</f>
        <v>-24.579357599999998</v>
      </c>
      <c r="P13" s="287">
        <f>-Bloomberg!O70/unit</f>
        <v>-14.572179899999998</v>
      </c>
      <c r="Q13" s="335">
        <v>-28.5</v>
      </c>
      <c r="R13" s="335"/>
      <c r="S13" s="335"/>
      <c r="T13" s="335"/>
      <c r="U13" s="335"/>
      <c r="V13" s="335"/>
      <c r="W13" s="335"/>
      <c r="X13" s="335"/>
    </row>
    <row r="14" spans="2:24" ht="12.75" customHeight="1">
      <c r="B14" s="15" t="s">
        <v>545</v>
      </c>
      <c r="C14" s="15"/>
      <c r="D14" s="287">
        <f>-Bloomberg!C71/unit</f>
        <v>-19.319280299999999</v>
      </c>
      <c r="E14" s="287">
        <f>-Bloomberg!D71/unit</f>
        <v>-19.3374773</v>
      </c>
      <c r="F14" s="287">
        <f>-Bloomberg!E71/unit</f>
        <v>-18.828244399999999</v>
      </c>
      <c r="G14" s="287">
        <f>-Bloomberg!F71/unit</f>
        <v>-21.186237700000003</v>
      </c>
      <c r="H14" s="287">
        <f>-Bloomberg!G71/unit</f>
        <v>-17.635770700000002</v>
      </c>
      <c r="I14" s="287">
        <f>-Bloomberg!H71/unit</f>
        <v>-18.2246524</v>
      </c>
      <c r="J14" s="287">
        <f>-Bloomberg!I71/unit</f>
        <v>-20.001839700000001</v>
      </c>
      <c r="K14" s="287">
        <f>-Bloomberg!J71/unit</f>
        <v>-25.3837826</v>
      </c>
      <c r="L14" s="287">
        <f>-Bloomberg!K71/unit</f>
        <v>-15.070206499999999</v>
      </c>
      <c r="M14" s="287">
        <f>-Bloomberg!L71/unit</f>
        <v>-19.0216706</v>
      </c>
      <c r="N14" s="287">
        <f>-Bloomberg!M71/unit</f>
        <v>-17.674512799999999</v>
      </c>
      <c r="O14" s="287">
        <f>-Bloomberg!N71/unit</f>
        <v>-30.561186899999999</v>
      </c>
      <c r="P14" s="287">
        <f>-Bloomberg!O71/unit</f>
        <v>-24.895741399999999</v>
      </c>
      <c r="Q14" s="335">
        <v>-30.1</v>
      </c>
      <c r="R14" s="335"/>
      <c r="S14" s="335"/>
      <c r="T14" s="335"/>
      <c r="U14" s="335"/>
      <c r="V14" s="335"/>
      <c r="W14" s="335"/>
      <c r="X14" s="335"/>
    </row>
    <row r="15" spans="2:24" ht="12.75" customHeight="1">
      <c r="B15" s="18" t="s">
        <v>287</v>
      </c>
      <c r="C15" s="18"/>
      <c r="D15" s="287">
        <f>SUM(D12:D14)</f>
        <v>4.8659607999999999</v>
      </c>
      <c r="E15" s="287">
        <f t="shared" ref="E15:K15" si="2">SUM(E12:E14)</f>
        <v>15.961745200000014</v>
      </c>
      <c r="F15" s="287">
        <f t="shared" si="2"/>
        <v>32.970587300000005</v>
      </c>
      <c r="G15" s="287">
        <f t="shared" si="2"/>
        <v>16.369530499999993</v>
      </c>
      <c r="H15" s="287">
        <f t="shared" si="2"/>
        <v>-8.7450600000000378E-2</v>
      </c>
      <c r="I15" s="287">
        <f t="shared" si="2"/>
        <v>29.254464600000002</v>
      </c>
      <c r="J15" s="287">
        <f t="shared" si="2"/>
        <v>-4.354191400000003</v>
      </c>
      <c r="K15" s="287">
        <f t="shared" si="2"/>
        <v>37.378250199999997</v>
      </c>
      <c r="L15" s="287">
        <f t="shared" ref="L15:Q15" si="3">SUM(L12:L14)</f>
        <v>27.524110100000001</v>
      </c>
      <c r="M15" s="287">
        <f t="shared" si="3"/>
        <v>51.773681099999997</v>
      </c>
      <c r="N15" s="287">
        <f t="shared" si="3"/>
        <v>9.2871426000000064</v>
      </c>
      <c r="O15" s="287">
        <f t="shared" si="3"/>
        <v>76.600228199999989</v>
      </c>
      <c r="P15" s="287">
        <f t="shared" si="3"/>
        <v>60.789973300000021</v>
      </c>
      <c r="Q15" s="335">
        <f t="shared" si="3"/>
        <v>83.100000000000023</v>
      </c>
      <c r="R15" s="335"/>
      <c r="S15" s="335"/>
      <c r="T15" s="335"/>
      <c r="U15" s="335"/>
      <c r="V15" s="335"/>
      <c r="W15" s="335"/>
      <c r="X15" s="335"/>
    </row>
    <row r="16" spans="2:24" ht="12.75" customHeight="1">
      <c r="B16" s="18" t="s">
        <v>546</v>
      </c>
      <c r="C16" s="18"/>
      <c r="D16" s="287">
        <f>-Bloomberg!C73/unit</f>
        <v>0</v>
      </c>
      <c r="E16" s="287">
        <f>-Bloomberg!D73/unit</f>
        <v>0</v>
      </c>
      <c r="F16" s="287">
        <f>-Bloomberg!E73/unit</f>
        <v>0</v>
      </c>
      <c r="G16" s="287">
        <f>-Bloomberg!F73/unit</f>
        <v>0</v>
      </c>
      <c r="H16" s="287">
        <f>-Bloomberg!G73/unit</f>
        <v>0</v>
      </c>
      <c r="I16" s="287">
        <f>-Bloomberg!H73/unit</f>
        <v>0</v>
      </c>
      <c r="J16" s="287">
        <f>-Bloomberg!I73/unit</f>
        <v>0</v>
      </c>
      <c r="K16" s="287">
        <f>-Bloomberg!J73/unit</f>
        <v>0</v>
      </c>
      <c r="L16" s="287">
        <f>-Bloomberg!K73/unit</f>
        <v>0</v>
      </c>
      <c r="M16" s="287">
        <f>-Bloomberg!L73/unit</f>
        <v>0</v>
      </c>
      <c r="N16" s="287">
        <f>-Bloomberg!M73/unit</f>
        <v>0</v>
      </c>
      <c r="O16" s="287">
        <f>-Bloomberg!N73/unit</f>
        <v>0</v>
      </c>
      <c r="P16" s="287">
        <f>-Bloomberg!O73/unit</f>
        <v>0</v>
      </c>
      <c r="Q16" s="1">
        <v>0</v>
      </c>
      <c r="R16" s="335"/>
      <c r="S16" s="335"/>
      <c r="T16" s="335"/>
      <c r="U16" s="335"/>
      <c r="V16" s="335"/>
      <c r="W16" s="335"/>
      <c r="X16" s="335"/>
    </row>
    <row r="17" spans="2:24" ht="12.75" customHeight="1">
      <c r="B17" s="18" t="s">
        <v>547</v>
      </c>
      <c r="C17" s="18"/>
      <c r="D17" s="287">
        <f>-Bloomberg!C74/unit</f>
        <v>1.554492</v>
      </c>
      <c r="E17" s="287">
        <f>-Bloomberg!D74/unit</f>
        <v>-0.39782380000000001</v>
      </c>
      <c r="F17" s="287">
        <f>-Bloomberg!E74/unit</f>
        <v>2.3575704000000002</v>
      </c>
      <c r="G17" s="287">
        <f>-Bloomberg!F74/unit</f>
        <v>12.048193100000001</v>
      </c>
      <c r="H17" s="287">
        <f>-Bloomberg!G74/unit</f>
        <v>1.9822023999999998</v>
      </c>
      <c r="I17" s="287">
        <f>-Bloomberg!H74/unit</f>
        <v>1.4841765</v>
      </c>
      <c r="J17" s="287">
        <f>-Bloomberg!I74/unit</f>
        <v>43.705189599999997</v>
      </c>
      <c r="K17" s="287">
        <f>-Bloomberg!J74/unit</f>
        <v>11.466231499999999</v>
      </c>
      <c r="L17" s="287">
        <f>-Bloomberg!K74/unit</f>
        <v>1.3364532999999998</v>
      </c>
      <c r="M17" s="287">
        <f>-Bloomberg!L74/unit</f>
        <v>5.6660596999999999</v>
      </c>
      <c r="N17" s="287">
        <f>-Bloomberg!M74/unit</f>
        <v>5.9990715000000003</v>
      </c>
      <c r="O17" s="287">
        <f>-Bloomberg!N74/unit</f>
        <v>88.261569800000004</v>
      </c>
      <c r="P17" s="287">
        <f>-Bloomberg!O74/unit</f>
        <v>10.6965915</v>
      </c>
      <c r="Q17" s="1246">
        <f>9.6-3.6+20+55.4-0.1</f>
        <v>81.300000000000011</v>
      </c>
      <c r="R17" s="335"/>
      <c r="S17" s="335"/>
      <c r="T17" s="335"/>
      <c r="U17" s="335"/>
      <c r="V17" s="335"/>
      <c r="W17" s="335"/>
      <c r="X17" s="335"/>
    </row>
    <row r="18" spans="2:24" ht="12.75" customHeight="1">
      <c r="B18" s="5" t="s">
        <v>288</v>
      </c>
      <c r="D18" s="304">
        <f>SUM(D15:D17)</f>
        <v>6.4204527999999996</v>
      </c>
      <c r="E18" s="304">
        <f t="shared" ref="E18:K18" si="4">SUM(E15:E17)</f>
        <v>15.563921400000014</v>
      </c>
      <c r="F18" s="304">
        <f t="shared" si="4"/>
        <v>35.328157700000006</v>
      </c>
      <c r="G18" s="304">
        <f t="shared" si="4"/>
        <v>28.417723599999995</v>
      </c>
      <c r="H18" s="304">
        <f t="shared" si="4"/>
        <v>1.8947517999999994</v>
      </c>
      <c r="I18" s="304">
        <f t="shared" si="4"/>
        <v>30.738641100000002</v>
      </c>
      <c r="J18" s="304">
        <f t="shared" si="4"/>
        <v>39.350998199999992</v>
      </c>
      <c r="K18" s="304">
        <f t="shared" si="4"/>
        <v>48.844481699999996</v>
      </c>
      <c r="L18" s="304">
        <f t="shared" ref="L18:Q18" si="5">SUM(L15:L17)</f>
        <v>28.8605634</v>
      </c>
      <c r="M18" s="304">
        <f t="shared" si="5"/>
        <v>57.439740799999996</v>
      </c>
      <c r="N18" s="304">
        <f t="shared" si="5"/>
        <v>15.286214100000006</v>
      </c>
      <c r="O18" s="304">
        <f t="shared" si="5"/>
        <v>164.86179799999999</v>
      </c>
      <c r="P18" s="304">
        <f t="shared" si="5"/>
        <v>71.486564800000025</v>
      </c>
      <c r="Q18" s="335">
        <f t="shared" si="5"/>
        <v>164.40000000000003</v>
      </c>
      <c r="R18" s="335"/>
      <c r="S18" s="335"/>
      <c r="T18" s="335"/>
      <c r="U18" s="335"/>
      <c r="V18" s="335"/>
      <c r="W18" s="335"/>
      <c r="X18" s="335"/>
    </row>
    <row r="19" spans="2:24" ht="12.75" customHeight="1">
      <c r="B19" s="18" t="s">
        <v>548</v>
      </c>
      <c r="C19" s="18"/>
      <c r="D19" s="287">
        <f>-Bloomberg!C75/unit</f>
        <v>-3.7097560000000001</v>
      </c>
      <c r="E19" s="287">
        <f>-Bloomberg!D75/unit</f>
        <v>-1.7768341000000001</v>
      </c>
      <c r="F19" s="287">
        <f>-Bloomberg!E75/unit</f>
        <v>-1.0733553999999998</v>
      </c>
      <c r="G19" s="287">
        <f>-Bloomberg!F75/unit</f>
        <v>-5.6510199999999997E-2</v>
      </c>
      <c r="H19" s="287">
        <f>-Bloomberg!G75/unit</f>
        <v>-4.5523099999999997E-2</v>
      </c>
      <c r="I19" s="287">
        <f>-Bloomberg!H75/unit</f>
        <v>-5.5175199999999994E-2</v>
      </c>
      <c r="J19" s="287">
        <f>-Bloomberg!I75/unit</f>
        <v>-3.2271099999999997E-2</v>
      </c>
      <c r="K19" s="287">
        <f>-Bloomberg!J75/unit</f>
        <v>-0.20985970000000001</v>
      </c>
      <c r="L19" s="287">
        <f>-Bloomberg!K75/unit</f>
        <v>-3.3608800000000001E-2</v>
      </c>
      <c r="M19" s="287">
        <f>-Bloomberg!L75/unit</f>
        <v>-1.10954E-2</v>
      </c>
      <c r="N19" s="287">
        <f>-Bloomberg!M75/unit</f>
        <v>-9.898500000000001E-3</v>
      </c>
      <c r="O19" s="287">
        <f>-Bloomberg!N75/unit</f>
        <v>-2.4688099999999998E-2</v>
      </c>
      <c r="P19" s="287">
        <f>-Bloomberg!O75/unit</f>
        <v>-2.5381299999999999E-2</v>
      </c>
      <c r="Q19" s="335">
        <v>-8.5999999999999993E-2</v>
      </c>
      <c r="R19" s="335"/>
      <c r="S19" s="335"/>
      <c r="T19" s="335"/>
      <c r="U19" s="335"/>
      <c r="V19" s="335"/>
      <c r="W19" s="335"/>
      <c r="X19" s="335"/>
    </row>
    <row r="20" spans="2:24" ht="12.75" customHeight="1">
      <c r="B20" s="18" t="s">
        <v>34</v>
      </c>
      <c r="C20" s="18"/>
      <c r="D20" s="287">
        <f>SUM(D18:D19)</f>
        <v>2.7106967999999996</v>
      </c>
      <c r="E20" s="287">
        <f t="shared" ref="E20:K20" si="6">SUM(E18:E19)</f>
        <v>13.787087300000014</v>
      </c>
      <c r="F20" s="287">
        <f t="shared" si="6"/>
        <v>34.254802300000009</v>
      </c>
      <c r="G20" s="287">
        <f t="shared" si="6"/>
        <v>28.361213399999993</v>
      </c>
      <c r="H20" s="287">
        <f t="shared" si="6"/>
        <v>1.8492286999999994</v>
      </c>
      <c r="I20" s="287">
        <f t="shared" si="6"/>
        <v>30.683465900000002</v>
      </c>
      <c r="J20" s="287">
        <f t="shared" si="6"/>
        <v>39.31872709999999</v>
      </c>
      <c r="K20" s="287">
        <f t="shared" si="6"/>
        <v>48.634621999999993</v>
      </c>
      <c r="L20" s="287">
        <f t="shared" ref="L20:Q20" si="7">SUM(L18:L19)</f>
        <v>28.826954600000001</v>
      </c>
      <c r="M20" s="287">
        <f t="shared" si="7"/>
        <v>57.428645399999994</v>
      </c>
      <c r="N20" s="287">
        <f t="shared" si="7"/>
        <v>15.276315600000006</v>
      </c>
      <c r="O20" s="287">
        <f t="shared" si="7"/>
        <v>164.8371099</v>
      </c>
      <c r="P20" s="287">
        <f t="shared" si="7"/>
        <v>71.461183500000018</v>
      </c>
      <c r="Q20" s="335">
        <f t="shared" si="7"/>
        <v>164.31400000000002</v>
      </c>
      <c r="R20" s="335"/>
      <c r="S20" s="335"/>
      <c r="T20" s="335"/>
      <c r="U20" s="335"/>
      <c r="V20" s="335"/>
      <c r="W20" s="335"/>
      <c r="X20" s="335"/>
    </row>
    <row r="21" spans="2:24" ht="12.75" customHeight="1">
      <c r="B21" s="18" t="s">
        <v>549</v>
      </c>
      <c r="C21" s="21"/>
      <c r="D21" s="287">
        <f>-Bloomberg!C76/unit</f>
        <v>-4.0322640999999999</v>
      </c>
      <c r="E21" s="287">
        <f>-Bloomberg!D76/unit</f>
        <v>-4.4655487000000003</v>
      </c>
      <c r="F21" s="287">
        <f>-Bloomberg!E76/unit</f>
        <v>-7.0392748000000003</v>
      </c>
      <c r="G21" s="287">
        <f>-Bloomberg!F76/unit</f>
        <v>-4.4818639999999998</v>
      </c>
      <c r="H21" s="287">
        <f>-Bloomberg!G76/unit</f>
        <v>-1.9398140000000001</v>
      </c>
      <c r="I21" s="287">
        <f>-Bloomberg!H76/unit</f>
        <v>-10.032336799999999</v>
      </c>
      <c r="J21" s="287">
        <f>-Bloomberg!I76/unit</f>
        <v>-9.490792299999999</v>
      </c>
      <c r="K21" s="287">
        <f>-Bloomberg!J76/unit</f>
        <v>-9.2932006999999999</v>
      </c>
      <c r="L21" s="287">
        <f>-Bloomberg!K76/unit</f>
        <v>-6.6503024999999996</v>
      </c>
      <c r="M21" s="287">
        <f>-Bloomberg!L76/unit</f>
        <v>-12.662512699999999</v>
      </c>
      <c r="N21" s="287">
        <f>-Bloomberg!M76/unit</f>
        <v>-4.4850402999999996</v>
      </c>
      <c r="O21" s="287">
        <f>-Bloomberg!N76/unit</f>
        <v>-29.5231496</v>
      </c>
      <c r="P21" s="287">
        <f>-Bloomberg!O76/unit</f>
        <v>-12.20129</v>
      </c>
      <c r="Q21" s="335">
        <f>-22.7+1.6</f>
        <v>-21.099999999999998</v>
      </c>
      <c r="R21" s="335"/>
      <c r="S21" s="335"/>
      <c r="T21" s="335"/>
      <c r="U21" s="335"/>
      <c r="V21" s="335"/>
      <c r="W21" s="335"/>
      <c r="X21" s="335"/>
    </row>
    <row r="22" spans="2:24" ht="12.75" customHeight="1">
      <c r="B22" s="18" t="s">
        <v>36</v>
      </c>
      <c r="C22" s="18"/>
      <c r="D22" s="287">
        <f>SUM(D20:D21)</f>
        <v>-1.3215673000000003</v>
      </c>
      <c r="E22" s="287">
        <f t="shared" ref="E22:K22" si="8">SUM(E20:E21)</f>
        <v>9.3215386000000144</v>
      </c>
      <c r="F22" s="287">
        <f t="shared" si="8"/>
        <v>27.215527500000007</v>
      </c>
      <c r="G22" s="287">
        <f t="shared" si="8"/>
        <v>23.879349399999995</v>
      </c>
      <c r="H22" s="287">
        <f t="shared" si="8"/>
        <v>-9.0585300000000757E-2</v>
      </c>
      <c r="I22" s="287">
        <f t="shared" si="8"/>
        <v>20.651129100000002</v>
      </c>
      <c r="J22" s="287">
        <f t="shared" si="8"/>
        <v>29.827934799999991</v>
      </c>
      <c r="K22" s="287">
        <f t="shared" si="8"/>
        <v>39.341421299999993</v>
      </c>
      <c r="L22" s="287">
        <f t="shared" ref="L22:Q22" si="9">SUM(L20:L21)</f>
        <v>22.176652100000002</v>
      </c>
      <c r="M22" s="287">
        <f t="shared" si="9"/>
        <v>44.766132699999993</v>
      </c>
      <c r="N22" s="287">
        <f t="shared" si="9"/>
        <v>10.791275300000006</v>
      </c>
      <c r="O22" s="287">
        <f t="shared" si="9"/>
        <v>135.31396029999999</v>
      </c>
      <c r="P22" s="287">
        <f t="shared" si="9"/>
        <v>59.259893500000018</v>
      </c>
      <c r="Q22" s="335">
        <f t="shared" si="9"/>
        <v>143.21400000000003</v>
      </c>
      <c r="R22" s="335"/>
      <c r="S22" s="335"/>
      <c r="T22" s="335"/>
      <c r="U22" s="335"/>
      <c r="V22" s="335"/>
      <c r="W22" s="335"/>
      <c r="X22" s="335"/>
    </row>
    <row r="23" spans="2:24" ht="12.75" customHeight="1">
      <c r="B23" s="18" t="s">
        <v>522</v>
      </c>
      <c r="C23" s="18"/>
      <c r="D23" s="287">
        <f>-Bloomberg!C77/unit</f>
        <v>3.8758879999999998</v>
      </c>
      <c r="E23" s="287">
        <f>-Bloomberg!D77/unit</f>
        <v>-3.6336453</v>
      </c>
      <c r="F23" s="287">
        <f>-Bloomberg!E77/unit</f>
        <v>-1.7221895</v>
      </c>
      <c r="G23" s="287">
        <f>-Bloomberg!F77/unit</f>
        <v>0.24504980000000001</v>
      </c>
      <c r="H23" s="287">
        <f>-Bloomberg!G77/unit</f>
        <v>1.4953463</v>
      </c>
      <c r="I23" s="287">
        <f>-Bloomberg!H77/unit</f>
        <v>-0.57619579999999992</v>
      </c>
      <c r="J23" s="287">
        <f>-Bloomberg!I77/unit</f>
        <v>0.25135109999999999</v>
      </c>
      <c r="K23" s="287">
        <f>-Bloomberg!J77/unit</f>
        <v>-8.1364080000000012</v>
      </c>
      <c r="L23" s="287">
        <f>-Bloomberg!K77/unit</f>
        <v>-0.85971379999999997</v>
      </c>
      <c r="M23" s="287">
        <f>-Bloomberg!L77/unit</f>
        <v>-13.436</v>
      </c>
      <c r="N23" s="287">
        <f>-Bloomberg!M77/unit</f>
        <v>-9.8233076999999991</v>
      </c>
      <c r="O23" s="287">
        <f>-Bloomberg!N77/unit</f>
        <v>-21.0945094</v>
      </c>
      <c r="P23" s="287">
        <f>-Bloomberg!O77/unit</f>
        <v>-22.6645079</v>
      </c>
      <c r="Q23" s="335">
        <v>-26.6</v>
      </c>
      <c r="R23" s="335"/>
      <c r="S23" s="335"/>
      <c r="T23" s="335"/>
      <c r="U23" s="335"/>
      <c r="V23" s="335"/>
      <c r="W23" s="335"/>
      <c r="X23" s="335"/>
    </row>
    <row r="24" spans="2:24" ht="12.75" customHeight="1">
      <c r="B24" s="352" t="s">
        <v>572</v>
      </c>
      <c r="C24" s="352"/>
      <c r="D24" s="289">
        <f>SUM(D22:D23)</f>
        <v>2.5543206999999994</v>
      </c>
      <c r="E24" s="289">
        <f t="shared" ref="E24:K24" si="10">SUM(E22:E23)</f>
        <v>5.6878933000000149</v>
      </c>
      <c r="F24" s="289">
        <f t="shared" si="10"/>
        <v>25.493338000000008</v>
      </c>
      <c r="G24" s="289">
        <f t="shared" si="10"/>
        <v>24.124399199999996</v>
      </c>
      <c r="H24" s="289">
        <f t="shared" si="10"/>
        <v>1.4047609999999993</v>
      </c>
      <c r="I24" s="289">
        <f t="shared" si="10"/>
        <v>20.074933300000001</v>
      </c>
      <c r="J24" s="289">
        <f t="shared" si="10"/>
        <v>30.079285899999991</v>
      </c>
      <c r="K24" s="289">
        <f t="shared" si="10"/>
        <v>31.20501329999999</v>
      </c>
      <c r="L24" s="289">
        <f t="shared" ref="L24:Q24" si="11">SUM(L22:L23)</f>
        <v>21.3169383</v>
      </c>
      <c r="M24" s="289">
        <f t="shared" si="11"/>
        <v>31.330132699999993</v>
      </c>
      <c r="N24" s="289">
        <f t="shared" si="11"/>
        <v>0.96796760000000681</v>
      </c>
      <c r="O24" s="289">
        <f t="shared" si="11"/>
        <v>114.2194509</v>
      </c>
      <c r="P24" s="289">
        <f t="shared" si="11"/>
        <v>36.595385600000014</v>
      </c>
      <c r="Q24" s="336">
        <f t="shared" si="11"/>
        <v>116.61400000000003</v>
      </c>
      <c r="R24" s="336"/>
      <c r="S24" s="336"/>
      <c r="T24" s="336"/>
      <c r="U24" s="336"/>
      <c r="V24" s="336"/>
      <c r="W24" s="336"/>
      <c r="X24" s="336"/>
    </row>
    <row r="25" spans="2:24" ht="12.75" customHeight="1">
      <c r="B25" s="18" t="s">
        <v>123</v>
      </c>
      <c r="C25" s="18"/>
      <c r="D25" s="288">
        <f>D24/D28*10^3</f>
        <v>79.822521874999978</v>
      </c>
      <c r="E25" s="288">
        <f t="shared" ref="E25:K25" si="12">E24/E28*10^3</f>
        <v>177.74666562500047</v>
      </c>
      <c r="F25" s="288">
        <f t="shared" si="12"/>
        <v>796.66681250000022</v>
      </c>
      <c r="G25" s="288">
        <f t="shared" si="12"/>
        <v>652.01078918918904</v>
      </c>
      <c r="H25" s="288">
        <f t="shared" si="12"/>
        <v>33.446690476190454</v>
      </c>
      <c r="I25" s="288">
        <f t="shared" si="12"/>
        <v>424.86774743715802</v>
      </c>
      <c r="J25" s="287">
        <f t="shared" si="12"/>
        <v>571.30993633180776</v>
      </c>
      <c r="K25" s="287">
        <f t="shared" si="12"/>
        <v>591.00761044370677</v>
      </c>
      <c r="L25" s="287">
        <f t="shared" ref="L25:Q25" si="13">L24/L28*10^3</f>
        <v>333.59924114364571</v>
      </c>
      <c r="M25" s="287">
        <f t="shared" si="13"/>
        <v>417.73510266666659</v>
      </c>
      <c r="N25" s="287">
        <f t="shared" si="13"/>
        <v>12.906234666666757</v>
      </c>
      <c r="O25" s="287">
        <f t="shared" si="13"/>
        <v>1522.9260119999999</v>
      </c>
      <c r="P25" s="287">
        <f t="shared" si="13"/>
        <v>416.56671143995464</v>
      </c>
      <c r="Q25" s="335">
        <f t="shared" si="13"/>
        <v>1127.0319899487777</v>
      </c>
      <c r="R25" s="335"/>
      <c r="S25" s="335"/>
      <c r="T25" s="335"/>
      <c r="U25" s="335"/>
      <c r="V25" s="335"/>
      <c r="W25" s="335"/>
      <c r="X25" s="335"/>
    </row>
    <row r="26" spans="2:24" ht="12.75" customHeight="1">
      <c r="B26" s="18" t="s">
        <v>4</v>
      </c>
      <c r="C26" s="18"/>
      <c r="D26" s="288">
        <f t="shared" ref="D26:O26" si="14">D18-D27</f>
        <v>6.4204527999999996</v>
      </c>
      <c r="E26" s="288">
        <f t="shared" si="14"/>
        <v>15.563921400000014</v>
      </c>
      <c r="F26" s="288">
        <f t="shared" si="14"/>
        <v>35.328157700000006</v>
      </c>
      <c r="G26" s="288">
        <f t="shared" si="14"/>
        <v>28.417723599999995</v>
      </c>
      <c r="H26" s="288">
        <f t="shared" si="14"/>
        <v>2.0510942999999995</v>
      </c>
      <c r="I26" s="288">
        <f t="shared" si="14"/>
        <v>31.176312100000004</v>
      </c>
      <c r="J26" s="288">
        <f t="shared" si="14"/>
        <v>40.267074199999989</v>
      </c>
      <c r="K26" s="288">
        <f t="shared" si="14"/>
        <v>50.839612699999996</v>
      </c>
      <c r="L26" s="288">
        <f t="shared" si="14"/>
        <v>31.777599299999999</v>
      </c>
      <c r="M26" s="288">
        <f t="shared" si="14"/>
        <v>60.398920899999993</v>
      </c>
      <c r="N26" s="288">
        <f t="shared" si="14"/>
        <v>17.478568100000004</v>
      </c>
      <c r="O26" s="288">
        <f t="shared" si="14"/>
        <v>167.1594015</v>
      </c>
      <c r="P26" s="288">
        <f>P18-P27</f>
        <v>71.486564800000025</v>
      </c>
      <c r="Q26" s="335">
        <f>Q18-Q27</f>
        <v>165.08400000000003</v>
      </c>
      <c r="R26" s="335"/>
      <c r="S26" s="335"/>
      <c r="T26" s="335"/>
      <c r="U26" s="335"/>
      <c r="V26" s="335"/>
      <c r="W26" s="335"/>
      <c r="X26" s="335"/>
    </row>
    <row r="27" spans="2:24" ht="12.75" customHeight="1">
      <c r="B27" s="18" t="s">
        <v>41</v>
      </c>
      <c r="C27" s="18"/>
      <c r="D27" s="287">
        <f>-Bloomberg!C16/unit</f>
        <v>0</v>
      </c>
      <c r="E27" s="287">
        <f>-Bloomberg!D16/unit</f>
        <v>0</v>
      </c>
      <c r="F27" s="287">
        <f>-Bloomberg!E16/unit</f>
        <v>0</v>
      </c>
      <c r="G27" s="287">
        <f>-Bloomberg!F16/unit</f>
        <v>0</v>
      </c>
      <c r="H27" s="287">
        <f>-Bloomberg!G16/unit</f>
        <v>-0.1563425</v>
      </c>
      <c r="I27" s="287">
        <f>-Bloomberg!H16/unit</f>
        <v>-0.43767099999999998</v>
      </c>
      <c r="J27" s="287">
        <f>-Bloomberg!I16/unit</f>
        <v>-0.916076</v>
      </c>
      <c r="K27" s="287">
        <f>-Bloomberg!J16/unit</f>
        <v>-1.995131</v>
      </c>
      <c r="L27" s="287">
        <f>-Bloomberg!K16/unit</f>
        <v>-2.9170358999999997</v>
      </c>
      <c r="M27" s="287">
        <f>-Bloomberg!L16/unit</f>
        <v>-2.9591801000000002</v>
      </c>
      <c r="N27" s="287">
        <f>-Bloomberg!M16/unit</f>
        <v>-2.1923539999999999</v>
      </c>
      <c r="O27" s="287">
        <f>-Bloomberg!N16/unit</f>
        <v>-2.2976035000000001</v>
      </c>
      <c r="P27" s="287">
        <f>-Bloomberg!O16/unit</f>
        <v>0</v>
      </c>
      <c r="Q27" s="335">
        <v>-0.68400000000000005</v>
      </c>
      <c r="R27" s="335"/>
      <c r="S27" s="335"/>
      <c r="T27" s="335"/>
      <c r="U27" s="335"/>
      <c r="V27" s="335"/>
      <c r="W27" s="335"/>
      <c r="X27" s="335"/>
    </row>
    <row r="28" spans="2:24" ht="12.75" customHeight="1">
      <c r="B28" s="363" t="s">
        <v>124</v>
      </c>
      <c r="C28" s="18"/>
      <c r="D28" s="287">
        <f>D56/10</f>
        <v>32</v>
      </c>
      <c r="E28" s="287">
        <f>(D56+E56)/2/10</f>
        <v>32</v>
      </c>
      <c r="F28" s="287">
        <f t="shared" ref="F28:K28" si="15">(E56+F56)/2/10</f>
        <v>32</v>
      </c>
      <c r="G28" s="287">
        <f t="shared" si="15"/>
        <v>37</v>
      </c>
      <c r="H28" s="287">
        <f t="shared" si="15"/>
        <v>42</v>
      </c>
      <c r="I28" s="287">
        <f t="shared" si="15"/>
        <v>47.249840500000005</v>
      </c>
      <c r="J28" s="287">
        <f t="shared" si="15"/>
        <v>52.649681000000008</v>
      </c>
      <c r="K28" s="287">
        <f t="shared" si="15"/>
        <v>52.799681000000007</v>
      </c>
      <c r="L28" s="287">
        <f t="shared" ref="L28:Q28" si="16">(K56+L56)/2/10</f>
        <v>63.899840500000003</v>
      </c>
      <c r="M28" s="287">
        <f t="shared" si="16"/>
        <v>75</v>
      </c>
      <c r="N28" s="287">
        <f t="shared" si="16"/>
        <v>75</v>
      </c>
      <c r="O28" s="287">
        <f t="shared" si="16"/>
        <v>75</v>
      </c>
      <c r="P28" s="287">
        <f t="shared" si="16"/>
        <v>87.85</v>
      </c>
      <c r="Q28" s="335">
        <f t="shared" si="16"/>
        <v>103.47</v>
      </c>
      <c r="R28" s="335"/>
      <c r="S28" s="335"/>
      <c r="T28" s="335"/>
      <c r="U28" s="335"/>
      <c r="V28" s="335"/>
      <c r="W28" s="335"/>
      <c r="X28" s="335"/>
    </row>
    <row r="29" spans="2:24" ht="12.75" customHeight="1">
      <c r="B29" s="19" t="s">
        <v>43</v>
      </c>
      <c r="C29" s="19"/>
      <c r="D29" s="291"/>
      <c r="E29" s="291"/>
      <c r="F29" s="291"/>
      <c r="G29" s="291"/>
      <c r="H29" s="292"/>
      <c r="I29" s="292"/>
      <c r="J29" s="291"/>
      <c r="K29" s="291"/>
      <c r="L29" s="291"/>
      <c r="M29" s="291"/>
      <c r="N29" s="291"/>
      <c r="O29" s="291"/>
      <c r="P29" s="291"/>
      <c r="Q29" s="293"/>
      <c r="R29" s="293"/>
      <c r="S29" s="293"/>
      <c r="T29" s="293"/>
      <c r="U29" s="293"/>
      <c r="V29" s="293"/>
      <c r="W29" s="293"/>
      <c r="X29" s="293"/>
    </row>
    <row r="30" spans="2:24" ht="12.75" customHeight="1">
      <c r="B30" s="4" t="s">
        <v>44</v>
      </c>
      <c r="C30" s="4"/>
      <c r="D30" s="287"/>
      <c r="E30" s="287"/>
      <c r="F30" s="287"/>
      <c r="G30" s="287"/>
      <c r="H30" s="288"/>
      <c r="I30" s="288"/>
      <c r="J30" s="287"/>
      <c r="K30" s="287"/>
      <c r="L30" s="287"/>
      <c r="M30" s="287"/>
      <c r="N30" s="287"/>
      <c r="O30" s="287"/>
      <c r="P30" s="287"/>
    </row>
    <row r="31" spans="2:24" ht="12.75" customHeight="1">
      <c r="B31" s="8" t="s">
        <v>550</v>
      </c>
      <c r="C31" s="8"/>
      <c r="D31" s="287">
        <f>Bloomberg!C80/unit</f>
        <v>53.750649500000002</v>
      </c>
      <c r="E31" s="287">
        <f>Bloomberg!D80/unit</f>
        <v>55.688726000000003</v>
      </c>
      <c r="F31" s="287">
        <f>Bloomberg!E80/unit</f>
        <v>68.524952200000001</v>
      </c>
      <c r="G31" s="287">
        <f>Bloomberg!F80/unit</f>
        <v>136.05265410000001</v>
      </c>
      <c r="H31" s="287">
        <f>Bloomberg!G80/unit</f>
        <v>110.7089258</v>
      </c>
      <c r="I31" s="287">
        <f>Bloomberg!H80/unit</f>
        <v>120.1591746</v>
      </c>
      <c r="J31" s="287">
        <f>Bloomberg!I80/unit</f>
        <v>59.468311900000003</v>
      </c>
      <c r="K31" s="287">
        <f>Bloomberg!J80/unit</f>
        <v>72.886290099999997</v>
      </c>
      <c r="L31" s="287">
        <f>Bloomberg!K80/unit</f>
        <v>306.7498794</v>
      </c>
      <c r="M31" s="287">
        <f>Bloomberg!L80/unit</f>
        <v>305.37001150000003</v>
      </c>
      <c r="N31" s="287">
        <f>Bloomberg!M80/unit</f>
        <v>373.82149020000003</v>
      </c>
      <c r="O31" s="287">
        <f>Bloomberg!N80/unit</f>
        <v>776.33898669999996</v>
      </c>
      <c r="P31" s="287">
        <f>Bloomberg!O80/unit</f>
        <v>840.42562179999993</v>
      </c>
      <c r="Q31" s="335">
        <v>662.4</v>
      </c>
      <c r="R31" s="335"/>
      <c r="S31" s="1355" t="s">
        <v>1503</v>
      </c>
      <c r="T31" s="335">
        <f>Q47+Q50-Q31</f>
        <v>-417.4</v>
      </c>
      <c r="U31" s="335"/>
      <c r="V31" s="335"/>
      <c r="W31" s="335"/>
      <c r="X31" s="335"/>
    </row>
    <row r="32" spans="2:24" ht="12.75" customHeight="1">
      <c r="B32" s="8" t="s">
        <v>304</v>
      </c>
      <c r="C32" s="8"/>
      <c r="D32" s="287">
        <f>Bloomberg!C81/unit</f>
        <v>0</v>
      </c>
      <c r="E32" s="287">
        <f>Bloomberg!D81/unit</f>
        <v>0</v>
      </c>
      <c r="F32" s="287">
        <f>Bloomberg!E81/unit</f>
        <v>0</v>
      </c>
      <c r="G32" s="287">
        <f>Bloomberg!F81/unit</f>
        <v>0</v>
      </c>
      <c r="H32" s="287">
        <f>Bloomberg!G81/unit</f>
        <v>0</v>
      </c>
      <c r="I32" s="287">
        <f>Bloomberg!H81/unit</f>
        <v>0</v>
      </c>
      <c r="J32" s="287">
        <f>Bloomberg!I81/unit</f>
        <v>2.5</v>
      </c>
      <c r="K32" s="287">
        <f>Bloomberg!J81/unit</f>
        <v>0</v>
      </c>
      <c r="L32" s="287">
        <f>Bloomberg!K81/unit</f>
        <v>0</v>
      </c>
      <c r="M32" s="287">
        <f>Bloomberg!L81/unit</f>
        <v>0</v>
      </c>
      <c r="N32" s="287">
        <f>Bloomberg!M81/unit</f>
        <v>6.0258333000000004</v>
      </c>
      <c r="O32" s="287">
        <f>Bloomberg!N81/unit</f>
        <v>0</v>
      </c>
      <c r="P32" s="287">
        <f>Bloomberg!O81/unit</f>
        <v>0</v>
      </c>
      <c r="Q32" s="335">
        <v>0</v>
      </c>
      <c r="R32" s="335"/>
      <c r="S32" s="335"/>
      <c r="T32" s="1356">
        <f>T31/Q59</f>
        <v>-0.27352555701179554</v>
      </c>
      <c r="U32" s="335"/>
      <c r="V32" s="335"/>
      <c r="W32" s="335"/>
      <c r="X32" s="335"/>
    </row>
    <row r="33" spans="2:24" ht="12.75" customHeight="1">
      <c r="B33" s="8" t="s">
        <v>551</v>
      </c>
      <c r="C33" s="8"/>
      <c r="D33" s="287">
        <f>Bloomberg!C82/unit</f>
        <v>65.074779000000007</v>
      </c>
      <c r="E33" s="287">
        <f>Bloomberg!D82/unit</f>
        <v>90.6639141</v>
      </c>
      <c r="F33" s="287">
        <f>Bloomberg!E82/unit</f>
        <v>110.77580400000001</v>
      </c>
      <c r="G33" s="287">
        <f>Bloomberg!F82/unit</f>
        <v>125.8086845</v>
      </c>
      <c r="H33" s="287">
        <f>Bloomberg!G82/unit</f>
        <v>95.2914976</v>
      </c>
      <c r="I33" s="287">
        <f>Bloomberg!H82/unit</f>
        <v>130.2700567</v>
      </c>
      <c r="J33" s="287">
        <f>Bloomberg!I82/unit</f>
        <v>111.40445940000001</v>
      </c>
      <c r="K33" s="287">
        <f>Bloomberg!J82/unit</f>
        <v>131.2453031</v>
      </c>
      <c r="L33" s="287">
        <f>Bloomberg!K82/unit</f>
        <v>118.9300159</v>
      </c>
      <c r="M33" s="287">
        <f>Bloomberg!L82/unit</f>
        <v>150.95585399999999</v>
      </c>
      <c r="N33" s="287">
        <f>Bloomberg!M82/unit</f>
        <v>118.95133610000001</v>
      </c>
      <c r="O33" s="287">
        <f>Bloomberg!N82/unit</f>
        <v>119.20112570000001</v>
      </c>
      <c r="P33" s="287">
        <f>Bloomberg!O82/unit</f>
        <v>161.1652569</v>
      </c>
      <c r="Q33" s="335">
        <f>156.6-11.6</f>
        <v>145</v>
      </c>
      <c r="R33" s="335"/>
      <c r="S33" s="335"/>
      <c r="T33" s="335"/>
      <c r="U33" s="335"/>
      <c r="V33" s="335"/>
      <c r="W33" s="335"/>
      <c r="X33" s="335"/>
    </row>
    <row r="34" spans="2:24" ht="12.75" customHeight="1">
      <c r="B34" s="8" t="s">
        <v>49</v>
      </c>
      <c r="C34" s="8"/>
      <c r="D34" s="287">
        <f>Bloomberg!C83/unit</f>
        <v>96.877542300000002</v>
      </c>
      <c r="E34" s="287">
        <f>Bloomberg!D83/unit</f>
        <v>243.35969750000001</v>
      </c>
      <c r="F34" s="287">
        <f>Bloomberg!E83/unit</f>
        <v>168.31693429999999</v>
      </c>
      <c r="G34" s="287">
        <f>Bloomberg!F83/unit</f>
        <v>129.20742509999999</v>
      </c>
      <c r="H34" s="287">
        <f>Bloomberg!G83/unit</f>
        <v>327.79213189999996</v>
      </c>
      <c r="I34" s="287">
        <f>Bloomberg!H83/unit</f>
        <v>288.10147269999999</v>
      </c>
      <c r="J34" s="287">
        <f>Bloomberg!I83/unit</f>
        <v>296.1552782</v>
      </c>
      <c r="K34" s="287">
        <f>Bloomberg!J83/unit</f>
        <v>432.78726330000001</v>
      </c>
      <c r="L34" s="287">
        <f>Bloomberg!K83/unit</f>
        <v>449.35162589999999</v>
      </c>
      <c r="M34" s="287">
        <f>Bloomberg!L83/unit</f>
        <v>452.49004789999998</v>
      </c>
      <c r="N34" s="287">
        <f>Bloomberg!M83/unit</f>
        <v>484.18097019999999</v>
      </c>
      <c r="O34" s="287">
        <f>Bloomberg!N83/unit</f>
        <v>499.21431380000001</v>
      </c>
      <c r="P34" s="287">
        <f>Bloomberg!O83/unit</f>
        <v>535.17764080000006</v>
      </c>
      <c r="Q34" s="335">
        <v>808.5</v>
      </c>
      <c r="R34" s="335"/>
      <c r="S34" s="335"/>
      <c r="T34" s="335"/>
      <c r="U34" s="335"/>
      <c r="V34" s="335"/>
      <c r="W34" s="335"/>
      <c r="X34" s="335"/>
    </row>
    <row r="35" spans="2:24" ht="12.75" customHeight="1">
      <c r="B35" s="8" t="s">
        <v>305</v>
      </c>
      <c r="C35" s="8"/>
      <c r="D35" s="287">
        <f>Bloomberg!C84/unit</f>
        <v>276.79123460000005</v>
      </c>
      <c r="E35" s="287">
        <f>Bloomberg!D84/unit</f>
        <v>184.18460780000001</v>
      </c>
      <c r="F35" s="287">
        <f>Bloomberg!E84/unit</f>
        <v>190.94864439999998</v>
      </c>
      <c r="G35" s="287">
        <f>Bloomberg!F84/unit</f>
        <v>189.55619179999999</v>
      </c>
      <c r="H35" s="287">
        <f>Bloomberg!G84/unit</f>
        <v>236.161215</v>
      </c>
      <c r="I35" s="287">
        <f>Bloomberg!H84/unit</f>
        <v>141.2533559</v>
      </c>
      <c r="J35" s="287">
        <f>Bloomberg!I84/unit</f>
        <v>322.6562179</v>
      </c>
      <c r="K35" s="287">
        <f>Bloomberg!J84/unit</f>
        <v>297.1136262</v>
      </c>
      <c r="L35" s="287">
        <f>Bloomberg!K84/unit</f>
        <v>147.60704269999999</v>
      </c>
      <c r="M35" s="287">
        <f>Bloomberg!L84/unit</f>
        <v>171.2502389</v>
      </c>
      <c r="N35" s="287">
        <f>Bloomberg!M84/unit</f>
        <v>227.80563579999998</v>
      </c>
      <c r="O35" s="287">
        <f>Bloomberg!N84/unit</f>
        <v>284.11638919999996</v>
      </c>
      <c r="P35" s="287">
        <f>Bloomberg!O84/unit</f>
        <v>511.05955450000005</v>
      </c>
      <c r="Q35" s="335">
        <f>150+31.6+521.2+18.1</f>
        <v>720.90000000000009</v>
      </c>
      <c r="R35" s="335"/>
      <c r="S35" s="335"/>
      <c r="T35" s="335"/>
      <c r="U35" s="335"/>
      <c r="V35" s="335"/>
      <c r="W35" s="335"/>
      <c r="X35" s="335"/>
    </row>
    <row r="36" spans="2:24" ht="12.75" customHeight="1">
      <c r="B36" s="8" t="s">
        <v>297</v>
      </c>
      <c r="C36" s="4"/>
      <c r="D36" s="287">
        <f>Bloomberg!C85/unit</f>
        <v>492.4942054</v>
      </c>
      <c r="E36" s="287">
        <f>Bloomberg!D85/unit</f>
        <v>573.89694539999994</v>
      </c>
      <c r="F36" s="287">
        <f>Bloomberg!E85/unit</f>
        <v>538.56633479999994</v>
      </c>
      <c r="G36" s="287">
        <f>Bloomberg!F85/unit</f>
        <v>580.62495550000006</v>
      </c>
      <c r="H36" s="287">
        <f>Bloomberg!G85/unit</f>
        <v>769.95377020000001</v>
      </c>
      <c r="I36" s="287">
        <f>Bloomberg!H85/unit</f>
        <v>679.78405989999999</v>
      </c>
      <c r="J36" s="287">
        <f>Bloomberg!I85/unit</f>
        <v>792.18426749999992</v>
      </c>
      <c r="K36" s="287">
        <f>Bloomberg!J85/unit</f>
        <v>934.03248270000006</v>
      </c>
      <c r="L36" s="287">
        <f>Bloomberg!K85/unit</f>
        <v>1022.6385638999999</v>
      </c>
      <c r="M36" s="287">
        <f>Bloomberg!L85/unit</f>
        <v>1080.0661522999999</v>
      </c>
      <c r="N36" s="287">
        <f>Bloomberg!M85/unit</f>
        <v>1210.7852656</v>
      </c>
      <c r="O36" s="287">
        <f>Bloomberg!N85/unit</f>
        <v>1678.8708154999999</v>
      </c>
      <c r="P36" s="287">
        <f>Bloomberg!O85/unit</f>
        <v>2047.8280741000001</v>
      </c>
      <c r="Q36" s="335">
        <f>SUM(Q31:Q35)</f>
        <v>2336.8000000000002</v>
      </c>
      <c r="R36" s="335"/>
      <c r="S36" s="335"/>
      <c r="T36" s="335"/>
      <c r="U36" s="335"/>
      <c r="V36" s="335"/>
      <c r="W36" s="335"/>
      <c r="X36" s="335"/>
    </row>
    <row r="37" spans="2:24" ht="12.75" customHeight="1">
      <c r="B37" s="8" t="s">
        <v>306</v>
      </c>
      <c r="C37" s="8"/>
      <c r="D37" s="287">
        <f>Bloomberg!C86/unit</f>
        <v>45.3650424</v>
      </c>
      <c r="E37" s="287">
        <f>Bloomberg!D86/unit</f>
        <v>46.6003294</v>
      </c>
      <c r="F37" s="287">
        <f>Bloomberg!E86/unit</f>
        <v>46.602027</v>
      </c>
      <c r="G37" s="287">
        <f>Bloomberg!F86/unit</f>
        <v>46.413282299999999</v>
      </c>
      <c r="H37" s="287">
        <f>Bloomberg!G86/unit</f>
        <v>46.368974699999995</v>
      </c>
      <c r="I37" s="287">
        <f>Bloomberg!H86/unit</f>
        <v>45.0642128</v>
      </c>
      <c r="J37" s="287">
        <f>Bloomberg!I86/unit</f>
        <v>46.540188100000002</v>
      </c>
      <c r="K37" s="287">
        <f>Bloomberg!J86/unit</f>
        <v>44.852804900000002</v>
      </c>
      <c r="L37" s="287">
        <f>Bloomberg!K86/unit</f>
        <v>44.905157500000001</v>
      </c>
      <c r="M37" s="287">
        <f>Bloomberg!L86/unit</f>
        <v>42.717163300000003</v>
      </c>
      <c r="N37" s="287">
        <f>Bloomberg!M86/unit</f>
        <v>41.0789805</v>
      </c>
      <c r="O37" s="287">
        <f>Bloomberg!N86/unit</f>
        <v>42.124220800000003</v>
      </c>
      <c r="P37" s="287">
        <f>Bloomberg!O86/unit</f>
        <v>45.642582099999998</v>
      </c>
      <c r="Q37" s="335">
        <f>23.4+1.3</f>
        <v>24.7</v>
      </c>
      <c r="R37" s="335"/>
      <c r="S37" s="335"/>
      <c r="T37" s="335"/>
      <c r="U37" s="335"/>
      <c r="V37" s="335"/>
      <c r="W37" s="335"/>
      <c r="X37" s="335"/>
    </row>
    <row r="38" spans="2:24" ht="12.75" customHeight="1">
      <c r="B38" s="8" t="s">
        <v>552</v>
      </c>
      <c r="C38" s="8"/>
      <c r="D38" s="287">
        <f>Bloomberg!C87/unit</f>
        <v>6.4451369999999999</v>
      </c>
      <c r="E38" s="287">
        <f>Bloomberg!D87/unit</f>
        <v>7.4057501000000006</v>
      </c>
      <c r="F38" s="287">
        <f>Bloomberg!E87/unit</f>
        <v>8.1760737999999993</v>
      </c>
      <c r="G38" s="287">
        <f>Bloomberg!F87/unit</f>
        <v>8.9248649000000011</v>
      </c>
      <c r="H38" s="287">
        <f>Bloomberg!G87/unit</f>
        <v>9.7054133</v>
      </c>
      <c r="I38" s="287">
        <f>Bloomberg!H87/unit</f>
        <v>9.6580491999999989</v>
      </c>
      <c r="J38" s="287">
        <f>Bloomberg!I87/unit</f>
        <v>10.638830499999999</v>
      </c>
      <c r="K38" s="287">
        <f>Bloomberg!J87/unit</f>
        <v>9.2843747000000008</v>
      </c>
      <c r="L38" s="287">
        <f>Bloomberg!K87/unit</f>
        <v>9.8157870999999997</v>
      </c>
      <c r="M38" s="287">
        <f>Bloomberg!L87/unit</f>
        <v>10.393379999999999</v>
      </c>
      <c r="N38" s="287">
        <f>Bloomberg!M87/unit</f>
        <v>9.2654938999999992</v>
      </c>
      <c r="O38" s="287">
        <f>Bloomberg!N87/unit</f>
        <v>9.8412945999999994</v>
      </c>
      <c r="P38" s="287">
        <f>Bloomberg!O87/unit</f>
        <v>10.448955700000001</v>
      </c>
      <c r="Q38" s="335">
        <f>11.1+0.58</f>
        <v>11.68</v>
      </c>
      <c r="R38" s="335"/>
      <c r="S38" s="335"/>
      <c r="T38" s="335"/>
      <c r="U38" s="335"/>
      <c r="V38" s="335"/>
      <c r="W38" s="335"/>
      <c r="X38" s="335"/>
    </row>
    <row r="39" spans="2:24" ht="12.75" customHeight="1">
      <c r="B39" s="8" t="s">
        <v>307</v>
      </c>
      <c r="C39" s="8"/>
      <c r="D39" s="287">
        <f>Bloomberg!C88/unit</f>
        <v>38.919905400000005</v>
      </c>
      <c r="E39" s="287">
        <f>Bloomberg!D88/unit</f>
        <v>39.194579300000001</v>
      </c>
      <c r="F39" s="287">
        <f>Bloomberg!E88/unit</f>
        <v>38.425953200000002</v>
      </c>
      <c r="G39" s="287">
        <f>Bloomberg!F88/unit</f>
        <v>37.488417399999996</v>
      </c>
      <c r="H39" s="287">
        <f>Bloomberg!G88/unit</f>
        <v>36.663561399999999</v>
      </c>
      <c r="I39" s="287">
        <f>Bloomberg!H88/unit</f>
        <v>35.406163599999999</v>
      </c>
      <c r="J39" s="287">
        <f>Bloomberg!I88/unit</f>
        <v>35.901357600000004</v>
      </c>
      <c r="K39" s="287">
        <f>Bloomberg!J88/unit</f>
        <v>35.568430300000003</v>
      </c>
      <c r="L39" s="287">
        <f>Bloomberg!K88/unit</f>
        <v>35.089370499999994</v>
      </c>
      <c r="M39" s="287">
        <f>Bloomberg!L88/unit</f>
        <v>32.323783200000001</v>
      </c>
      <c r="N39" s="287">
        <f>Bloomberg!M88/unit</f>
        <v>31.8134865</v>
      </c>
      <c r="O39" s="287">
        <f>Bloomberg!N88/unit</f>
        <v>32.282926199999999</v>
      </c>
      <c r="P39" s="287">
        <f>Bloomberg!O88/unit</f>
        <v>35.193626399999999</v>
      </c>
      <c r="Q39" s="335">
        <f>Q37-Q38</f>
        <v>13.02</v>
      </c>
      <c r="R39" s="335"/>
      <c r="S39" s="335"/>
      <c r="T39" s="335"/>
      <c r="U39" s="335"/>
      <c r="V39" s="335"/>
      <c r="W39" s="335"/>
      <c r="X39" s="335"/>
    </row>
    <row r="40" spans="2:24" ht="12.75" customHeight="1">
      <c r="B40" s="8" t="s">
        <v>308</v>
      </c>
      <c r="C40" s="8"/>
      <c r="D40" s="287">
        <f>Bloomberg!C89/unit</f>
        <v>180.2708221</v>
      </c>
      <c r="E40" s="287">
        <f>Bloomberg!D89/unit</f>
        <v>151.3167646</v>
      </c>
      <c r="F40" s="287">
        <f>Bloomberg!E89/unit</f>
        <v>179.72626360000001</v>
      </c>
      <c r="G40" s="287">
        <f>Bloomberg!F89/unit</f>
        <v>110.14464969999999</v>
      </c>
      <c r="H40" s="287">
        <f>Bloomberg!G89/unit</f>
        <v>110.14464969999999</v>
      </c>
      <c r="I40" s="287">
        <f>Bloomberg!H89/unit</f>
        <v>155.69258809999999</v>
      </c>
      <c r="J40" s="287">
        <f>Bloomberg!I89/unit</f>
        <v>110.25801540000001</v>
      </c>
      <c r="K40" s="287">
        <f>Bloomberg!J89/unit</f>
        <v>110.14464969999999</v>
      </c>
      <c r="L40" s="287">
        <f>Bloomberg!K89/unit</f>
        <v>82.062776199999988</v>
      </c>
      <c r="M40" s="287">
        <f>Bloomberg!L89/unit</f>
        <v>82.062776199999988</v>
      </c>
      <c r="N40" s="287">
        <f>Bloomberg!M89/unit</f>
        <v>82.062776199999988</v>
      </c>
      <c r="O40" s="287">
        <f>Bloomberg!N89/unit</f>
        <v>0</v>
      </c>
      <c r="P40" s="287">
        <f>Bloomberg!O89/unit</f>
        <v>0.71216849999999998</v>
      </c>
      <c r="Q40" s="335">
        <v>350.5</v>
      </c>
      <c r="R40" s="335"/>
      <c r="S40" s="335"/>
      <c r="T40" s="335"/>
      <c r="U40" s="335"/>
      <c r="V40" s="335"/>
      <c r="W40" s="335"/>
      <c r="X40" s="335"/>
    </row>
    <row r="41" spans="2:24" ht="12.75" customHeight="1">
      <c r="B41" s="8" t="s">
        <v>553</v>
      </c>
      <c r="C41" s="8"/>
      <c r="D41" s="287">
        <f>Bloomberg!C90/unit</f>
        <v>82.844039000000009</v>
      </c>
      <c r="E41" s="287">
        <f>Bloomberg!D90/unit</f>
        <v>109.54275389999999</v>
      </c>
      <c r="F41" s="287">
        <f>Bloomberg!E90/unit</f>
        <v>87.667519499999997</v>
      </c>
      <c r="G41" s="287">
        <f>Bloomberg!F90/unit</f>
        <v>88.194153700000001</v>
      </c>
      <c r="H41" s="287">
        <f>Bloomberg!G90/unit</f>
        <v>87.027956099999997</v>
      </c>
      <c r="I41" s="287">
        <f>Bloomberg!H90/unit</f>
        <v>167.8527138</v>
      </c>
      <c r="J41" s="287">
        <f>Bloomberg!I90/unit</f>
        <v>176.44258389999999</v>
      </c>
      <c r="K41" s="287">
        <f>Bloomberg!J90/unit</f>
        <v>188.46950469999999</v>
      </c>
      <c r="L41" s="287">
        <f>Bloomberg!K90/unit</f>
        <v>358.26733610000002</v>
      </c>
      <c r="M41" s="287">
        <f>Bloomberg!L90/unit</f>
        <v>383.19723590000001</v>
      </c>
      <c r="N41" s="287">
        <f>Bloomberg!M90/unit</f>
        <v>359.79549949999995</v>
      </c>
      <c r="O41" s="287">
        <f>Bloomberg!N90/unit</f>
        <v>449.2990906</v>
      </c>
      <c r="P41" s="287">
        <f>Bloomberg!O90/unit</f>
        <v>425.55356339999997</v>
      </c>
      <c r="Q41" s="335">
        <f>0.7+166.1+0.2+102.4</f>
        <v>269.39999999999998</v>
      </c>
      <c r="R41" s="335"/>
      <c r="S41" s="335"/>
      <c r="T41" s="335"/>
      <c r="U41" s="335"/>
      <c r="V41" s="335"/>
      <c r="W41" s="335"/>
      <c r="X41" s="335"/>
    </row>
    <row r="42" spans="2:24" ht="12.75" customHeight="1">
      <c r="B42" s="8" t="s">
        <v>554</v>
      </c>
      <c r="C42" s="4"/>
      <c r="D42" s="287">
        <f>Bloomberg!C91/unit</f>
        <v>302.03476650000005</v>
      </c>
      <c r="E42" s="287">
        <f>Bloomberg!D91/unit</f>
        <v>300.05409779999997</v>
      </c>
      <c r="F42" s="287">
        <f>Bloomberg!E91/unit</f>
        <v>305.81973629999999</v>
      </c>
      <c r="G42" s="287">
        <f>Bloomberg!F91/unit</f>
        <v>235.82722089999999</v>
      </c>
      <c r="H42" s="287">
        <f>Bloomberg!G91/unit</f>
        <v>233.83616720000001</v>
      </c>
      <c r="I42" s="287">
        <f>Bloomberg!H91/unit</f>
        <v>358.95146549999998</v>
      </c>
      <c r="J42" s="287">
        <f>Bloomberg!I91/unit</f>
        <v>322.60195699999997</v>
      </c>
      <c r="K42" s="287">
        <f>Bloomberg!J91/unit</f>
        <v>334.18258470000001</v>
      </c>
      <c r="L42" s="287">
        <f>Bloomberg!K91/unit</f>
        <v>475.41948280000003</v>
      </c>
      <c r="M42" s="287">
        <f>Bloomberg!L91/unit</f>
        <v>497.58379539999999</v>
      </c>
      <c r="N42" s="287">
        <f>Bloomberg!M91/unit</f>
        <v>473.67176219999999</v>
      </c>
      <c r="O42" s="287">
        <f>Bloomberg!N91/unit</f>
        <v>481.58201679999996</v>
      </c>
      <c r="P42" s="287">
        <f>Bloomberg!O91/unit</f>
        <v>461.45935830000002</v>
      </c>
      <c r="Q42" s="335">
        <f>SUM(Q39:Q41)</f>
        <v>632.91999999999996</v>
      </c>
      <c r="R42" s="335"/>
      <c r="S42" s="335"/>
      <c r="T42" s="335"/>
      <c r="U42" s="335"/>
      <c r="V42" s="335"/>
      <c r="W42" s="335"/>
      <c r="X42" s="335"/>
    </row>
    <row r="43" spans="2:24" ht="12.75" customHeight="1">
      <c r="B43" s="4" t="s">
        <v>555</v>
      </c>
      <c r="C43" s="4"/>
      <c r="D43" s="289">
        <f>Bloomberg!C92/unit</f>
        <v>794.52897180000002</v>
      </c>
      <c r="E43" s="289">
        <f>Bloomberg!D92/unit</f>
        <v>873.95104319999996</v>
      </c>
      <c r="F43" s="289">
        <f>Bloomberg!E92/unit</f>
        <v>844.38607109999998</v>
      </c>
      <c r="G43" s="289">
        <f>Bloomberg!F92/unit</f>
        <v>816.45217649999995</v>
      </c>
      <c r="H43" s="289">
        <f>Bloomberg!G92/unit</f>
        <v>1003.7899374000001</v>
      </c>
      <c r="I43" s="289">
        <f>Bloomberg!H92/unit</f>
        <v>1038.7355255</v>
      </c>
      <c r="J43" s="289">
        <f>Bloomberg!I92/unit</f>
        <v>1114.7862245000001</v>
      </c>
      <c r="K43" s="289">
        <f>Bloomberg!J92/unit</f>
        <v>1268.2150674999998</v>
      </c>
      <c r="L43" s="289">
        <f>Bloomberg!K92/unit</f>
        <v>1498.0580467</v>
      </c>
      <c r="M43" s="289">
        <f>Bloomberg!L92/unit</f>
        <v>1577.6499476000001</v>
      </c>
      <c r="N43" s="289">
        <f>Bloomberg!M92/unit</f>
        <v>1684.4570278000001</v>
      </c>
      <c r="O43" s="289">
        <f>Bloomberg!N92/unit</f>
        <v>2160.4528323</v>
      </c>
      <c r="P43" s="289">
        <f>Bloomberg!O92/unit</f>
        <v>2509.2874323999999</v>
      </c>
      <c r="Q43" s="336">
        <f>Q42+Q36</f>
        <v>2969.7200000000003</v>
      </c>
      <c r="R43" s="336"/>
      <c r="S43" s="336"/>
      <c r="T43" s="336"/>
      <c r="U43" s="336"/>
      <c r="V43" s="336"/>
      <c r="W43" s="336"/>
      <c r="X43" s="336"/>
    </row>
    <row r="44" spans="2:24" ht="12.75" customHeight="1">
      <c r="B44" s="8"/>
      <c r="C44" s="8"/>
      <c r="D44" s="287"/>
      <c r="E44" s="287"/>
      <c r="F44" s="287"/>
      <c r="G44" s="287"/>
      <c r="H44" s="288"/>
      <c r="I44" s="288"/>
      <c r="J44" s="287"/>
      <c r="K44" s="287"/>
      <c r="L44" s="287"/>
      <c r="M44" s="287"/>
      <c r="N44" s="287"/>
      <c r="O44" s="287"/>
      <c r="P44" s="287"/>
      <c r="Q44" s="21"/>
      <c r="R44" s="21"/>
      <c r="S44" s="21"/>
      <c r="T44" s="21"/>
      <c r="U44" s="21"/>
      <c r="V44" s="21"/>
      <c r="W44" s="21"/>
      <c r="X44" s="21"/>
    </row>
    <row r="45" spans="2:24" ht="12.75" customHeight="1">
      <c r="B45" s="4" t="s">
        <v>556</v>
      </c>
      <c r="C45" s="4"/>
      <c r="D45" s="287"/>
      <c r="E45" s="287"/>
      <c r="F45" s="287"/>
      <c r="G45" s="287"/>
      <c r="H45" s="288"/>
      <c r="I45" s="288"/>
      <c r="J45" s="287"/>
      <c r="K45" s="287"/>
      <c r="L45" s="287"/>
      <c r="M45" s="287"/>
      <c r="N45" s="287"/>
      <c r="O45" s="287"/>
      <c r="P45" s="287"/>
      <c r="Q45" s="21"/>
      <c r="R45" s="21"/>
      <c r="S45" s="21"/>
      <c r="T45" s="21"/>
      <c r="U45" s="21"/>
      <c r="V45" s="21"/>
      <c r="W45" s="21"/>
      <c r="X45" s="21"/>
    </row>
    <row r="46" spans="2:24" ht="12.75" customHeight="1">
      <c r="B46" s="8" t="s">
        <v>310</v>
      </c>
      <c r="C46" s="8"/>
      <c r="D46" s="287">
        <f>Bloomberg!C93/unit</f>
        <v>4.5999853999999996</v>
      </c>
      <c r="E46" s="287">
        <f>Bloomberg!D93/unit</f>
        <v>22.244769400000003</v>
      </c>
      <c r="F46" s="287">
        <f>Bloomberg!E93/unit</f>
        <v>27.617792900000001</v>
      </c>
      <c r="G46" s="287">
        <f>Bloomberg!F93/unit</f>
        <v>35.762860400000001</v>
      </c>
      <c r="H46" s="287">
        <f>Bloomberg!G93/unit</f>
        <v>26.918734300000001</v>
      </c>
      <c r="I46" s="287">
        <f>Bloomberg!H93/unit</f>
        <v>22.4560587</v>
      </c>
      <c r="J46" s="287">
        <f>Bloomberg!I93/unit</f>
        <v>15.647812900000002</v>
      </c>
      <c r="K46" s="287">
        <f>Bloomberg!J93/unit</f>
        <v>21.303074199999998</v>
      </c>
      <c r="L46" s="287">
        <f>Bloomberg!K93/unit</f>
        <v>19.7291968</v>
      </c>
      <c r="M46" s="287">
        <f>Bloomberg!L93/unit</f>
        <v>23.2338573</v>
      </c>
      <c r="N46" s="287">
        <f>Bloomberg!M93/unit</f>
        <v>28.476543000000003</v>
      </c>
      <c r="O46" s="287">
        <f>Bloomberg!N93/unit</f>
        <v>55.022481800000001</v>
      </c>
      <c r="P46" s="287">
        <f>Bloomberg!O93/unit</f>
        <v>44.978851300000002</v>
      </c>
      <c r="Q46" s="335">
        <v>66.099999999999994</v>
      </c>
      <c r="R46" s="335"/>
      <c r="S46" s="335"/>
      <c r="T46" s="335"/>
      <c r="U46" s="335"/>
      <c r="V46" s="335"/>
      <c r="W46" s="335"/>
      <c r="X46" s="335"/>
    </row>
    <row r="47" spans="2:24" ht="12.75" customHeight="1">
      <c r="B47" s="8" t="s">
        <v>311</v>
      </c>
      <c r="C47" s="8"/>
      <c r="D47" s="287">
        <f>Bloomberg!C94/unit</f>
        <v>71.95</v>
      </c>
      <c r="E47" s="287">
        <f>Bloomberg!D94/unit</f>
        <v>24.95</v>
      </c>
      <c r="F47" s="287">
        <f>Bloomberg!E94/unit</f>
        <v>24.95</v>
      </c>
      <c r="G47" s="287">
        <f>Bloomberg!F94/unit</f>
        <v>0.45</v>
      </c>
      <c r="H47" s="287">
        <f>Bloomberg!G94/unit</f>
        <v>1.18</v>
      </c>
      <c r="I47" s="287">
        <f>Bloomberg!H94/unit</f>
        <v>0.25</v>
      </c>
      <c r="J47" s="287">
        <f>Bloomberg!I94/unit</f>
        <v>0.25</v>
      </c>
      <c r="K47" s="287">
        <f>Bloomberg!J94/unit</f>
        <v>0</v>
      </c>
      <c r="L47" s="287">
        <f>Bloomberg!K94/unit</f>
        <v>0</v>
      </c>
      <c r="M47" s="287">
        <f>Bloomberg!L94/unit</f>
        <v>0</v>
      </c>
      <c r="N47" s="287">
        <f>Bloomberg!M94/unit</f>
        <v>0</v>
      </c>
      <c r="O47" s="287">
        <f>Bloomberg!N94/unit</f>
        <v>1</v>
      </c>
      <c r="P47" s="287">
        <f>Bloomberg!O94/unit</f>
        <v>1.1439999999999999</v>
      </c>
      <c r="Q47" s="335">
        <v>14.2</v>
      </c>
      <c r="R47" s="335"/>
      <c r="S47" s="335"/>
      <c r="T47" s="335"/>
      <c r="U47" s="335"/>
      <c r="V47" s="335"/>
      <c r="W47" s="335"/>
      <c r="X47" s="335"/>
    </row>
    <row r="48" spans="2:24" ht="12.75" customHeight="1">
      <c r="B48" s="8" t="s">
        <v>293</v>
      </c>
      <c r="C48" s="8"/>
      <c r="D48" s="287">
        <f>Bloomberg!C95/unit</f>
        <v>251.8291682</v>
      </c>
      <c r="E48" s="287">
        <f>Bloomberg!D95/unit</f>
        <v>352.34943930000003</v>
      </c>
      <c r="F48" s="287">
        <f>Bloomberg!E95/unit</f>
        <v>290.14219650000001</v>
      </c>
      <c r="G48" s="287">
        <f>Bloomberg!F95/unit</f>
        <v>196.745777</v>
      </c>
      <c r="H48" s="287">
        <f>Bloomberg!G95/unit</f>
        <v>395.07431350000002</v>
      </c>
      <c r="I48" s="287">
        <f>Bloomberg!H95/unit</f>
        <v>413.66190440000003</v>
      </c>
      <c r="J48" s="287">
        <f>Bloomberg!I95/unit</f>
        <v>464.62247379999997</v>
      </c>
      <c r="K48" s="287">
        <f>Bloomberg!J95/unit</f>
        <v>509.92334600000004</v>
      </c>
      <c r="L48" s="287">
        <f>Bloomberg!K95/unit</f>
        <v>505.549756</v>
      </c>
      <c r="M48" s="287">
        <f>Bloomberg!L95/unit</f>
        <v>540.22804989999997</v>
      </c>
      <c r="N48" s="287">
        <f>Bloomberg!M95/unit</f>
        <v>635.12743649999993</v>
      </c>
      <c r="O48" s="287">
        <f>Bloomberg!N95/unit</f>
        <v>909.34066830000006</v>
      </c>
      <c r="P48" s="287">
        <f>Bloomberg!O95/unit</f>
        <v>869.29381750000005</v>
      </c>
      <c r="Q48" s="335">
        <f>1105.8-Q46-Q47</f>
        <v>1025.5</v>
      </c>
      <c r="R48" s="335"/>
      <c r="S48" s="335"/>
      <c r="T48" s="335"/>
      <c r="U48" s="335"/>
      <c r="V48" s="335"/>
      <c r="W48" s="335"/>
      <c r="X48" s="335"/>
    </row>
    <row r="49" spans="2:24" ht="12.75" customHeight="1">
      <c r="B49" s="8" t="s">
        <v>302</v>
      </c>
      <c r="C49" s="4"/>
      <c r="D49" s="287">
        <f>Bloomberg!C96/unit</f>
        <v>328.37915350000003</v>
      </c>
      <c r="E49" s="287">
        <f>Bloomberg!D96/unit</f>
        <v>399.54420870000001</v>
      </c>
      <c r="F49" s="287">
        <f>Bloomberg!E96/unit</f>
        <v>342.70998940000004</v>
      </c>
      <c r="G49" s="287">
        <f>Bloomberg!F96/unit</f>
        <v>232.95863740000001</v>
      </c>
      <c r="H49" s="287">
        <f>Bloomberg!G96/unit</f>
        <v>423.17304780000001</v>
      </c>
      <c r="I49" s="287">
        <f>Bloomberg!H96/unit</f>
        <v>436.3679631</v>
      </c>
      <c r="J49" s="287">
        <f>Bloomberg!I96/unit</f>
        <v>480.52028660000002</v>
      </c>
      <c r="K49" s="287">
        <f>Bloomberg!J96/unit</f>
        <v>531.22642020000001</v>
      </c>
      <c r="L49" s="287">
        <f>Bloomberg!K96/unit</f>
        <v>525.27895279999996</v>
      </c>
      <c r="M49" s="287">
        <f>Bloomberg!L96/unit</f>
        <v>563.46190730000001</v>
      </c>
      <c r="N49" s="287">
        <f>Bloomberg!M96/unit</f>
        <v>663.60397939999996</v>
      </c>
      <c r="O49" s="287">
        <f>Bloomberg!N96/unit</f>
        <v>965.36315009999998</v>
      </c>
      <c r="P49" s="287">
        <f>Bloomberg!O96/unit</f>
        <v>915.41666880000002</v>
      </c>
      <c r="Q49" s="335">
        <f>SUM(Q46:Q48)</f>
        <v>1105.8</v>
      </c>
      <c r="R49" s="335"/>
      <c r="S49" s="335"/>
      <c r="T49" s="335"/>
      <c r="U49" s="335"/>
      <c r="V49" s="335"/>
      <c r="W49" s="335"/>
      <c r="X49" s="335"/>
    </row>
    <row r="50" spans="2:24" ht="12.75" customHeight="1">
      <c r="B50" s="8" t="s">
        <v>298</v>
      </c>
      <c r="C50" s="8"/>
      <c r="D50" s="287">
        <f>Bloomberg!C97/unit</f>
        <v>12.088175999999999</v>
      </c>
      <c r="E50" s="287">
        <f>Bloomberg!D97/unit</f>
        <v>12.061536</v>
      </c>
      <c r="F50" s="287">
        <f>Bloomberg!E97/unit</f>
        <v>12.034896</v>
      </c>
      <c r="G50" s="287">
        <f>Bloomberg!F97/unit</f>
        <v>0.11576</v>
      </c>
      <c r="H50" s="287">
        <f>Bloomberg!G97/unit</f>
        <v>8.9120000000000005E-2</v>
      </c>
      <c r="I50" s="287">
        <f>Bloomberg!H97/unit</f>
        <v>6.2479999999999994E-2</v>
      </c>
      <c r="J50" s="287">
        <f>Bloomberg!I97/unit</f>
        <v>0.35</v>
      </c>
      <c r="K50" s="287">
        <f>Bloomberg!J97/unit</f>
        <v>69.713999999999999</v>
      </c>
      <c r="L50" s="287">
        <f>Bloomberg!K97/unit</f>
        <v>69.683999999999997</v>
      </c>
      <c r="M50" s="287">
        <f>Bloomberg!L97/unit</f>
        <v>69.653999999999996</v>
      </c>
      <c r="N50" s="287">
        <f>Bloomberg!M97/unit</f>
        <v>69.623999999999995</v>
      </c>
      <c r="O50" s="287">
        <f>Bloomberg!N97/unit</f>
        <v>119.10941340000001</v>
      </c>
      <c r="P50" s="287">
        <f>Bloomberg!O97/unit</f>
        <v>177.92313849999999</v>
      </c>
      <c r="Q50" s="335">
        <v>230.8</v>
      </c>
      <c r="R50" s="335"/>
      <c r="S50" s="335"/>
      <c r="T50" s="335"/>
      <c r="U50" s="335"/>
      <c r="V50" s="335"/>
      <c r="W50" s="335"/>
      <c r="X50" s="335"/>
    </row>
    <row r="51" spans="2:24" ht="12.75" customHeight="1">
      <c r="B51" s="8" t="s">
        <v>312</v>
      </c>
      <c r="C51" s="8"/>
      <c r="D51" s="287">
        <f>Bloomberg!C98/unit</f>
        <v>3.2471991999999998</v>
      </c>
      <c r="E51" s="287">
        <f>Bloomberg!D98/unit</f>
        <v>3.2308047000000002</v>
      </c>
      <c r="F51" s="287">
        <f>Bloomberg!E98/unit</f>
        <v>3.2621644000000001</v>
      </c>
      <c r="G51" s="287">
        <f>Bloomberg!F98/unit</f>
        <v>3.7836345000000002</v>
      </c>
      <c r="H51" s="287">
        <f>Bloomberg!G98/unit</f>
        <v>3.7951907</v>
      </c>
      <c r="I51" s="287">
        <f>Bloomberg!H98/unit</f>
        <v>3.6967468999999999</v>
      </c>
      <c r="J51" s="287">
        <f>Bloomberg!I98/unit</f>
        <v>3.6783031999999998</v>
      </c>
      <c r="K51" s="287">
        <f>Bloomberg!J98/unit</f>
        <v>3.6598595999999999</v>
      </c>
      <c r="L51" s="287">
        <f>Bloomberg!K98/unit</f>
        <v>3.6414158000000003</v>
      </c>
      <c r="M51" s="287">
        <f>Bloomberg!L98/unit</f>
        <v>3.7632928000000003</v>
      </c>
      <c r="N51" s="287">
        <f>Bloomberg!M98/unit</f>
        <v>3.7448488000000002</v>
      </c>
      <c r="O51" s="287">
        <f>Bloomberg!N98/unit</f>
        <v>3.7527789999999999</v>
      </c>
      <c r="P51" s="287">
        <f>Bloomberg!O98/unit</f>
        <v>41.198764799999999</v>
      </c>
      <c r="Q51" s="335">
        <f>337.9-Q50</f>
        <v>107.09999999999997</v>
      </c>
      <c r="R51" s="335"/>
      <c r="S51" s="335"/>
      <c r="T51" s="335"/>
      <c r="U51" s="335"/>
      <c r="V51" s="335"/>
      <c r="W51" s="335"/>
      <c r="X51" s="335"/>
    </row>
    <row r="52" spans="2:24" ht="12.75" customHeight="1">
      <c r="B52" s="8" t="s">
        <v>303</v>
      </c>
      <c r="C52" s="4"/>
      <c r="D52" s="287">
        <f>Bloomberg!C99/unit</f>
        <v>15.3353752</v>
      </c>
      <c r="E52" s="287">
        <f>Bloomberg!D99/unit</f>
        <v>15.2923407</v>
      </c>
      <c r="F52" s="287">
        <f>Bloomberg!E99/unit</f>
        <v>15.2970603</v>
      </c>
      <c r="G52" s="287">
        <f>Bloomberg!F99/unit</f>
        <v>3.8993945000000001</v>
      </c>
      <c r="H52" s="287">
        <f>Bloomberg!G99/unit</f>
        <v>3.8843106999999999</v>
      </c>
      <c r="I52" s="287">
        <f>Bloomberg!H99/unit</f>
        <v>3.7592269000000003</v>
      </c>
      <c r="J52" s="287">
        <f>Bloomberg!I99/unit</f>
        <v>4.0283031999999999</v>
      </c>
      <c r="K52" s="287">
        <f>Bloomberg!J99/unit</f>
        <v>73.373859600000003</v>
      </c>
      <c r="L52" s="287">
        <f>Bloomberg!K99/unit</f>
        <v>73.325415800000002</v>
      </c>
      <c r="M52" s="287">
        <f>Bloomberg!L99/unit</f>
        <v>73.417292799999998</v>
      </c>
      <c r="N52" s="287">
        <f>Bloomberg!M99/unit</f>
        <v>73.368848800000009</v>
      </c>
      <c r="O52" s="287">
        <f>Bloomberg!N99/unit</f>
        <v>122.8621924</v>
      </c>
      <c r="P52" s="287">
        <f>Bloomberg!O99/unit</f>
        <v>219.12190330000001</v>
      </c>
      <c r="Q52" s="335">
        <f>SUM(Q50:Q51)</f>
        <v>337.9</v>
      </c>
      <c r="R52" s="335"/>
      <c r="S52" s="335"/>
      <c r="T52" s="335"/>
      <c r="U52" s="335"/>
      <c r="V52" s="335"/>
      <c r="W52" s="335"/>
      <c r="X52" s="335"/>
    </row>
    <row r="53" spans="2:24" ht="12.75" customHeight="1">
      <c r="B53" s="8" t="s">
        <v>557</v>
      </c>
      <c r="C53" s="4"/>
      <c r="D53" s="287">
        <f>Bloomberg!C100/unit</f>
        <v>343.71452870000002</v>
      </c>
      <c r="E53" s="287">
        <f>Bloomberg!D100/unit</f>
        <v>414.83654940000002</v>
      </c>
      <c r="F53" s="287">
        <f>Bloomberg!E100/unit</f>
        <v>358.00704969999998</v>
      </c>
      <c r="G53" s="287">
        <f>Bloomberg!F100/unit</f>
        <v>236.85803179999999</v>
      </c>
      <c r="H53" s="287">
        <f>Bloomberg!G100/unit</f>
        <v>427.05735849999996</v>
      </c>
      <c r="I53" s="287">
        <f>Bloomberg!H100/unit</f>
        <v>440.12719010000001</v>
      </c>
      <c r="J53" s="287">
        <f>Bloomberg!I100/unit</f>
        <v>484.5485898</v>
      </c>
      <c r="K53" s="287">
        <f>Bloomberg!J100/unit</f>
        <v>604.60027980000007</v>
      </c>
      <c r="L53" s="287">
        <f>Bloomberg!K100/unit</f>
        <v>598.60436860000004</v>
      </c>
      <c r="M53" s="287">
        <f>Bloomberg!L100/unit</f>
        <v>636.87919999999997</v>
      </c>
      <c r="N53" s="287">
        <f>Bloomberg!M100/unit</f>
        <v>736.97282819999998</v>
      </c>
      <c r="O53" s="287">
        <f>Bloomberg!N100/unit</f>
        <v>1088.2253425000001</v>
      </c>
      <c r="P53" s="287">
        <f>Bloomberg!O100/unit</f>
        <v>1134.5385721</v>
      </c>
      <c r="Q53" s="335">
        <f>Q52+Q49</f>
        <v>1443.6999999999998</v>
      </c>
      <c r="R53" s="335"/>
      <c r="S53" s="335"/>
      <c r="T53" s="335"/>
      <c r="U53" s="335"/>
      <c r="V53" s="335"/>
      <c r="W53" s="335"/>
      <c r="X53" s="335"/>
    </row>
    <row r="54" spans="2:24" ht="12.75" customHeight="1">
      <c r="B54" s="8" t="s">
        <v>314</v>
      </c>
      <c r="C54" s="8"/>
      <c r="D54" s="287">
        <f>Bloomberg!C101/unit</f>
        <v>0</v>
      </c>
      <c r="E54" s="287">
        <f>Bloomberg!D101/unit</f>
        <v>0</v>
      </c>
      <c r="F54" s="287">
        <f>Bloomberg!E101/unit</f>
        <v>0</v>
      </c>
      <c r="G54" s="287">
        <f>Bloomberg!F101/unit</f>
        <v>0</v>
      </c>
      <c r="H54" s="287">
        <f>Bloomberg!G101/unit</f>
        <v>0</v>
      </c>
      <c r="I54" s="287">
        <f>Bloomberg!H101/unit</f>
        <v>0</v>
      </c>
      <c r="J54" s="287">
        <f>Bloomberg!I101/unit</f>
        <v>0</v>
      </c>
      <c r="K54" s="287">
        <f>Bloomberg!J101/unit</f>
        <v>0</v>
      </c>
      <c r="L54" s="287">
        <f>Bloomberg!K101/unit</f>
        <v>0</v>
      </c>
      <c r="M54" s="287">
        <f>Bloomberg!L101/unit</f>
        <v>0</v>
      </c>
      <c r="N54" s="287">
        <f>Bloomberg!M101/unit</f>
        <v>0</v>
      </c>
      <c r="O54" s="287">
        <f>Bloomberg!N101/unit</f>
        <v>0</v>
      </c>
      <c r="P54" s="287">
        <f>Bloomberg!O101/unit</f>
        <v>0</v>
      </c>
      <c r="Q54" s="335">
        <v>0</v>
      </c>
      <c r="R54" s="335"/>
      <c r="S54" s="335"/>
      <c r="T54" s="335"/>
      <c r="U54" s="335"/>
      <c r="V54" s="335"/>
      <c r="W54" s="335"/>
      <c r="X54" s="335"/>
    </row>
    <row r="55" spans="2:24" ht="12.75" customHeight="1">
      <c r="B55" s="8" t="s">
        <v>69</v>
      </c>
      <c r="C55" s="8"/>
      <c r="D55" s="287">
        <f>Bloomberg!C102/unit</f>
        <v>32.185270799999998</v>
      </c>
      <c r="E55" s="287">
        <f>Bloomberg!D102/unit</f>
        <v>32.185270799999998</v>
      </c>
      <c r="F55" s="287">
        <f>Bloomberg!E102/unit</f>
        <v>32.185270799999998</v>
      </c>
      <c r="G55" s="287">
        <f>Bloomberg!F102/unit</f>
        <v>31.9802708</v>
      </c>
      <c r="H55" s="287">
        <f>Bloomberg!G102/unit</f>
        <v>31.9802708</v>
      </c>
      <c r="I55" s="287">
        <f>Bloomberg!H102/unit</f>
        <v>10.982380800000001</v>
      </c>
      <c r="J55" s="287">
        <f>Bloomberg!I102/unit</f>
        <v>10.982380800000001</v>
      </c>
      <c r="K55" s="287">
        <f>Bloomberg!J102/unit</f>
        <v>10.982380800000001</v>
      </c>
      <c r="L55" s="287">
        <f>Bloomberg!K102/unit</f>
        <v>10.8679808</v>
      </c>
      <c r="M55" s="287">
        <f>Bloomberg!L102/unit</f>
        <v>10.8679808</v>
      </c>
      <c r="N55" s="287">
        <f>Bloomberg!M102/unit</f>
        <v>10.8679808</v>
      </c>
      <c r="O55" s="287">
        <f>Bloomberg!N102/unit</f>
        <v>10.8679808</v>
      </c>
      <c r="P55" s="287">
        <f>Bloomberg!O102/unit</f>
        <v>10.8679808</v>
      </c>
      <c r="Q55" s="335">
        <v>10.3</v>
      </c>
      <c r="R55" s="335"/>
      <c r="S55" s="335"/>
      <c r="T55" s="335"/>
      <c r="U55" s="335"/>
      <c r="V55" s="335"/>
      <c r="W55" s="335"/>
      <c r="X55" s="335"/>
    </row>
    <row r="56" spans="2:24" ht="12.75" customHeight="1">
      <c r="B56" s="8" t="s">
        <v>315</v>
      </c>
      <c r="C56" s="8"/>
      <c r="D56" s="287">
        <f>Bloomberg!C103/unit</f>
        <v>320</v>
      </c>
      <c r="E56" s="287">
        <f>Bloomberg!D103/unit</f>
        <v>320</v>
      </c>
      <c r="F56" s="287">
        <f>Bloomberg!E103/unit</f>
        <v>320</v>
      </c>
      <c r="G56" s="287">
        <f>Bloomberg!F103/unit</f>
        <v>420</v>
      </c>
      <c r="H56" s="287">
        <f>Bloomberg!G103/unit</f>
        <v>420</v>
      </c>
      <c r="I56" s="287">
        <f>Bloomberg!H103/unit</f>
        <v>524.9968100000001</v>
      </c>
      <c r="J56" s="287">
        <f>Bloomberg!I103/unit</f>
        <v>527.9968100000001</v>
      </c>
      <c r="K56" s="287">
        <f>Bloomberg!J103/unit</f>
        <v>527.9968100000001</v>
      </c>
      <c r="L56" s="287">
        <f>Bloomberg!K103/unit</f>
        <v>750</v>
      </c>
      <c r="M56" s="287">
        <f>Bloomberg!L103/unit</f>
        <v>750</v>
      </c>
      <c r="N56" s="287">
        <f>Bloomberg!M103/unit</f>
        <v>750</v>
      </c>
      <c r="O56" s="287">
        <f>Bloomberg!N103/unit</f>
        <v>750</v>
      </c>
      <c r="P56" s="287">
        <f>Bloomberg!O103/unit</f>
        <v>1007</v>
      </c>
      <c r="Q56" s="335">
        <v>1062.4000000000001</v>
      </c>
      <c r="R56" s="335"/>
      <c r="S56" s="335"/>
      <c r="T56" s="335"/>
      <c r="U56" s="335"/>
      <c r="V56" s="335"/>
      <c r="W56" s="335"/>
      <c r="X56" s="335"/>
    </row>
    <row r="57" spans="2:24" ht="12.75" customHeight="1">
      <c r="B57" s="8" t="s">
        <v>558</v>
      </c>
      <c r="C57" s="8"/>
      <c r="D57" s="287">
        <f>Bloomberg!C104/unit</f>
        <v>49.229182899999998</v>
      </c>
      <c r="E57" s="287">
        <f>Bloomberg!D104/unit</f>
        <v>54.917076000000002</v>
      </c>
      <c r="F57" s="287">
        <f>Bloomberg!E104/unit</f>
        <v>80.410414000000003</v>
      </c>
      <c r="G57" s="287">
        <f>Bloomberg!F104/unit</f>
        <v>103.75582859999999</v>
      </c>
      <c r="H57" s="287">
        <f>Bloomberg!G104/unit</f>
        <v>102.32484119999999</v>
      </c>
      <c r="I57" s="287">
        <f>Bloomberg!H104/unit</f>
        <v>38.400854599999995</v>
      </c>
      <c r="J57" s="287">
        <f>Bloomberg!I104/unit</f>
        <v>65.480140500000005</v>
      </c>
      <c r="K57" s="287">
        <f>Bloomberg!J104/unit</f>
        <v>94.153803799999991</v>
      </c>
      <c r="L57" s="287">
        <f>Bloomberg!K104/unit</f>
        <v>107.24419040000001</v>
      </c>
      <c r="M57" s="287">
        <f>Bloomberg!L104/unit</f>
        <v>135.1252599</v>
      </c>
      <c r="N57" s="287">
        <f>Bloomberg!M104/unit</f>
        <v>136.04851410000001</v>
      </c>
      <c r="O57" s="287">
        <f>Bloomberg!N104/unit</f>
        <v>241.89213329999998</v>
      </c>
      <c r="P57" s="287">
        <f>Bloomberg!O104/unit</f>
        <v>266.4569272</v>
      </c>
      <c r="Q57" s="1246">
        <f>307.4+17.5</f>
        <v>324.89999999999998</v>
      </c>
      <c r="R57" s="335"/>
      <c r="S57" s="335"/>
      <c r="T57" s="335"/>
      <c r="U57" s="335"/>
      <c r="V57" s="335"/>
      <c r="W57" s="335"/>
      <c r="X57" s="335"/>
    </row>
    <row r="58" spans="2:24" ht="12.75" customHeight="1">
      <c r="B58" s="8" t="s">
        <v>316</v>
      </c>
      <c r="C58" s="8"/>
      <c r="D58" s="287">
        <f>Bloomberg!C105/unit</f>
        <v>49.399989399999995</v>
      </c>
      <c r="E58" s="287">
        <f>Bloomberg!D105/unit</f>
        <v>52.012146999999999</v>
      </c>
      <c r="F58" s="287">
        <f>Bloomberg!E105/unit</f>
        <v>53.783336499999997</v>
      </c>
      <c r="G58" s="287">
        <f>Bloomberg!F105/unit</f>
        <v>23.858045199999999</v>
      </c>
      <c r="H58" s="287">
        <f>Bloomberg!G105/unit</f>
        <v>22.427467</v>
      </c>
      <c r="I58" s="287">
        <f>Bloomberg!H105/unit</f>
        <v>24.228290000000001</v>
      </c>
      <c r="J58" s="287">
        <f>Bloomberg!I105/unit</f>
        <v>25.778303300000001</v>
      </c>
      <c r="K58" s="287">
        <f>Bloomberg!J105/unit</f>
        <v>30.481793000000003</v>
      </c>
      <c r="L58" s="287">
        <f>Bloomberg!K105/unit</f>
        <v>31.341506799999998</v>
      </c>
      <c r="M58" s="287">
        <f>Bloomberg!L105/unit</f>
        <v>44.777506899999999</v>
      </c>
      <c r="N58" s="287">
        <f>Bloomberg!M105/unit</f>
        <v>50.5677047</v>
      </c>
      <c r="O58" s="287">
        <f>Bloomberg!N105/unit</f>
        <v>69.467375700000005</v>
      </c>
      <c r="P58" s="287">
        <f>Bloomberg!O105/unit</f>
        <v>90.42395230000001</v>
      </c>
      <c r="Q58" s="335">
        <v>128.4</v>
      </c>
      <c r="R58" s="335"/>
      <c r="S58" s="335"/>
      <c r="T58" s="335"/>
      <c r="U58" s="335"/>
      <c r="V58" s="335"/>
      <c r="W58" s="335"/>
      <c r="X58" s="335"/>
    </row>
    <row r="59" spans="2:24" ht="12.75" customHeight="1">
      <c r="B59" s="8" t="s">
        <v>559</v>
      </c>
      <c r="C59" s="4"/>
      <c r="D59" s="287">
        <f>Bloomberg!C106/unit</f>
        <v>450.81444309999995</v>
      </c>
      <c r="E59" s="287">
        <f>Bloomberg!D106/unit</f>
        <v>459.11449379999999</v>
      </c>
      <c r="F59" s="287">
        <f>Bloomberg!E106/unit</f>
        <v>486.37902130000003</v>
      </c>
      <c r="G59" s="287">
        <f>Bloomberg!F106/unit</f>
        <v>579.59414460000005</v>
      </c>
      <c r="H59" s="287">
        <f>Bloomberg!G106/unit</f>
        <v>576.73257889999991</v>
      </c>
      <c r="I59" s="287">
        <f>Bloomberg!H106/unit</f>
        <v>598.60833539999999</v>
      </c>
      <c r="J59" s="287">
        <f>Bloomberg!I106/unit</f>
        <v>630.23763470000006</v>
      </c>
      <c r="K59" s="287">
        <f>Bloomberg!J106/unit</f>
        <v>663.61478769999997</v>
      </c>
      <c r="L59" s="287">
        <f>Bloomberg!K106/unit</f>
        <v>899.45367810000005</v>
      </c>
      <c r="M59" s="287">
        <f>Bloomberg!L106/unit</f>
        <v>940.77074760000005</v>
      </c>
      <c r="N59" s="287">
        <f>Bloomberg!M106/unit</f>
        <v>947.48419960000001</v>
      </c>
      <c r="O59" s="287">
        <f>Bloomberg!N106/unit</f>
        <v>1072.2274898000001</v>
      </c>
      <c r="P59" s="287">
        <f>Bloomberg!O106/unit</f>
        <v>1374.7488603000002</v>
      </c>
      <c r="Q59" s="335">
        <f>SUM(Q54:Q58)</f>
        <v>1526</v>
      </c>
      <c r="R59" s="335"/>
      <c r="S59" s="335"/>
      <c r="T59" s="335"/>
      <c r="U59" s="335"/>
      <c r="V59" s="335"/>
      <c r="W59" s="335"/>
      <c r="X59" s="335"/>
    </row>
    <row r="60" spans="2:24" ht="12.75" customHeight="1">
      <c r="B60" s="4" t="s">
        <v>506</v>
      </c>
      <c r="C60" s="4"/>
      <c r="D60" s="289">
        <f>Bloomberg!C107/unit</f>
        <v>794.52897180000002</v>
      </c>
      <c r="E60" s="289">
        <f>Bloomberg!D107/unit</f>
        <v>873.95104319999996</v>
      </c>
      <c r="F60" s="289">
        <f>Bloomberg!E107/unit</f>
        <v>844.38607109999998</v>
      </c>
      <c r="G60" s="289">
        <f>Bloomberg!F107/unit</f>
        <v>816.45217649999995</v>
      </c>
      <c r="H60" s="289">
        <f>Bloomberg!G107/unit</f>
        <v>1003.7899374000001</v>
      </c>
      <c r="I60" s="289">
        <f>Bloomberg!H107/unit</f>
        <v>1038.7355255</v>
      </c>
      <c r="J60" s="289">
        <f>Bloomberg!I107/unit</f>
        <v>1114.7862245000001</v>
      </c>
      <c r="K60" s="289">
        <f>Bloomberg!J107/unit</f>
        <v>1268.2150674999998</v>
      </c>
      <c r="L60" s="289">
        <f>Bloomberg!K107/unit</f>
        <v>1498.0580467</v>
      </c>
      <c r="M60" s="289">
        <f>Bloomberg!L107/unit</f>
        <v>1577.6499476000001</v>
      </c>
      <c r="N60" s="289">
        <f>Bloomberg!M107/unit</f>
        <v>1684.4570278000001</v>
      </c>
      <c r="O60" s="289">
        <f>Bloomberg!N107/unit</f>
        <v>2160.4528323</v>
      </c>
      <c r="P60" s="289">
        <f>Bloomberg!O107/unit</f>
        <v>2509.2874323999999</v>
      </c>
      <c r="Q60" s="336">
        <f>Q59+Q53</f>
        <v>2969.7</v>
      </c>
      <c r="R60" s="336"/>
      <c r="S60" s="336"/>
      <c r="T60" s="336"/>
      <c r="U60" s="336"/>
      <c r="V60" s="336"/>
      <c r="W60" s="336"/>
      <c r="X60" s="336"/>
    </row>
    <row r="61" spans="2:24" ht="12.75" customHeight="1">
      <c r="B61" s="350" t="s">
        <v>75</v>
      </c>
      <c r="C61" s="350"/>
      <c r="D61" s="351">
        <f>D43-D60</f>
        <v>0</v>
      </c>
      <c r="E61" s="351">
        <f t="shared" ref="E61:K61" si="17">E43-E60</f>
        <v>0</v>
      </c>
      <c r="F61" s="351">
        <f t="shared" si="17"/>
        <v>0</v>
      </c>
      <c r="G61" s="351">
        <f t="shared" si="17"/>
        <v>0</v>
      </c>
      <c r="H61" s="351">
        <f t="shared" si="17"/>
        <v>0</v>
      </c>
      <c r="I61" s="351">
        <f t="shared" si="17"/>
        <v>0</v>
      </c>
      <c r="J61" s="351">
        <f t="shared" si="17"/>
        <v>0</v>
      </c>
      <c r="K61" s="351">
        <f t="shared" si="17"/>
        <v>0</v>
      </c>
      <c r="L61" s="351">
        <f t="shared" ref="L61:Q61" si="18">L43-L60</f>
        <v>0</v>
      </c>
      <c r="M61" s="351">
        <f t="shared" si="18"/>
        <v>0</v>
      </c>
      <c r="N61" s="351">
        <f t="shared" si="18"/>
        <v>0</v>
      </c>
      <c r="O61" s="351">
        <f t="shared" si="18"/>
        <v>0</v>
      </c>
      <c r="P61" s="351">
        <f t="shared" si="18"/>
        <v>0</v>
      </c>
      <c r="Q61" s="355">
        <f t="shared" si="18"/>
        <v>2.0000000000436557E-2</v>
      </c>
      <c r="R61" s="355"/>
      <c r="S61" s="355"/>
      <c r="T61" s="355"/>
      <c r="U61" s="355"/>
      <c r="V61" s="355"/>
      <c r="W61" s="355"/>
      <c r="X61" s="355"/>
    </row>
    <row r="62" spans="2:24" ht="12.75" customHeight="1">
      <c r="B62" s="22"/>
      <c r="C62" s="22"/>
      <c r="D62" s="287"/>
      <c r="E62" s="287"/>
      <c r="F62" s="287"/>
      <c r="G62" s="287"/>
      <c r="H62" s="288"/>
      <c r="I62" s="288"/>
      <c r="J62" s="287"/>
      <c r="K62" s="287"/>
      <c r="L62" s="287"/>
      <c r="M62" s="287"/>
      <c r="N62" s="287"/>
      <c r="O62" s="287"/>
      <c r="P62" s="287"/>
      <c r="Q62" s="21"/>
      <c r="R62" s="21"/>
      <c r="S62" s="21"/>
      <c r="T62" s="21"/>
      <c r="U62" s="21"/>
      <c r="V62" s="21"/>
      <c r="W62" s="21"/>
      <c r="X62" s="21"/>
    </row>
    <row r="63" spans="2:24" ht="12.75" customHeight="1">
      <c r="B63" s="19" t="s">
        <v>82</v>
      </c>
      <c r="C63" s="19"/>
      <c r="D63" s="291"/>
      <c r="E63" s="291"/>
      <c r="F63" s="291"/>
      <c r="G63" s="291"/>
      <c r="H63" s="292"/>
      <c r="I63" s="292"/>
      <c r="J63" s="291"/>
      <c r="K63" s="291"/>
      <c r="L63" s="291"/>
      <c r="M63" s="291"/>
      <c r="N63" s="291"/>
      <c r="O63" s="291"/>
      <c r="P63" s="291"/>
      <c r="Q63" s="42"/>
      <c r="R63" s="42"/>
      <c r="S63" s="42"/>
      <c r="T63" s="42"/>
      <c r="U63" s="42"/>
      <c r="V63" s="42"/>
      <c r="W63" s="42"/>
      <c r="X63" s="42"/>
    </row>
    <row r="64" spans="2:24" ht="12.75" customHeight="1">
      <c r="B64" s="4" t="s">
        <v>83</v>
      </c>
      <c r="C64" s="4"/>
      <c r="D64" s="287">
        <f t="shared" ref="D64:K64" si="19">C31</f>
        <v>0</v>
      </c>
      <c r="E64" s="287">
        <f t="shared" si="19"/>
        <v>53.750649500000002</v>
      </c>
      <c r="F64" s="287">
        <f t="shared" si="19"/>
        <v>55.688726000000003</v>
      </c>
      <c r="G64" s="287">
        <f t="shared" si="19"/>
        <v>68.524952200000001</v>
      </c>
      <c r="H64" s="287">
        <f t="shared" si="19"/>
        <v>136.05265410000001</v>
      </c>
      <c r="I64" s="287">
        <f t="shared" si="19"/>
        <v>110.7089258</v>
      </c>
      <c r="J64" s="287">
        <f t="shared" si="19"/>
        <v>120.1591746</v>
      </c>
      <c r="K64" s="287">
        <f t="shared" si="19"/>
        <v>59.468311900000003</v>
      </c>
      <c r="L64" s="287">
        <f>K31</f>
        <v>72.886290099999997</v>
      </c>
      <c r="M64" s="287">
        <f>L31</f>
        <v>306.7498794</v>
      </c>
      <c r="N64" s="287">
        <f>M31</f>
        <v>305.37001150000003</v>
      </c>
      <c r="O64" s="287">
        <f>N31</f>
        <v>373.82149020000003</v>
      </c>
      <c r="P64" s="287">
        <f>O31</f>
        <v>776.33898669999996</v>
      </c>
      <c r="Q64" s="335"/>
      <c r="R64" s="335"/>
      <c r="S64" s="335"/>
      <c r="T64" s="335"/>
      <c r="U64" s="335"/>
      <c r="V64" s="335"/>
      <c r="W64" s="335"/>
      <c r="X64" s="335"/>
    </row>
    <row r="65" spans="2:24" ht="12.75" customHeight="1">
      <c r="B65" s="22" t="s">
        <v>84</v>
      </c>
      <c r="C65" s="22"/>
      <c r="D65" s="287">
        <f>Bloomberg!C108/unit</f>
        <v>2.5543208000000002</v>
      </c>
      <c r="E65" s="287">
        <f>Bloomberg!D108/unit</f>
        <v>5.6878931000000001</v>
      </c>
      <c r="F65" s="287">
        <f>Bloomberg!E108/unit</f>
        <v>25.493338000000001</v>
      </c>
      <c r="G65" s="287">
        <f>Bloomberg!F108/unit</f>
        <v>24.124399199999999</v>
      </c>
      <c r="H65" s="287">
        <f>Bloomberg!G108/unit</f>
        <v>1.4047609000000001</v>
      </c>
      <c r="I65" s="287">
        <f>Bloomberg!H108/unit</f>
        <v>20.0749335</v>
      </c>
      <c r="J65" s="287">
        <f>Bloomberg!I108/unit</f>
        <v>30.079285899999999</v>
      </c>
      <c r="K65" s="287">
        <f>Bloomberg!J108/unit</f>
        <v>31.205013399999999</v>
      </c>
      <c r="L65" s="287">
        <f>Bloomberg!K108/unit</f>
        <v>21.3169383</v>
      </c>
      <c r="M65" s="287">
        <f>Bloomberg!L108/unit</f>
        <v>31.330132600000002</v>
      </c>
      <c r="N65" s="287">
        <f>Bloomberg!M108/unit</f>
        <v>0.96796769999999999</v>
      </c>
      <c r="O65" s="287">
        <f>Bloomberg!N108/unit</f>
        <v>114.21945100000001</v>
      </c>
      <c r="P65" s="287">
        <f>Bloomberg!O108/unit</f>
        <v>36.5953856</v>
      </c>
      <c r="Q65" s="335"/>
      <c r="R65" s="335"/>
      <c r="S65" s="335"/>
      <c r="T65" s="335"/>
      <c r="U65" s="335"/>
      <c r="V65" s="335"/>
      <c r="W65" s="335"/>
      <c r="X65" s="335"/>
    </row>
    <row r="66" spans="2:24" ht="12.75" customHeight="1">
      <c r="B66" s="22" t="s">
        <v>85</v>
      </c>
      <c r="C66" s="22"/>
      <c r="D66" s="287">
        <f>Bloomberg!C109/unit</f>
        <v>0.95970709999999992</v>
      </c>
      <c r="E66" s="287">
        <f>Bloomberg!D109/unit</f>
        <v>0.70433709999999994</v>
      </c>
      <c r="F66" s="287">
        <f>Bloomberg!E109/unit</f>
        <v>0.78535739999999998</v>
      </c>
      <c r="G66" s="287">
        <f>Bloomberg!F109/unit</f>
        <v>1.6653115000000001</v>
      </c>
      <c r="H66" s="287">
        <f>Bloomberg!G109/unit</f>
        <v>1.0149950999999999</v>
      </c>
      <c r="I66" s="287">
        <f>Bloomberg!H109/unit</f>
        <v>0.94780539999999991</v>
      </c>
      <c r="J66" s="287">
        <f>Bloomberg!I109/unit</f>
        <v>0.88136339999999991</v>
      </c>
      <c r="K66" s="287">
        <f>Bloomberg!J109/unit</f>
        <v>0.69535709999999995</v>
      </c>
      <c r="L66" s="287">
        <f>Bloomberg!K109/unit</f>
        <v>0.8184572</v>
      </c>
      <c r="M66" s="287">
        <f>Bloomberg!L109/unit</f>
        <v>0.81873249999999997</v>
      </c>
      <c r="N66" s="287">
        <f>Bloomberg!M109/unit</f>
        <v>0.81396159999999995</v>
      </c>
      <c r="O66" s="287">
        <f>Bloomberg!N109/unit</f>
        <v>0.83829240000000005</v>
      </c>
      <c r="P66" s="287">
        <f>Bloomberg!O109/unit</f>
        <v>0.75642830000000005</v>
      </c>
      <c r="Q66" s="335"/>
      <c r="R66" s="335"/>
      <c r="S66" s="335"/>
      <c r="T66" s="335"/>
      <c r="U66" s="335"/>
      <c r="V66" s="335"/>
      <c r="W66" s="335"/>
      <c r="X66" s="335"/>
    </row>
    <row r="67" spans="2:24" ht="12.75" customHeight="1">
      <c r="B67" s="22" t="s">
        <v>86</v>
      </c>
      <c r="C67" s="22"/>
      <c r="D67" s="287">
        <f>Bloomberg!C110/unit</f>
        <v>-6.5866420999999997</v>
      </c>
      <c r="E67" s="287">
        <f>Bloomberg!D110/unit</f>
        <v>11.0882541</v>
      </c>
      <c r="F67" s="287">
        <f>Bloomberg!E110/unit</f>
        <v>-38.797260100000003</v>
      </c>
      <c r="G67" s="287">
        <f>Bloomberg!F110/unit</f>
        <v>-4.0608151000000001</v>
      </c>
      <c r="H67" s="287">
        <f>Bloomberg!G110/unit</f>
        <v>-7.9518320000000005</v>
      </c>
      <c r="I67" s="287">
        <f>Bloomberg!H110/unit</f>
        <v>-0.44243509999999997</v>
      </c>
      <c r="J67" s="287">
        <f>Bloomberg!I110/unit</f>
        <v>-133.4355746</v>
      </c>
      <c r="K67" s="287">
        <f>Bloomberg!J110/unit</f>
        <v>100.66317359999999</v>
      </c>
      <c r="L67" s="287">
        <f>Bloomberg!K110/unit</f>
        <v>7.2340200999999995</v>
      </c>
      <c r="M67" s="287">
        <f>Bloomberg!L110/unit</f>
        <v>-66.662555300000008</v>
      </c>
      <c r="N67" s="287">
        <f>Bloomberg!M110/unit</f>
        <v>5.2260284000000006</v>
      </c>
      <c r="O67" s="287">
        <f>Bloomberg!N110/unit</f>
        <v>-257.96647380000002</v>
      </c>
      <c r="P67" s="287">
        <f>Bloomberg!O110/unit</f>
        <v>-8.405031300000001</v>
      </c>
      <c r="Q67" s="335"/>
      <c r="R67" s="335"/>
      <c r="S67" s="335"/>
      <c r="T67" s="335"/>
      <c r="U67" s="335"/>
      <c r="V67" s="335"/>
      <c r="W67" s="335"/>
      <c r="X67" s="335"/>
    </row>
    <row r="68" spans="2:24" ht="12.75" customHeight="1">
      <c r="B68" s="22" t="s">
        <v>87</v>
      </c>
      <c r="C68" s="22"/>
      <c r="D68" s="287">
        <f>Bloomberg!C111/unit</f>
        <v>-2.6137703000000001</v>
      </c>
      <c r="E68" s="287">
        <f>Bloomberg!D111/unit</f>
        <v>34.196131600000001</v>
      </c>
      <c r="F68" s="287">
        <f>Bloomberg!E111/unit</f>
        <v>26.2032305</v>
      </c>
      <c r="G68" s="287">
        <f>Bloomberg!F111/unit</f>
        <v>33.913307200000006</v>
      </c>
      <c r="H68" s="287">
        <f>Bloomberg!G111/unit</f>
        <v>-20.369785700000001</v>
      </c>
      <c r="I68" s="287">
        <f>Bloomberg!H111/unit</f>
        <v>78.666343400000002</v>
      </c>
      <c r="J68" s="287">
        <f>Bloomberg!I111/unit</f>
        <v>-78.861430300000009</v>
      </c>
      <c r="K68" s="287">
        <f>Bloomberg!J111/unit</f>
        <v>-105.4686921</v>
      </c>
      <c r="L68" s="287">
        <f>Bloomberg!K111/unit</f>
        <v>12.4378338</v>
      </c>
      <c r="M68" s="287">
        <f>Bloomberg!L111/unit</f>
        <v>13.0220191</v>
      </c>
      <c r="N68" s="287">
        <f>Bloomberg!M111/unit</f>
        <v>65.730927500000007</v>
      </c>
      <c r="O68" s="287">
        <f>Bloomberg!N111/unit</f>
        <v>382.41334360000002</v>
      </c>
      <c r="P68" s="287">
        <f>Bloomberg!O111/unit</f>
        <v>-15.954345300000002</v>
      </c>
      <c r="Q68" s="335"/>
      <c r="R68" s="335"/>
      <c r="S68" s="335"/>
      <c r="T68" s="335"/>
      <c r="U68" s="335"/>
      <c r="V68" s="335"/>
      <c r="W68" s="335"/>
      <c r="X68" s="335"/>
    </row>
    <row r="69" spans="2:24" ht="12.75" customHeight="1">
      <c r="B69" s="27" t="s">
        <v>88</v>
      </c>
      <c r="C69" s="27"/>
      <c r="D69" s="287">
        <f>Bloomberg!C112/unit</f>
        <v>-5.6863843999999997</v>
      </c>
      <c r="E69" s="287">
        <f>Bloomberg!D112/unit</f>
        <v>51.676615899999994</v>
      </c>
      <c r="F69" s="287">
        <f>Bloomberg!E112/unit</f>
        <v>13.684665800000001</v>
      </c>
      <c r="G69" s="287">
        <f>Bloomberg!F112/unit</f>
        <v>55.642202899999994</v>
      </c>
      <c r="H69" s="287">
        <f>Bloomberg!G112/unit</f>
        <v>-25.901861700000001</v>
      </c>
      <c r="I69" s="287">
        <f>Bloomberg!H112/unit</f>
        <v>99.246647200000012</v>
      </c>
      <c r="J69" s="287">
        <f>Bloomberg!I112/unit</f>
        <v>-181.33635560000002</v>
      </c>
      <c r="K69" s="287">
        <f>Bloomberg!J112/unit</f>
        <v>27.094851900000002</v>
      </c>
      <c r="L69" s="287">
        <f>Bloomberg!K112/unit</f>
        <v>41.807249300000002</v>
      </c>
      <c r="M69" s="287">
        <f>Bloomberg!L112/unit</f>
        <v>-21.491671099999998</v>
      </c>
      <c r="N69" s="287">
        <f>Bloomberg!M112/unit</f>
        <v>72.738885199999999</v>
      </c>
      <c r="O69" s="287">
        <f>Bloomberg!N112/unit</f>
        <v>239.5046131</v>
      </c>
      <c r="P69" s="287">
        <f>Bloomberg!O112/unit</f>
        <v>12.992437299999999</v>
      </c>
      <c r="Q69" s="335"/>
      <c r="R69" s="335"/>
      <c r="S69" s="335"/>
      <c r="T69" s="335"/>
      <c r="U69" s="335"/>
      <c r="V69" s="335"/>
      <c r="W69" s="335"/>
      <c r="X69" s="335"/>
    </row>
    <row r="70" spans="2:24" ht="12.75" customHeight="1">
      <c r="B70" s="22" t="s">
        <v>89</v>
      </c>
      <c r="C70" s="22"/>
      <c r="D70" s="287">
        <f>Bloomberg!C113/unit</f>
        <v>0</v>
      </c>
      <c r="E70" s="287">
        <f>Bloomberg!D113/unit</f>
        <v>1.4545500000000001E-2</v>
      </c>
      <c r="F70" s="287">
        <f>Bloomberg!E113/unit</f>
        <v>0</v>
      </c>
      <c r="G70" s="287">
        <f>Bloomberg!F113/unit</f>
        <v>3.0000000000000001E-3</v>
      </c>
      <c r="H70" s="287">
        <f>Bloomberg!G113/unit</f>
        <v>0</v>
      </c>
      <c r="I70" s="287">
        <f>Bloomberg!H113/unit</f>
        <v>0.1841546</v>
      </c>
      <c r="J70" s="287">
        <f>Bloomberg!I113/unit</f>
        <v>0</v>
      </c>
      <c r="K70" s="287">
        <f>Bloomberg!J113/unit</f>
        <v>0.48481819999999998</v>
      </c>
      <c r="L70" s="287">
        <f>Bloomberg!K113/unit</f>
        <v>0</v>
      </c>
      <c r="M70" s="287">
        <f>Bloomberg!L113/unit</f>
        <v>1.5</v>
      </c>
      <c r="N70" s="287">
        <f>Bloomberg!M113/unit</f>
        <v>0</v>
      </c>
      <c r="O70" s="287">
        <f>Bloomberg!N113/unit</f>
        <v>0</v>
      </c>
      <c r="P70" s="287">
        <f>Bloomberg!O113/unit</f>
        <v>0.4045455</v>
      </c>
      <c r="Q70" s="335"/>
      <c r="R70" s="335"/>
      <c r="S70" s="335"/>
      <c r="T70" s="335"/>
      <c r="U70" s="335"/>
      <c r="V70" s="335"/>
      <c r="W70" s="335"/>
      <c r="X70" s="335"/>
    </row>
    <row r="71" spans="2:24" ht="12.75" customHeight="1">
      <c r="B71" s="22" t="s">
        <v>90</v>
      </c>
      <c r="C71" s="22"/>
      <c r="D71" s="287">
        <f>Bloomberg!C114/unit</f>
        <v>-3.6072699999999999E-2</v>
      </c>
      <c r="E71" s="287">
        <f>Bloomberg!D114/unit</f>
        <v>-1.4208486</v>
      </c>
      <c r="F71" s="287">
        <f>Bloomberg!E114/unit</f>
        <v>-0.1289487</v>
      </c>
      <c r="G71" s="287">
        <f>Bloomberg!F114/unit</f>
        <v>-1.1974727000000001</v>
      </c>
      <c r="H71" s="287">
        <f>Bloomberg!G114/unit</f>
        <v>-0.14522649999999998</v>
      </c>
      <c r="I71" s="287">
        <f>Bloomberg!H114/unit</f>
        <v>-0.58101800000000003</v>
      </c>
      <c r="J71" s="287">
        <f>Bloomberg!I114/unit</f>
        <v>-0.13300000000000001</v>
      </c>
      <c r="K71" s="287">
        <f>Bloomberg!J114/unit</f>
        <v>-1.6246152</v>
      </c>
      <c r="L71" s="287">
        <f>Bloomberg!K114/unit</f>
        <v>-0.11600000000000001</v>
      </c>
      <c r="M71" s="287">
        <f>Bloomberg!L114/unit</f>
        <v>-0.34633749999999996</v>
      </c>
      <c r="N71" s="287">
        <f>Bloomberg!M114/unit</f>
        <v>-0.80344949999999993</v>
      </c>
      <c r="O71" s="287">
        <f>Bloomberg!N114/unit</f>
        <v>-1.8175199</v>
      </c>
      <c r="P71" s="287">
        <f>Bloomberg!O114/unit</f>
        <v>-3.9985727</v>
      </c>
      <c r="Q71" s="335"/>
      <c r="R71" s="335"/>
      <c r="S71" s="335"/>
      <c r="T71" s="335"/>
      <c r="U71" s="335"/>
      <c r="V71" s="335"/>
      <c r="W71" s="335"/>
      <c r="X71" s="335"/>
    </row>
    <row r="72" spans="2:24" ht="12.75" customHeight="1">
      <c r="B72" s="22" t="s">
        <v>91</v>
      </c>
      <c r="C72" s="22"/>
      <c r="D72" s="287">
        <f>Bloomberg!C115/unit</f>
        <v>0</v>
      </c>
      <c r="E72" s="287">
        <f>Bloomberg!D115/unit</f>
        <v>0</v>
      </c>
      <c r="F72" s="287">
        <f>Bloomberg!E115/unit</f>
        <v>0</v>
      </c>
      <c r="G72" s="287">
        <f>Bloomberg!F115/unit</f>
        <v>0</v>
      </c>
      <c r="H72" s="287">
        <f>Bloomberg!G115/unit</f>
        <v>0</v>
      </c>
      <c r="I72" s="287">
        <f>Bloomberg!H115/unit</f>
        <v>0</v>
      </c>
      <c r="J72" s="287">
        <f>Bloomberg!I115/unit</f>
        <v>0</v>
      </c>
      <c r="K72" s="287">
        <f>Bloomberg!J115/unit</f>
        <v>0</v>
      </c>
      <c r="L72" s="287">
        <f>Bloomberg!K115/unit</f>
        <v>0</v>
      </c>
      <c r="M72" s="287">
        <f>Bloomberg!L115/unit</f>
        <v>0</v>
      </c>
      <c r="N72" s="287">
        <f>Bloomberg!M115/unit</f>
        <v>0</v>
      </c>
      <c r="O72" s="287">
        <f>Bloomberg!N115/unit</f>
        <v>0</v>
      </c>
      <c r="P72" s="287">
        <f>Bloomberg!O115/unit</f>
        <v>0</v>
      </c>
      <c r="Q72" s="335"/>
      <c r="R72" s="335"/>
      <c r="S72" s="335"/>
      <c r="T72" s="335"/>
      <c r="U72" s="335"/>
      <c r="V72" s="335"/>
      <c r="W72" s="335"/>
      <c r="X72" s="335"/>
    </row>
    <row r="73" spans="2:24" ht="12.75" customHeight="1">
      <c r="B73" s="22" t="s">
        <v>92</v>
      </c>
      <c r="C73" s="22"/>
      <c r="D73" s="287">
        <f>Bloomberg!C116/unit</f>
        <v>0</v>
      </c>
      <c r="E73" s="287">
        <f>Bloomberg!D116/unit</f>
        <v>0</v>
      </c>
      <c r="F73" s="287">
        <f>Bloomberg!E116/unit</f>
        <v>0</v>
      </c>
      <c r="G73" s="287">
        <f>Bloomberg!F116/unit</f>
        <v>0</v>
      </c>
      <c r="H73" s="287">
        <f>Bloomberg!G116/unit</f>
        <v>0</v>
      </c>
      <c r="I73" s="287">
        <f>Bloomberg!H116/unit</f>
        <v>0</v>
      </c>
      <c r="J73" s="287">
        <f>Bloomberg!I116/unit</f>
        <v>0</v>
      </c>
      <c r="K73" s="287">
        <f>Bloomberg!J116/unit</f>
        <v>0</v>
      </c>
      <c r="L73" s="287">
        <f>Bloomberg!K116/unit</f>
        <v>0</v>
      </c>
      <c r="M73" s="287">
        <f>Bloomberg!L116/unit</f>
        <v>0</v>
      </c>
      <c r="N73" s="287">
        <f>Bloomberg!M116/unit</f>
        <v>0</v>
      </c>
      <c r="O73" s="287">
        <f>Bloomberg!N116/unit</f>
        <v>0</v>
      </c>
      <c r="P73" s="287">
        <f>Bloomberg!O116/unit</f>
        <v>0</v>
      </c>
      <c r="Q73" s="335"/>
      <c r="R73" s="335"/>
      <c r="S73" s="335"/>
      <c r="T73" s="335"/>
      <c r="U73" s="335"/>
      <c r="V73" s="335"/>
      <c r="W73" s="335"/>
      <c r="X73" s="335"/>
    </row>
    <row r="74" spans="2:24" ht="12.75" customHeight="1">
      <c r="B74" s="22" t="s">
        <v>93</v>
      </c>
      <c r="C74" s="22"/>
      <c r="D74" s="287">
        <f>Bloomberg!C117/unit</f>
        <v>-6.3786454999999993</v>
      </c>
      <c r="E74" s="287">
        <f>Bloomberg!D117/unit</f>
        <v>-0.178816</v>
      </c>
      <c r="F74" s="287">
        <f>Bloomberg!E117/unit</f>
        <v>-0.32823150000000001</v>
      </c>
      <c r="G74" s="287">
        <f>Bloomberg!F117/unit</f>
        <v>-36.218215999999998</v>
      </c>
      <c r="H74" s="287">
        <f>Bloomberg!G117/unit</f>
        <v>0</v>
      </c>
      <c r="I74" s="287">
        <f>Bloomberg!H117/unit</f>
        <v>-92.682240999999991</v>
      </c>
      <c r="J74" s="287">
        <f>Bloomberg!I117/unit</f>
        <v>122.751356</v>
      </c>
      <c r="K74" s="287">
        <f>Bloomberg!J117/unit</f>
        <v>-195.71518719999997</v>
      </c>
      <c r="L74" s="287">
        <f>Bloomberg!K117/unit</f>
        <v>-29.8</v>
      </c>
      <c r="M74" s="287">
        <f>Bloomberg!L117/unit</f>
        <v>18.894771200000001</v>
      </c>
      <c r="N74" s="287">
        <f>Bloomberg!M117/unit</f>
        <v>-2.8159646999999999</v>
      </c>
      <c r="O74" s="287">
        <f>Bloomberg!N117/unit</f>
        <v>115.9193489</v>
      </c>
      <c r="P74" s="287">
        <f>Bloomberg!O117/unit</f>
        <v>-4</v>
      </c>
      <c r="Q74" s="335"/>
      <c r="R74" s="335"/>
      <c r="S74" s="335"/>
      <c r="T74" s="335"/>
      <c r="U74" s="335"/>
      <c r="V74" s="335"/>
      <c r="W74" s="335"/>
      <c r="X74" s="335"/>
    </row>
    <row r="75" spans="2:24" ht="12.75" customHeight="1">
      <c r="B75" s="27" t="s">
        <v>94</v>
      </c>
      <c r="C75" s="27"/>
      <c r="D75" s="287">
        <f>Bloomberg!C118/unit</f>
        <v>-6.4147182000000003</v>
      </c>
      <c r="E75" s="287">
        <f>Bloomberg!D118/unit</f>
        <v>-1.5851190999999998</v>
      </c>
      <c r="F75" s="287">
        <f>Bloomberg!E118/unit</f>
        <v>-0.45718020000000004</v>
      </c>
      <c r="G75" s="287">
        <f>Bloomberg!F118/unit</f>
        <v>-37.412688800000005</v>
      </c>
      <c r="H75" s="287">
        <f>Bloomberg!G118/unit</f>
        <v>-0.14522649999999998</v>
      </c>
      <c r="I75" s="287">
        <f>Bloomberg!H118/unit</f>
        <v>-93.079104399999991</v>
      </c>
      <c r="J75" s="287">
        <f>Bloomberg!I118/unit</f>
        <v>122.61835600000001</v>
      </c>
      <c r="K75" s="287">
        <f>Bloomberg!J118/unit</f>
        <v>-196.85498420000002</v>
      </c>
      <c r="L75" s="287">
        <f>Bloomberg!K118/unit</f>
        <v>-29.916</v>
      </c>
      <c r="M75" s="287">
        <f>Bloomberg!L118/unit</f>
        <v>20.0484337</v>
      </c>
      <c r="N75" s="287">
        <f>Bloomberg!M118/unit</f>
        <v>-3.6194142</v>
      </c>
      <c r="O75" s="287">
        <f>Bloomberg!N118/unit</f>
        <v>114.1018291</v>
      </c>
      <c r="P75" s="287">
        <f>Bloomberg!O118/unit</f>
        <v>-7.5940272999999996</v>
      </c>
      <c r="Q75" s="335"/>
      <c r="R75" s="335"/>
      <c r="S75" s="335"/>
      <c r="T75" s="335"/>
      <c r="U75" s="335"/>
      <c r="V75" s="335"/>
      <c r="W75" s="335"/>
      <c r="X75" s="335"/>
    </row>
    <row r="76" spans="2:24" ht="12.75" customHeight="1">
      <c r="B76" s="22" t="s">
        <v>95</v>
      </c>
      <c r="C76" s="22"/>
      <c r="D76" s="287">
        <f>Bloomberg!C119/unit</f>
        <v>-2.2814074999999998</v>
      </c>
      <c r="E76" s="287">
        <f>Bloomberg!D119/unit</f>
        <v>-0.90633399999999997</v>
      </c>
      <c r="F76" s="287">
        <f>Bloomberg!E119/unit</f>
        <v>-0.41361939999999997</v>
      </c>
      <c r="G76" s="287">
        <f>Bloomberg!F119/unit</f>
        <v>-1.6597886000000002</v>
      </c>
      <c r="H76" s="287">
        <f>Bloomberg!G119/unit</f>
        <v>0</v>
      </c>
      <c r="I76" s="287">
        <f>Bloomberg!H119/unit</f>
        <v>-1.2054</v>
      </c>
      <c r="J76" s="287">
        <f>Bloomberg!I119/unit</f>
        <v>-0.14399999999999999</v>
      </c>
      <c r="K76" s="287">
        <f>Bloomberg!J119/unit</f>
        <v>-0.73799999999999999</v>
      </c>
      <c r="L76" s="287">
        <f>Bloomberg!K119/unit</f>
        <v>0</v>
      </c>
      <c r="M76" s="287">
        <f>Bloomberg!L119/unit</f>
        <v>0</v>
      </c>
      <c r="N76" s="287">
        <f>Bloomberg!M119/unit</f>
        <v>-0.54547289999999993</v>
      </c>
      <c r="O76" s="287">
        <f>Bloomberg!N119/unit</f>
        <v>-15.234359099999999</v>
      </c>
      <c r="P76" s="287">
        <f>Bloomberg!O119/unit</f>
        <v>-5.1695000000000002</v>
      </c>
      <c r="Q76" s="335"/>
      <c r="R76" s="335"/>
      <c r="S76" s="335"/>
      <c r="T76" s="335"/>
      <c r="U76" s="335"/>
      <c r="V76" s="335"/>
      <c r="W76" s="335"/>
      <c r="X76" s="335"/>
    </row>
    <row r="77" spans="2:24" ht="12.75" customHeight="1">
      <c r="B77" s="22" t="s">
        <v>96</v>
      </c>
      <c r="C77" s="22"/>
      <c r="D77" s="287">
        <f>Bloomberg!C120/unit</f>
        <v>0.26</v>
      </c>
      <c r="E77" s="287">
        <f>Bloomberg!D120/unit</f>
        <v>0.37</v>
      </c>
      <c r="F77" s="287">
        <f>Bloomberg!E120/unit</f>
        <v>4.9000000000000002E-2</v>
      </c>
      <c r="G77" s="287">
        <f>Bloomberg!F120/unit</f>
        <v>100.71299999999999</v>
      </c>
      <c r="H77" s="287">
        <f>Bloomberg!G120/unit</f>
        <v>0</v>
      </c>
      <c r="I77" s="287">
        <f>Bloomberg!H120/unit</f>
        <v>0</v>
      </c>
      <c r="J77" s="287">
        <f>Bloomberg!I120/unit</f>
        <v>0.1</v>
      </c>
      <c r="K77" s="287">
        <f>Bloomberg!J120/unit</f>
        <v>113.442048</v>
      </c>
      <c r="L77" s="287">
        <f>Bloomberg!K120/unit</f>
        <v>222.00264000000001</v>
      </c>
      <c r="M77" s="287">
        <f>Bloomberg!L120/unit</f>
        <v>5.5000000000000003E-4</v>
      </c>
      <c r="N77" s="287">
        <f>Bloomberg!M120/unit</f>
        <v>0</v>
      </c>
      <c r="O77" s="287">
        <f>Bloomberg!N120/unit</f>
        <v>13.66</v>
      </c>
      <c r="P77" s="287">
        <f>Bloomberg!O120/unit</f>
        <v>4.9000000000000004</v>
      </c>
      <c r="Q77" s="335"/>
      <c r="R77" s="335"/>
      <c r="S77" s="335"/>
      <c r="T77" s="335"/>
      <c r="U77" s="335"/>
      <c r="V77" s="335"/>
      <c r="W77" s="335"/>
      <c r="X77" s="335"/>
    </row>
    <row r="78" spans="2:24" ht="12.75" customHeight="1">
      <c r="B78" s="22" t="s">
        <v>97</v>
      </c>
      <c r="C78" s="22"/>
      <c r="D78" s="287">
        <f>Bloomberg!C121/unit</f>
        <v>0</v>
      </c>
      <c r="E78" s="287">
        <f>Bloomberg!D121/unit</f>
        <v>0</v>
      </c>
      <c r="F78" s="287">
        <f>Bloomberg!E121/unit</f>
        <v>0</v>
      </c>
      <c r="G78" s="287">
        <f>Bloomberg!F121/unit</f>
        <v>-3.1017301000000002</v>
      </c>
      <c r="H78" s="287">
        <f>Bloomberg!G121/unit</f>
        <v>0</v>
      </c>
      <c r="I78" s="287">
        <f>Bloomberg!H121/unit</f>
        <v>0</v>
      </c>
      <c r="J78" s="287">
        <f>Bloomberg!I121/unit</f>
        <v>0</v>
      </c>
      <c r="K78" s="287">
        <f>Bloomberg!J121/unit</f>
        <v>0</v>
      </c>
      <c r="L78" s="287">
        <f>Bloomberg!K121/unit</f>
        <v>0</v>
      </c>
      <c r="M78" s="287">
        <f>Bloomberg!L121/unit</f>
        <v>0</v>
      </c>
      <c r="N78" s="287">
        <f>Bloomberg!M121/unit</f>
        <v>0</v>
      </c>
      <c r="O78" s="287">
        <f>Bloomberg!N121/unit</f>
        <v>0</v>
      </c>
      <c r="P78" s="287">
        <f>Bloomberg!O121/unit</f>
        <v>0</v>
      </c>
      <c r="Q78" s="335"/>
      <c r="R78" s="335"/>
      <c r="S78" s="335"/>
      <c r="T78" s="335"/>
      <c r="U78" s="335"/>
      <c r="V78" s="335"/>
      <c r="W78" s="335"/>
      <c r="X78" s="335"/>
    </row>
    <row r="79" spans="2:24" ht="12.75" customHeight="1">
      <c r="B79" s="353" t="s">
        <v>98</v>
      </c>
      <c r="C79" s="350"/>
      <c r="D79" s="351">
        <f>D64+D69+D75+SUM(D76:D78)</f>
        <v>-14.1225101</v>
      </c>
      <c r="E79" s="351">
        <f t="shared" ref="E79:K79" si="20">E64+E69+E75+SUM(E76:E78)</f>
        <v>103.3058123</v>
      </c>
      <c r="F79" s="351">
        <f t="shared" si="20"/>
        <v>68.551592200000016</v>
      </c>
      <c r="G79" s="351">
        <f t="shared" si="20"/>
        <v>182.7059476</v>
      </c>
      <c r="H79" s="354">
        <f t="shared" si="20"/>
        <v>110.00556590000001</v>
      </c>
      <c r="I79" s="354">
        <f t="shared" si="20"/>
        <v>115.67106860000003</v>
      </c>
      <c r="J79" s="351">
        <f t="shared" si="20"/>
        <v>61.39717499999999</v>
      </c>
      <c r="K79" s="351">
        <f t="shared" si="20"/>
        <v>2.4122275999999943</v>
      </c>
      <c r="L79" s="351">
        <f>L64+L69+L75+SUM(L76:L78)</f>
        <v>306.78017940000001</v>
      </c>
      <c r="M79" s="351">
        <f>M64+M69+M75+SUM(M76:M78)</f>
        <v>305.30719199999993</v>
      </c>
      <c r="N79" s="351">
        <f>N64+N69+N75+SUM(N76:N78)</f>
        <v>373.94400960000007</v>
      </c>
      <c r="O79" s="351">
        <f>O64+O69+O75+SUM(O76:O78)</f>
        <v>725.85357329999999</v>
      </c>
      <c r="P79" s="351">
        <f>P64+P69+P75+SUM(P76:P78)</f>
        <v>781.46789669999998</v>
      </c>
      <c r="Q79" s="355"/>
      <c r="R79" s="355"/>
      <c r="S79" s="355"/>
      <c r="T79" s="355"/>
      <c r="U79" s="355"/>
      <c r="V79" s="355"/>
      <c r="W79" s="355"/>
      <c r="X79" s="355"/>
    </row>
    <row r="80" spans="2:24" ht="12.75" customHeight="1">
      <c r="B80" s="22" t="s">
        <v>292</v>
      </c>
      <c r="C80" s="22"/>
      <c r="D80" s="287">
        <f t="shared" ref="D80:K80" si="21">D47-C47</f>
        <v>71.95</v>
      </c>
      <c r="E80" s="287">
        <f t="shared" si="21"/>
        <v>-47</v>
      </c>
      <c r="F80" s="287">
        <f t="shared" si="21"/>
        <v>0</v>
      </c>
      <c r="G80" s="287">
        <f t="shared" si="21"/>
        <v>-24.5</v>
      </c>
      <c r="H80" s="287">
        <f t="shared" si="21"/>
        <v>0.73</v>
      </c>
      <c r="I80" s="287">
        <f t="shared" si="21"/>
        <v>-0.92999999999999994</v>
      </c>
      <c r="J80" s="287">
        <f t="shared" si="21"/>
        <v>0</v>
      </c>
      <c r="K80" s="287">
        <f t="shared" si="21"/>
        <v>-0.25</v>
      </c>
      <c r="L80" s="287">
        <f>L47-K47</f>
        <v>0</v>
      </c>
      <c r="M80" s="287">
        <f>M47-L47</f>
        <v>0</v>
      </c>
      <c r="N80" s="287">
        <f>N47-M47</f>
        <v>0</v>
      </c>
      <c r="O80" s="287">
        <f>O47-N47</f>
        <v>1</v>
      </c>
      <c r="P80" s="287">
        <f>P47-O47</f>
        <v>0.14399999999999991</v>
      </c>
      <c r="Q80" s="335"/>
      <c r="R80" s="335"/>
      <c r="S80" s="335"/>
      <c r="T80" s="335"/>
      <c r="U80" s="335"/>
      <c r="V80" s="335"/>
      <c r="W80" s="335"/>
      <c r="X80" s="335"/>
    </row>
    <row r="81" spans="2:24" ht="12.75" customHeight="1">
      <c r="B81" s="22" t="s">
        <v>291</v>
      </c>
      <c r="C81" s="22"/>
      <c r="D81" s="287">
        <f t="shared" ref="D81:K81" si="22">D50-C50</f>
        <v>12.088175999999999</v>
      </c>
      <c r="E81" s="287">
        <f t="shared" si="22"/>
        <v>-2.6639999999998665E-2</v>
      </c>
      <c r="F81" s="287">
        <f t="shared" si="22"/>
        <v>-2.6640000000000441E-2</v>
      </c>
      <c r="G81" s="287">
        <f t="shared" si="22"/>
        <v>-11.919136</v>
      </c>
      <c r="H81" s="287">
        <f t="shared" si="22"/>
        <v>-2.6639999999999997E-2</v>
      </c>
      <c r="I81" s="287">
        <f t="shared" si="22"/>
        <v>-2.6640000000000011E-2</v>
      </c>
      <c r="J81" s="287">
        <f t="shared" si="22"/>
        <v>0.28752</v>
      </c>
      <c r="K81" s="287">
        <f t="shared" si="22"/>
        <v>69.364000000000004</v>
      </c>
      <c r="L81" s="287">
        <f>L50-K50</f>
        <v>-3.0000000000001137E-2</v>
      </c>
      <c r="M81" s="287">
        <f>M50-L50</f>
        <v>-3.0000000000001137E-2</v>
      </c>
      <c r="N81" s="287">
        <f>N50-M50</f>
        <v>-3.0000000000001137E-2</v>
      </c>
      <c r="O81" s="287">
        <f>O50-N50</f>
        <v>49.485413400000013</v>
      </c>
      <c r="P81" s="287">
        <f>P50-O50</f>
        <v>58.813725099999985</v>
      </c>
      <c r="Q81" s="335"/>
      <c r="R81" s="335"/>
      <c r="S81" s="335"/>
      <c r="T81" s="335"/>
      <c r="U81" s="335"/>
      <c r="V81" s="335"/>
      <c r="W81" s="335"/>
      <c r="X81" s="335"/>
    </row>
    <row r="82" spans="2:24" ht="12.75" customHeight="1">
      <c r="B82" s="22" t="s">
        <v>99</v>
      </c>
      <c r="C82" s="22"/>
      <c r="D82" s="287">
        <f>Bloomberg!C122/unit</f>
        <v>0</v>
      </c>
      <c r="E82" s="287">
        <f>Bloomberg!D122/unit</f>
        <v>0</v>
      </c>
      <c r="F82" s="287">
        <f>Bloomberg!E122/unit</f>
        <v>0</v>
      </c>
      <c r="G82" s="287">
        <f>Bloomberg!F122/unit</f>
        <v>0</v>
      </c>
      <c r="H82" s="287">
        <f>Bloomberg!G122/unit</f>
        <v>0</v>
      </c>
      <c r="I82" s="287">
        <f>Bloomberg!H122/unit</f>
        <v>0</v>
      </c>
      <c r="J82" s="287">
        <f>Bloomberg!I122/unit</f>
        <v>0</v>
      </c>
      <c r="K82" s="287">
        <f>Bloomberg!J122/unit</f>
        <v>0</v>
      </c>
      <c r="L82" s="287">
        <f>Bloomberg!K122/unit</f>
        <v>0</v>
      </c>
      <c r="M82" s="287">
        <f>Bloomberg!L122/unit</f>
        <v>0</v>
      </c>
      <c r="N82" s="287">
        <f>Bloomberg!M122/unit</f>
        <v>0</v>
      </c>
      <c r="O82" s="287">
        <f>Bloomberg!N122/unit</f>
        <v>0</v>
      </c>
      <c r="P82" s="287">
        <f>Bloomberg!O122/unit</f>
        <v>0</v>
      </c>
      <c r="Q82" s="335"/>
      <c r="R82" s="335"/>
      <c r="S82" s="335"/>
      <c r="T82" s="335"/>
      <c r="U82" s="335"/>
      <c r="V82" s="335"/>
      <c r="W82" s="335"/>
      <c r="X82" s="335"/>
    </row>
    <row r="83" spans="2:24" ht="12.75" customHeight="1">
      <c r="B83" s="27" t="s">
        <v>100</v>
      </c>
      <c r="C83" s="27"/>
      <c r="D83" s="287">
        <f>Bloomberg!C123/unit</f>
        <v>-41.510047499999999</v>
      </c>
      <c r="E83" s="287">
        <f>Bloomberg!D123/unit</f>
        <v>-48.153420300000001</v>
      </c>
      <c r="F83" s="287">
        <f>Bloomberg!E123/unit</f>
        <v>-0.39125940000000003</v>
      </c>
      <c r="G83" s="287">
        <f>Bloomberg!F123/unit</f>
        <v>49.298187800000001</v>
      </c>
      <c r="H83" s="287">
        <f>Bloomberg!G123/unit</f>
        <v>0.70335999999999999</v>
      </c>
      <c r="I83" s="287">
        <f>Bloomberg!H123/unit</f>
        <v>3.2827060000000001</v>
      </c>
      <c r="J83" s="287">
        <f>Bloomberg!I123/unit</f>
        <v>-5.6925110000000005</v>
      </c>
      <c r="K83" s="287">
        <f>Bloomberg!J123/unit</f>
        <v>186.89775850000001</v>
      </c>
      <c r="L83" s="287">
        <f>Bloomberg!K123/unit</f>
        <v>221.97234</v>
      </c>
      <c r="M83" s="287">
        <f>Bloomberg!L123/unit</f>
        <v>6.3389500000000001E-2</v>
      </c>
      <c r="N83" s="287">
        <f>Bloomberg!M123/unit</f>
        <v>-0.6680123</v>
      </c>
      <c r="O83" s="287">
        <f>Bloomberg!N123/unit</f>
        <v>48.911054300000004</v>
      </c>
      <c r="P83" s="287">
        <f>Bloomberg!O123/unit</f>
        <v>58.688225100000004</v>
      </c>
      <c r="Q83" s="335"/>
      <c r="R83" s="335"/>
      <c r="S83" s="335"/>
      <c r="T83" s="335"/>
      <c r="U83" s="335"/>
      <c r="V83" s="335"/>
      <c r="W83" s="335"/>
      <c r="X83" s="335"/>
    </row>
    <row r="84" spans="2:24" ht="12.75" customHeight="1">
      <c r="B84" s="27" t="s">
        <v>101</v>
      </c>
      <c r="C84" s="27"/>
      <c r="D84" s="287">
        <f>Bloomberg!C124/unit</f>
        <v>-53.611150099999996</v>
      </c>
      <c r="E84" s="287">
        <f>Bloomberg!D124/unit</f>
        <v>1.9380765</v>
      </c>
      <c r="F84" s="287">
        <f>Bloomberg!E124/unit</f>
        <v>12.836226199999999</v>
      </c>
      <c r="G84" s="287">
        <f>Bloomberg!F124/unit</f>
        <v>67.527701899999997</v>
      </c>
      <c r="H84" s="287">
        <f>Bloomberg!G124/unit</f>
        <v>-25.343728299999999</v>
      </c>
      <c r="I84" s="287">
        <f>Bloomberg!H124/unit</f>
        <v>9.4502487999999989</v>
      </c>
      <c r="J84" s="287">
        <f>Bloomberg!I124/unit</f>
        <v>-64.410510599999995</v>
      </c>
      <c r="K84" s="287">
        <f>Bloomberg!J124/unit</f>
        <v>17.137626100000002</v>
      </c>
      <c r="L84" s="287">
        <f>Bloomberg!K124/unit</f>
        <v>233.8635893</v>
      </c>
      <c r="M84" s="287">
        <f>Bloomberg!L124/unit</f>
        <v>-1.3798478999999999</v>
      </c>
      <c r="N84" s="287">
        <f>Bloomberg!M124/unit</f>
        <v>68.451458700000003</v>
      </c>
      <c r="O84" s="287">
        <f>Bloomberg!N124/unit</f>
        <v>402.51749649999999</v>
      </c>
      <c r="P84" s="287">
        <f>Bloomberg!O124/unit</f>
        <v>64.086635099999995</v>
      </c>
      <c r="Q84" s="335"/>
      <c r="R84" s="335"/>
      <c r="S84" s="335"/>
      <c r="T84" s="335"/>
      <c r="U84" s="335"/>
      <c r="V84" s="335"/>
      <c r="W84" s="335"/>
      <c r="X84" s="335"/>
    </row>
    <row r="85" spans="2:24" ht="12.75" customHeight="1">
      <c r="B85" s="27" t="s">
        <v>102</v>
      </c>
      <c r="C85" s="27"/>
      <c r="D85" s="287">
        <f t="shared" ref="D85:K85" si="23">D64+D84</f>
        <v>-53.611150099999996</v>
      </c>
      <c r="E85" s="287">
        <f t="shared" si="23"/>
        <v>55.688726000000003</v>
      </c>
      <c r="F85" s="287">
        <f t="shared" si="23"/>
        <v>68.524952200000001</v>
      </c>
      <c r="G85" s="287">
        <f t="shared" si="23"/>
        <v>136.05265409999998</v>
      </c>
      <c r="H85" s="287">
        <f t="shared" si="23"/>
        <v>110.70892580000002</v>
      </c>
      <c r="I85" s="287">
        <f t="shared" si="23"/>
        <v>120.1591746</v>
      </c>
      <c r="J85" s="287">
        <f t="shared" si="23"/>
        <v>55.748664000000005</v>
      </c>
      <c r="K85" s="287">
        <f t="shared" si="23"/>
        <v>76.605938000000009</v>
      </c>
      <c r="L85" s="287">
        <f>L64+L84</f>
        <v>306.7498794</v>
      </c>
      <c r="M85" s="287">
        <f>M64+M84</f>
        <v>305.37003149999998</v>
      </c>
      <c r="N85" s="287">
        <f>N64+N84</f>
        <v>373.82147020000002</v>
      </c>
      <c r="O85" s="287">
        <f>O64+O84</f>
        <v>776.33898670000008</v>
      </c>
      <c r="P85" s="287">
        <f>P64+P84</f>
        <v>840.42562179999993</v>
      </c>
      <c r="Q85" s="335"/>
      <c r="R85" s="335"/>
      <c r="S85" s="335"/>
      <c r="T85" s="335"/>
      <c r="U85" s="335"/>
      <c r="V85" s="335"/>
      <c r="W85" s="335"/>
      <c r="X85" s="335"/>
    </row>
    <row r="86" spans="2:24" ht="12.75" customHeight="1">
      <c r="B86" s="356" t="s">
        <v>75</v>
      </c>
      <c r="C86" s="356"/>
      <c r="D86" s="351">
        <v>0</v>
      </c>
      <c r="E86" s="351">
        <v>0</v>
      </c>
      <c r="F86" s="351">
        <v>0</v>
      </c>
      <c r="G86" s="351">
        <v>0</v>
      </c>
      <c r="H86" s="354">
        <v>0</v>
      </c>
      <c r="I86" s="354">
        <v>0</v>
      </c>
      <c r="J86" s="351">
        <v>0</v>
      </c>
      <c r="K86" s="351">
        <v>0</v>
      </c>
      <c r="L86" s="351">
        <v>1</v>
      </c>
      <c r="M86" s="351">
        <v>2</v>
      </c>
      <c r="N86" s="351">
        <v>3</v>
      </c>
      <c r="O86" s="351">
        <v>4</v>
      </c>
      <c r="P86" s="351">
        <v>4</v>
      </c>
      <c r="Q86" s="355"/>
      <c r="R86" s="355"/>
      <c r="S86" s="355"/>
      <c r="T86" s="355"/>
      <c r="U86" s="355"/>
      <c r="V86" s="355"/>
      <c r="W86" s="355"/>
      <c r="X86" s="355"/>
    </row>
    <row r="87" spans="2:24" ht="12.75" customHeight="1">
      <c r="B87" s="8"/>
      <c r="C87" s="8"/>
      <c r="D87" s="287"/>
      <c r="E87" s="287"/>
      <c r="F87" s="287"/>
      <c r="G87" s="287"/>
      <c r="H87" s="288"/>
      <c r="I87" s="288"/>
      <c r="J87" s="287"/>
      <c r="K87" s="287"/>
      <c r="L87" s="287"/>
      <c r="M87" s="287"/>
      <c r="N87" s="287"/>
      <c r="O87" s="287"/>
      <c r="P87" s="287"/>
      <c r="Q87" s="335"/>
      <c r="R87" s="335"/>
      <c r="S87" s="335"/>
      <c r="T87" s="335"/>
      <c r="U87" s="335"/>
      <c r="V87" s="335"/>
      <c r="W87" s="335"/>
      <c r="X87" s="335"/>
    </row>
    <row r="88" spans="2:24" ht="12.75" customHeight="1">
      <c r="B88" s="6" t="s">
        <v>284</v>
      </c>
      <c r="C88" s="4"/>
      <c r="D88" s="305">
        <f>Bloomberg!C125</f>
        <v>6643.77</v>
      </c>
      <c r="E88" s="305">
        <f>Bloomberg!D125</f>
        <v>7339.04</v>
      </c>
      <c r="F88" s="305">
        <f>Bloomberg!E125</f>
        <v>5871.24</v>
      </c>
      <c r="G88" s="305">
        <f>Bloomberg!F125</f>
        <v>8343.33</v>
      </c>
      <c r="H88" s="305">
        <f>Bloomberg!G125</f>
        <v>8806.85</v>
      </c>
      <c r="I88" s="305">
        <f>Bloomberg!H125</f>
        <v>9149.86</v>
      </c>
      <c r="J88" s="305">
        <f>Bloomberg!I125</f>
        <v>8565.82</v>
      </c>
      <c r="K88" s="305">
        <f>Bloomberg!J125</f>
        <v>12500</v>
      </c>
      <c r="L88" s="305">
        <f>Bloomberg!K125</f>
        <v>16300</v>
      </c>
      <c r="M88" s="305">
        <f>Bloomberg!L125</f>
        <v>12659.3</v>
      </c>
      <c r="N88" s="305">
        <f>Bloomberg!M125</f>
        <v>13084.11</v>
      </c>
      <c r="O88" s="305">
        <f>Bloomberg!N125</f>
        <v>11894.65</v>
      </c>
      <c r="P88" s="305">
        <f>Bloomberg!O125</f>
        <v>15454.55</v>
      </c>
      <c r="Q88" s="335"/>
      <c r="R88" s="335"/>
      <c r="S88" s="335"/>
      <c r="T88" s="335"/>
      <c r="U88" s="335"/>
      <c r="V88" s="335"/>
      <c r="W88" s="335"/>
      <c r="X88" s="335"/>
    </row>
    <row r="89" spans="2:24" ht="12.75" customHeight="1">
      <c r="B89" s="6"/>
      <c r="C89" s="4"/>
      <c r="D89" s="294"/>
      <c r="E89" s="294"/>
      <c r="F89" s="294"/>
      <c r="G89" s="294"/>
      <c r="H89" s="294"/>
      <c r="I89" s="294"/>
      <c r="J89" s="294"/>
      <c r="K89" s="294"/>
      <c r="L89" s="294"/>
      <c r="M89" s="294"/>
      <c r="N89" s="294"/>
      <c r="O89" s="294"/>
      <c r="P89" s="294"/>
      <c r="Q89" s="294"/>
      <c r="R89" s="294"/>
      <c r="S89" s="294"/>
      <c r="T89" s="294"/>
      <c r="U89" s="294"/>
      <c r="V89" s="294"/>
      <c r="W89" s="294"/>
      <c r="X89" s="294"/>
    </row>
    <row r="90" spans="2:24" ht="12.75" customHeight="1">
      <c r="B90" s="19" t="s">
        <v>103</v>
      </c>
      <c r="C90" s="19"/>
      <c r="D90" s="293"/>
      <c r="E90" s="293"/>
      <c r="F90" s="293"/>
      <c r="G90" s="293"/>
      <c r="H90" s="293"/>
      <c r="I90" s="293"/>
      <c r="J90" s="293"/>
      <c r="K90" s="293"/>
      <c r="L90" s="293"/>
      <c r="M90" s="293"/>
      <c r="N90" s="293"/>
      <c r="O90" s="293"/>
      <c r="P90" s="293"/>
      <c r="Q90" s="295"/>
      <c r="R90" s="295"/>
      <c r="S90" s="295"/>
      <c r="T90" s="295"/>
      <c r="U90" s="295"/>
      <c r="V90" s="295"/>
      <c r="W90" s="295"/>
      <c r="X90" s="295"/>
    </row>
    <row r="91" spans="2:24" ht="12.75" customHeight="1">
      <c r="B91" s="8" t="s">
        <v>104</v>
      </c>
      <c r="C91" s="4"/>
      <c r="D91" s="306">
        <f t="shared" ref="D91:K91" si="24">IFERROR(D28*D88/10^3,0)</f>
        <v>212.60064000000003</v>
      </c>
      <c r="E91" s="306">
        <f t="shared" si="24"/>
        <v>234.84927999999999</v>
      </c>
      <c r="F91" s="306">
        <f t="shared" si="24"/>
        <v>187.87967999999998</v>
      </c>
      <c r="G91" s="306">
        <f t="shared" si="24"/>
        <v>308.70321000000001</v>
      </c>
      <c r="H91" s="306">
        <f t="shared" si="24"/>
        <v>369.8877</v>
      </c>
      <c r="I91" s="306">
        <f t="shared" si="24"/>
        <v>432.3294255973301</v>
      </c>
      <c r="J91" s="306">
        <f t="shared" si="24"/>
        <v>450.98769050342008</v>
      </c>
      <c r="K91" s="306">
        <f t="shared" si="24"/>
        <v>659.99601250000012</v>
      </c>
      <c r="L91" s="306">
        <f t="shared" ref="L91:Q91" si="25">IFERROR(L28*L88/10^3,0)</f>
        <v>1041.5674001499999</v>
      </c>
      <c r="M91" s="306">
        <f t="shared" si="25"/>
        <v>949.44749999999999</v>
      </c>
      <c r="N91" s="306">
        <f t="shared" si="25"/>
        <v>981.30825000000004</v>
      </c>
      <c r="O91" s="306">
        <f t="shared" si="25"/>
        <v>892.09875</v>
      </c>
      <c r="P91" s="306">
        <f t="shared" si="25"/>
        <v>1357.6822174999998</v>
      </c>
      <c r="Q91" s="370">
        <f t="shared" si="25"/>
        <v>0</v>
      </c>
      <c r="R91" s="370"/>
      <c r="S91" s="370"/>
      <c r="T91" s="370"/>
      <c r="U91" s="370"/>
      <c r="V91" s="370"/>
      <c r="W91" s="370"/>
      <c r="X91" s="370"/>
    </row>
    <row r="92" spans="2:24" ht="12.75" customHeight="1">
      <c r="B92" s="8" t="s">
        <v>346</v>
      </c>
      <c r="C92" s="8"/>
      <c r="D92" s="338">
        <f t="shared" ref="D92:K92" si="26">IFERROR((D47+D50+D58+D91)/(D91/D91),0)</f>
        <v>346.0388054</v>
      </c>
      <c r="E92" s="338">
        <f t="shared" si="26"/>
        <v>323.87296300000003</v>
      </c>
      <c r="F92" s="338">
        <f t="shared" si="26"/>
        <v>278.64791249999996</v>
      </c>
      <c r="G92" s="338">
        <f t="shared" si="26"/>
        <v>333.12701520000002</v>
      </c>
      <c r="H92" s="338">
        <f t="shared" si="26"/>
        <v>393.58428700000002</v>
      </c>
      <c r="I92" s="338">
        <f t="shared" si="26"/>
        <v>456.87019559733011</v>
      </c>
      <c r="J92" s="338">
        <f t="shared" si="26"/>
        <v>477.36599380342011</v>
      </c>
      <c r="K92" s="338">
        <f t="shared" si="26"/>
        <v>760.1918055000001</v>
      </c>
      <c r="L92" s="338">
        <f t="shared" ref="L92:Q92" si="27">IFERROR((L47+L50+L58+L91)/(L91/L91),0)</f>
        <v>1142.5929069499998</v>
      </c>
      <c r="M92" s="338">
        <f t="shared" si="27"/>
        <v>1063.8790068999999</v>
      </c>
      <c r="N92" s="338">
        <f t="shared" si="27"/>
        <v>1101.4999547</v>
      </c>
      <c r="O92" s="338">
        <f t="shared" si="27"/>
        <v>1081.6755390999999</v>
      </c>
      <c r="P92" s="338">
        <f t="shared" si="27"/>
        <v>1627.1733082999997</v>
      </c>
      <c r="Q92" s="370">
        <f t="shared" si="27"/>
        <v>0</v>
      </c>
      <c r="R92" s="370"/>
      <c r="S92" s="370"/>
      <c r="T92" s="370"/>
      <c r="U92" s="370"/>
      <c r="V92" s="370"/>
      <c r="W92" s="370"/>
      <c r="X92" s="370"/>
    </row>
    <row r="93" spans="2:24" ht="12.75" customHeight="1">
      <c r="B93" s="8" t="s">
        <v>354</v>
      </c>
      <c r="C93" s="8"/>
      <c r="D93" s="338">
        <f>D47+D50</f>
        <v>84.038176000000007</v>
      </c>
      <c r="E93" s="338">
        <f t="shared" ref="E93:K93" si="28">E47+E50</f>
        <v>37.011536</v>
      </c>
      <c r="F93" s="338">
        <f t="shared" si="28"/>
        <v>36.984895999999999</v>
      </c>
      <c r="G93" s="338">
        <f t="shared" si="28"/>
        <v>0.56576000000000004</v>
      </c>
      <c r="H93" s="338">
        <f t="shared" si="28"/>
        <v>1.26912</v>
      </c>
      <c r="I93" s="338">
        <f t="shared" si="28"/>
        <v>0.31247999999999998</v>
      </c>
      <c r="J93" s="338">
        <f t="shared" si="28"/>
        <v>0.6</v>
      </c>
      <c r="K93" s="338">
        <f t="shared" si="28"/>
        <v>69.713999999999999</v>
      </c>
      <c r="L93" s="338">
        <f t="shared" ref="L93:Q93" si="29">L47+L50</f>
        <v>69.683999999999997</v>
      </c>
      <c r="M93" s="338">
        <f t="shared" si="29"/>
        <v>69.653999999999996</v>
      </c>
      <c r="N93" s="338">
        <f t="shared" si="29"/>
        <v>69.623999999999995</v>
      </c>
      <c r="O93" s="338">
        <f t="shared" si="29"/>
        <v>120.10941340000001</v>
      </c>
      <c r="P93" s="338">
        <f t="shared" si="29"/>
        <v>179.0671385</v>
      </c>
      <c r="Q93" s="370">
        <f t="shared" si="29"/>
        <v>245</v>
      </c>
      <c r="R93" s="370"/>
      <c r="S93" s="370"/>
      <c r="T93" s="370"/>
      <c r="U93" s="370"/>
      <c r="V93" s="370"/>
      <c r="W93" s="370"/>
      <c r="X93" s="370"/>
    </row>
    <row r="94" spans="2:24" ht="12.75" customHeight="1">
      <c r="B94" s="8" t="s">
        <v>355</v>
      </c>
      <c r="C94" s="8"/>
      <c r="D94" s="338">
        <f t="shared" ref="D94:K96" si="30">IF(C93&lt;1,D93,AVERAGE(C93:D93))</f>
        <v>84.038176000000007</v>
      </c>
      <c r="E94" s="338">
        <f t="shared" si="30"/>
        <v>60.524856</v>
      </c>
      <c r="F94" s="338">
        <f t="shared" si="30"/>
        <v>36.998215999999999</v>
      </c>
      <c r="G94" s="338">
        <f t="shared" si="30"/>
        <v>18.775327999999998</v>
      </c>
      <c r="H94" s="338">
        <f t="shared" si="30"/>
        <v>1.26912</v>
      </c>
      <c r="I94" s="338">
        <f t="shared" si="30"/>
        <v>0.79079999999999995</v>
      </c>
      <c r="J94" s="338">
        <f t="shared" si="30"/>
        <v>0.6</v>
      </c>
      <c r="K94" s="338">
        <f t="shared" si="30"/>
        <v>69.713999999999999</v>
      </c>
      <c r="L94" s="338">
        <f t="shared" ref="L94:Q94" si="31">IF(K93&lt;1,L93,AVERAGE(K93:L93))</f>
        <v>69.698999999999998</v>
      </c>
      <c r="M94" s="338">
        <f t="shared" si="31"/>
        <v>69.668999999999997</v>
      </c>
      <c r="N94" s="338">
        <f t="shared" si="31"/>
        <v>69.638999999999996</v>
      </c>
      <c r="O94" s="338">
        <f t="shared" si="31"/>
        <v>94.866706700000009</v>
      </c>
      <c r="P94" s="338">
        <f t="shared" si="31"/>
        <v>149.58827595</v>
      </c>
      <c r="Q94" s="370">
        <f t="shared" si="31"/>
        <v>212.03356925</v>
      </c>
      <c r="R94" s="370"/>
      <c r="S94" s="370"/>
      <c r="T94" s="370"/>
      <c r="U94" s="370"/>
      <c r="V94" s="370"/>
      <c r="W94" s="370"/>
      <c r="X94" s="370"/>
    </row>
    <row r="95" spans="2:24" ht="12.75" customHeight="1">
      <c r="B95" s="8" t="s">
        <v>345</v>
      </c>
      <c r="C95" s="8"/>
      <c r="D95" s="338">
        <f t="shared" ref="D95:K95" si="32">D47+D50+D59</f>
        <v>534.85261909999997</v>
      </c>
      <c r="E95" s="338">
        <f t="shared" si="32"/>
        <v>496.12602979999997</v>
      </c>
      <c r="F95" s="338">
        <f t="shared" si="32"/>
        <v>523.36391730000003</v>
      </c>
      <c r="G95" s="338">
        <f t="shared" si="32"/>
        <v>580.1599046</v>
      </c>
      <c r="H95" s="338">
        <f t="shared" si="32"/>
        <v>578.00169889999995</v>
      </c>
      <c r="I95" s="338">
        <f t="shared" si="32"/>
        <v>598.92081540000004</v>
      </c>
      <c r="J95" s="338">
        <f t="shared" si="32"/>
        <v>630.83763470000008</v>
      </c>
      <c r="K95" s="338">
        <f t="shared" si="32"/>
        <v>733.32878770000002</v>
      </c>
      <c r="L95" s="338">
        <f t="shared" ref="L95:Q95" si="33">L47+L50+L59</f>
        <v>969.13767810000002</v>
      </c>
      <c r="M95" s="338">
        <f t="shared" si="33"/>
        <v>1010.4247476</v>
      </c>
      <c r="N95" s="338">
        <f t="shared" si="33"/>
        <v>1017.1081996</v>
      </c>
      <c r="O95" s="338">
        <f t="shared" si="33"/>
        <v>1192.3369032000001</v>
      </c>
      <c r="P95" s="338">
        <f t="shared" si="33"/>
        <v>1553.8159988000002</v>
      </c>
      <c r="Q95" s="370">
        <f t="shared" si="33"/>
        <v>1771</v>
      </c>
      <c r="R95" s="370"/>
      <c r="S95" s="370"/>
      <c r="T95" s="370"/>
      <c r="U95" s="370"/>
      <c r="V95" s="370"/>
      <c r="W95" s="370"/>
      <c r="X95" s="370"/>
    </row>
    <row r="96" spans="2:24" ht="12.75" customHeight="1">
      <c r="B96" s="8" t="s">
        <v>105</v>
      </c>
      <c r="C96" s="8"/>
      <c r="D96" s="338">
        <f>IF(C95&lt;1,D95,AVERAGE(C95:D95))</f>
        <v>534.85261909999997</v>
      </c>
      <c r="E96" s="338">
        <f t="shared" si="30"/>
        <v>515.48932444999991</v>
      </c>
      <c r="F96" s="338">
        <f t="shared" si="30"/>
        <v>509.74497355</v>
      </c>
      <c r="G96" s="338">
        <f t="shared" si="30"/>
        <v>551.76191095000001</v>
      </c>
      <c r="H96" s="338">
        <f t="shared" si="30"/>
        <v>579.08080174999998</v>
      </c>
      <c r="I96" s="338">
        <f t="shared" si="30"/>
        <v>588.46125714999994</v>
      </c>
      <c r="J96" s="338">
        <f t="shared" si="30"/>
        <v>614.87922505000006</v>
      </c>
      <c r="K96" s="338">
        <f t="shared" si="30"/>
        <v>682.08321120000005</v>
      </c>
      <c r="L96" s="338">
        <f t="shared" ref="L96:Q96" si="34">IF(K95&lt;1,L95,AVERAGE(K95:L95))</f>
        <v>851.23323290000008</v>
      </c>
      <c r="M96" s="338">
        <f t="shared" si="34"/>
        <v>989.78121284999997</v>
      </c>
      <c r="N96" s="338">
        <f t="shared" si="34"/>
        <v>1013.7664736</v>
      </c>
      <c r="O96" s="338">
        <f t="shared" si="34"/>
        <v>1104.7225514000002</v>
      </c>
      <c r="P96" s="338">
        <f t="shared" si="34"/>
        <v>1373.0764510000001</v>
      </c>
      <c r="Q96" s="370">
        <f t="shared" si="34"/>
        <v>1662.4079994000001</v>
      </c>
      <c r="R96" s="370"/>
      <c r="S96" s="370"/>
      <c r="T96" s="370"/>
      <c r="U96" s="370"/>
      <c r="V96" s="370"/>
      <c r="W96" s="370"/>
      <c r="X96" s="370"/>
    </row>
    <row r="97" spans="2:24" ht="12.75" customHeight="1">
      <c r="B97" s="8" t="s">
        <v>106</v>
      </c>
      <c r="C97" s="8"/>
      <c r="D97" s="338">
        <f>IFERROR(IF(C43&lt;1,D43,AVERAGE(C43:D43)),0)</f>
        <v>794.52897180000002</v>
      </c>
      <c r="E97" s="338">
        <f t="shared" ref="E97:K97" si="35">IFERROR(IF(D43&lt;1,E43,AVERAGE(D43:E43)),0)</f>
        <v>834.24000750000005</v>
      </c>
      <c r="F97" s="338">
        <f t="shared" si="35"/>
        <v>859.16855714999997</v>
      </c>
      <c r="G97" s="338">
        <f t="shared" si="35"/>
        <v>830.41912379999997</v>
      </c>
      <c r="H97" s="338">
        <f t="shared" si="35"/>
        <v>910.12105695000002</v>
      </c>
      <c r="I97" s="338">
        <f t="shared" si="35"/>
        <v>1021.26273145</v>
      </c>
      <c r="J97" s="338">
        <f t="shared" si="35"/>
        <v>1076.7608749999999</v>
      </c>
      <c r="K97" s="338">
        <f t="shared" si="35"/>
        <v>1191.500646</v>
      </c>
      <c r="L97" s="338">
        <f t="shared" ref="L97:Q97" si="36">IFERROR(IF(K43&lt;1,L43,AVERAGE(K43:L43)),0)</f>
        <v>1383.1365570999999</v>
      </c>
      <c r="M97" s="338">
        <f t="shared" si="36"/>
        <v>1537.8539971499999</v>
      </c>
      <c r="N97" s="338">
        <f t="shared" si="36"/>
        <v>1631.0534877</v>
      </c>
      <c r="O97" s="338">
        <f t="shared" si="36"/>
        <v>1922.45493005</v>
      </c>
      <c r="P97" s="338">
        <f t="shared" si="36"/>
        <v>2334.8701323499999</v>
      </c>
      <c r="Q97" s="370">
        <f t="shared" si="36"/>
        <v>2739.5037161999999</v>
      </c>
      <c r="R97" s="370"/>
      <c r="S97" s="370"/>
      <c r="T97" s="370"/>
      <c r="U97" s="370"/>
      <c r="V97" s="370"/>
      <c r="W97" s="370"/>
      <c r="X97" s="370"/>
    </row>
    <row r="98" spans="2:24" ht="12.75" customHeight="1">
      <c r="B98" s="8" t="s">
        <v>107</v>
      </c>
      <c r="C98" s="8"/>
      <c r="D98" s="338">
        <f>IFERROR(IF(C59&lt;1,D59,AVERAGE(C59:D59)),0)</f>
        <v>450.81444309999995</v>
      </c>
      <c r="E98" s="338">
        <f t="shared" ref="E98:K98" si="37">IFERROR(IF(D59&lt;1,E59,AVERAGE(D59:E59)),0)</f>
        <v>454.96446844999997</v>
      </c>
      <c r="F98" s="338">
        <f t="shared" si="37"/>
        <v>472.74675754999998</v>
      </c>
      <c r="G98" s="338">
        <f t="shared" si="37"/>
        <v>532.98658295000007</v>
      </c>
      <c r="H98" s="338">
        <f t="shared" si="37"/>
        <v>578.16336174999992</v>
      </c>
      <c r="I98" s="338">
        <f t="shared" si="37"/>
        <v>587.67045714999995</v>
      </c>
      <c r="J98" s="338">
        <f t="shared" si="37"/>
        <v>614.42298505000008</v>
      </c>
      <c r="K98" s="338">
        <f t="shared" si="37"/>
        <v>646.92621120000001</v>
      </c>
      <c r="L98" s="338">
        <f t="shared" ref="L98:Q98" si="38">IFERROR(IF(K59&lt;1,L59,AVERAGE(K59:L59)),0)</f>
        <v>781.53423290000001</v>
      </c>
      <c r="M98" s="338">
        <f t="shared" si="38"/>
        <v>920.11221285000011</v>
      </c>
      <c r="N98" s="338">
        <f t="shared" si="38"/>
        <v>944.12747360000003</v>
      </c>
      <c r="O98" s="338">
        <f t="shared" si="38"/>
        <v>1009.8558447</v>
      </c>
      <c r="P98" s="338">
        <f t="shared" si="38"/>
        <v>1223.4881750500001</v>
      </c>
      <c r="Q98" s="370">
        <f t="shared" si="38"/>
        <v>1450.3744301500001</v>
      </c>
      <c r="R98" s="370"/>
      <c r="S98" s="370"/>
      <c r="T98" s="370"/>
      <c r="U98" s="370"/>
      <c r="V98" s="370"/>
      <c r="W98" s="370"/>
      <c r="X98" s="370"/>
    </row>
    <row r="99" spans="2:24" ht="12.75" customHeight="1">
      <c r="B99" s="8" t="s">
        <v>108</v>
      </c>
      <c r="C99" s="8"/>
      <c r="D99" s="338">
        <f>IFERROR(IF(C34&lt;1,D34,AVERAGE(C34:D34)),0)</f>
        <v>96.877542300000002</v>
      </c>
      <c r="E99" s="338">
        <f t="shared" ref="E99:K99" si="39">IFERROR(IF(D34&lt;1,E34,AVERAGE(D34:E34)),0)</f>
        <v>170.1186199</v>
      </c>
      <c r="F99" s="338">
        <f t="shared" si="39"/>
        <v>205.8383159</v>
      </c>
      <c r="G99" s="338">
        <f t="shared" si="39"/>
        <v>148.76217969999999</v>
      </c>
      <c r="H99" s="338">
        <f t="shared" si="39"/>
        <v>228.49977849999999</v>
      </c>
      <c r="I99" s="338">
        <f t="shared" si="39"/>
        <v>307.94680229999994</v>
      </c>
      <c r="J99" s="338">
        <f t="shared" si="39"/>
        <v>292.12837545000002</v>
      </c>
      <c r="K99" s="338">
        <f t="shared" si="39"/>
        <v>364.47127075000003</v>
      </c>
      <c r="L99" s="338">
        <f t="shared" ref="L99:Q99" si="40">IFERROR(IF(K34&lt;1,L34,AVERAGE(K34:L34)),0)</f>
        <v>441.0694446</v>
      </c>
      <c r="M99" s="338">
        <f t="shared" si="40"/>
        <v>450.92083689999998</v>
      </c>
      <c r="N99" s="338">
        <f t="shared" si="40"/>
        <v>468.33550904999998</v>
      </c>
      <c r="O99" s="338">
        <f t="shared" si="40"/>
        <v>491.69764199999997</v>
      </c>
      <c r="P99" s="338">
        <f t="shared" si="40"/>
        <v>517.1959773000001</v>
      </c>
      <c r="Q99" s="370">
        <f t="shared" si="40"/>
        <v>671.83882040000003</v>
      </c>
      <c r="R99" s="370"/>
      <c r="S99" s="370"/>
      <c r="T99" s="370"/>
      <c r="U99" s="370"/>
      <c r="V99" s="370"/>
      <c r="W99" s="370"/>
      <c r="X99" s="370"/>
    </row>
    <row r="100" spans="2:24" ht="12.75" customHeight="1">
      <c r="B100" s="4" t="s">
        <v>117</v>
      </c>
      <c r="C100" s="4"/>
      <c r="D100" s="306"/>
      <c r="E100" s="306"/>
      <c r="F100" s="306"/>
      <c r="G100" s="306"/>
      <c r="H100" s="306"/>
      <c r="I100" s="306"/>
      <c r="J100" s="306"/>
      <c r="K100" s="306"/>
      <c r="L100" s="306"/>
      <c r="M100" s="306"/>
      <c r="N100" s="306"/>
      <c r="O100" s="306"/>
      <c r="P100" s="306"/>
      <c r="Q100" s="121"/>
      <c r="R100" s="121"/>
      <c r="S100" s="121"/>
      <c r="T100" s="121"/>
      <c r="U100" s="121"/>
      <c r="V100" s="121"/>
      <c r="W100" s="121"/>
      <c r="X100" s="121"/>
    </row>
    <row r="101" spans="2:24" ht="12.75" customHeight="1">
      <c r="B101" s="8" t="s">
        <v>118</v>
      </c>
      <c r="C101" s="8"/>
      <c r="D101" s="347">
        <f t="shared" ref="D101:K101" si="41">IFERROR(D12/D10,0)</f>
        <v>0.88995394327873945</v>
      </c>
      <c r="E101" s="347">
        <f t="shared" si="41"/>
        <v>0.51117167723154178</v>
      </c>
      <c r="F101" s="347">
        <f t="shared" si="41"/>
        <v>0.41597891784317048</v>
      </c>
      <c r="G101" s="347">
        <f t="shared" si="41"/>
        <v>0.41222002150453829</v>
      </c>
      <c r="H101" s="347">
        <f t="shared" si="41"/>
        <v>0.59852359512075837</v>
      </c>
      <c r="I101" s="347">
        <f t="shared" si="41"/>
        <v>0.52994881419823037</v>
      </c>
      <c r="J101" s="347">
        <f t="shared" si="41"/>
        <v>0.82124366609804011</v>
      </c>
      <c r="K101" s="347">
        <f t="shared" si="41"/>
        <v>0.62640126638367521</v>
      </c>
      <c r="L101" s="347">
        <f t="shared" ref="L101:Q101" si="42">IFERROR(L12/L10,0)</f>
        <v>0.53494070003592453</v>
      </c>
      <c r="M101" s="347">
        <f t="shared" si="42"/>
        <v>0.70806485850588785</v>
      </c>
      <c r="N101" s="347">
        <f t="shared" si="42"/>
        <v>0.6501308211317659</v>
      </c>
      <c r="O101" s="347">
        <f t="shared" si="42"/>
        <v>0.5519251238385835</v>
      </c>
      <c r="P101" s="347">
        <f t="shared" si="42"/>
        <v>0.58425458451577739</v>
      </c>
      <c r="Q101" s="337">
        <f t="shared" si="42"/>
        <v>0.66745171926519076</v>
      </c>
      <c r="R101" s="337"/>
      <c r="S101" s="337"/>
      <c r="T101" s="337"/>
      <c r="U101" s="337"/>
      <c r="V101" s="337"/>
      <c r="W101" s="337"/>
      <c r="X101" s="337"/>
    </row>
    <row r="102" spans="2:24" ht="12.75" customHeight="1">
      <c r="B102" s="8" t="s">
        <v>422</v>
      </c>
      <c r="C102" s="8"/>
      <c r="D102" s="347">
        <f t="shared" ref="D102:O102" si="43">IFERROR(D15/D10,0)</f>
        <v>0.1401262393234054</v>
      </c>
      <c r="E102" s="347">
        <f t="shared" si="43"/>
        <v>0.16823484627203317</v>
      </c>
      <c r="F102" s="347">
        <f t="shared" si="43"/>
        <v>0.21557516980770072</v>
      </c>
      <c r="G102" s="347">
        <f t="shared" si="43"/>
        <v>0.13533318052177906</v>
      </c>
      <c r="H102" s="347">
        <f t="shared" si="43"/>
        <v>-1.7930099172963781E-3</v>
      </c>
      <c r="I102" s="347">
        <f t="shared" si="43"/>
        <v>0.21038031320341677</v>
      </c>
      <c r="J102" s="347">
        <f t="shared" si="43"/>
        <v>-0.13900383656071441</v>
      </c>
      <c r="K102" s="347">
        <f t="shared" si="43"/>
        <v>0.30280826407492634</v>
      </c>
      <c r="L102" s="347">
        <f t="shared" si="43"/>
        <v>0.29791364464632658</v>
      </c>
      <c r="M102" s="347">
        <f t="shared" si="43"/>
        <v>0.44012864379651401</v>
      </c>
      <c r="N102" s="347">
        <f t="shared" si="43"/>
        <v>0.16161435585663353</v>
      </c>
      <c r="O102" s="347">
        <f t="shared" si="43"/>
        <v>0.32091500276549351</v>
      </c>
      <c r="P102" s="347">
        <f>IFERROR(P15/P10,0)</f>
        <v>0.3542546024412197</v>
      </c>
      <c r="Q102" s="337">
        <f>IFERROR(Q15/Q10,0)</f>
        <v>0.39142722562411691</v>
      </c>
      <c r="R102" s="337"/>
      <c r="S102" s="337"/>
      <c r="T102" s="337"/>
      <c r="U102" s="337"/>
      <c r="V102" s="337"/>
      <c r="W102" s="337"/>
      <c r="X102" s="337"/>
    </row>
    <row r="103" spans="2:24" ht="12.75" customHeight="1">
      <c r="B103" s="8" t="s">
        <v>454</v>
      </c>
      <c r="C103" s="8"/>
      <c r="D103" s="347">
        <f>IFERROR(D26/D10,0)</f>
        <v>0.18489131799364852</v>
      </c>
      <c r="E103" s="347">
        <f t="shared" ref="E103:K103" si="44">IFERROR(E26/E10,0)</f>
        <v>0.16404183197455172</v>
      </c>
      <c r="F103" s="347">
        <f t="shared" si="44"/>
        <v>0.23098992826162759</v>
      </c>
      <c r="G103" s="347">
        <f t="shared" si="44"/>
        <v>0.23494020906566757</v>
      </c>
      <c r="H103" s="347">
        <f t="shared" si="44"/>
        <v>4.2053827203130174E-2</v>
      </c>
      <c r="I103" s="347">
        <f t="shared" si="44"/>
        <v>0.22420107131700756</v>
      </c>
      <c r="J103" s="347">
        <f t="shared" si="44"/>
        <v>1.28549190577037</v>
      </c>
      <c r="K103" s="347">
        <f t="shared" si="44"/>
        <v>0.41186130398176257</v>
      </c>
      <c r="L103" s="347">
        <f t="shared" ref="L103:Q103" si="45">IFERROR(L26/L10,0)</f>
        <v>0.34395228006203754</v>
      </c>
      <c r="M103" s="347">
        <f t="shared" si="45"/>
        <v>0.51345190408896624</v>
      </c>
      <c r="N103" s="347">
        <f t="shared" si="45"/>
        <v>0.30416110169104132</v>
      </c>
      <c r="O103" s="347">
        <f t="shared" si="45"/>
        <v>0.70031070474866741</v>
      </c>
      <c r="P103" s="347">
        <f t="shared" si="45"/>
        <v>0.41658917118018357</v>
      </c>
      <c r="Q103" s="337">
        <f t="shared" si="45"/>
        <v>0.77759773904851637</v>
      </c>
      <c r="R103" s="337"/>
      <c r="S103" s="337"/>
      <c r="T103" s="337"/>
      <c r="U103" s="337"/>
      <c r="V103" s="337"/>
      <c r="W103" s="337"/>
      <c r="X103" s="337"/>
    </row>
    <row r="104" spans="2:24" ht="12.75" customHeight="1">
      <c r="B104" s="8" t="s">
        <v>326</v>
      </c>
      <c r="C104" s="8"/>
      <c r="D104" s="347">
        <f t="shared" ref="D104:K104" si="46">IFERROR(D22/D10,0)</f>
        <v>-3.8057490262105434E-2</v>
      </c>
      <c r="E104" s="347">
        <f t="shared" si="46"/>
        <v>9.8247879147314324E-2</v>
      </c>
      <c r="F104" s="347">
        <f t="shared" si="46"/>
        <v>0.17794623762187728</v>
      </c>
      <c r="G104" s="347">
        <f t="shared" si="46"/>
        <v>0.19741973070595012</v>
      </c>
      <c r="H104" s="347">
        <f t="shared" si="46"/>
        <v>-1.8572810393670054E-3</v>
      </c>
      <c r="I104" s="347">
        <f t="shared" si="46"/>
        <v>0.14851035790489889</v>
      </c>
      <c r="J104" s="347">
        <f t="shared" si="46"/>
        <v>0.95223130840845482</v>
      </c>
      <c r="K104" s="347">
        <f t="shared" si="46"/>
        <v>0.31871228391780976</v>
      </c>
      <c r="L104" s="347">
        <f t="shared" ref="L104:Q104" si="47">IFERROR(L22/L10,0)</f>
        <v>0.2400341820012053</v>
      </c>
      <c r="M104" s="347">
        <f t="shared" si="47"/>
        <v>0.38055739624173207</v>
      </c>
      <c r="N104" s="347">
        <f t="shared" si="47"/>
        <v>0.18778919217640738</v>
      </c>
      <c r="O104" s="347">
        <f t="shared" si="47"/>
        <v>0.56689491616794407</v>
      </c>
      <c r="P104" s="347">
        <f t="shared" si="47"/>
        <v>0.34533803640528193</v>
      </c>
      <c r="Q104" s="337">
        <f t="shared" si="47"/>
        <v>0.6745831370701838</v>
      </c>
      <c r="R104" s="337"/>
      <c r="S104" s="337"/>
      <c r="T104" s="337"/>
      <c r="U104" s="337"/>
      <c r="V104" s="337"/>
      <c r="W104" s="337"/>
      <c r="X104" s="337"/>
    </row>
    <row r="105" spans="2:24" ht="12.75" customHeight="1">
      <c r="B105" s="8" t="s">
        <v>332</v>
      </c>
      <c r="C105" s="8"/>
      <c r="D105" s="347">
        <f>D106*D111</f>
        <v>8.9443986582869103E-3</v>
      </c>
      <c r="E105" s="347">
        <f t="shared" ref="E105:K105" si="48">E106*E111</f>
        <v>2.0488497995804347E-2</v>
      </c>
      <c r="F105" s="347">
        <f t="shared" si="48"/>
        <v>5.7568935302790648E-2</v>
      </c>
      <c r="G105" s="347">
        <f t="shared" si="48"/>
        <v>4.4802909048538161E-2</v>
      </c>
      <c r="H105" s="347">
        <f t="shared" si="48"/>
        <v>-1.5667769006637639E-4</v>
      </c>
      <c r="I105" s="347">
        <f t="shared" si="48"/>
        <v>3.5140662336764196E-2</v>
      </c>
      <c r="J105" s="347">
        <f t="shared" si="48"/>
        <v>4.8546254820809917E-2</v>
      </c>
      <c r="K105" s="347">
        <f t="shared" si="48"/>
        <v>6.0812841741293144E-2</v>
      </c>
      <c r="L105" s="347">
        <f t="shared" ref="L105:Q105" si="49">L106*L111</f>
        <v>2.8375791061269577E-2</v>
      </c>
      <c r="M105" s="347">
        <f t="shared" si="49"/>
        <v>4.8652905672601839E-2</v>
      </c>
      <c r="N105" s="347">
        <f t="shared" si="49"/>
        <v>1.14298922568712E-2</v>
      </c>
      <c r="O105" s="347">
        <f t="shared" si="49"/>
        <v>0.13399334272328542</v>
      </c>
      <c r="P105" s="347">
        <f t="shared" si="49"/>
        <v>4.8435199218478955E-2</v>
      </c>
      <c r="Q105" s="337">
        <f t="shared" si="49"/>
        <v>9.8742777742702348E-2</v>
      </c>
      <c r="R105" s="337"/>
      <c r="S105" s="337"/>
      <c r="T105" s="337"/>
      <c r="U105" s="337"/>
      <c r="V105" s="337"/>
      <c r="W105" s="337"/>
      <c r="X105" s="337"/>
    </row>
    <row r="106" spans="2:24" ht="12.75" customHeight="1">
      <c r="B106" s="15" t="s">
        <v>324</v>
      </c>
      <c r="C106" s="8"/>
      <c r="D106" s="347">
        <f>D107*D108*D109*D110</f>
        <v>5.0750372146467276E-3</v>
      </c>
      <c r="E106" s="347">
        <f t="shared" ref="E106:K106" si="50">E107*E108*E109*E110</f>
        <v>1.1173689245537669E-2</v>
      </c>
      <c r="F106" s="347">
        <f t="shared" si="50"/>
        <v>3.1676586943868476E-2</v>
      </c>
      <c r="G106" s="347">
        <f t="shared" si="50"/>
        <v>2.8755779720881225E-2</v>
      </c>
      <c r="H106" s="347">
        <f t="shared" si="50"/>
        <v>-9.9531045137633045E-5</v>
      </c>
      <c r="I106" s="347">
        <f t="shared" si="50"/>
        <v>2.0221171755361426E-2</v>
      </c>
      <c r="J106" s="347">
        <f t="shared" si="50"/>
        <v>2.77015403257478E-2</v>
      </c>
      <c r="K106" s="347">
        <f t="shared" si="50"/>
        <v>3.3018380167961728E-2</v>
      </c>
      <c r="L106" s="347">
        <f t="shared" ref="L106:Q106" si="51">L107*L108*L109*L110</f>
        <v>1.6033595516047543E-2</v>
      </c>
      <c r="M106" s="347">
        <f t="shared" si="51"/>
        <v>2.9109481643226225E-2</v>
      </c>
      <c r="N106" s="347">
        <f t="shared" si="51"/>
        <v>6.6161382084514754E-3</v>
      </c>
      <c r="O106" s="347">
        <f t="shared" si="51"/>
        <v>7.0386024756627558E-2</v>
      </c>
      <c r="P106" s="347">
        <f t="shared" si="51"/>
        <v>2.5380380980913966E-2</v>
      </c>
      <c r="Q106" s="337">
        <f t="shared" si="51"/>
        <v>5.2277351971857872E-2</v>
      </c>
      <c r="R106" s="337"/>
      <c r="S106" s="337"/>
      <c r="T106" s="337"/>
      <c r="U106" s="337"/>
      <c r="V106" s="337"/>
      <c r="W106" s="337"/>
      <c r="X106" s="337"/>
    </row>
    <row r="107" spans="2:24" ht="12.75" customHeight="1">
      <c r="B107" s="45" t="s">
        <v>322</v>
      </c>
      <c r="C107" s="8"/>
      <c r="D107" s="347">
        <f t="shared" ref="D107:K107" si="52">IFERROR(D18/D10,0)</f>
        <v>0.18489131799364852</v>
      </c>
      <c r="E107" s="347">
        <f t="shared" si="52"/>
        <v>0.16404183197455172</v>
      </c>
      <c r="F107" s="347">
        <f t="shared" si="52"/>
        <v>0.23098992826162759</v>
      </c>
      <c r="G107" s="347">
        <f t="shared" si="52"/>
        <v>0.23494020906566757</v>
      </c>
      <c r="H107" s="347">
        <f t="shared" si="52"/>
        <v>3.8848318573173286E-2</v>
      </c>
      <c r="I107" s="347">
        <f t="shared" si="52"/>
        <v>0.22105360773088356</v>
      </c>
      <c r="J107" s="347">
        <f t="shared" si="52"/>
        <v>1.2562469629363933</v>
      </c>
      <c r="K107" s="347">
        <f t="shared" si="52"/>
        <v>0.39569837095307647</v>
      </c>
      <c r="L107" s="347">
        <f t="shared" ref="L107:Q107" si="53">IFERROR(L18/L10,0)</f>
        <v>0.31237905958821094</v>
      </c>
      <c r="M107" s="347">
        <f t="shared" si="53"/>
        <v>0.48829588086459808</v>
      </c>
      <c r="N107" s="347">
        <f t="shared" si="53"/>
        <v>0.26600987533647741</v>
      </c>
      <c r="O107" s="347">
        <f t="shared" si="53"/>
        <v>0.69068494447506412</v>
      </c>
      <c r="P107" s="347">
        <f t="shared" si="53"/>
        <v>0.41658917118018357</v>
      </c>
      <c r="Q107" s="337">
        <f t="shared" si="53"/>
        <v>0.7743758831841735</v>
      </c>
      <c r="R107" s="337"/>
      <c r="S107" s="337"/>
      <c r="T107" s="337"/>
      <c r="U107" s="337"/>
      <c r="V107" s="337"/>
      <c r="W107" s="337"/>
      <c r="X107" s="337"/>
    </row>
    <row r="108" spans="2:24" ht="12.75" customHeight="1">
      <c r="B108" s="45" t="s">
        <v>347</v>
      </c>
      <c r="C108" s="8"/>
      <c r="D108" s="347">
        <f>1-D139-1</f>
        <v>1.4875378537356152</v>
      </c>
      <c r="E108" s="347">
        <f t="shared" ref="E108:K108" si="54">IFERROR(E22/E20,0)</f>
        <v>0.67610644635578721</v>
      </c>
      <c r="F108" s="347">
        <f t="shared" si="54"/>
        <v>0.79450254191074399</v>
      </c>
      <c r="G108" s="347">
        <f t="shared" si="54"/>
        <v>0.84197206456617968</v>
      </c>
      <c r="H108" s="347">
        <f t="shared" si="54"/>
        <v>-4.8985449987879154E-2</v>
      </c>
      <c r="I108" s="347">
        <f t="shared" si="54"/>
        <v>0.6730376929159102</v>
      </c>
      <c r="J108" s="347">
        <f t="shared" si="54"/>
        <v>0.75861903474489634</v>
      </c>
      <c r="K108" s="347">
        <f t="shared" si="54"/>
        <v>0.80891800289925142</v>
      </c>
      <c r="L108" s="347">
        <f t="shared" ref="L108:Q108" si="55">IFERROR(L22/L20,0)</f>
        <v>0.76930263386198972</v>
      </c>
      <c r="M108" s="347">
        <f t="shared" si="55"/>
        <v>0.77950876932925184</v>
      </c>
      <c r="N108" s="347">
        <f t="shared" si="55"/>
        <v>0.70640562702174092</v>
      </c>
      <c r="O108" s="347">
        <f t="shared" si="55"/>
        <v>0.82089500587634356</v>
      </c>
      <c r="P108" s="347">
        <f t="shared" si="55"/>
        <v>0.8292598946391645</v>
      </c>
      <c r="Q108" s="337">
        <f t="shared" si="55"/>
        <v>0.87158732670375016</v>
      </c>
      <c r="R108" s="337"/>
      <c r="S108" s="337"/>
      <c r="T108" s="337"/>
      <c r="U108" s="337"/>
      <c r="V108" s="337"/>
      <c r="W108" s="337"/>
      <c r="X108" s="337"/>
    </row>
    <row r="109" spans="2:24" ht="12.75" customHeight="1">
      <c r="B109" s="45" t="s">
        <v>325</v>
      </c>
      <c r="C109" s="8"/>
      <c r="D109" s="347">
        <f t="shared" ref="D109:K109" si="56">IFERROR(D20/D18,0)</f>
        <v>0.42219713849465568</v>
      </c>
      <c r="E109" s="347">
        <f t="shared" si="56"/>
        <v>0.88583634841538084</v>
      </c>
      <c r="F109" s="347">
        <f t="shared" si="56"/>
        <v>0.96961756655654885</v>
      </c>
      <c r="G109" s="347">
        <f t="shared" si="56"/>
        <v>0.99801144522357166</v>
      </c>
      <c r="H109" s="347">
        <f t="shared" si="56"/>
        <v>0.9759741091155052</v>
      </c>
      <c r="I109" s="347">
        <f t="shared" si="56"/>
        <v>0.99820502149654233</v>
      </c>
      <c r="J109" s="347">
        <f t="shared" si="56"/>
        <v>0.99917991661009498</v>
      </c>
      <c r="K109" s="347">
        <f t="shared" si="56"/>
        <v>0.99570351260375844</v>
      </c>
      <c r="L109" s="347">
        <f t="shared" ref="L109:Q109" si="57">IFERROR(L20/L18,0)</f>
        <v>0.99883547664908023</v>
      </c>
      <c r="M109" s="347">
        <f t="shared" si="57"/>
        <v>0.99980683408654936</v>
      </c>
      <c r="N109" s="347">
        <f t="shared" si="57"/>
        <v>0.99935245575292575</v>
      </c>
      <c r="O109" s="347">
        <f t="shared" si="57"/>
        <v>0.99985024972249792</v>
      </c>
      <c r="P109" s="347">
        <f t="shared" si="57"/>
        <v>0.99964495006759635</v>
      </c>
      <c r="Q109" s="337">
        <f t="shared" si="57"/>
        <v>0.99947688564476878</v>
      </c>
      <c r="R109" s="337"/>
      <c r="S109" s="337"/>
      <c r="T109" s="337"/>
      <c r="U109" s="337"/>
      <c r="V109" s="337"/>
      <c r="W109" s="337"/>
      <c r="X109" s="337"/>
    </row>
    <row r="110" spans="2:24" ht="12.75" customHeight="1">
      <c r="B110" s="45" t="s">
        <v>323</v>
      </c>
      <c r="C110" s="8"/>
      <c r="D110" s="412">
        <f t="shared" ref="D110:K110" si="58">IFERROR(D10/D97,0)</f>
        <v>4.3705832930584644E-2</v>
      </c>
      <c r="E110" s="412">
        <f t="shared" si="58"/>
        <v>0.11372957200209557</v>
      </c>
      <c r="F110" s="412">
        <f t="shared" si="58"/>
        <v>0.17801211965593172</v>
      </c>
      <c r="G110" s="412">
        <f t="shared" si="58"/>
        <v>0.14565808401244335</v>
      </c>
      <c r="H110" s="412">
        <f t="shared" si="58"/>
        <v>5.3589652307846208E-2</v>
      </c>
      <c r="I110" s="412">
        <f t="shared" si="58"/>
        <v>0.1361600095820279</v>
      </c>
      <c r="J110" s="412">
        <f t="shared" si="58"/>
        <v>2.9091188329070743E-2</v>
      </c>
      <c r="K110" s="412">
        <f t="shared" si="58"/>
        <v>0.10359933342411297</v>
      </c>
      <c r="L110" s="412">
        <f t="shared" ref="L110:Q110" si="59">IFERROR(L10/L97,0)</f>
        <v>6.6797134401328881E-2</v>
      </c>
      <c r="M110" s="412">
        <f t="shared" si="59"/>
        <v>7.6491698573467548E-2</v>
      </c>
      <c r="N110" s="412">
        <f t="shared" si="59"/>
        <v>3.5231730494033636E-2</v>
      </c>
      <c r="O110" s="412">
        <f t="shared" si="59"/>
        <v>0.12416062086500616</v>
      </c>
      <c r="P110" s="412">
        <f t="shared" si="59"/>
        <v>7.3494310806609356E-2</v>
      </c>
      <c r="Q110" s="297">
        <f t="shared" si="59"/>
        <v>7.7495788286238945E-2</v>
      </c>
      <c r="R110" s="297"/>
      <c r="S110" s="297"/>
      <c r="T110" s="297"/>
      <c r="U110" s="297"/>
      <c r="V110" s="297"/>
      <c r="W110" s="297"/>
      <c r="X110" s="297"/>
    </row>
    <row r="111" spans="2:24" ht="12.75" customHeight="1">
      <c r="B111" s="8" t="s">
        <v>335</v>
      </c>
      <c r="C111" s="8"/>
      <c r="D111" s="412">
        <f>IFERROR(D97/D98,)</f>
        <v>1.7624301615903577</v>
      </c>
      <c r="E111" s="412">
        <f t="shared" ref="E111:K111" si="60">IFERROR(E97/E98,)</f>
        <v>1.833637713165027</v>
      </c>
      <c r="F111" s="412">
        <f t="shared" si="60"/>
        <v>1.817397038538398</v>
      </c>
      <c r="G111" s="412">
        <f t="shared" si="60"/>
        <v>1.5580488334317082</v>
      </c>
      <c r="H111" s="412">
        <f t="shared" si="60"/>
        <v>1.57415899581603</v>
      </c>
      <c r="I111" s="412">
        <f t="shared" si="60"/>
        <v>1.7378153334485689</v>
      </c>
      <c r="J111" s="412">
        <f t="shared" si="60"/>
        <v>1.7524749255797716</v>
      </c>
      <c r="K111" s="412">
        <f t="shared" si="60"/>
        <v>1.8417875568681239</v>
      </c>
      <c r="L111" s="412">
        <f t="shared" ref="L111:Q111" si="61">IFERROR(L97/L98,)</f>
        <v>1.7697709183738046</v>
      </c>
      <c r="M111" s="412">
        <f t="shared" si="61"/>
        <v>1.6713765730666443</v>
      </c>
      <c r="N111" s="412">
        <f t="shared" si="61"/>
        <v>1.7275776135194123</v>
      </c>
      <c r="O111" s="412">
        <f t="shared" si="61"/>
        <v>1.9036924330730667</v>
      </c>
      <c r="P111" s="412">
        <f t="shared" si="61"/>
        <v>1.9083716377190005</v>
      </c>
      <c r="Q111" s="297">
        <f t="shared" si="61"/>
        <v>1.8888251607667104</v>
      </c>
      <c r="R111" s="297"/>
      <c r="S111" s="297"/>
      <c r="T111" s="297"/>
      <c r="U111" s="297"/>
      <c r="V111" s="297"/>
      <c r="W111" s="297"/>
      <c r="X111" s="297"/>
    </row>
    <row r="112" spans="2:24" ht="12.75" customHeight="1">
      <c r="B112" s="8" t="s">
        <v>344</v>
      </c>
      <c r="C112" s="8"/>
      <c r="D112" s="347">
        <f t="shared" ref="D112:K112" si="62">IFERROR(D22/D96,0)</f>
        <v>-2.4708999316929779E-3</v>
      </c>
      <c r="E112" s="347">
        <f t="shared" si="62"/>
        <v>1.8082893588428059E-2</v>
      </c>
      <c r="F112" s="347">
        <f t="shared" si="62"/>
        <v>5.3390477419451167E-2</v>
      </c>
      <c r="G112" s="347">
        <f t="shared" si="62"/>
        <v>4.3278357795458473E-2</v>
      </c>
      <c r="H112" s="347">
        <f t="shared" si="62"/>
        <v>-1.5642946498355532E-4</v>
      </c>
      <c r="I112" s="347">
        <f t="shared" si="62"/>
        <v>3.5093438776269324E-2</v>
      </c>
      <c r="J112" s="347">
        <f t="shared" si="62"/>
        <v>4.851023353012858E-2</v>
      </c>
      <c r="K112" s="347">
        <f t="shared" si="62"/>
        <v>5.7678331109757112E-2</v>
      </c>
      <c r="L112" s="347">
        <f t="shared" ref="L112:Q112" si="63">IFERROR(L22/L96,0)</f>
        <v>2.6052380526131593E-2</v>
      </c>
      <c r="M112" s="347">
        <f t="shared" si="63"/>
        <v>4.5228311185155058E-2</v>
      </c>
      <c r="N112" s="347">
        <f t="shared" si="63"/>
        <v>1.0644734838861815E-2</v>
      </c>
      <c r="O112" s="347">
        <f t="shared" si="63"/>
        <v>0.12248682723867492</v>
      </c>
      <c r="P112" s="347">
        <f t="shared" si="63"/>
        <v>4.3158480692638439E-2</v>
      </c>
      <c r="Q112" s="337">
        <f t="shared" si="63"/>
        <v>8.6148526746556278E-2</v>
      </c>
      <c r="R112" s="337"/>
      <c r="S112" s="337"/>
      <c r="T112" s="337"/>
      <c r="U112" s="337"/>
      <c r="V112" s="337"/>
      <c r="W112" s="337"/>
      <c r="X112" s="337"/>
    </row>
    <row r="113" spans="2:24" ht="12.75" customHeight="1">
      <c r="B113" s="4" t="s">
        <v>327</v>
      </c>
      <c r="C113" s="4"/>
      <c r="D113" s="309"/>
      <c r="E113" s="309"/>
      <c r="F113" s="309"/>
      <c r="G113" s="309"/>
      <c r="H113" s="309"/>
      <c r="I113" s="309"/>
      <c r="J113" s="309"/>
      <c r="K113" s="309"/>
      <c r="L113" s="309"/>
      <c r="M113" s="309"/>
      <c r="N113" s="309"/>
      <c r="O113" s="309"/>
      <c r="P113" s="309"/>
      <c r="Q113" s="2"/>
      <c r="R113" s="2"/>
      <c r="S113" s="2"/>
      <c r="T113" s="2"/>
      <c r="U113" s="2"/>
      <c r="V113" s="2"/>
      <c r="W113" s="2"/>
      <c r="X113" s="2"/>
    </row>
    <row r="114" spans="2:24" ht="12.75" customHeight="1">
      <c r="B114" s="8" t="s">
        <v>320</v>
      </c>
      <c r="C114" s="8"/>
      <c r="D114" s="245">
        <f t="shared" ref="D114:K114" si="64">IFERROR(365*(D99/-D11),0)</f>
        <v>9253.2085970416319</v>
      </c>
      <c r="E114" s="245">
        <f t="shared" si="64"/>
        <v>1338.8253782118907</v>
      </c>
      <c r="F114" s="245">
        <f t="shared" si="64"/>
        <v>841.12901310328482</v>
      </c>
      <c r="G114" s="245">
        <f t="shared" si="64"/>
        <v>763.72793114413105</v>
      </c>
      <c r="H114" s="245">
        <f t="shared" si="64"/>
        <v>4259.3028367226971</v>
      </c>
      <c r="I114" s="245">
        <f t="shared" si="64"/>
        <v>1719.6353082365283</v>
      </c>
      <c r="J114" s="245">
        <f t="shared" si="64"/>
        <v>19042.520871757406</v>
      </c>
      <c r="K114" s="245">
        <f t="shared" si="64"/>
        <v>2884.6925089832976</v>
      </c>
      <c r="L114" s="245">
        <f t="shared" ref="L114:Q114" si="65">IFERROR(365*(L99/-L11),0)</f>
        <v>3746.8698850326691</v>
      </c>
      <c r="M114" s="245">
        <f t="shared" si="65"/>
        <v>4792.6684045400089</v>
      </c>
      <c r="N114" s="245">
        <f t="shared" si="65"/>
        <v>8502.4108595188427</v>
      </c>
      <c r="O114" s="245">
        <f t="shared" si="65"/>
        <v>1678.0324460151321</v>
      </c>
      <c r="P114" s="245">
        <f t="shared" si="65"/>
        <v>2646.0867770778227</v>
      </c>
      <c r="Q114" s="249">
        <f t="shared" si="65"/>
        <v>3473.3876692067993</v>
      </c>
      <c r="R114" s="249"/>
      <c r="S114" s="249"/>
      <c r="T114" s="249"/>
      <c r="U114" s="249"/>
      <c r="V114" s="249"/>
      <c r="W114" s="249"/>
      <c r="X114" s="249"/>
    </row>
    <row r="115" spans="2:24" ht="12.75" customHeight="1">
      <c r="B115" s="8" t="s">
        <v>109</v>
      </c>
      <c r="C115" s="8"/>
      <c r="D115" s="245">
        <f t="shared" ref="D115:K115" si="66">IFERROR(365*(AVERAGE(C33:D33)/D10),0)</f>
        <v>684.0005123892854</v>
      </c>
      <c r="E115" s="245">
        <f t="shared" si="66"/>
        <v>299.56769416054607</v>
      </c>
      <c r="F115" s="245">
        <f t="shared" si="66"/>
        <v>240.36986935821648</v>
      </c>
      <c r="G115" s="245">
        <f t="shared" si="66"/>
        <v>356.95806673106773</v>
      </c>
      <c r="H115" s="245">
        <f t="shared" si="66"/>
        <v>827.31684525770368</v>
      </c>
      <c r="I115" s="245">
        <f t="shared" si="66"/>
        <v>296.03352082374937</v>
      </c>
      <c r="J115" s="245">
        <f t="shared" si="66"/>
        <v>1408.0335331551748</v>
      </c>
      <c r="K115" s="245">
        <f t="shared" si="66"/>
        <v>358.74965833337257</v>
      </c>
      <c r="L115" s="245">
        <f t="shared" ref="L115:Q115" si="67">IFERROR(365*(AVERAGE(K33:L33)/L10),0)</f>
        <v>494.17917412712831</v>
      </c>
      <c r="M115" s="245">
        <f t="shared" si="67"/>
        <v>418.71026235672895</v>
      </c>
      <c r="N115" s="245">
        <f t="shared" si="67"/>
        <v>857.18614809554936</v>
      </c>
      <c r="O115" s="245">
        <f t="shared" si="67"/>
        <v>182.0865642477419</v>
      </c>
      <c r="P115" s="245">
        <f t="shared" si="67"/>
        <v>298.17577426978193</v>
      </c>
      <c r="Q115" s="249">
        <f t="shared" si="67"/>
        <v>263.18963440532269</v>
      </c>
      <c r="R115" s="249"/>
      <c r="S115" s="249"/>
      <c r="T115" s="249"/>
      <c r="U115" s="249"/>
      <c r="V115" s="249"/>
      <c r="W115" s="249"/>
      <c r="X115" s="249"/>
    </row>
    <row r="116" spans="2:24" ht="12.75" customHeight="1">
      <c r="B116" s="8" t="s">
        <v>110</v>
      </c>
      <c r="C116" s="8"/>
      <c r="D116" s="245">
        <f t="shared" ref="D116:K116" si="68">IFERROR(365*(AVERAGE(C46:D46)/-D11),0)</f>
        <v>439.36523820697687</v>
      </c>
      <c r="E116" s="245">
        <f t="shared" si="68"/>
        <v>105.63346628147515</v>
      </c>
      <c r="F116" s="245">
        <f t="shared" si="68"/>
        <v>101.87813584370679</v>
      </c>
      <c r="G116" s="245">
        <f t="shared" si="68"/>
        <v>162.69449438354945</v>
      </c>
      <c r="H116" s="245">
        <f t="shared" si="68"/>
        <v>584.20164752153653</v>
      </c>
      <c r="I116" s="245">
        <f t="shared" si="68"/>
        <v>137.8592613164306</v>
      </c>
      <c r="J116" s="245">
        <f t="shared" si="68"/>
        <v>1241.909090686665</v>
      </c>
      <c r="K116" s="245">
        <f t="shared" si="68"/>
        <v>146.22818829906026</v>
      </c>
      <c r="L116" s="245">
        <f t="shared" ref="L116:Q116" si="69">IFERROR(365*(AVERAGE(K46:L46)/-L11),0)</f>
        <v>174.28387117569028</v>
      </c>
      <c r="M116" s="245">
        <f t="shared" si="69"/>
        <v>228.3190918423636</v>
      </c>
      <c r="N116" s="245">
        <f t="shared" si="69"/>
        <v>469.38899631230777</v>
      </c>
      <c r="O116" s="245">
        <f t="shared" si="69"/>
        <v>142.47991128765898</v>
      </c>
      <c r="P116" s="245">
        <f t="shared" si="69"/>
        <v>255.81425302982996</v>
      </c>
      <c r="Q116" s="249">
        <f t="shared" si="69"/>
        <v>287.13725725566576</v>
      </c>
      <c r="R116" s="249"/>
      <c r="S116" s="249"/>
      <c r="T116" s="249"/>
      <c r="U116" s="249"/>
      <c r="V116" s="249"/>
      <c r="W116" s="249"/>
      <c r="X116" s="249"/>
    </row>
    <row r="117" spans="2:24" ht="12.75" customHeight="1">
      <c r="B117" s="8" t="s">
        <v>111</v>
      </c>
      <c r="C117" s="8"/>
      <c r="D117" s="245">
        <f t="shared" ref="D117:K117" si="70">D114+D115-D116</f>
        <v>9497.8438712239404</v>
      </c>
      <c r="E117" s="245">
        <f t="shared" si="70"/>
        <v>1532.7596060909616</v>
      </c>
      <c r="F117" s="245">
        <f t="shared" si="70"/>
        <v>979.62074661779457</v>
      </c>
      <c r="G117" s="245">
        <f t="shared" si="70"/>
        <v>957.99150349164938</v>
      </c>
      <c r="H117" s="245">
        <f t="shared" si="70"/>
        <v>4502.418034458864</v>
      </c>
      <c r="I117" s="245">
        <f t="shared" si="70"/>
        <v>1877.8095677438471</v>
      </c>
      <c r="J117" s="245">
        <f t="shared" si="70"/>
        <v>19208.645314225916</v>
      </c>
      <c r="K117" s="245">
        <f t="shared" si="70"/>
        <v>3097.2139790176102</v>
      </c>
      <c r="L117" s="245">
        <f t="shared" ref="L117:Q117" si="71">L114+L115-L116</f>
        <v>4066.7651879841069</v>
      </c>
      <c r="M117" s="245">
        <f t="shared" si="71"/>
        <v>4983.0595750543744</v>
      </c>
      <c r="N117" s="245">
        <f t="shared" si="71"/>
        <v>8890.2080113020838</v>
      </c>
      <c r="O117" s="245">
        <f t="shared" si="71"/>
        <v>1717.6390989752151</v>
      </c>
      <c r="P117" s="245">
        <f t="shared" si="71"/>
        <v>2688.4482983177745</v>
      </c>
      <c r="Q117" s="249">
        <f t="shared" si="71"/>
        <v>3449.4400463564562</v>
      </c>
      <c r="R117" s="249"/>
      <c r="S117" s="249"/>
      <c r="T117" s="249"/>
      <c r="U117" s="249"/>
      <c r="V117" s="249"/>
      <c r="W117" s="249"/>
      <c r="X117" s="249"/>
    </row>
    <row r="118" spans="2:24" ht="12.75" customHeight="1">
      <c r="B118" s="8" t="s">
        <v>112</v>
      </c>
      <c r="C118" s="8"/>
      <c r="D118" s="412">
        <f t="shared" ref="D118:K118" si="72">IFERROR(-D11/D99,0)</f>
        <v>3.944577669163269E-2</v>
      </c>
      <c r="E118" s="412">
        <f t="shared" si="72"/>
        <v>0.27262704004572047</v>
      </c>
      <c r="F118" s="412">
        <f t="shared" si="72"/>
        <v>0.43394056597020575</v>
      </c>
      <c r="G118" s="412">
        <f t="shared" si="72"/>
        <v>0.47791888330337501</v>
      </c>
      <c r="H118" s="412">
        <f t="shared" si="72"/>
        <v>8.569477541090921E-2</v>
      </c>
      <c r="I118" s="412">
        <f t="shared" si="72"/>
        <v>0.21225430662638839</v>
      </c>
      <c r="J118" s="412">
        <f t="shared" si="72"/>
        <v>1.9167630297380615E-2</v>
      </c>
      <c r="K118" s="412">
        <f t="shared" si="72"/>
        <v>0.12652995037195258</v>
      </c>
      <c r="L118" s="412">
        <f t="shared" ref="L118:Q118" si="73">IFERROR(-L11/L99,0)</f>
        <v>9.7414645076958017E-2</v>
      </c>
      <c r="M118" s="412">
        <f t="shared" si="73"/>
        <v>7.6157991580273324E-2</v>
      </c>
      <c r="N118" s="412">
        <f t="shared" si="73"/>
        <v>4.2929000495355453E-2</v>
      </c>
      <c r="O118" s="412">
        <f t="shared" si="73"/>
        <v>0.21751665223564365</v>
      </c>
      <c r="P118" s="412">
        <f t="shared" si="73"/>
        <v>0.13793954270958711</v>
      </c>
      <c r="Q118" s="413">
        <f t="shared" si="73"/>
        <v>0.10508472844419157</v>
      </c>
      <c r="R118" s="413"/>
      <c r="S118" s="413"/>
      <c r="T118" s="413"/>
      <c r="U118" s="413"/>
      <c r="V118" s="413"/>
      <c r="W118" s="413"/>
      <c r="X118" s="413"/>
    </row>
    <row r="119" spans="2:24" ht="12.75" customHeight="1">
      <c r="B119" s="4" t="s">
        <v>119</v>
      </c>
      <c r="C119" s="4"/>
      <c r="D119" s="40"/>
      <c r="E119" s="40"/>
      <c r="F119" s="40"/>
      <c r="G119" s="40"/>
      <c r="H119" s="40"/>
      <c r="I119" s="40"/>
      <c r="J119" s="40"/>
      <c r="K119" s="40"/>
      <c r="L119" s="40"/>
      <c r="M119" s="40"/>
      <c r="N119" s="40"/>
      <c r="O119" s="40"/>
      <c r="P119" s="40"/>
      <c r="Q119" s="30"/>
      <c r="R119" s="30"/>
      <c r="S119" s="30"/>
      <c r="T119" s="30"/>
      <c r="U119" s="30"/>
      <c r="V119" s="30"/>
      <c r="W119" s="30"/>
      <c r="X119" s="30"/>
    </row>
    <row r="120" spans="2:24" ht="12.75" customHeight="1">
      <c r="B120" s="8" t="s">
        <v>337</v>
      </c>
      <c r="C120" s="8"/>
      <c r="D120" s="412">
        <f t="shared" ref="D120:K120" si="74">IFERROR(D36/D49,0)</f>
        <v>1.4997730524328181</v>
      </c>
      <c r="E120" s="412">
        <f t="shared" si="74"/>
        <v>1.436379086227511</v>
      </c>
      <c r="F120" s="412">
        <f t="shared" si="74"/>
        <v>1.5714929574795753</v>
      </c>
      <c r="G120" s="412">
        <f t="shared" si="74"/>
        <v>2.4923950533889929</v>
      </c>
      <c r="H120" s="412">
        <f t="shared" si="74"/>
        <v>1.819477337233196</v>
      </c>
      <c r="I120" s="412">
        <f t="shared" si="74"/>
        <v>1.557823024107335</v>
      </c>
      <c r="J120" s="412">
        <f t="shared" si="74"/>
        <v>1.6485969262717906</v>
      </c>
      <c r="K120" s="412">
        <f t="shared" si="74"/>
        <v>1.7582568320836691</v>
      </c>
      <c r="L120" s="412">
        <f t="shared" ref="L120:Q120" si="75">IFERROR(L36/L49,0)</f>
        <v>1.9468485429481308</v>
      </c>
      <c r="M120" s="412">
        <f t="shared" si="75"/>
        <v>1.9168396981358813</v>
      </c>
      <c r="N120" s="412">
        <f t="shared" si="75"/>
        <v>1.8245599833423785</v>
      </c>
      <c r="O120" s="412">
        <f t="shared" si="75"/>
        <v>1.7391080396284955</v>
      </c>
      <c r="P120" s="412">
        <f t="shared" si="75"/>
        <v>2.237044773047943</v>
      </c>
      <c r="Q120" s="413">
        <f t="shared" si="75"/>
        <v>2.1132211973232051</v>
      </c>
      <c r="R120" s="413"/>
      <c r="S120" s="413"/>
      <c r="T120" s="413"/>
      <c r="U120" s="413"/>
      <c r="V120" s="413"/>
      <c r="W120" s="413"/>
      <c r="X120" s="413"/>
    </row>
    <row r="121" spans="2:24" ht="12.75" customHeight="1">
      <c r="B121" s="25" t="s">
        <v>336</v>
      </c>
      <c r="C121" s="25"/>
      <c r="D121" s="412">
        <f t="shared" ref="D121:K121" si="76">IFERROR((D36-D34)/D49,0)</f>
        <v>1.2047557187578899</v>
      </c>
      <c r="E121" s="412">
        <f t="shared" si="76"/>
        <v>0.82728579391870405</v>
      </c>
      <c r="F121" s="412">
        <f t="shared" si="76"/>
        <v>1.0803577717364312</v>
      </c>
      <c r="G121" s="412">
        <f t="shared" si="76"/>
        <v>1.9377582880728166</v>
      </c>
      <c r="H121" s="412">
        <f t="shared" si="76"/>
        <v>1.0448719279233833</v>
      </c>
      <c r="I121" s="412">
        <f t="shared" si="76"/>
        <v>0.89759702893275939</v>
      </c>
      <c r="J121" s="412">
        <f t="shared" si="76"/>
        <v>1.0322748136394704</v>
      </c>
      <c r="K121" s="412">
        <f t="shared" si="76"/>
        <v>0.94356229347796294</v>
      </c>
      <c r="L121" s="412">
        <f t="shared" ref="L121:Q121" si="77">IFERROR((L36-L34)/L49,0)</f>
        <v>1.0913952195192542</v>
      </c>
      <c r="M121" s="412">
        <f t="shared" si="77"/>
        <v>1.1137862138848438</v>
      </c>
      <c r="N121" s="412">
        <f t="shared" si="77"/>
        <v>1.0949366157462799</v>
      </c>
      <c r="O121" s="412">
        <f t="shared" si="77"/>
        <v>1.2219821127187231</v>
      </c>
      <c r="P121" s="412">
        <f t="shared" si="77"/>
        <v>1.6524174016657365</v>
      </c>
      <c r="Q121" s="413">
        <f t="shared" si="77"/>
        <v>1.3820763248327006</v>
      </c>
      <c r="R121" s="413"/>
      <c r="S121" s="413"/>
      <c r="T121" s="413"/>
      <c r="U121" s="413"/>
      <c r="V121" s="413"/>
      <c r="W121" s="413"/>
      <c r="X121" s="413"/>
    </row>
    <row r="122" spans="2:24" ht="12.75" customHeight="1">
      <c r="B122" s="25" t="s">
        <v>120</v>
      </c>
      <c r="C122" s="25"/>
      <c r="D122" s="412">
        <f t="shared" ref="D122:K122" si="78">IFERROR(D31/D49,0)</f>
        <v>0.16368471910321797</v>
      </c>
      <c r="E122" s="412">
        <f t="shared" si="78"/>
        <v>0.13938063620342497</v>
      </c>
      <c r="F122" s="412">
        <f t="shared" si="78"/>
        <v>0.1999502620859408</v>
      </c>
      <c r="G122" s="412">
        <f t="shared" si="78"/>
        <v>0.58402064683436372</v>
      </c>
      <c r="H122" s="412">
        <f t="shared" si="78"/>
        <v>0.26161620258084878</v>
      </c>
      <c r="I122" s="412">
        <f t="shared" si="78"/>
        <v>0.27536204478985504</v>
      </c>
      <c r="J122" s="412">
        <f t="shared" si="78"/>
        <v>0.12375817121224535</v>
      </c>
      <c r="K122" s="412">
        <f t="shared" si="78"/>
        <v>0.13720381240179891</v>
      </c>
      <c r="L122" s="412">
        <f t="shared" ref="L122:Q122" si="79">IFERROR(L31/L49,0)</f>
        <v>0.58397519596943581</v>
      </c>
      <c r="M122" s="412">
        <f t="shared" si="79"/>
        <v>0.54195324926803623</v>
      </c>
      <c r="N122" s="412">
        <f t="shared" si="79"/>
        <v>0.56332014545481202</v>
      </c>
      <c r="O122" s="412">
        <f t="shared" si="79"/>
        <v>0.80419372400902256</v>
      </c>
      <c r="P122" s="412">
        <f t="shared" si="79"/>
        <v>0.91807987602158891</v>
      </c>
      <c r="Q122" s="413">
        <f t="shared" si="79"/>
        <v>0.59902333152468801</v>
      </c>
      <c r="R122" s="413"/>
      <c r="S122" s="413"/>
      <c r="T122" s="413"/>
      <c r="U122" s="413"/>
      <c r="V122" s="413"/>
      <c r="W122" s="413"/>
      <c r="X122" s="413"/>
    </row>
    <row r="123" spans="2:24" ht="12.75" customHeight="1">
      <c r="B123" s="4" t="s">
        <v>333</v>
      </c>
      <c r="C123" s="4"/>
      <c r="D123" s="309"/>
      <c r="E123" s="309"/>
      <c r="F123" s="309"/>
      <c r="G123" s="309"/>
      <c r="H123" s="309"/>
      <c r="I123" s="309"/>
      <c r="J123" s="309"/>
      <c r="K123" s="309"/>
      <c r="L123" s="309"/>
      <c r="M123" s="309"/>
      <c r="N123" s="309"/>
      <c r="O123" s="309"/>
      <c r="P123" s="309"/>
      <c r="Q123" s="2"/>
      <c r="R123" s="2"/>
      <c r="S123" s="2"/>
      <c r="T123" s="2"/>
      <c r="U123" s="2"/>
      <c r="V123" s="2"/>
      <c r="W123" s="2"/>
      <c r="X123" s="2"/>
    </row>
    <row r="124" spans="2:24" ht="12.75" customHeight="1">
      <c r="B124" s="8" t="s">
        <v>334</v>
      </c>
      <c r="C124" s="8"/>
      <c r="D124" s="40">
        <f t="shared" ref="D124:J124" si="80">IFERROR((D47+D50)/D43,0)</f>
        <v>0.1057710656033248</v>
      </c>
      <c r="E124" s="40">
        <f t="shared" si="80"/>
        <v>4.2349667396106155E-2</v>
      </c>
      <c r="F124" s="40">
        <f t="shared" si="80"/>
        <v>4.3800930955456167E-2</v>
      </c>
      <c r="G124" s="40">
        <f t="shared" si="80"/>
        <v>6.9294934386153852E-4</v>
      </c>
      <c r="H124" s="40">
        <f t="shared" si="80"/>
        <v>1.2643282749847577E-3</v>
      </c>
      <c r="I124" s="40">
        <f t="shared" si="80"/>
        <v>3.008272965821462E-4</v>
      </c>
      <c r="J124" s="40">
        <f t="shared" si="80"/>
        <v>5.3821978314192917E-4</v>
      </c>
      <c r="K124" s="40">
        <f t="shared" ref="K124:P124" si="81">IFERROR((K47+K50)/K43,0)</f>
        <v>5.4970171689747729E-2</v>
      </c>
      <c r="L124" s="40">
        <f t="shared" si="81"/>
        <v>4.6516221553299306E-2</v>
      </c>
      <c r="M124" s="40">
        <f t="shared" si="81"/>
        <v>4.4150478441660104E-2</v>
      </c>
      <c r="N124" s="40">
        <f t="shared" si="81"/>
        <v>4.1333200462188718E-2</v>
      </c>
      <c r="O124" s="40">
        <f t="shared" si="81"/>
        <v>5.5594554810128642E-2</v>
      </c>
      <c r="P124" s="40">
        <f t="shared" si="81"/>
        <v>7.1361748434188674E-2</v>
      </c>
      <c r="Q124" s="30">
        <f>IFERROR((Q47+Q50)/Q43,0)</f>
        <v>8.2499360209043276E-2</v>
      </c>
      <c r="R124" s="30"/>
      <c r="S124" s="30"/>
      <c r="T124" s="30"/>
      <c r="U124" s="30"/>
      <c r="V124" s="30"/>
      <c r="W124" s="30"/>
      <c r="X124" s="30"/>
    </row>
    <row r="125" spans="2:24" ht="12.75" customHeight="1">
      <c r="B125" s="8" t="s">
        <v>450</v>
      </c>
      <c r="C125" s="8"/>
      <c r="D125" s="40">
        <f t="shared" ref="D125:K125" si="82">IFERROR((D47+D50)/(D47+D50+D59),0)</f>
        <v>0.15712398705537162</v>
      </c>
      <c r="E125" s="40">
        <f t="shared" si="82"/>
        <v>7.4601076696016566E-2</v>
      </c>
      <c r="F125" s="40">
        <f t="shared" si="82"/>
        <v>7.0667645929437861E-2</v>
      </c>
      <c r="G125" s="40">
        <f t="shared" si="82"/>
        <v>9.751794212495119E-4</v>
      </c>
      <c r="H125" s="40">
        <f t="shared" si="82"/>
        <v>2.1957028887895544E-3</v>
      </c>
      <c r="I125" s="40">
        <f t="shared" si="82"/>
        <v>5.2173842011369166E-4</v>
      </c>
      <c r="J125" s="40">
        <f t="shared" si="82"/>
        <v>9.511163681370006E-4</v>
      </c>
      <c r="K125" s="40">
        <f t="shared" si="82"/>
        <v>9.5065134724425321E-2</v>
      </c>
      <c r="L125" s="40">
        <f t="shared" ref="L125:Q125" si="83">IFERROR((L47+L50)/(L47+L50+L59),0)</f>
        <v>7.1903096510101516E-2</v>
      </c>
      <c r="M125" s="40">
        <f t="shared" si="83"/>
        <v>6.8935366206582804E-2</v>
      </c>
      <c r="N125" s="40">
        <f t="shared" si="83"/>
        <v>6.8452894222444716E-2</v>
      </c>
      <c r="O125" s="40">
        <f t="shared" si="83"/>
        <v>0.10073445942807753</v>
      </c>
      <c r="P125" s="40">
        <f t="shared" si="83"/>
        <v>0.11524346424434562</v>
      </c>
      <c r="Q125" s="30">
        <f t="shared" si="83"/>
        <v>0.13833992094861661</v>
      </c>
      <c r="R125" s="30"/>
      <c r="S125" s="30"/>
      <c r="T125" s="30"/>
      <c r="U125" s="30"/>
      <c r="V125" s="30"/>
      <c r="W125" s="30"/>
      <c r="X125" s="30"/>
    </row>
    <row r="126" spans="2:24" ht="12.75" customHeight="1">
      <c r="B126" s="5" t="s">
        <v>360</v>
      </c>
      <c r="D126" s="40">
        <f t="shared" ref="D126:K126" si="84">IFERROR((D47+D50)/D59,0)</f>
        <v>0.18641411624285206</v>
      </c>
      <c r="E126" s="40">
        <f t="shared" si="84"/>
        <v>8.0615045919510894E-2</v>
      </c>
      <c r="F126" s="40">
        <f t="shared" si="84"/>
        <v>7.604130601921584E-2</v>
      </c>
      <c r="G126" s="40">
        <f t="shared" si="84"/>
        <v>9.7613132442953248E-4</v>
      </c>
      <c r="H126" s="40">
        <f t="shared" si="84"/>
        <v>2.2005346089873892E-3</v>
      </c>
      <c r="I126" s="40">
        <f t="shared" si="84"/>
        <v>5.220107731897781E-4</v>
      </c>
      <c r="J126" s="40">
        <f t="shared" si="84"/>
        <v>9.5202185170297946E-4</v>
      </c>
      <c r="K126" s="40">
        <f t="shared" si="84"/>
        <v>0.10505190856523766</v>
      </c>
      <c r="L126" s="40">
        <f t="shared" ref="L126:Q126" si="85">IFERROR((L47+L50)/L59,0)</f>
        <v>7.7473695084776362E-2</v>
      </c>
      <c r="M126" s="40">
        <f t="shared" si="85"/>
        <v>7.4039291907932181E-2</v>
      </c>
      <c r="N126" s="40">
        <f t="shared" si="85"/>
        <v>7.3483019589554319E-2</v>
      </c>
      <c r="O126" s="40">
        <f t="shared" si="85"/>
        <v>0.11201859170986533</v>
      </c>
      <c r="P126" s="40">
        <f t="shared" si="85"/>
        <v>0.13025443677103588</v>
      </c>
      <c r="Q126" s="30">
        <f t="shared" si="85"/>
        <v>0.16055045871559634</v>
      </c>
      <c r="R126" s="30"/>
      <c r="S126" s="30"/>
      <c r="T126" s="30"/>
      <c r="U126" s="30"/>
      <c r="V126" s="30"/>
      <c r="W126" s="30"/>
      <c r="X126" s="30"/>
    </row>
    <row r="127" spans="2:24" ht="12.75" customHeight="1">
      <c r="B127" s="5" t="s">
        <v>447</v>
      </c>
      <c r="D127" s="40">
        <f t="shared" ref="D127:K127" si="86">IFERROR(D47/D43,0)</f>
        <v>9.0556798497854349E-2</v>
      </c>
      <c r="E127" s="40">
        <f t="shared" si="86"/>
        <v>2.8548509889804317E-2</v>
      </c>
      <c r="F127" s="40">
        <f t="shared" si="86"/>
        <v>2.954809518292633E-2</v>
      </c>
      <c r="G127" s="40">
        <f t="shared" si="86"/>
        <v>5.5116516674507266E-4</v>
      </c>
      <c r="H127" s="40">
        <f t="shared" si="86"/>
        <v>1.175544758952671E-3</v>
      </c>
      <c r="I127" s="40">
        <f t="shared" si="86"/>
        <v>2.4067724060911595E-4</v>
      </c>
      <c r="J127" s="40">
        <f t="shared" si="86"/>
        <v>2.242582429758038E-4</v>
      </c>
      <c r="K127" s="40">
        <f t="shared" si="86"/>
        <v>0</v>
      </c>
      <c r="L127" s="40">
        <f t="shared" ref="L127:Q127" si="87">IFERROR(L47/L43,0)</f>
        <v>0</v>
      </c>
      <c r="M127" s="40">
        <f t="shared" si="87"/>
        <v>0</v>
      </c>
      <c r="N127" s="40">
        <f t="shared" si="87"/>
        <v>0</v>
      </c>
      <c r="O127" s="40">
        <f t="shared" si="87"/>
        <v>4.6286592562884529E-4</v>
      </c>
      <c r="P127" s="40">
        <f t="shared" si="87"/>
        <v>4.5590632034761547E-4</v>
      </c>
      <c r="Q127" s="30">
        <f t="shared" si="87"/>
        <v>4.7815955712996504E-3</v>
      </c>
      <c r="R127" s="30"/>
      <c r="S127" s="30"/>
      <c r="T127" s="30"/>
      <c r="U127" s="30"/>
      <c r="V127" s="30"/>
      <c r="W127" s="30"/>
      <c r="X127" s="30"/>
    </row>
    <row r="128" spans="2:24" ht="12.75" customHeight="1">
      <c r="B128" s="8" t="s">
        <v>448</v>
      </c>
      <c r="C128" s="8"/>
      <c r="D128" s="307">
        <f t="shared" ref="D128:K128" si="88">IFERROR(D50/D43,0)</f>
        <v>1.521426710547045E-2</v>
      </c>
      <c r="E128" s="307">
        <f t="shared" si="88"/>
        <v>1.3801157506301837E-2</v>
      </c>
      <c r="F128" s="307">
        <f t="shared" si="88"/>
        <v>1.4252835772529834E-2</v>
      </c>
      <c r="G128" s="307">
        <f t="shared" si="88"/>
        <v>1.417841771164658E-4</v>
      </c>
      <c r="H128" s="307">
        <f t="shared" si="88"/>
        <v>8.8783516032086494E-5</v>
      </c>
      <c r="I128" s="307">
        <f t="shared" si="88"/>
        <v>6.0150055973030252E-5</v>
      </c>
      <c r="J128" s="307">
        <f t="shared" si="88"/>
        <v>3.1396154016612529E-4</v>
      </c>
      <c r="K128" s="307">
        <f t="shared" si="88"/>
        <v>5.4970171689747729E-2</v>
      </c>
      <c r="L128" s="307">
        <f t="shared" ref="L128:Q128" si="89">IFERROR(L50/L43,0)</f>
        <v>4.6516221553299306E-2</v>
      </c>
      <c r="M128" s="307">
        <f t="shared" si="89"/>
        <v>4.4150478441660104E-2</v>
      </c>
      <c r="N128" s="307">
        <f t="shared" si="89"/>
        <v>4.1333200462188718E-2</v>
      </c>
      <c r="O128" s="307">
        <f t="shared" si="89"/>
        <v>5.5131688884499798E-2</v>
      </c>
      <c r="P128" s="307">
        <f t="shared" si="89"/>
        <v>7.0905842113841044E-2</v>
      </c>
      <c r="Q128" s="296">
        <f t="shared" si="89"/>
        <v>7.7717764637743617E-2</v>
      </c>
      <c r="R128" s="296"/>
      <c r="S128" s="296"/>
      <c r="T128" s="296"/>
      <c r="U128" s="296"/>
      <c r="V128" s="296"/>
      <c r="W128" s="296"/>
      <c r="X128" s="296"/>
    </row>
    <row r="129" spans="2:24" ht="12.75" customHeight="1">
      <c r="B129" s="8" t="s">
        <v>127</v>
      </c>
      <c r="C129" s="8"/>
      <c r="D129" s="412">
        <f t="shared" ref="D129:K129" si="90">IFERROR(-D18/D19,0)</f>
        <v>1.7306940941668401</v>
      </c>
      <c r="E129" s="412">
        <f t="shared" si="90"/>
        <v>8.7593554175935804</v>
      </c>
      <c r="F129" s="412">
        <f t="shared" si="90"/>
        <v>32.913755965638231</v>
      </c>
      <c r="G129" s="412">
        <f t="shared" si="90"/>
        <v>502.87777427791792</v>
      </c>
      <c r="H129" s="412">
        <f t="shared" si="90"/>
        <v>41.621765653042075</v>
      </c>
      <c r="I129" s="412">
        <f t="shared" si="90"/>
        <v>557.10973589583739</v>
      </c>
      <c r="J129" s="412">
        <f t="shared" si="90"/>
        <v>1219.3881894326501</v>
      </c>
      <c r="K129" s="412">
        <f t="shared" si="90"/>
        <v>232.74826800953204</v>
      </c>
      <c r="L129" s="412">
        <f t="shared" ref="L129:Q129" si="91">IFERROR(-L18/L19,0)</f>
        <v>858.72043631429858</v>
      </c>
      <c r="M129" s="412">
        <f t="shared" si="91"/>
        <v>5176.8968040809705</v>
      </c>
      <c r="N129" s="412">
        <f t="shared" si="91"/>
        <v>1544.2960145476591</v>
      </c>
      <c r="O129" s="412">
        <f t="shared" si="91"/>
        <v>6677.7839525925447</v>
      </c>
      <c r="P129" s="412">
        <f t="shared" si="91"/>
        <v>2816.5052538680061</v>
      </c>
      <c r="Q129" s="413">
        <f t="shared" si="91"/>
        <v>1911.6279069767447</v>
      </c>
      <c r="R129" s="413"/>
      <c r="S129" s="413"/>
      <c r="T129" s="413"/>
      <c r="U129" s="413"/>
      <c r="V129" s="413"/>
      <c r="W129" s="413"/>
      <c r="X129" s="413"/>
    </row>
    <row r="130" spans="2:24" ht="12.75" customHeight="1">
      <c r="B130" s="4" t="s">
        <v>339</v>
      </c>
      <c r="C130" s="4"/>
      <c r="D130" s="309"/>
      <c r="E130" s="309"/>
      <c r="F130" s="309"/>
      <c r="G130" s="309"/>
      <c r="H130" s="309"/>
      <c r="I130" s="309"/>
      <c r="J130" s="309"/>
      <c r="K130" s="309"/>
      <c r="L130" s="309"/>
      <c r="M130" s="309"/>
      <c r="N130" s="309"/>
      <c r="O130" s="309"/>
      <c r="P130" s="309"/>
      <c r="Q130" s="2"/>
      <c r="R130" s="2"/>
      <c r="S130" s="2"/>
      <c r="T130" s="2"/>
      <c r="U130" s="2"/>
      <c r="V130" s="2"/>
      <c r="W130" s="2"/>
      <c r="X130" s="2"/>
    </row>
    <row r="131" spans="2:24" ht="12.75" customHeight="1">
      <c r="B131" s="8" t="s">
        <v>340</v>
      </c>
      <c r="C131" s="8"/>
      <c r="D131" s="412">
        <f t="shared" ref="D131:K131" si="92">IFERROR(D91/D24,0)</f>
        <v>83.231772737072546</v>
      </c>
      <c r="E131" s="412">
        <f t="shared" si="92"/>
        <v>41.289325873957473</v>
      </c>
      <c r="F131" s="412">
        <f t="shared" si="92"/>
        <v>7.3697559731095206</v>
      </c>
      <c r="G131" s="412">
        <f t="shared" si="92"/>
        <v>12.796306653721766</v>
      </c>
      <c r="H131" s="412">
        <f t="shared" si="92"/>
        <v>263.31005772512208</v>
      </c>
      <c r="I131" s="412">
        <f t="shared" si="92"/>
        <v>21.535783912035715</v>
      </c>
      <c r="J131" s="412">
        <f t="shared" si="92"/>
        <v>14.993297779832606</v>
      </c>
      <c r="K131" s="412">
        <f t="shared" si="92"/>
        <v>21.150319859020868</v>
      </c>
      <c r="L131" s="412">
        <f t="shared" ref="L131:Q131" si="93">IFERROR(L91/L24,0)</f>
        <v>48.861022417557962</v>
      </c>
      <c r="M131" s="412">
        <f t="shared" si="93"/>
        <v>30.304611509034565</v>
      </c>
      <c r="N131" s="412">
        <f t="shared" si="93"/>
        <v>1013.7821245256486</v>
      </c>
      <c r="O131" s="412">
        <f t="shared" si="93"/>
        <v>7.8103925642318073</v>
      </c>
      <c r="P131" s="412">
        <f t="shared" si="93"/>
        <v>37.099819970198624</v>
      </c>
      <c r="Q131" s="413">
        <f t="shared" si="93"/>
        <v>0</v>
      </c>
      <c r="R131" s="413"/>
      <c r="S131" s="413"/>
      <c r="T131" s="413"/>
      <c r="U131" s="413"/>
      <c r="V131" s="413"/>
      <c r="W131" s="413"/>
      <c r="X131" s="413"/>
    </row>
    <row r="132" spans="2:24" ht="12.75" customHeight="1">
      <c r="B132" s="8" t="s">
        <v>341</v>
      </c>
      <c r="C132" s="8"/>
      <c r="D132" s="412">
        <f t="shared" ref="D132:K132" si="94">IFERROR(D88/D134,0)</f>
        <v>0.52962876159633421</v>
      </c>
      <c r="E132" s="412">
        <f t="shared" si="94"/>
        <v>0.57688019203528706</v>
      </c>
      <c r="F132" s="412">
        <f t="shared" si="94"/>
        <v>0.43430779964174065</v>
      </c>
      <c r="G132" s="412">
        <f t="shared" si="94"/>
        <v>0.55548525700110374</v>
      </c>
      <c r="H132" s="412">
        <f t="shared" si="94"/>
        <v>0.66729981748162204</v>
      </c>
      <c r="I132" s="412">
        <f t="shared" si="94"/>
        <v>0.7526887973558597</v>
      </c>
      <c r="J132" s="412">
        <f t="shared" si="94"/>
        <v>0.74610096507051782</v>
      </c>
      <c r="K132" s="412">
        <f t="shared" si="94"/>
        <v>1.0424287124899072</v>
      </c>
      <c r="L132" s="412">
        <f t="shared" ref="L132:Q132" si="95">IFERROR(L88/L134,0)</f>
        <v>1.1998073919298362</v>
      </c>
      <c r="M132" s="412">
        <f t="shared" si="95"/>
        <v>1.0596592216010898</v>
      </c>
      <c r="N132" s="412">
        <f t="shared" si="95"/>
        <v>1.0940909834748989</v>
      </c>
      <c r="O132" s="412">
        <f t="shared" si="95"/>
        <v>0.88964323316816296</v>
      </c>
      <c r="P132" s="412">
        <f t="shared" si="95"/>
        <v>1.0571174077860366</v>
      </c>
      <c r="Q132" s="413">
        <f t="shared" si="95"/>
        <v>0</v>
      </c>
      <c r="R132" s="413"/>
      <c r="S132" s="413"/>
      <c r="T132" s="413"/>
      <c r="U132" s="413"/>
      <c r="V132" s="413"/>
      <c r="W132" s="413"/>
      <c r="X132" s="413"/>
    </row>
    <row r="133" spans="2:24" ht="12.75" customHeight="1">
      <c r="B133" s="8" t="s">
        <v>116</v>
      </c>
      <c r="C133" s="8"/>
      <c r="D133" s="412">
        <f t="shared" ref="D133:K133" si="96">IFERROR(D92/D26,0)</f>
        <v>53.896324165797154</v>
      </c>
      <c r="E133" s="412">
        <f t="shared" si="96"/>
        <v>20.80921348009376</v>
      </c>
      <c r="F133" s="412">
        <f t="shared" si="96"/>
        <v>7.8874170248622937</v>
      </c>
      <c r="G133" s="412">
        <f t="shared" si="96"/>
        <v>11.722508807848355</v>
      </c>
      <c r="H133" s="412">
        <f t="shared" si="96"/>
        <v>191.88990335549181</v>
      </c>
      <c r="I133" s="412">
        <f t="shared" si="96"/>
        <v>14.654401525488002</v>
      </c>
      <c r="J133" s="412">
        <f t="shared" si="96"/>
        <v>11.854995757387812</v>
      </c>
      <c r="K133" s="412">
        <f t="shared" si="96"/>
        <v>14.952745804454175</v>
      </c>
      <c r="L133" s="412">
        <f t="shared" ref="L133:Q133" si="97">IFERROR(L92/L26,0)</f>
        <v>35.955922792128604</v>
      </c>
      <c r="M133" s="412">
        <f t="shared" si="97"/>
        <v>17.614205536244938</v>
      </c>
      <c r="N133" s="412">
        <f t="shared" si="97"/>
        <v>63.020033929438405</v>
      </c>
      <c r="O133" s="412">
        <f t="shared" si="97"/>
        <v>6.470922540961598</v>
      </c>
      <c r="P133" s="412">
        <f t="shared" si="97"/>
        <v>22.761945728576947</v>
      </c>
      <c r="Q133" s="413">
        <f t="shared" si="97"/>
        <v>0</v>
      </c>
      <c r="R133" s="413"/>
      <c r="S133" s="413"/>
      <c r="T133" s="413"/>
      <c r="U133" s="413"/>
      <c r="V133" s="413"/>
      <c r="W133" s="413"/>
      <c r="X133" s="413"/>
    </row>
    <row r="134" spans="2:24" ht="12.75" customHeight="1">
      <c r="B134" s="8" t="s">
        <v>115</v>
      </c>
      <c r="C134" s="8"/>
      <c r="D134" s="348">
        <f t="shared" ref="D134:K134" si="98">IFERROR((D59-D58)/D28*10^3,0)</f>
        <v>12544.201678124999</v>
      </c>
      <c r="E134" s="348">
        <f t="shared" si="98"/>
        <v>12721.948337499998</v>
      </c>
      <c r="F134" s="348">
        <f t="shared" si="98"/>
        <v>13518.61515</v>
      </c>
      <c r="G134" s="348">
        <f t="shared" si="98"/>
        <v>15019.89457837838</v>
      </c>
      <c r="H134" s="348">
        <f t="shared" si="98"/>
        <v>13197.740759523807</v>
      </c>
      <c r="I134" s="348">
        <f t="shared" si="98"/>
        <v>12156.232472361466</v>
      </c>
      <c r="J134" s="348">
        <f t="shared" si="98"/>
        <v>11480.77860908597</v>
      </c>
      <c r="K134" s="348">
        <f t="shared" si="98"/>
        <v>11991.227649651895</v>
      </c>
      <c r="L134" s="348">
        <f t="shared" ref="L134:Q134" si="99">IFERROR((L59-L58)/L28*10^3,0)</f>
        <v>13585.513899678668</v>
      </c>
      <c r="M134" s="348">
        <f t="shared" si="99"/>
        <v>11946.576542666668</v>
      </c>
      <c r="N134" s="348">
        <f t="shared" si="99"/>
        <v>11958.886598666666</v>
      </c>
      <c r="O134" s="348">
        <f t="shared" si="99"/>
        <v>13370.134854666667</v>
      </c>
      <c r="P134" s="348">
        <f t="shared" si="99"/>
        <v>14619.520865110986</v>
      </c>
      <c r="Q134" s="267">
        <f t="shared" si="99"/>
        <v>13507.296801005123</v>
      </c>
      <c r="R134" s="267"/>
      <c r="S134" s="267"/>
      <c r="T134" s="267"/>
      <c r="U134" s="267"/>
      <c r="V134" s="267"/>
      <c r="W134" s="267"/>
      <c r="X134" s="267"/>
    </row>
    <row r="135" spans="2:24" ht="12.75" customHeight="1">
      <c r="B135" s="8"/>
      <c r="C135" s="8"/>
      <c r="D135" s="39"/>
      <c r="E135" s="39"/>
      <c r="F135" s="39"/>
      <c r="G135" s="39"/>
      <c r="H135" s="39"/>
      <c r="I135" s="39"/>
      <c r="J135" s="39"/>
      <c r="K135" s="39"/>
      <c r="L135" s="39"/>
      <c r="M135" s="39"/>
      <c r="N135" s="39"/>
      <c r="O135" s="39"/>
      <c r="P135" s="39"/>
      <c r="Q135" s="29"/>
      <c r="R135" s="29"/>
      <c r="S135" s="29"/>
      <c r="T135" s="29"/>
      <c r="U135" s="29"/>
      <c r="V135" s="29"/>
      <c r="W135" s="29"/>
      <c r="X135" s="29"/>
    </row>
    <row r="136" spans="2:24" ht="12.75" customHeight="1">
      <c r="B136" s="8" t="s">
        <v>113</v>
      </c>
      <c r="C136" s="8"/>
      <c r="D136" s="347">
        <f>Bloomberg!C63/100</f>
        <v>0</v>
      </c>
      <c r="E136" s="347">
        <f>Bloomberg!D63/100</f>
        <v>0</v>
      </c>
      <c r="F136" s="347">
        <f>Bloomberg!E63/100</f>
        <v>0</v>
      </c>
      <c r="G136" s="347">
        <f>Bloomberg!F63/100</f>
        <v>0</v>
      </c>
      <c r="H136" s="347">
        <f>Bloomberg!G63/100</f>
        <v>0</v>
      </c>
      <c r="I136" s="347">
        <f>Bloomberg!H63/100</f>
        <v>0</v>
      </c>
      <c r="J136" s="347">
        <f>Bloomberg!I63/100</f>
        <v>6.3434999999999991E-2</v>
      </c>
      <c r="K136" s="347">
        <f>Bloomberg!J63/100</f>
        <v>0.119392</v>
      </c>
      <c r="L136" s="347">
        <f>Bloomberg!K63/100</f>
        <v>0</v>
      </c>
      <c r="M136" s="347">
        <f>Bloomberg!L63/100</f>
        <v>0</v>
      </c>
      <c r="N136" s="347">
        <f>Bloomberg!M63/100</f>
        <v>0</v>
      </c>
      <c r="O136" s="347">
        <f>Bloomberg!N63/100</f>
        <v>0</v>
      </c>
      <c r="P136" s="347">
        <f>Bloomberg!O63/100</f>
        <v>0</v>
      </c>
      <c r="Q136" s="337">
        <f>Bloomberg!P63/100</f>
        <v>0</v>
      </c>
      <c r="R136" s="337"/>
      <c r="S136" s="337"/>
      <c r="T136" s="337"/>
      <c r="U136" s="337"/>
      <c r="V136" s="337"/>
      <c r="W136" s="337"/>
      <c r="X136" s="337"/>
    </row>
    <row r="137" spans="2:24" ht="12.75" customHeight="1">
      <c r="B137" s="8" t="s">
        <v>342</v>
      </c>
      <c r="C137" s="8"/>
      <c r="D137" s="347">
        <f>Bloomberg!C64/100</f>
        <v>0</v>
      </c>
      <c r="E137" s="347">
        <f>Bloomberg!D64/100</f>
        <v>0</v>
      </c>
      <c r="F137" s="347">
        <f>Bloomberg!E64/100</f>
        <v>0</v>
      </c>
      <c r="G137" s="347">
        <f>Bloomberg!F64/100</f>
        <v>0</v>
      </c>
      <c r="H137" s="347">
        <f>Bloomberg!G64/100</f>
        <v>0</v>
      </c>
      <c r="I137" s="347">
        <f>Bloomberg!H64/100</f>
        <v>0</v>
      </c>
      <c r="J137" s="347">
        <f>Bloomberg!I64/100</f>
        <v>0.73411300000000002</v>
      </c>
      <c r="K137" s="347">
        <f>Bloomberg!J64/100</f>
        <v>0.59218099999999996</v>
      </c>
      <c r="L137" s="347">
        <f>Bloomberg!K64/100</f>
        <v>0</v>
      </c>
      <c r="M137" s="347">
        <f>Bloomberg!L64/100</f>
        <v>0</v>
      </c>
      <c r="N137" s="347">
        <f>Bloomberg!M64/100</f>
        <v>0</v>
      </c>
      <c r="O137" s="347">
        <f>Bloomberg!N64/100</f>
        <v>0</v>
      </c>
      <c r="P137" s="347">
        <f>Bloomberg!O64/100</f>
        <v>0</v>
      </c>
      <c r="Q137" s="337">
        <f>Bloomberg!P64/100</f>
        <v>0</v>
      </c>
      <c r="R137" s="337"/>
      <c r="S137" s="337"/>
      <c r="T137" s="337"/>
      <c r="U137" s="337"/>
      <c r="V137" s="337"/>
      <c r="W137" s="337"/>
      <c r="X137" s="337"/>
    </row>
    <row r="138" spans="2:24" ht="12.75" customHeight="1">
      <c r="B138" s="8" t="s">
        <v>121</v>
      </c>
      <c r="C138" s="8"/>
      <c r="D138" s="348">
        <f t="shared" ref="D138:K138" si="100">IFERROR(D69/D28*10^3,0)</f>
        <v>-177.6995125</v>
      </c>
      <c r="E138" s="348">
        <f t="shared" si="100"/>
        <v>1614.8942468749999</v>
      </c>
      <c r="F138" s="348">
        <f t="shared" si="100"/>
        <v>427.64580625000002</v>
      </c>
      <c r="G138" s="348">
        <f t="shared" si="100"/>
        <v>1503.8433216216213</v>
      </c>
      <c r="H138" s="348">
        <f t="shared" si="100"/>
        <v>-616.71099285714297</v>
      </c>
      <c r="I138" s="348">
        <f t="shared" si="100"/>
        <v>2100.4652322582974</v>
      </c>
      <c r="J138" s="348">
        <f t="shared" si="100"/>
        <v>-3444.2061595776809</v>
      </c>
      <c r="K138" s="348">
        <f t="shared" si="100"/>
        <v>513.1631742244806</v>
      </c>
      <c r="L138" s="348">
        <f t="shared" ref="L138:Q138" si="101">IFERROR(L69/L28*10^3,0)</f>
        <v>654.26218552141768</v>
      </c>
      <c r="M138" s="348">
        <f t="shared" si="101"/>
        <v>-286.5556146666666</v>
      </c>
      <c r="N138" s="348">
        <f t="shared" si="101"/>
        <v>969.85180266666657</v>
      </c>
      <c r="O138" s="348">
        <f t="shared" si="101"/>
        <v>3193.3948413333333</v>
      </c>
      <c r="P138" s="348">
        <f t="shared" si="101"/>
        <v>147.89342401821287</v>
      </c>
      <c r="Q138" s="267">
        <f t="shared" si="101"/>
        <v>0</v>
      </c>
      <c r="R138" s="267"/>
      <c r="S138" s="267"/>
      <c r="T138" s="267"/>
      <c r="U138" s="267"/>
      <c r="V138" s="267"/>
      <c r="W138" s="267"/>
      <c r="X138" s="267"/>
    </row>
    <row r="139" spans="2:24" ht="12.75" customHeight="1">
      <c r="B139" s="8" t="s">
        <v>357</v>
      </c>
      <c r="C139" s="8"/>
      <c r="D139" s="40">
        <f>IFERROR(D21/D20,0)</f>
        <v>-1.4875378537356154</v>
      </c>
      <c r="E139" s="40">
        <f t="shared" ref="E139:K139" si="102">IFERROR(E21/E20,0)</f>
        <v>-0.32389355364421285</v>
      </c>
      <c r="F139" s="40">
        <f t="shared" si="102"/>
        <v>-0.20549745808925596</v>
      </c>
      <c r="G139" s="40">
        <f t="shared" si="102"/>
        <v>-0.15802793543382038</v>
      </c>
      <c r="H139" s="40">
        <f t="shared" si="102"/>
        <v>-1.0489854499878792</v>
      </c>
      <c r="I139" s="40">
        <f t="shared" si="102"/>
        <v>-0.32696230708408985</v>
      </c>
      <c r="J139" s="40">
        <f t="shared" si="102"/>
        <v>-0.24138096525510364</v>
      </c>
      <c r="K139" s="40">
        <f t="shared" si="102"/>
        <v>-0.19108199710074855</v>
      </c>
      <c r="L139" s="40">
        <f t="shared" ref="L139:Q139" si="103">IFERROR(L21/L20,0)</f>
        <v>-0.23069736613801028</v>
      </c>
      <c r="M139" s="40">
        <f t="shared" si="103"/>
        <v>-0.22049123067074816</v>
      </c>
      <c r="N139" s="40">
        <f t="shared" si="103"/>
        <v>-0.29359437297825908</v>
      </c>
      <c r="O139" s="40">
        <f t="shared" si="103"/>
        <v>-0.17910499412365638</v>
      </c>
      <c r="P139" s="40">
        <f t="shared" si="103"/>
        <v>-0.17074010536083548</v>
      </c>
      <c r="Q139" s="30">
        <f t="shared" si="103"/>
        <v>-0.12841267329624984</v>
      </c>
      <c r="R139" s="30"/>
      <c r="S139" s="30"/>
      <c r="T139" s="30"/>
      <c r="U139" s="30"/>
      <c r="V139" s="30"/>
      <c r="W139" s="30"/>
      <c r="X139" s="30"/>
    </row>
    <row r="140" spans="2:24" ht="12.75" customHeight="1">
      <c r="B140" s="8" t="s">
        <v>358</v>
      </c>
      <c r="C140" s="8"/>
      <c r="D140" s="40">
        <f>IFERROR((-D71-D66-D68)/(D15*(1-#REF!)),0)</f>
        <v>0</v>
      </c>
      <c r="E140" s="40">
        <f>IFERROR((-E71-E66-E68)/(E15*(1-#REF!)),0)</f>
        <v>0</v>
      </c>
      <c r="F140" s="40">
        <f>IFERROR((-F71-F66-F68)/(F15*(1-#REF!)),0)</f>
        <v>0</v>
      </c>
      <c r="G140" s="40">
        <f>IFERROR((-G71-G66-G68)/(G15*(1-#REF!)),0)</f>
        <v>0</v>
      </c>
      <c r="H140" s="40">
        <f>IFERROR((-H71-H66-H68)/(H15*(1-#REF!)),0)</f>
        <v>0</v>
      </c>
      <c r="I140" s="40">
        <f t="shared" ref="I140:O140" si="104">IFERROR((-I71-I66-I68)/(I18*(1-I139)),0)</f>
        <v>-1.937608073465614</v>
      </c>
      <c r="J140" s="40">
        <f t="shared" si="104"/>
        <v>1.5990529845557298</v>
      </c>
      <c r="K140" s="40">
        <f t="shared" si="104"/>
        <v>1.8288416137549699</v>
      </c>
      <c r="L140" s="40">
        <f t="shared" si="104"/>
        <v>-0.36995500490066402</v>
      </c>
      <c r="M140" s="40">
        <f t="shared" si="104"/>
        <v>-0.19248943525693996</v>
      </c>
      <c r="N140" s="40">
        <f t="shared" si="104"/>
        <v>-3.3246134243750265</v>
      </c>
      <c r="O140" s="40">
        <f t="shared" si="104"/>
        <v>-1.962216953282393</v>
      </c>
      <c r="P140" s="40">
        <f>IFERROR((-P71-P66-P68)/(P18*(1-P139)),0)</f>
        <v>0.22937014870388245</v>
      </c>
      <c r="Q140" s="30">
        <f>IFERROR((-Q71-Q66-Q68)/(Q18*(1-Q139)),0)</f>
        <v>0</v>
      </c>
      <c r="R140" s="30"/>
      <c r="S140" s="30"/>
      <c r="T140" s="30"/>
      <c r="U140" s="30"/>
      <c r="V140" s="30"/>
      <c r="W140" s="30"/>
      <c r="X140" s="30"/>
    </row>
    <row r="141" spans="2:24" ht="12.75" customHeight="1">
      <c r="B141" s="8" t="s">
        <v>114</v>
      </c>
      <c r="C141" s="8"/>
      <c r="D141" s="40">
        <f t="shared" ref="D141:K141" si="105">IFERROR(D71/-D10,0)</f>
        <v>1.038794187006481E-3</v>
      </c>
      <c r="E141" s="40">
        <f t="shared" si="105"/>
        <v>1.4975570828986378E-2</v>
      </c>
      <c r="F141" s="40">
        <f t="shared" si="105"/>
        <v>8.4311928222710955E-4</v>
      </c>
      <c r="G141" s="40">
        <f t="shared" si="105"/>
        <v>9.8999656147134001E-3</v>
      </c>
      <c r="H141" s="40">
        <f t="shared" si="105"/>
        <v>2.9775959770915383E-3</v>
      </c>
      <c r="I141" s="40">
        <f t="shared" si="105"/>
        <v>4.1783280086699253E-3</v>
      </c>
      <c r="J141" s="40">
        <f t="shared" si="105"/>
        <v>4.245911252907947E-3</v>
      </c>
      <c r="K141" s="40">
        <f t="shared" si="105"/>
        <v>1.3161314557783641E-2</v>
      </c>
      <c r="L141" s="40">
        <f t="shared" ref="L141:Q141" si="106">IFERROR(L71/-L10,0)</f>
        <v>1.2555531369922068E-3</v>
      </c>
      <c r="M141" s="40">
        <f t="shared" si="106"/>
        <v>2.9442189725017477E-3</v>
      </c>
      <c r="N141" s="40">
        <f t="shared" si="106"/>
        <v>1.3981584971661163E-2</v>
      </c>
      <c r="O141" s="40">
        <f t="shared" si="106"/>
        <v>7.6144603931459255E-3</v>
      </c>
      <c r="P141" s="40">
        <f t="shared" si="106"/>
        <v>2.3301750359064788E-2</v>
      </c>
      <c r="Q141" s="30">
        <f t="shared" si="106"/>
        <v>0</v>
      </c>
      <c r="R141" s="30"/>
      <c r="S141" s="30"/>
      <c r="T141" s="30"/>
      <c r="U141" s="30"/>
      <c r="V141" s="30"/>
      <c r="W141" s="30"/>
      <c r="X141" s="30"/>
    </row>
    <row r="142" spans="2:24" ht="12.75" customHeight="1">
      <c r="B142" s="8" t="s">
        <v>359</v>
      </c>
      <c r="C142" s="28"/>
      <c r="D142" s="40">
        <f t="shared" ref="D142:K142" si="107">IFERROR(D27/D$10,0)</f>
        <v>0</v>
      </c>
      <c r="E142" s="40">
        <f t="shared" si="107"/>
        <v>0</v>
      </c>
      <c r="F142" s="40">
        <f t="shared" si="107"/>
        <v>0</v>
      </c>
      <c r="G142" s="40">
        <f t="shared" si="107"/>
        <v>0</v>
      </c>
      <c r="H142" s="40">
        <f t="shared" si="107"/>
        <v>-3.2055086299568871E-3</v>
      </c>
      <c r="I142" s="40">
        <f t="shared" si="107"/>
        <v>-3.1474635861239659E-3</v>
      </c>
      <c r="J142" s="40">
        <f t="shared" si="107"/>
        <v>-2.9244942833976693E-2</v>
      </c>
      <c r="K142" s="40">
        <f t="shared" si="107"/>
        <v>-1.6162933028686075E-2</v>
      </c>
      <c r="L142" s="40">
        <f t="shared" ref="L142:Q142" si="108">IFERROR(L27/L$10,0)</f>
        <v>-3.1573220473826595E-2</v>
      </c>
      <c r="M142" s="40">
        <f t="shared" si="108"/>
        <v>-2.5156023224368197E-2</v>
      </c>
      <c r="N142" s="40">
        <f t="shared" si="108"/>
        <v>-3.8151226354563965E-2</v>
      </c>
      <c r="O142" s="40">
        <f t="shared" si="108"/>
        <v>-9.6257602736033072E-3</v>
      </c>
      <c r="P142" s="40">
        <f t="shared" si="108"/>
        <v>0</v>
      </c>
      <c r="Q142" s="30">
        <f t="shared" si="108"/>
        <v>-3.2218558643429111E-3</v>
      </c>
      <c r="R142" s="30"/>
      <c r="S142" s="30"/>
      <c r="T142" s="30"/>
      <c r="U142" s="30"/>
      <c r="V142" s="30"/>
      <c r="W142" s="30"/>
      <c r="X142" s="30"/>
    </row>
    <row r="143" spans="2:24" ht="12.75" customHeight="1">
      <c r="B143" s="8" t="s">
        <v>250</v>
      </c>
      <c r="C143" s="8"/>
      <c r="D143" s="40">
        <f t="shared" ref="D143:K143" si="109">IFERROR(((D33+D34)-D46-D48)/D10,0)</f>
        <v>-2.7206719818595828</v>
      </c>
      <c r="E143" s="40">
        <f t="shared" si="109"/>
        <v>-0.42760914178000387</v>
      </c>
      <c r="F143" s="40">
        <f t="shared" si="109"/>
        <v>-0.25282228508800342</v>
      </c>
      <c r="G143" s="40">
        <f t="shared" si="109"/>
        <v>0.18607789626779608</v>
      </c>
      <c r="H143" s="40">
        <f t="shared" si="109"/>
        <v>2.2360324614375274E-2</v>
      </c>
      <c r="I143" s="40">
        <f t="shared" si="109"/>
        <v>-0.12762155558470459</v>
      </c>
      <c r="J143" s="40">
        <f t="shared" si="109"/>
        <v>-2.3212220949534261</v>
      </c>
      <c r="K143" s="40">
        <f t="shared" si="109"/>
        <v>0.26576878608967691</v>
      </c>
      <c r="L143" s="40">
        <f t="shared" ref="L143:Q143" si="110">IFERROR(((L33+L34)-L46-L48)/L10,0)</f>
        <v>0.46544966442284746</v>
      </c>
      <c r="M143" s="40">
        <f t="shared" si="110"/>
        <v>0.33990438746064017</v>
      </c>
      <c r="N143" s="40">
        <f t="shared" si="110"/>
        <v>-1.0523248035182353</v>
      </c>
      <c r="O143" s="40">
        <f t="shared" si="110"/>
        <v>-1.4493404668984418</v>
      </c>
      <c r="P143" s="40">
        <f t="shared" si="110"/>
        <v>-1.2699894444786086</v>
      </c>
      <c r="Q143" s="30">
        <f t="shared" si="110"/>
        <v>-0.6504945831370702</v>
      </c>
      <c r="R143" s="30"/>
      <c r="S143" s="30"/>
      <c r="T143" s="30"/>
      <c r="U143" s="30"/>
      <c r="V143" s="30"/>
      <c r="W143" s="30"/>
      <c r="X143" s="30"/>
    </row>
    <row r="144" spans="2:24" ht="12.75" customHeight="1">
      <c r="B144" s="8"/>
      <c r="C144" s="8"/>
      <c r="D144" s="307"/>
      <c r="E144" s="307"/>
      <c r="F144" s="307"/>
      <c r="G144" s="307"/>
      <c r="H144" s="307"/>
      <c r="I144" s="307"/>
      <c r="J144" s="307"/>
      <c r="K144" s="307"/>
      <c r="L144" s="307"/>
      <c r="M144" s="307"/>
      <c r="N144" s="307"/>
      <c r="O144" s="307"/>
      <c r="P144" s="307"/>
      <c r="Q144" s="296"/>
      <c r="R144" s="296"/>
      <c r="S144" s="296"/>
      <c r="T144" s="296"/>
      <c r="U144" s="296"/>
      <c r="V144" s="296"/>
      <c r="W144" s="296"/>
      <c r="X144" s="296"/>
    </row>
    <row r="145" spans="2:24" ht="12.75" customHeight="1">
      <c r="B145" s="19" t="s">
        <v>343</v>
      </c>
      <c r="C145" s="19"/>
      <c r="D145" s="41"/>
      <c r="E145" s="41"/>
      <c r="F145" s="41"/>
      <c r="G145" s="41"/>
      <c r="H145" s="41"/>
      <c r="I145" s="41"/>
      <c r="J145" s="41"/>
      <c r="K145" s="41"/>
      <c r="L145" s="41"/>
      <c r="M145" s="41"/>
      <c r="N145" s="41"/>
      <c r="O145" s="41"/>
      <c r="P145" s="41"/>
      <c r="Q145" s="31"/>
      <c r="R145" s="31"/>
      <c r="S145" s="31"/>
      <c r="T145" s="31"/>
      <c r="U145" s="31"/>
      <c r="V145" s="31"/>
      <c r="W145" s="31"/>
      <c r="X145" s="31"/>
    </row>
    <row r="146" spans="2:24" ht="12.75" customHeight="1">
      <c r="B146" s="8" t="s">
        <v>26</v>
      </c>
      <c r="C146" s="8"/>
      <c r="D146" s="40">
        <f t="shared" ref="D146:K158" si="111">IFERROR(D10/D$10,0)</f>
        <v>1</v>
      </c>
      <c r="E146" s="40">
        <f t="shared" si="111"/>
        <v>1</v>
      </c>
      <c r="F146" s="40">
        <f t="shared" si="111"/>
        <v>1</v>
      </c>
      <c r="G146" s="40">
        <f t="shared" si="111"/>
        <v>1</v>
      </c>
      <c r="H146" s="40">
        <f t="shared" si="111"/>
        <v>1</v>
      </c>
      <c r="I146" s="40">
        <f t="shared" si="111"/>
        <v>1</v>
      </c>
      <c r="J146" s="40">
        <f t="shared" si="111"/>
        <v>1</v>
      </c>
      <c r="K146" s="40">
        <f t="shared" si="111"/>
        <v>1</v>
      </c>
      <c r="L146" s="40">
        <f t="shared" ref="L146:O160" si="112">IFERROR(L10/L$10,0)</f>
        <v>1</v>
      </c>
      <c r="M146" s="40">
        <f t="shared" si="112"/>
        <v>1</v>
      </c>
      <c r="N146" s="40">
        <f t="shared" si="112"/>
        <v>1</v>
      </c>
      <c r="O146" s="40">
        <f t="shared" si="112"/>
        <v>1</v>
      </c>
      <c r="P146" s="40">
        <f t="shared" ref="P146:Q160" si="113">IFERROR(P10/P$10,0)</f>
        <v>1</v>
      </c>
      <c r="Q146" s="30">
        <f t="shared" si="113"/>
        <v>1</v>
      </c>
      <c r="R146" s="30"/>
      <c r="S146" s="30"/>
      <c r="T146" s="30"/>
      <c r="U146" s="30"/>
      <c r="V146" s="30"/>
      <c r="W146" s="30"/>
      <c r="X146" s="30"/>
    </row>
    <row r="147" spans="2:24" ht="12.75" customHeight="1">
      <c r="B147" s="8" t="s">
        <v>27</v>
      </c>
      <c r="C147" s="28"/>
      <c r="D147" s="40">
        <f t="shared" si="111"/>
        <v>-0.11004605672126062</v>
      </c>
      <c r="E147" s="40">
        <f t="shared" si="111"/>
        <v>-0.48882832276845828</v>
      </c>
      <c r="F147" s="40">
        <f t="shared" si="111"/>
        <v>-0.58402108215682946</v>
      </c>
      <c r="G147" s="40">
        <f t="shared" si="111"/>
        <v>-0.58777997849546171</v>
      </c>
      <c r="H147" s="40">
        <f t="shared" si="111"/>
        <v>-0.40147640487924163</v>
      </c>
      <c r="I147" s="40">
        <f t="shared" si="111"/>
        <v>-0.47005118580176958</v>
      </c>
      <c r="J147" s="40">
        <f t="shared" si="111"/>
        <v>-0.1787563339019598</v>
      </c>
      <c r="K147" s="40">
        <f t="shared" si="111"/>
        <v>-0.37359873361632473</v>
      </c>
      <c r="L147" s="40">
        <f t="shared" si="112"/>
        <v>-0.46505929996407547</v>
      </c>
      <c r="M147" s="40">
        <f t="shared" si="112"/>
        <v>-0.29193514149411204</v>
      </c>
      <c r="N147" s="40">
        <f t="shared" si="112"/>
        <v>-0.3498691788682341</v>
      </c>
      <c r="O147" s="40">
        <f t="shared" si="112"/>
        <v>-0.4480748761614165</v>
      </c>
      <c r="P147" s="40">
        <f t="shared" si="113"/>
        <v>-0.41574541548422267</v>
      </c>
      <c r="Q147" s="30">
        <f t="shared" si="113"/>
        <v>-0.33254828073480919</v>
      </c>
      <c r="R147" s="30"/>
      <c r="S147" s="30"/>
      <c r="T147" s="30"/>
      <c r="U147" s="30"/>
      <c r="V147" s="30"/>
      <c r="W147" s="30"/>
      <c r="X147" s="30"/>
    </row>
    <row r="148" spans="2:24" ht="12.75" customHeight="1">
      <c r="B148" s="8" t="s">
        <v>28</v>
      </c>
      <c r="C148" s="28"/>
      <c r="D148" s="40">
        <f t="shared" si="111"/>
        <v>0.88995394327873945</v>
      </c>
      <c r="E148" s="40">
        <f t="shared" si="111"/>
        <v>0.51117167723154178</v>
      </c>
      <c r="F148" s="40">
        <f t="shared" si="111"/>
        <v>0.41597891784317048</v>
      </c>
      <c r="G148" s="40">
        <f t="shared" si="111"/>
        <v>0.41222002150453829</v>
      </c>
      <c r="H148" s="40">
        <f t="shared" si="111"/>
        <v>0.59852359512075837</v>
      </c>
      <c r="I148" s="40">
        <f t="shared" si="111"/>
        <v>0.52994881419823037</v>
      </c>
      <c r="J148" s="40">
        <f t="shared" si="111"/>
        <v>0.82124366609804011</v>
      </c>
      <c r="K148" s="40">
        <f t="shared" si="111"/>
        <v>0.62640126638367521</v>
      </c>
      <c r="L148" s="40">
        <f t="shared" si="112"/>
        <v>0.53494070003592453</v>
      </c>
      <c r="M148" s="40">
        <f t="shared" si="112"/>
        <v>0.70806485850588785</v>
      </c>
      <c r="N148" s="40">
        <f t="shared" si="112"/>
        <v>0.6501308211317659</v>
      </c>
      <c r="O148" s="40">
        <f t="shared" si="112"/>
        <v>0.5519251238385835</v>
      </c>
      <c r="P148" s="40">
        <f t="shared" si="113"/>
        <v>0.58425458451577739</v>
      </c>
      <c r="Q148" s="30">
        <f t="shared" si="113"/>
        <v>0.66745171926519076</v>
      </c>
      <c r="R148" s="30"/>
      <c r="S148" s="30"/>
      <c r="T148" s="30"/>
      <c r="U148" s="30"/>
      <c r="V148" s="30"/>
      <c r="W148" s="30"/>
      <c r="X148" s="30"/>
    </row>
    <row r="149" spans="2:24" ht="12.75" customHeight="1">
      <c r="B149" s="15" t="s">
        <v>29</v>
      </c>
      <c r="C149" s="28"/>
      <c r="D149" s="40">
        <f t="shared" si="111"/>
        <v>-0.19348575913864924</v>
      </c>
      <c r="E149" s="40">
        <f t="shared" si="111"/>
        <v>-0.13912218036262849</v>
      </c>
      <c r="F149" s="40">
        <f t="shared" si="111"/>
        <v>-7.7296993922209262E-2</v>
      </c>
      <c r="G149" s="40">
        <f t="shared" si="111"/>
        <v>-0.10173209654879868</v>
      </c>
      <c r="H149" s="40">
        <f t="shared" si="111"/>
        <v>-0.23872832817929385</v>
      </c>
      <c r="I149" s="40">
        <f t="shared" si="111"/>
        <v>-0.18850788743173372</v>
      </c>
      <c r="J149" s="40">
        <f t="shared" si="111"/>
        <v>-0.32170587663551464</v>
      </c>
      <c r="K149" s="40">
        <f t="shared" si="111"/>
        <v>-0.11795418552001329</v>
      </c>
      <c r="L149" s="40">
        <f t="shared" si="112"/>
        <v>-7.3911149818948418E-2</v>
      </c>
      <c r="M149" s="40">
        <f t="shared" si="112"/>
        <v>-0.10623277956533451</v>
      </c>
      <c r="N149" s="40">
        <f t="shared" si="112"/>
        <v>-0.18094554445694422</v>
      </c>
      <c r="O149" s="40">
        <f t="shared" si="112"/>
        <v>-0.10297468816389316</v>
      </c>
      <c r="P149" s="40">
        <f t="shared" si="113"/>
        <v>-8.4919625999842804E-2</v>
      </c>
      <c r="Q149" s="30">
        <f t="shared" si="113"/>
        <v>-0.13424399434762127</v>
      </c>
      <c r="R149" s="30"/>
      <c r="S149" s="30"/>
      <c r="T149" s="30"/>
      <c r="U149" s="30"/>
      <c r="V149" s="30"/>
      <c r="W149" s="30"/>
      <c r="X149" s="30"/>
    </row>
    <row r="150" spans="2:24" ht="12.75" customHeight="1">
      <c r="B150" s="15" t="s">
        <v>30</v>
      </c>
      <c r="C150" s="28"/>
      <c r="D150" s="40">
        <f t="shared" si="111"/>
        <v>-0.55634194481668475</v>
      </c>
      <c r="E150" s="40">
        <f t="shared" si="111"/>
        <v>-0.20381465059688011</v>
      </c>
      <c r="F150" s="40">
        <f t="shared" si="111"/>
        <v>-0.1231067541132605</v>
      </c>
      <c r="G150" s="40">
        <f t="shared" si="111"/>
        <v>-0.17515474443396056</v>
      </c>
      <c r="H150" s="40">
        <f t="shared" si="111"/>
        <v>-0.36158827685876088</v>
      </c>
      <c r="I150" s="40">
        <f t="shared" si="111"/>
        <v>-0.13106061356307991</v>
      </c>
      <c r="J150" s="40">
        <f t="shared" si="111"/>
        <v>-0.63854162602323994</v>
      </c>
      <c r="K150" s="40">
        <f t="shared" si="111"/>
        <v>-0.20563881678873561</v>
      </c>
      <c r="L150" s="40">
        <f t="shared" si="112"/>
        <v>-0.16311590557064953</v>
      </c>
      <c r="M150" s="40">
        <f t="shared" si="112"/>
        <v>-0.16170343514403931</v>
      </c>
      <c r="N150" s="40">
        <f t="shared" si="112"/>
        <v>-0.30757092081818815</v>
      </c>
      <c r="O150" s="40">
        <f t="shared" si="112"/>
        <v>-0.12803543290919681</v>
      </c>
      <c r="P150" s="40">
        <f t="shared" si="113"/>
        <v>-0.14508035607471487</v>
      </c>
      <c r="Q150" s="30">
        <f t="shared" si="113"/>
        <v>-0.14178049929345266</v>
      </c>
      <c r="R150" s="30"/>
      <c r="S150" s="30"/>
      <c r="T150" s="30"/>
      <c r="U150" s="30"/>
      <c r="V150" s="30"/>
      <c r="W150" s="30"/>
      <c r="X150" s="30"/>
    </row>
    <row r="151" spans="2:24" ht="12.75" customHeight="1">
      <c r="B151" s="8" t="s">
        <v>287</v>
      </c>
      <c r="C151" s="8"/>
      <c r="D151" s="40">
        <f t="shared" si="111"/>
        <v>0.1401262393234054</v>
      </c>
      <c r="E151" s="40">
        <f t="shared" si="111"/>
        <v>0.16823484627203317</v>
      </c>
      <c r="F151" s="40">
        <f t="shared" si="111"/>
        <v>0.21557516980770072</v>
      </c>
      <c r="G151" s="40">
        <f t="shared" si="111"/>
        <v>0.13533318052177906</v>
      </c>
      <c r="H151" s="40">
        <f t="shared" si="111"/>
        <v>-1.7930099172963781E-3</v>
      </c>
      <c r="I151" s="40">
        <f t="shared" si="111"/>
        <v>0.21038031320341677</v>
      </c>
      <c r="J151" s="40">
        <f t="shared" si="111"/>
        <v>-0.13900383656071441</v>
      </c>
      <c r="K151" s="40">
        <f t="shared" si="111"/>
        <v>0.30280826407492634</v>
      </c>
      <c r="L151" s="40">
        <f t="shared" si="112"/>
        <v>0.29791364464632658</v>
      </c>
      <c r="M151" s="40">
        <f t="shared" si="112"/>
        <v>0.44012864379651401</v>
      </c>
      <c r="N151" s="40">
        <f t="shared" si="112"/>
        <v>0.16161435585663353</v>
      </c>
      <c r="O151" s="40">
        <f t="shared" si="112"/>
        <v>0.32091500276549351</v>
      </c>
      <c r="P151" s="40">
        <f t="shared" si="113"/>
        <v>0.3542546024412197</v>
      </c>
      <c r="Q151" s="30">
        <f t="shared" si="113"/>
        <v>0.39142722562411691</v>
      </c>
      <c r="R151" s="30"/>
      <c r="S151" s="30"/>
      <c r="T151" s="30"/>
      <c r="U151" s="30"/>
      <c r="V151" s="30"/>
      <c r="W151" s="30"/>
      <c r="X151" s="30"/>
    </row>
    <row r="152" spans="2:24" ht="12.75" customHeight="1">
      <c r="B152" s="18" t="s">
        <v>32</v>
      </c>
      <c r="C152" s="28"/>
      <c r="D152" s="40">
        <f t="shared" si="111"/>
        <v>0</v>
      </c>
      <c r="E152" s="40">
        <f t="shared" si="111"/>
        <v>0</v>
      </c>
      <c r="F152" s="40">
        <f t="shared" si="111"/>
        <v>0</v>
      </c>
      <c r="G152" s="40">
        <f t="shared" si="111"/>
        <v>0</v>
      </c>
      <c r="H152" s="40">
        <f t="shared" si="111"/>
        <v>0</v>
      </c>
      <c r="I152" s="40">
        <f t="shared" si="111"/>
        <v>0</v>
      </c>
      <c r="J152" s="40">
        <f t="shared" si="111"/>
        <v>0</v>
      </c>
      <c r="K152" s="40">
        <f t="shared" si="111"/>
        <v>0</v>
      </c>
      <c r="L152" s="40">
        <f t="shared" si="112"/>
        <v>0</v>
      </c>
      <c r="M152" s="40">
        <f t="shared" si="112"/>
        <v>0</v>
      </c>
      <c r="N152" s="40">
        <f t="shared" si="112"/>
        <v>0</v>
      </c>
      <c r="O152" s="40">
        <f t="shared" si="112"/>
        <v>0</v>
      </c>
      <c r="P152" s="40">
        <f t="shared" si="113"/>
        <v>0</v>
      </c>
      <c r="Q152" s="30">
        <f t="shared" si="113"/>
        <v>0</v>
      </c>
      <c r="R152" s="30"/>
      <c r="S152" s="30"/>
      <c r="T152" s="30"/>
      <c r="U152" s="30"/>
      <c r="V152" s="30"/>
      <c r="W152" s="30"/>
      <c r="X152" s="30"/>
    </row>
    <row r="153" spans="2:24" ht="12.75" customHeight="1">
      <c r="B153" s="18" t="s">
        <v>33</v>
      </c>
      <c r="C153" s="28"/>
      <c r="D153" s="40">
        <f t="shared" si="111"/>
        <v>4.4765078670243118E-2</v>
      </c>
      <c r="E153" s="40">
        <f t="shared" si="111"/>
        <v>-4.1930142974814571E-3</v>
      </c>
      <c r="F153" s="40">
        <f t="shared" si="111"/>
        <v>1.5414758453926869E-2</v>
      </c>
      <c r="G153" s="40">
        <f t="shared" si="111"/>
        <v>9.9607028543888504E-2</v>
      </c>
      <c r="H153" s="40">
        <f t="shared" si="111"/>
        <v>4.0641328490469662E-2</v>
      </c>
      <c r="I153" s="40">
        <f t="shared" si="111"/>
        <v>1.0673294527466789E-2</v>
      </c>
      <c r="J153" s="40">
        <f t="shared" si="111"/>
        <v>1.3952507994971077</v>
      </c>
      <c r="K153" s="40">
        <f t="shared" si="111"/>
        <v>9.2890106878150192E-2</v>
      </c>
      <c r="L153" s="40">
        <f t="shared" si="112"/>
        <v>1.4465414941884368E-2</v>
      </c>
      <c r="M153" s="40">
        <f t="shared" si="112"/>
        <v>4.8167237068084061E-2</v>
      </c>
      <c r="N153" s="40">
        <f t="shared" si="112"/>
        <v>0.10439551947984387</v>
      </c>
      <c r="O153" s="40">
        <f t="shared" si="112"/>
        <v>0.36976994170957062</v>
      </c>
      <c r="P153" s="40">
        <f t="shared" si="113"/>
        <v>6.2334568738963869E-2</v>
      </c>
      <c r="Q153" s="30">
        <f t="shared" si="113"/>
        <v>0.38294865756005658</v>
      </c>
      <c r="R153" s="30"/>
      <c r="S153" s="30"/>
      <c r="T153" s="30"/>
      <c r="U153" s="30"/>
      <c r="V153" s="30"/>
      <c r="W153" s="30"/>
      <c r="X153" s="30"/>
    </row>
    <row r="154" spans="2:24" ht="12.75" customHeight="1">
      <c r="B154" s="18" t="s">
        <v>288</v>
      </c>
      <c r="C154" s="28"/>
      <c r="D154" s="40">
        <f t="shared" si="111"/>
        <v>0.18489131799364852</v>
      </c>
      <c r="E154" s="40">
        <f t="shared" si="111"/>
        <v>0.16404183197455172</v>
      </c>
      <c r="F154" s="40">
        <f t="shared" si="111"/>
        <v>0.23098992826162759</v>
      </c>
      <c r="G154" s="40">
        <f t="shared" si="111"/>
        <v>0.23494020906566757</v>
      </c>
      <c r="H154" s="40">
        <f t="shared" si="111"/>
        <v>3.8848318573173286E-2</v>
      </c>
      <c r="I154" s="40">
        <f t="shared" si="111"/>
        <v>0.22105360773088356</v>
      </c>
      <c r="J154" s="40">
        <f t="shared" si="111"/>
        <v>1.2562469629363933</v>
      </c>
      <c r="K154" s="40">
        <f t="shared" si="111"/>
        <v>0.39569837095307647</v>
      </c>
      <c r="L154" s="40">
        <f t="shared" si="112"/>
        <v>0.31237905958821094</v>
      </c>
      <c r="M154" s="40">
        <f t="shared" si="112"/>
        <v>0.48829588086459808</v>
      </c>
      <c r="N154" s="40">
        <f t="shared" si="112"/>
        <v>0.26600987533647741</v>
      </c>
      <c r="O154" s="40">
        <f t="shared" si="112"/>
        <v>0.69068494447506412</v>
      </c>
      <c r="P154" s="40">
        <f t="shared" si="113"/>
        <v>0.41658917118018357</v>
      </c>
      <c r="Q154" s="30">
        <f t="shared" si="113"/>
        <v>0.7743758831841735</v>
      </c>
      <c r="R154" s="30"/>
      <c r="S154" s="30"/>
      <c r="T154" s="30"/>
      <c r="U154" s="30"/>
      <c r="V154" s="30"/>
      <c r="W154" s="30"/>
      <c r="X154" s="30"/>
    </row>
    <row r="155" spans="2:24" ht="12.75" customHeight="1">
      <c r="B155" s="8" t="s">
        <v>31</v>
      </c>
      <c r="C155" s="28"/>
      <c r="D155" s="40">
        <f t="shared" si="111"/>
        <v>-0.10683073260422467</v>
      </c>
      <c r="E155" s="40">
        <f t="shared" si="111"/>
        <v>-1.8727614550845366E-2</v>
      </c>
      <c r="F155" s="40">
        <f t="shared" si="111"/>
        <v>-7.0180361215164784E-3</v>
      </c>
      <c r="G155" s="40">
        <f t="shared" si="111"/>
        <v>-4.6719147491260311E-4</v>
      </c>
      <c r="H155" s="40">
        <f t="shared" si="111"/>
        <v>-9.3336546308515195E-4</v>
      </c>
      <c r="I155" s="40">
        <f t="shared" si="111"/>
        <v>-3.9678647398869708E-4</v>
      </c>
      <c r="J155" s="40">
        <f t="shared" si="111"/>
        <v>-1.0302272679226889E-3</v>
      </c>
      <c r="K155" s="40">
        <f t="shared" si="111"/>
        <v>-1.7001130635131984E-3</v>
      </c>
      <c r="L155" s="40">
        <f t="shared" si="112"/>
        <v>-3.6377270922882487E-4</v>
      </c>
      <c r="M155" s="40">
        <f t="shared" si="112"/>
        <v>-9.4322119861395016E-5</v>
      </c>
      <c r="N155" s="40">
        <f t="shared" si="112"/>
        <v>-1.7225316443906935E-4</v>
      </c>
      <c r="O155" s="40">
        <f t="shared" si="112"/>
        <v>-1.0343026210168368E-4</v>
      </c>
      <c r="P155" s="40">
        <f t="shared" si="113"/>
        <v>-1.4790995706756341E-4</v>
      </c>
      <c r="Q155" s="30">
        <f t="shared" si="113"/>
        <v>-4.0508714083843612E-4</v>
      </c>
      <c r="R155" s="30"/>
      <c r="S155" s="30"/>
      <c r="T155" s="30"/>
      <c r="U155" s="30"/>
      <c r="V155" s="30"/>
      <c r="W155" s="30"/>
      <c r="X155" s="30"/>
    </row>
    <row r="156" spans="2:24" ht="12.75" customHeight="1">
      <c r="B156" s="8" t="s">
        <v>34</v>
      </c>
      <c r="C156" s="8"/>
      <c r="D156" s="40">
        <f t="shared" si="111"/>
        <v>7.8060585389423842E-2</v>
      </c>
      <c r="E156" s="40">
        <f t="shared" si="111"/>
        <v>0.14531421742370634</v>
      </c>
      <c r="F156" s="40">
        <f t="shared" si="111"/>
        <v>0.22397189214011112</v>
      </c>
      <c r="G156" s="40">
        <f t="shared" si="111"/>
        <v>0.23447301759075495</v>
      </c>
      <c r="H156" s="40">
        <f t="shared" si="111"/>
        <v>3.7914953110088134E-2</v>
      </c>
      <c r="I156" s="40">
        <f t="shared" si="111"/>
        <v>0.22065682125689487</v>
      </c>
      <c r="J156" s="40">
        <f t="shared" si="111"/>
        <v>1.2552167356684705</v>
      </c>
      <c r="K156" s="40">
        <f t="shared" si="111"/>
        <v>0.39399825788956327</v>
      </c>
      <c r="L156" s="40">
        <f t="shared" si="112"/>
        <v>0.31201528687898217</v>
      </c>
      <c r="M156" s="40">
        <f t="shared" si="112"/>
        <v>0.48820155874473664</v>
      </c>
      <c r="N156" s="40">
        <f t="shared" si="112"/>
        <v>0.26583762217203832</v>
      </c>
      <c r="O156" s="40">
        <f t="shared" si="112"/>
        <v>0.69058151421296243</v>
      </c>
      <c r="P156" s="40">
        <f t="shared" si="113"/>
        <v>0.41644126122311598</v>
      </c>
      <c r="Q156" s="30">
        <f t="shared" si="113"/>
        <v>0.77397079604333496</v>
      </c>
      <c r="R156" s="30"/>
      <c r="S156" s="30"/>
      <c r="T156" s="30"/>
      <c r="U156" s="30"/>
      <c r="V156" s="30"/>
      <c r="W156" s="30"/>
      <c r="X156" s="30"/>
    </row>
    <row r="157" spans="2:24" ht="12.75" customHeight="1">
      <c r="B157" s="8" t="s">
        <v>35</v>
      </c>
      <c r="C157" s="28"/>
      <c r="D157" s="40">
        <f t="shared" si="111"/>
        <v>-0.11611807565152928</v>
      </c>
      <c r="E157" s="40">
        <f t="shared" si="111"/>
        <v>-4.706633827639204E-2</v>
      </c>
      <c r="F157" s="40">
        <f t="shared" si="111"/>
        <v>-4.6025654518233844E-2</v>
      </c>
      <c r="G157" s="40">
        <f t="shared" si="111"/>
        <v>-3.7053286884804852E-2</v>
      </c>
      <c r="H157" s="40">
        <f t="shared" si="111"/>
        <v>-3.9772234149455139E-2</v>
      </c>
      <c r="I157" s="40">
        <f t="shared" si="111"/>
        <v>-7.2146463351995982E-2</v>
      </c>
      <c r="J157" s="40">
        <f t="shared" si="111"/>
        <v>-0.30298542726001571</v>
      </c>
      <c r="K157" s="40">
        <f t="shared" si="111"/>
        <v>-7.5285973971753503E-2</v>
      </c>
      <c r="L157" s="40">
        <f t="shared" si="112"/>
        <v>-7.1981104877776855E-2</v>
      </c>
      <c r="M157" s="40">
        <f t="shared" si="112"/>
        <v>-0.10764416250300454</v>
      </c>
      <c r="N157" s="40">
        <f t="shared" si="112"/>
        <v>-7.8048429995630941E-2</v>
      </c>
      <c r="O157" s="40">
        <f t="shared" si="112"/>
        <v>-0.12368659804501836</v>
      </c>
      <c r="P157" s="40">
        <f t="shared" si="113"/>
        <v>-7.1103224817834029E-2</v>
      </c>
      <c r="Q157" s="30">
        <f t="shared" si="113"/>
        <v>-9.9387658973151188E-2</v>
      </c>
      <c r="R157" s="30"/>
      <c r="S157" s="30"/>
      <c r="T157" s="30"/>
      <c r="U157" s="30"/>
      <c r="V157" s="30"/>
      <c r="W157" s="30"/>
      <c r="X157" s="30"/>
    </row>
    <row r="158" spans="2:24" ht="12.75" customHeight="1">
      <c r="B158" s="8" t="s">
        <v>36</v>
      </c>
      <c r="C158" s="8"/>
      <c r="D158" s="40">
        <f t="shared" si="111"/>
        <v>-3.8057490262105434E-2</v>
      </c>
      <c r="E158" s="40">
        <f t="shared" si="111"/>
        <v>9.8247879147314324E-2</v>
      </c>
      <c r="F158" s="40">
        <f t="shared" si="111"/>
        <v>0.17794623762187728</v>
      </c>
      <c r="G158" s="40">
        <f t="shared" ref="E158:K159" si="114">IFERROR(G22/G$10,0)</f>
        <v>0.19741973070595012</v>
      </c>
      <c r="H158" s="40">
        <f t="shared" si="114"/>
        <v>-1.8572810393670054E-3</v>
      </c>
      <c r="I158" s="40">
        <f t="shared" si="114"/>
        <v>0.14851035790489889</v>
      </c>
      <c r="J158" s="40">
        <f t="shared" si="114"/>
        <v>0.95223130840845482</v>
      </c>
      <c r="K158" s="40">
        <f t="shared" si="114"/>
        <v>0.31871228391780976</v>
      </c>
      <c r="L158" s="40">
        <f t="shared" si="112"/>
        <v>0.2400341820012053</v>
      </c>
      <c r="M158" s="40">
        <f t="shared" si="112"/>
        <v>0.38055739624173207</v>
      </c>
      <c r="N158" s="40">
        <f t="shared" si="112"/>
        <v>0.18778919217640738</v>
      </c>
      <c r="O158" s="40">
        <f t="shared" si="112"/>
        <v>0.56689491616794407</v>
      </c>
      <c r="P158" s="40">
        <f t="shared" si="113"/>
        <v>0.34533803640528193</v>
      </c>
      <c r="Q158" s="30">
        <f t="shared" si="113"/>
        <v>0.6745831370701838</v>
      </c>
      <c r="R158" s="30"/>
      <c r="S158" s="30"/>
      <c r="T158" s="30"/>
      <c r="U158" s="30"/>
      <c r="V158" s="30"/>
      <c r="W158" s="30"/>
      <c r="X158" s="30"/>
    </row>
    <row r="159" spans="2:24" ht="12.75" customHeight="1">
      <c r="B159" s="8" t="s">
        <v>122</v>
      </c>
      <c r="C159" s="28"/>
      <c r="D159" s="40">
        <f t="shared" ref="D159:K160" si="115">IFERROR(D23/D$10,0)</f>
        <v>0.11161487562306607</v>
      </c>
      <c r="E159" s="40">
        <f t="shared" si="114"/>
        <v>-3.8298177974460793E-2</v>
      </c>
      <c r="F159" s="40">
        <f t="shared" si="114"/>
        <v>-1.1260378546655101E-2</v>
      </c>
      <c r="G159" s="40">
        <f t="shared" si="114"/>
        <v>2.0259205858241241E-3</v>
      </c>
      <c r="H159" s="40">
        <f t="shared" si="114"/>
        <v>3.0659260721966841E-2</v>
      </c>
      <c r="I159" s="40">
        <f t="shared" si="114"/>
        <v>-4.1436496797310476E-3</v>
      </c>
      <c r="J159" s="40">
        <f t="shared" si="114"/>
        <v>8.0241689016600781E-3</v>
      </c>
      <c r="K159" s="40">
        <f t="shared" si="114"/>
        <v>-6.5914577838781324E-2</v>
      </c>
      <c r="L159" s="40">
        <f t="shared" si="112"/>
        <v>-9.3053134353921606E-3</v>
      </c>
      <c r="M159" s="40">
        <f t="shared" si="112"/>
        <v>-0.11421958671681089</v>
      </c>
      <c r="N159" s="40">
        <f t="shared" si="112"/>
        <v>-0.17094467207997938</v>
      </c>
      <c r="O159" s="40">
        <f t="shared" si="112"/>
        <v>-8.8374991844185263E-2</v>
      </c>
      <c r="P159" s="40">
        <f t="shared" si="113"/>
        <v>-0.13207780493695956</v>
      </c>
      <c r="Q159" s="30">
        <f t="shared" si="113"/>
        <v>-0.12529439472444653</v>
      </c>
      <c r="R159" s="30"/>
      <c r="S159" s="30"/>
      <c r="T159" s="30"/>
      <c r="U159" s="30"/>
      <c r="V159" s="30"/>
      <c r="W159" s="30"/>
      <c r="X159" s="30"/>
    </row>
    <row r="160" spans="2:24" ht="12.75" customHeight="1">
      <c r="B160" s="8" t="s">
        <v>38</v>
      </c>
      <c r="C160" s="8"/>
      <c r="D160" s="40">
        <f t="shared" si="115"/>
        <v>7.3557385360960653E-2</v>
      </c>
      <c r="E160" s="40">
        <f t="shared" si="115"/>
        <v>5.9949701172853524E-2</v>
      </c>
      <c r="F160" s="40">
        <f t="shared" si="115"/>
        <v>0.16668585907522218</v>
      </c>
      <c r="G160" s="40">
        <f t="shared" si="115"/>
        <v>0.19944565129177425</v>
      </c>
      <c r="H160" s="40">
        <f t="shared" si="115"/>
        <v>2.8801979682599836E-2</v>
      </c>
      <c r="I160" s="40">
        <f t="shared" si="115"/>
        <v>0.14436670822516784</v>
      </c>
      <c r="J160" s="40">
        <f t="shared" si="115"/>
        <v>0.96025547731011496</v>
      </c>
      <c r="K160" s="40">
        <f t="shared" si="115"/>
        <v>0.25279770607902841</v>
      </c>
      <c r="L160" s="40">
        <f t="shared" si="112"/>
        <v>0.23072886856581312</v>
      </c>
      <c r="M160" s="40">
        <f t="shared" si="112"/>
        <v>0.2663378095249212</v>
      </c>
      <c r="N160" s="40">
        <f t="shared" si="112"/>
        <v>1.6844520096427992E-2</v>
      </c>
      <c r="O160" s="40">
        <f t="shared" si="112"/>
        <v>0.47851992432375884</v>
      </c>
      <c r="P160" s="40">
        <f t="shared" si="113"/>
        <v>0.21326023146832238</v>
      </c>
      <c r="Q160" s="30">
        <f t="shared" si="113"/>
        <v>0.54928874234573732</v>
      </c>
      <c r="R160" s="30"/>
      <c r="S160" s="30"/>
      <c r="T160" s="30"/>
      <c r="U160" s="30"/>
      <c r="V160" s="30"/>
      <c r="W160" s="30"/>
      <c r="X160" s="30"/>
    </row>
    <row r="161" spans="2:24" ht="12.75" customHeight="1">
      <c r="B161" s="18" t="s">
        <v>4</v>
      </c>
      <c r="C161" s="8"/>
      <c r="D161" s="40">
        <f t="shared" ref="D161:K161" si="116">IFERROR(D26/D$10,0)</f>
        <v>0.18489131799364852</v>
      </c>
      <c r="E161" s="40">
        <f t="shared" si="116"/>
        <v>0.16404183197455172</v>
      </c>
      <c r="F161" s="40">
        <f t="shared" si="116"/>
        <v>0.23098992826162759</v>
      </c>
      <c r="G161" s="40">
        <f t="shared" si="116"/>
        <v>0.23494020906566757</v>
      </c>
      <c r="H161" s="40">
        <f t="shared" si="116"/>
        <v>4.2053827203130174E-2</v>
      </c>
      <c r="I161" s="40">
        <f t="shared" si="116"/>
        <v>0.22420107131700756</v>
      </c>
      <c r="J161" s="40">
        <f t="shared" si="116"/>
        <v>1.28549190577037</v>
      </c>
      <c r="K161" s="40">
        <f t="shared" si="116"/>
        <v>0.41186130398176257</v>
      </c>
      <c r="L161" s="40">
        <f t="shared" ref="L161:Q161" si="117">IFERROR(L26/L$10,0)</f>
        <v>0.34395228006203754</v>
      </c>
      <c r="M161" s="40">
        <f t="shared" si="117"/>
        <v>0.51345190408896624</v>
      </c>
      <c r="N161" s="40">
        <f t="shared" si="117"/>
        <v>0.30416110169104132</v>
      </c>
      <c r="O161" s="40">
        <f t="shared" si="117"/>
        <v>0.70031070474866741</v>
      </c>
      <c r="P161" s="40">
        <f t="shared" si="117"/>
        <v>0.41658917118018357</v>
      </c>
      <c r="Q161" s="30">
        <f t="shared" si="117"/>
        <v>0.77759773904851637</v>
      </c>
      <c r="R161" s="30"/>
      <c r="S161" s="30"/>
      <c r="T161" s="30"/>
      <c r="U161" s="30"/>
      <c r="V161" s="30"/>
      <c r="W161" s="30"/>
      <c r="X161" s="30"/>
    </row>
    <row r="162" spans="2:24" ht="12.75" customHeight="1">
      <c r="B162" s="18"/>
      <c r="C162" s="8"/>
      <c r="D162" s="343"/>
      <c r="E162" s="343"/>
      <c r="F162" s="343"/>
      <c r="G162" s="343"/>
      <c r="H162" s="343"/>
      <c r="I162" s="343"/>
      <c r="J162" s="343"/>
      <c r="K162" s="343"/>
      <c r="L162" s="343"/>
      <c r="M162" s="343"/>
      <c r="N162" s="343"/>
      <c r="O162" s="343"/>
      <c r="P162" s="343"/>
      <c r="Q162" s="344"/>
      <c r="R162" s="344"/>
      <c r="S162" s="344"/>
      <c r="T162" s="344"/>
      <c r="U162" s="344"/>
      <c r="V162" s="344"/>
      <c r="W162" s="344"/>
      <c r="X162" s="344"/>
    </row>
    <row r="163" spans="2:24" ht="12.75" customHeight="1">
      <c r="B163" s="19" t="s">
        <v>216</v>
      </c>
      <c r="C163" s="19"/>
      <c r="D163" s="345"/>
      <c r="E163" s="345"/>
      <c r="F163" s="345"/>
      <c r="G163" s="345"/>
      <c r="H163" s="345"/>
      <c r="I163" s="345"/>
      <c r="J163" s="345"/>
      <c r="K163" s="345"/>
      <c r="L163" s="345"/>
      <c r="M163" s="345"/>
      <c r="N163" s="345"/>
      <c r="O163" s="345"/>
      <c r="P163" s="345"/>
      <c r="Q163" s="346"/>
      <c r="R163" s="346"/>
      <c r="S163" s="346"/>
      <c r="T163" s="346"/>
      <c r="U163" s="346"/>
      <c r="V163" s="346"/>
      <c r="W163" s="346"/>
      <c r="X163" s="346"/>
    </row>
    <row r="164" spans="2:24" ht="12.75" customHeight="1">
      <c r="B164" s="8" t="s">
        <v>26</v>
      </c>
      <c r="C164" s="28"/>
      <c r="D164" s="40">
        <f t="shared" ref="D164:K176" si="118">IFERROR(IF(D10="",0,D10/C10-1),0)</f>
        <v>0</v>
      </c>
      <c r="E164" s="40">
        <f t="shared" si="118"/>
        <v>1.7322175641247219</v>
      </c>
      <c r="F164" s="40">
        <f t="shared" si="118"/>
        <v>0.61199439797055066</v>
      </c>
      <c r="G164" s="40">
        <f t="shared" si="118"/>
        <v>-0.20913202718073975</v>
      </c>
      <c r="H164" s="40">
        <f t="shared" si="118"/>
        <v>-0.59677433496064225</v>
      </c>
      <c r="I164" s="40">
        <f t="shared" si="118"/>
        <v>1.8510639262391329</v>
      </c>
      <c r="J164" s="40">
        <f t="shared" si="118"/>
        <v>-0.77473502484967049</v>
      </c>
      <c r="K164" s="40">
        <f t="shared" si="118"/>
        <v>2.9406740560973752</v>
      </c>
      <c r="L164" s="40">
        <f t="shared" ref="L164:L182" si="119">IFERROR(IF(L10="",0,L10/K10-1),0)</f>
        <v>-0.25153473802703974</v>
      </c>
      <c r="M164" s="40">
        <f t="shared" ref="M164:M182" si="120">IFERROR(IF(M10="",0,M10/L10-1),0)</f>
        <v>0.27322899156401981</v>
      </c>
      <c r="N164" s="40">
        <f t="shared" ref="N164:N182" si="121">IFERROR(IF(N10="",0,N10/M10-1),0)</f>
        <v>-0.51149077690778921</v>
      </c>
      <c r="O164" s="40">
        <f t="shared" ref="O164:Q182" si="122">IFERROR(IF(O10="",0,O10/N10-1),0)</f>
        <v>3.1537261841597601</v>
      </c>
      <c r="P164" s="40">
        <f t="shared" si="122"/>
        <v>-0.28108688117843239</v>
      </c>
      <c r="Q164" s="30">
        <f t="shared" si="122"/>
        <v>0.23718185772374589</v>
      </c>
      <c r="R164" s="30"/>
      <c r="S164" s="30"/>
      <c r="T164" s="30"/>
      <c r="U164" s="30"/>
      <c r="V164" s="30"/>
      <c r="W164" s="30"/>
      <c r="X164" s="30"/>
    </row>
    <row r="165" spans="2:24" ht="12.75" customHeight="1">
      <c r="B165" s="8" t="s">
        <v>27</v>
      </c>
      <c r="C165" s="8"/>
      <c r="D165" s="40">
        <f t="shared" si="118"/>
        <v>0</v>
      </c>
      <c r="E165" s="40">
        <f t="shared" si="118"/>
        <v>11.136603246880163</v>
      </c>
      <c r="F165" s="40">
        <f t="shared" si="118"/>
        <v>0.92590868589960174</v>
      </c>
      <c r="G165" s="40">
        <f t="shared" si="118"/>
        <v>-0.20404181585413317</v>
      </c>
      <c r="H165" s="40">
        <f t="shared" si="118"/>
        <v>-0.72458131226344147</v>
      </c>
      <c r="I165" s="40">
        <f t="shared" si="118"/>
        <v>2.3380441865031898</v>
      </c>
      <c r="J165" s="40">
        <f t="shared" si="118"/>
        <v>-0.91433371017731968</v>
      </c>
      <c r="K165" s="40">
        <f t="shared" si="118"/>
        <v>7.2359645939043524</v>
      </c>
      <c r="L165" s="40">
        <f t="shared" si="119"/>
        <v>-6.8303236974988635E-2</v>
      </c>
      <c r="M165" s="40">
        <f t="shared" si="120"/>
        <v>-0.20074647290063752</v>
      </c>
      <c r="N165" s="40">
        <f t="shared" si="121"/>
        <v>-0.41454694396125691</v>
      </c>
      <c r="O165" s="40">
        <f t="shared" si="122"/>
        <v>4.319646479282377</v>
      </c>
      <c r="P165" s="40">
        <f t="shared" si="122"/>
        <v>-0.33295783989937577</v>
      </c>
      <c r="Q165" s="30">
        <f t="shared" si="122"/>
        <v>-1.0397506697359282E-2</v>
      </c>
      <c r="R165" s="30"/>
      <c r="S165" s="30"/>
      <c r="T165" s="30"/>
      <c r="U165" s="30"/>
      <c r="V165" s="30"/>
      <c r="W165" s="30"/>
      <c r="X165" s="30"/>
    </row>
    <row r="166" spans="2:24" ht="12.75" customHeight="1">
      <c r="B166" s="8" t="s">
        <v>28</v>
      </c>
      <c r="C166" s="8"/>
      <c r="D166" s="40">
        <f t="shared" si="118"/>
        <v>0</v>
      </c>
      <c r="E166" s="40">
        <f t="shared" si="118"/>
        <v>0.56933091354108112</v>
      </c>
      <c r="F166" s="40">
        <f t="shared" si="118"/>
        <v>0.31180132840831476</v>
      </c>
      <c r="G166" s="40">
        <f t="shared" si="118"/>
        <v>-0.21627852090880073</v>
      </c>
      <c r="H166" s="40">
        <f t="shared" si="118"/>
        <v>-0.41453577678381148</v>
      </c>
      <c r="I166" s="40">
        <f t="shared" si="118"/>
        <v>1.5244083261394836</v>
      </c>
      <c r="J166" s="40">
        <f t="shared" si="118"/>
        <v>-0.65091452404544659</v>
      </c>
      <c r="K166" s="40">
        <f t="shared" si="118"/>
        <v>2.0057379083030966</v>
      </c>
      <c r="L166" s="40">
        <f t="shared" si="119"/>
        <v>-0.3608178133101847</v>
      </c>
      <c r="M166" s="40">
        <f t="shared" si="120"/>
        <v>0.68528718360152618</v>
      </c>
      <c r="N166" s="40">
        <f t="shared" si="121"/>
        <v>-0.55146071927711815</v>
      </c>
      <c r="O166" s="40">
        <f t="shared" si="122"/>
        <v>2.5262838863615396</v>
      </c>
      <c r="P166" s="40">
        <f t="shared" si="122"/>
        <v>-0.23897596358944062</v>
      </c>
      <c r="Q166" s="30">
        <f t="shared" si="122"/>
        <v>0.41335503368928705</v>
      </c>
      <c r="R166" s="30"/>
      <c r="S166" s="30"/>
      <c r="T166" s="30"/>
      <c r="U166" s="30"/>
      <c r="V166" s="30"/>
      <c r="W166" s="30"/>
      <c r="X166" s="30"/>
    </row>
    <row r="167" spans="2:24" ht="12.75" customHeight="1">
      <c r="B167" s="15" t="s">
        <v>29</v>
      </c>
      <c r="C167" s="15"/>
      <c r="D167" s="40">
        <f t="shared" si="118"/>
        <v>0</v>
      </c>
      <c r="E167" s="40">
        <f t="shared" si="118"/>
        <v>0.96454801861525108</v>
      </c>
      <c r="F167" s="40">
        <f t="shared" si="118"/>
        <v>-0.10436767984958828</v>
      </c>
      <c r="G167" s="40">
        <f t="shared" si="118"/>
        <v>4.0876920118940951E-2</v>
      </c>
      <c r="H167" s="40">
        <f t="shared" si="118"/>
        <v>-5.3775630706133226E-2</v>
      </c>
      <c r="I167" s="40">
        <f t="shared" si="118"/>
        <v>1.2512956119079419</v>
      </c>
      <c r="J167" s="40">
        <f t="shared" si="118"/>
        <v>-0.61556480583732542</v>
      </c>
      <c r="K167" s="40">
        <f t="shared" si="118"/>
        <v>0.44485703384723152</v>
      </c>
      <c r="L167" s="40">
        <f t="shared" si="119"/>
        <v>-0.5310049586788439</v>
      </c>
      <c r="M167" s="40">
        <f t="shared" si="120"/>
        <v>0.83001692069926025</v>
      </c>
      <c r="N167" s="40">
        <f t="shared" si="121"/>
        <v>-0.16792568446073897</v>
      </c>
      <c r="O167" s="40">
        <f t="shared" si="122"/>
        <v>1.3638529471159577</v>
      </c>
      <c r="P167" s="40">
        <f t="shared" si="122"/>
        <v>-0.40713747945959333</v>
      </c>
      <c r="Q167" s="30">
        <f t="shared" si="122"/>
        <v>0.95578150939517315</v>
      </c>
      <c r="R167" s="30"/>
      <c r="S167" s="30"/>
      <c r="T167" s="30"/>
      <c r="U167" s="30"/>
      <c r="V167" s="30"/>
      <c r="W167" s="30"/>
      <c r="X167" s="30"/>
    </row>
    <row r="168" spans="2:24" ht="12.75" customHeight="1">
      <c r="B168" s="15" t="s">
        <v>30</v>
      </c>
      <c r="C168" s="15"/>
      <c r="D168" s="40">
        <f t="shared" si="118"/>
        <v>0</v>
      </c>
      <c r="E168" s="40">
        <f t="shared" si="118"/>
        <v>9.4190879356936819E-4</v>
      </c>
      <c r="F168" s="40">
        <f t="shared" si="118"/>
        <v>-2.6333988249853113E-2</v>
      </c>
      <c r="G168" s="40">
        <f t="shared" si="118"/>
        <v>0.12523702422303407</v>
      </c>
      <c r="H168" s="40">
        <f t="shared" si="118"/>
        <v>-0.1675836479451942</v>
      </c>
      <c r="I168" s="40">
        <f t="shared" si="118"/>
        <v>3.3391322104227461E-2</v>
      </c>
      <c r="J168" s="40">
        <f t="shared" si="118"/>
        <v>9.7515566332557313E-2</v>
      </c>
      <c r="K168" s="40">
        <f t="shared" si="118"/>
        <v>0.26907239437580333</v>
      </c>
      <c r="L168" s="40">
        <f t="shared" si="119"/>
        <v>-0.40630572135454712</v>
      </c>
      <c r="M168" s="40">
        <f t="shared" si="120"/>
        <v>0.26220371300154377</v>
      </c>
      <c r="N168" s="40">
        <f t="shared" si="121"/>
        <v>-7.0822265211553104E-2</v>
      </c>
      <c r="O168" s="40">
        <f t="shared" si="122"/>
        <v>0.72911056988229972</v>
      </c>
      <c r="P168" s="40">
        <f t="shared" si="122"/>
        <v>-0.18538041465922261</v>
      </c>
      <c r="Q168" s="30">
        <f t="shared" si="122"/>
        <v>0.20904212155738433</v>
      </c>
      <c r="R168" s="30"/>
      <c r="S168" s="30"/>
      <c r="T168" s="30"/>
      <c r="U168" s="30"/>
      <c r="V168" s="30"/>
      <c r="W168" s="30"/>
      <c r="X168" s="30"/>
    </row>
    <row r="169" spans="2:24" ht="12.75" customHeight="1">
      <c r="B169" s="8" t="s">
        <v>287</v>
      </c>
      <c r="C169" s="8"/>
      <c r="D169" s="40">
        <f t="shared" si="118"/>
        <v>0</v>
      </c>
      <c r="E169" s="40">
        <f t="shared" si="118"/>
        <v>2.280286433873453</v>
      </c>
      <c r="F169" s="40">
        <f t="shared" si="118"/>
        <v>1.0656004018908898</v>
      </c>
      <c r="G169" s="40">
        <f t="shared" si="118"/>
        <v>-0.50351110366784435</v>
      </c>
      <c r="H169" s="40">
        <f t="shared" si="118"/>
        <v>-1.0053422790592559</v>
      </c>
      <c r="I169" s="40">
        <f t="shared" si="118"/>
        <v>-335.52560188266148</v>
      </c>
      <c r="J169" s="40">
        <f t="shared" si="118"/>
        <v>-1.1488385263424032</v>
      </c>
      <c r="K169" s="40">
        <f t="shared" si="118"/>
        <v>-9.5844297519856312</v>
      </c>
      <c r="L169" s="40">
        <f t="shared" si="119"/>
        <v>-0.26363299638889992</v>
      </c>
      <c r="M169" s="40">
        <f t="shared" si="120"/>
        <v>0.88103015544905827</v>
      </c>
      <c r="N169" s="40">
        <f t="shared" si="121"/>
        <v>-0.82062039239469864</v>
      </c>
      <c r="O169" s="40">
        <f t="shared" si="122"/>
        <v>7.2479866519977776</v>
      </c>
      <c r="P169" s="40">
        <f t="shared" si="122"/>
        <v>-0.20639957962945032</v>
      </c>
      <c r="Q169" s="30">
        <f t="shared" si="122"/>
        <v>0.36700175191555795</v>
      </c>
      <c r="R169" s="30"/>
      <c r="S169" s="30"/>
      <c r="T169" s="30"/>
      <c r="U169" s="30"/>
      <c r="V169" s="30"/>
      <c r="W169" s="30"/>
      <c r="X169" s="30"/>
    </row>
    <row r="170" spans="2:24" ht="12.75" customHeight="1">
      <c r="B170" s="18" t="s">
        <v>32</v>
      </c>
      <c r="C170" s="8"/>
      <c r="D170" s="40">
        <f t="shared" si="118"/>
        <v>0</v>
      </c>
      <c r="E170" s="40">
        <f t="shared" si="118"/>
        <v>0</v>
      </c>
      <c r="F170" s="40">
        <f t="shared" si="118"/>
        <v>0</v>
      </c>
      <c r="G170" s="40">
        <f t="shared" si="118"/>
        <v>0</v>
      </c>
      <c r="H170" s="40">
        <f t="shared" si="118"/>
        <v>0</v>
      </c>
      <c r="I170" s="40">
        <f t="shared" si="118"/>
        <v>0</v>
      </c>
      <c r="J170" s="40">
        <f t="shared" si="118"/>
        <v>0</v>
      </c>
      <c r="K170" s="40">
        <f t="shared" si="118"/>
        <v>0</v>
      </c>
      <c r="L170" s="40">
        <f t="shared" si="119"/>
        <v>0</v>
      </c>
      <c r="M170" s="40">
        <f t="shared" si="120"/>
        <v>0</v>
      </c>
      <c r="N170" s="40">
        <f t="shared" si="121"/>
        <v>0</v>
      </c>
      <c r="O170" s="40">
        <f t="shared" si="122"/>
        <v>0</v>
      </c>
      <c r="P170" s="40">
        <f t="shared" si="122"/>
        <v>0</v>
      </c>
      <c r="Q170" s="30">
        <f t="shared" si="122"/>
        <v>0</v>
      </c>
      <c r="R170" s="30"/>
      <c r="S170" s="30"/>
      <c r="T170" s="30"/>
      <c r="U170" s="30"/>
      <c r="V170" s="30"/>
      <c r="W170" s="30"/>
      <c r="X170" s="30"/>
    </row>
    <row r="171" spans="2:24" ht="12.75" customHeight="1">
      <c r="B171" s="18" t="s">
        <v>33</v>
      </c>
      <c r="C171" s="8"/>
      <c r="D171" s="40">
        <f t="shared" si="118"/>
        <v>0</v>
      </c>
      <c r="E171" s="40">
        <f t="shared" si="118"/>
        <v>-1.2559188468001121</v>
      </c>
      <c r="F171" s="40">
        <f t="shared" si="118"/>
        <v>-6.9261673132678343</v>
      </c>
      <c r="G171" s="40">
        <f t="shared" si="118"/>
        <v>4.1104277098151556</v>
      </c>
      <c r="H171" s="40">
        <f t="shared" si="118"/>
        <v>-0.83547720529147229</v>
      </c>
      <c r="I171" s="40">
        <f t="shared" si="118"/>
        <v>-0.25124876248762484</v>
      </c>
      <c r="J171" s="40">
        <f t="shared" si="118"/>
        <v>28.447434048443696</v>
      </c>
      <c r="K171" s="40">
        <f t="shared" si="118"/>
        <v>-0.73764599570573652</v>
      </c>
      <c r="L171" s="40">
        <f t="shared" si="119"/>
        <v>-0.88344441676413044</v>
      </c>
      <c r="M171" s="40">
        <f t="shared" si="120"/>
        <v>3.239624160455139</v>
      </c>
      <c r="N171" s="40">
        <f t="shared" si="121"/>
        <v>5.877308352398769E-2</v>
      </c>
      <c r="O171" s="40">
        <f t="shared" si="122"/>
        <v>13.712538398650524</v>
      </c>
      <c r="P171" s="40">
        <f t="shared" si="122"/>
        <v>-0.87880805287920449</v>
      </c>
      <c r="Q171" s="30">
        <f t="shared" si="122"/>
        <v>6.6005520076185027</v>
      </c>
      <c r="R171" s="30"/>
      <c r="S171" s="30"/>
      <c r="T171" s="30"/>
      <c r="U171" s="30"/>
      <c r="V171" s="30"/>
      <c r="W171" s="30"/>
      <c r="X171" s="30"/>
    </row>
    <row r="172" spans="2:24" ht="12.75" customHeight="1">
      <c r="B172" s="5" t="s">
        <v>288</v>
      </c>
      <c r="D172" s="40">
        <f t="shared" si="118"/>
        <v>0</v>
      </c>
      <c r="E172" s="40">
        <f t="shared" si="118"/>
        <v>1.424115850520701</v>
      </c>
      <c r="F172" s="40">
        <f t="shared" si="118"/>
        <v>1.2698751035841118</v>
      </c>
      <c r="G172" s="40">
        <f t="shared" si="118"/>
        <v>-0.19560697613167666</v>
      </c>
      <c r="H172" s="40">
        <f t="shared" si="118"/>
        <v>-0.93332499722110041</v>
      </c>
      <c r="I172" s="40">
        <f t="shared" si="118"/>
        <v>15.223043619750097</v>
      </c>
      <c r="J172" s="40">
        <f t="shared" si="118"/>
        <v>0.28018015083952386</v>
      </c>
      <c r="K172" s="40">
        <f t="shared" si="118"/>
        <v>0.24125140235959774</v>
      </c>
      <c r="L172" s="40">
        <f t="shared" si="119"/>
        <v>-0.40913359307894959</v>
      </c>
      <c r="M172" s="40">
        <f t="shared" si="120"/>
        <v>0.99025015568476382</v>
      </c>
      <c r="N172" s="40">
        <f t="shared" si="121"/>
        <v>-0.73387390181259304</v>
      </c>
      <c r="O172" s="40">
        <f t="shared" si="122"/>
        <v>9.7849986217319778</v>
      </c>
      <c r="P172" s="40">
        <f t="shared" si="122"/>
        <v>-0.56638490137054043</v>
      </c>
      <c r="Q172" s="30">
        <f t="shared" si="122"/>
        <v>1.2997328303569566</v>
      </c>
      <c r="R172" s="30"/>
      <c r="S172" s="30"/>
      <c r="T172" s="30"/>
      <c r="U172" s="30"/>
      <c r="V172" s="30"/>
      <c r="W172" s="30"/>
      <c r="X172" s="30"/>
    </row>
    <row r="173" spans="2:24" ht="12.75" customHeight="1">
      <c r="B173" s="8" t="s">
        <v>31</v>
      </c>
      <c r="C173" s="8"/>
      <c r="D173" s="40">
        <f t="shared" si="118"/>
        <v>0</v>
      </c>
      <c r="E173" s="40">
        <f t="shared" si="118"/>
        <v>-0.52103747524095922</v>
      </c>
      <c r="F173" s="40">
        <f t="shared" si="118"/>
        <v>-0.39591692887929164</v>
      </c>
      <c r="G173" s="40">
        <f t="shared" si="118"/>
        <v>-0.94735182773571547</v>
      </c>
      <c r="H173" s="40">
        <f t="shared" si="118"/>
        <v>-0.19442684683473077</v>
      </c>
      <c r="I173" s="40">
        <f t="shared" si="118"/>
        <v>0.21202642175071551</v>
      </c>
      <c r="J173" s="40">
        <f t="shared" si="118"/>
        <v>-0.41511584914961797</v>
      </c>
      <c r="K173" s="40">
        <f t="shared" si="118"/>
        <v>5.5030228284750144</v>
      </c>
      <c r="L173" s="40">
        <f t="shared" si="119"/>
        <v>-0.83985110052096712</v>
      </c>
      <c r="M173" s="40">
        <f t="shared" si="120"/>
        <v>-0.66986622551236574</v>
      </c>
      <c r="N173" s="40">
        <f t="shared" si="121"/>
        <v>-0.10787353317591064</v>
      </c>
      <c r="O173" s="40">
        <f t="shared" si="122"/>
        <v>1.4941253725311912</v>
      </c>
      <c r="P173" s="40">
        <f t="shared" si="122"/>
        <v>2.8078304932335874E-2</v>
      </c>
      <c r="Q173" s="30">
        <f t="shared" si="122"/>
        <v>2.3883213231788756</v>
      </c>
      <c r="R173" s="30"/>
      <c r="S173" s="30"/>
      <c r="T173" s="30"/>
      <c r="U173" s="30"/>
      <c r="V173" s="30"/>
      <c r="W173" s="30"/>
      <c r="X173" s="30"/>
    </row>
    <row r="174" spans="2:24" ht="12.75" customHeight="1">
      <c r="B174" s="8" t="s">
        <v>34</v>
      </c>
      <c r="C174" s="8"/>
      <c r="D174" s="40">
        <f t="shared" si="118"/>
        <v>0</v>
      </c>
      <c r="E174" s="40">
        <f t="shared" si="118"/>
        <v>4.0861783213821683</v>
      </c>
      <c r="F174" s="40">
        <f t="shared" si="118"/>
        <v>1.484556857778073</v>
      </c>
      <c r="G174" s="40">
        <f t="shared" si="118"/>
        <v>-0.17205146444532282</v>
      </c>
      <c r="H174" s="40">
        <f t="shared" si="118"/>
        <v>-0.93479726435117905</v>
      </c>
      <c r="I174" s="40">
        <f t="shared" si="118"/>
        <v>15.59257500167503</v>
      </c>
      <c r="J174" s="40">
        <f t="shared" si="118"/>
        <v>0.28143043644883625</v>
      </c>
      <c r="K174" s="40">
        <f t="shared" si="118"/>
        <v>0.23693276937238394</v>
      </c>
      <c r="L174" s="40">
        <f t="shared" si="119"/>
        <v>-0.40727503546753163</v>
      </c>
      <c r="M174" s="40">
        <f t="shared" si="120"/>
        <v>0.99218565390878966</v>
      </c>
      <c r="N174" s="40">
        <f t="shared" si="121"/>
        <v>-0.73399484710812968</v>
      </c>
      <c r="O174" s="40">
        <f t="shared" si="122"/>
        <v>9.7903708077358615</v>
      </c>
      <c r="P174" s="40">
        <f t="shared" si="122"/>
        <v>-0.56647393573356974</v>
      </c>
      <c r="Q174" s="30">
        <f t="shared" si="122"/>
        <v>1.2993461898094645</v>
      </c>
      <c r="R174" s="30"/>
      <c r="S174" s="30"/>
      <c r="T174" s="30"/>
      <c r="U174" s="30"/>
      <c r="V174" s="30"/>
      <c r="W174" s="30"/>
      <c r="X174" s="30"/>
    </row>
    <row r="175" spans="2:24" ht="12.75" customHeight="1">
      <c r="B175" s="8" t="s">
        <v>35</v>
      </c>
      <c r="C175" s="8"/>
      <c r="D175" s="40">
        <f t="shared" si="118"/>
        <v>0</v>
      </c>
      <c r="E175" s="40">
        <f t="shared" si="118"/>
        <v>0.10745441996222427</v>
      </c>
      <c r="F175" s="40">
        <f t="shared" si="118"/>
        <v>0.57635159146288117</v>
      </c>
      <c r="G175" s="40">
        <f t="shared" si="118"/>
        <v>-0.3633060041923637</v>
      </c>
      <c r="H175" s="40">
        <f t="shared" si="118"/>
        <v>-0.56718588515849655</v>
      </c>
      <c r="I175" s="40">
        <f t="shared" si="118"/>
        <v>4.1718034821895289</v>
      </c>
      <c r="J175" s="40">
        <f t="shared" si="118"/>
        <v>-5.3979896288968376E-2</v>
      </c>
      <c r="K175" s="40">
        <f t="shared" si="118"/>
        <v>-2.0819294507161357E-2</v>
      </c>
      <c r="L175" s="40">
        <f t="shared" si="119"/>
        <v>-0.28439052220189331</v>
      </c>
      <c r="M175" s="40">
        <f t="shared" si="120"/>
        <v>0.90405063529065033</v>
      </c>
      <c r="N175" s="40">
        <f t="shared" si="121"/>
        <v>-0.64580171358880456</v>
      </c>
      <c r="O175" s="40">
        <f t="shared" si="122"/>
        <v>5.5825829034356733</v>
      </c>
      <c r="P175" s="40">
        <f t="shared" si="122"/>
        <v>-0.58672126228700205</v>
      </c>
      <c r="Q175" s="30">
        <f t="shared" si="122"/>
        <v>0.72932534182860964</v>
      </c>
      <c r="R175" s="30"/>
      <c r="S175" s="30"/>
      <c r="T175" s="30"/>
      <c r="U175" s="30"/>
      <c r="V175" s="30"/>
      <c r="W175" s="30"/>
      <c r="X175" s="30"/>
    </row>
    <row r="176" spans="2:24" ht="12.75" customHeight="1">
      <c r="B176" s="8" t="s">
        <v>36</v>
      </c>
      <c r="C176" s="8"/>
      <c r="D176" s="40">
        <f t="shared" si="118"/>
        <v>0</v>
      </c>
      <c r="E176" s="40">
        <f t="shared" si="118"/>
        <v>-8.0533968266315394</v>
      </c>
      <c r="F176" s="40">
        <f t="shared" si="118"/>
        <v>1.9196389853494749</v>
      </c>
      <c r="G176" s="40">
        <f t="shared" ref="G176:K179" si="123">IFERROR(IF(G22="",0,G22/F22-1),0)</f>
        <v>-0.12258362804101486</v>
      </c>
      <c r="H176" s="40">
        <f t="shared" si="123"/>
        <v>-1.0037934576224259</v>
      </c>
      <c r="I176" s="40">
        <f t="shared" si="123"/>
        <v>-228.97439650804083</v>
      </c>
      <c r="J176" s="40">
        <f t="shared" si="123"/>
        <v>0.44437307304422347</v>
      </c>
      <c r="K176" s="40">
        <f t="shared" si="123"/>
        <v>0.31894553088536348</v>
      </c>
      <c r="L176" s="40">
        <f t="shared" si="119"/>
        <v>-0.43630272198630493</v>
      </c>
      <c r="M176" s="40">
        <f t="shared" si="120"/>
        <v>1.0186154563880265</v>
      </c>
      <c r="N176" s="40">
        <f t="shared" si="121"/>
        <v>-0.7589410867291646</v>
      </c>
      <c r="O176" s="40">
        <f t="shared" si="122"/>
        <v>11.539200098064399</v>
      </c>
      <c r="P176" s="40">
        <f t="shared" si="122"/>
        <v>-0.5620563216935125</v>
      </c>
      <c r="Q176" s="30">
        <f t="shared" si="122"/>
        <v>1.4167103844018887</v>
      </c>
      <c r="R176" s="30"/>
      <c r="S176" s="30"/>
      <c r="T176" s="30"/>
      <c r="U176" s="30"/>
      <c r="V176" s="30"/>
      <c r="W176" s="30"/>
      <c r="X176" s="30"/>
    </row>
    <row r="177" spans="2:24" ht="12.75" customHeight="1">
      <c r="B177" s="8" t="s">
        <v>37</v>
      </c>
      <c r="C177" s="8"/>
      <c r="D177" s="40">
        <f t="shared" ref="D177:K182" si="124">IFERROR(IF(D23="",0,D23/C23-1),0)</f>
        <v>0</v>
      </c>
      <c r="E177" s="40">
        <f t="shared" si="124"/>
        <v>-1.9375000774016176</v>
      </c>
      <c r="F177" s="40">
        <f t="shared" si="124"/>
        <v>-0.52604358493659242</v>
      </c>
      <c r="G177" s="40">
        <f t="shared" si="123"/>
        <v>-1.1422896841491601</v>
      </c>
      <c r="H177" s="40">
        <f t="shared" si="123"/>
        <v>5.1022139173343541</v>
      </c>
      <c r="I177" s="40">
        <f t="shared" si="123"/>
        <v>-1.3853259943867182</v>
      </c>
      <c r="J177" s="40">
        <f t="shared" si="123"/>
        <v>-1.436225151241991</v>
      </c>
      <c r="K177" s="40">
        <f t="shared" si="123"/>
        <v>-33.370687854558831</v>
      </c>
      <c r="L177" s="40">
        <f t="shared" si="119"/>
        <v>-0.89433742752330025</v>
      </c>
      <c r="M177" s="40">
        <f t="shared" si="120"/>
        <v>14.628456819001858</v>
      </c>
      <c r="N177" s="40">
        <f t="shared" si="121"/>
        <v>-0.2688815346829414</v>
      </c>
      <c r="O177" s="40">
        <f t="shared" si="122"/>
        <v>1.1473937337827667</v>
      </c>
      <c r="P177" s="40">
        <f t="shared" si="122"/>
        <v>7.4426879062662543E-2</v>
      </c>
      <c r="Q177" s="30">
        <f t="shared" si="122"/>
        <v>0.17364118900635828</v>
      </c>
      <c r="R177" s="30"/>
      <c r="S177" s="30"/>
      <c r="T177" s="30"/>
      <c r="U177" s="30"/>
      <c r="V177" s="30"/>
      <c r="W177" s="30"/>
      <c r="X177" s="30"/>
    </row>
    <row r="178" spans="2:24" ht="12.75" customHeight="1">
      <c r="B178" s="8" t="s">
        <v>38</v>
      </c>
      <c r="C178" s="8"/>
      <c r="D178" s="40">
        <f t="shared" si="124"/>
        <v>0</v>
      </c>
      <c r="E178" s="40">
        <f t="shared" si="124"/>
        <v>1.2267733648323862</v>
      </c>
      <c r="F178" s="40">
        <f t="shared" si="124"/>
        <v>3.4820352027348935</v>
      </c>
      <c r="G178" s="40">
        <f t="shared" si="123"/>
        <v>-5.3697903350279685E-2</v>
      </c>
      <c r="H178" s="40">
        <f t="shared" si="123"/>
        <v>-0.94177011463149729</v>
      </c>
      <c r="I178" s="40">
        <f t="shared" si="123"/>
        <v>13.290639688886587</v>
      </c>
      <c r="J178" s="40">
        <f t="shared" si="123"/>
        <v>0.49835047770743968</v>
      </c>
      <c r="K178" s="40">
        <f t="shared" si="123"/>
        <v>3.7425336616784488E-2</v>
      </c>
      <c r="L178" s="40">
        <f t="shared" si="119"/>
        <v>-0.31687456451108109</v>
      </c>
      <c r="M178" s="40">
        <f t="shared" si="120"/>
        <v>0.46972948268091552</v>
      </c>
      <c r="N178" s="40">
        <f t="shared" si="121"/>
        <v>-0.96910426108728209</v>
      </c>
      <c r="O178" s="40">
        <f t="shared" si="122"/>
        <v>116.99925007820427</v>
      </c>
      <c r="P178" s="40">
        <f t="shared" si="122"/>
        <v>-0.67960460927062627</v>
      </c>
      <c r="Q178" s="30">
        <f t="shared" si="122"/>
        <v>2.1865766158233892</v>
      </c>
      <c r="R178" s="30"/>
      <c r="S178" s="30"/>
      <c r="T178" s="30"/>
      <c r="U178" s="30"/>
      <c r="V178" s="30"/>
      <c r="W178" s="30"/>
      <c r="X178" s="30"/>
    </row>
    <row r="179" spans="2:24" ht="12.75" customHeight="1">
      <c r="B179" s="8" t="s">
        <v>123</v>
      </c>
      <c r="C179" s="8"/>
      <c r="D179" s="40">
        <f t="shared" si="124"/>
        <v>0</v>
      </c>
      <c r="E179" s="40">
        <f t="shared" si="124"/>
        <v>1.2267733648323866</v>
      </c>
      <c r="F179" s="40">
        <f t="shared" si="124"/>
        <v>3.4820352027348926</v>
      </c>
      <c r="G179" s="40">
        <f t="shared" si="123"/>
        <v>-0.18157656505970132</v>
      </c>
      <c r="H179" s="40">
        <f t="shared" si="123"/>
        <v>-0.94870224384203328</v>
      </c>
      <c r="I179" s="40">
        <f t="shared" si="123"/>
        <v>11.702833715030989</v>
      </c>
      <c r="J179" s="40">
        <f t="shared" si="123"/>
        <v>0.34467711370891929</v>
      </c>
      <c r="K179" s="40">
        <f t="shared" si="123"/>
        <v>3.4478087740555052E-2</v>
      </c>
      <c r="L179" s="40">
        <f t="shared" si="119"/>
        <v>-0.43554154760682073</v>
      </c>
      <c r="M179" s="40">
        <f t="shared" si="120"/>
        <v>0.25220639361944031</v>
      </c>
      <c r="N179" s="40">
        <f t="shared" si="121"/>
        <v>-0.96910426108728209</v>
      </c>
      <c r="O179" s="40">
        <f t="shared" si="122"/>
        <v>116.99925007820427</v>
      </c>
      <c r="P179" s="40">
        <f t="shared" si="122"/>
        <v>-0.72646950136934518</v>
      </c>
      <c r="Q179" s="30">
        <f t="shared" si="122"/>
        <v>1.7055258113471026</v>
      </c>
      <c r="R179" s="30"/>
      <c r="S179" s="30"/>
      <c r="T179" s="30"/>
      <c r="U179" s="30"/>
      <c r="V179" s="30"/>
      <c r="W179" s="30"/>
      <c r="X179" s="30"/>
    </row>
    <row r="180" spans="2:24" ht="12.75" customHeight="1">
      <c r="B180" s="8" t="s">
        <v>4</v>
      </c>
      <c r="C180" s="8"/>
      <c r="D180" s="40">
        <f t="shared" si="124"/>
        <v>0</v>
      </c>
      <c r="E180" s="40">
        <f t="shared" si="124"/>
        <v>1.424115850520701</v>
      </c>
      <c r="F180" s="40">
        <f t="shared" si="124"/>
        <v>1.2698751035841118</v>
      </c>
      <c r="G180" s="40">
        <f t="shared" si="124"/>
        <v>-0.19560697613167666</v>
      </c>
      <c r="H180" s="40">
        <f t="shared" si="124"/>
        <v>-0.92782341299146143</v>
      </c>
      <c r="I180" s="40">
        <f t="shared" si="124"/>
        <v>14.199843371413987</v>
      </c>
      <c r="J180" s="40">
        <f t="shared" si="124"/>
        <v>0.29159196478534044</v>
      </c>
      <c r="K180" s="40">
        <f t="shared" si="124"/>
        <v>0.26256038488140288</v>
      </c>
      <c r="L180" s="40">
        <f t="shared" si="119"/>
        <v>-0.37494411124811733</v>
      </c>
      <c r="M180" s="40">
        <f t="shared" si="120"/>
        <v>0.90067601802757946</v>
      </c>
      <c r="N180" s="40">
        <f t="shared" si="121"/>
        <v>-0.71061456331416006</v>
      </c>
      <c r="O180" s="40">
        <f t="shared" si="122"/>
        <v>8.563678245473664</v>
      </c>
      <c r="P180" s="40">
        <f t="shared" si="122"/>
        <v>-0.57234493448458523</v>
      </c>
      <c r="Q180" s="30">
        <f t="shared" si="122"/>
        <v>1.3093010618409235</v>
      </c>
      <c r="R180" s="30"/>
      <c r="S180" s="30"/>
      <c r="T180" s="30"/>
      <c r="U180" s="30"/>
      <c r="V180" s="30"/>
      <c r="W180" s="30"/>
      <c r="X180" s="30"/>
    </row>
    <row r="181" spans="2:24" ht="12.75" customHeight="1">
      <c r="B181" s="8" t="s">
        <v>41</v>
      </c>
      <c r="C181" s="8"/>
      <c r="D181" s="40">
        <f t="shared" si="124"/>
        <v>0</v>
      </c>
      <c r="E181" s="40">
        <f t="shared" si="124"/>
        <v>0</v>
      </c>
      <c r="F181" s="40">
        <f t="shared" si="124"/>
        <v>0</v>
      </c>
      <c r="G181" s="40">
        <f t="shared" si="124"/>
        <v>0</v>
      </c>
      <c r="H181" s="40">
        <f t="shared" si="124"/>
        <v>0</v>
      </c>
      <c r="I181" s="40">
        <f t="shared" si="124"/>
        <v>1.7994371332171353</v>
      </c>
      <c r="J181" s="40">
        <f t="shared" si="124"/>
        <v>1.093069908675695</v>
      </c>
      <c r="K181" s="40">
        <f t="shared" si="124"/>
        <v>1.1779099114047304</v>
      </c>
      <c r="L181" s="40">
        <f t="shared" si="119"/>
        <v>0.46207737737521981</v>
      </c>
      <c r="M181" s="40">
        <f t="shared" si="120"/>
        <v>1.4447611015003359E-2</v>
      </c>
      <c r="N181" s="40">
        <f t="shared" si="121"/>
        <v>-0.25913465016880866</v>
      </c>
      <c r="O181" s="40">
        <f t="shared" si="122"/>
        <v>4.8007529805861759E-2</v>
      </c>
      <c r="P181" s="40">
        <f t="shared" si="122"/>
        <v>-1</v>
      </c>
      <c r="Q181" s="30">
        <f t="shared" si="122"/>
        <v>0</v>
      </c>
      <c r="R181" s="30"/>
      <c r="S181" s="30"/>
      <c r="T181" s="30"/>
      <c r="U181" s="30"/>
      <c r="V181" s="30"/>
      <c r="W181" s="30"/>
      <c r="X181" s="30"/>
    </row>
    <row r="182" spans="2:24" ht="12.75" customHeight="1">
      <c r="B182" s="8" t="s">
        <v>124</v>
      </c>
      <c r="C182" s="8"/>
      <c r="D182" s="40">
        <f t="shared" si="124"/>
        <v>0</v>
      </c>
      <c r="E182" s="40">
        <f t="shared" si="124"/>
        <v>0</v>
      </c>
      <c r="F182" s="40">
        <f t="shared" si="124"/>
        <v>0</v>
      </c>
      <c r="G182" s="40">
        <f t="shared" si="124"/>
        <v>0.15625</v>
      </c>
      <c r="H182" s="40">
        <f t="shared" si="124"/>
        <v>0.13513513513513509</v>
      </c>
      <c r="I182" s="40">
        <f t="shared" si="124"/>
        <v>0.12499620238095255</v>
      </c>
      <c r="J182" s="40">
        <f t="shared" si="124"/>
        <v>0.11428272440411735</v>
      </c>
      <c r="K182" s="40">
        <f t="shared" si="124"/>
        <v>2.8490201108719582E-3</v>
      </c>
      <c r="L182" s="40">
        <f t="shared" si="119"/>
        <v>0.2102315637096368</v>
      </c>
      <c r="M182" s="40">
        <f t="shared" si="120"/>
        <v>0.17371184987543109</v>
      </c>
      <c r="N182" s="40">
        <f t="shared" si="121"/>
        <v>0</v>
      </c>
      <c r="O182" s="40">
        <f t="shared" si="122"/>
        <v>0</v>
      </c>
      <c r="P182" s="40">
        <f t="shared" si="122"/>
        <v>0.17133333333333334</v>
      </c>
      <c r="Q182" s="30">
        <f t="shared" si="122"/>
        <v>0.17780307342060331</v>
      </c>
      <c r="R182" s="30"/>
      <c r="S182" s="30"/>
      <c r="T182" s="30"/>
      <c r="U182" s="30"/>
      <c r="V182" s="30"/>
      <c r="W182" s="30"/>
      <c r="X182" s="30"/>
    </row>
    <row r="183" spans="2:24" ht="12.75" customHeight="1">
      <c r="B183" s="8"/>
      <c r="C183" s="8"/>
      <c r="D183" s="307"/>
      <c r="E183" s="307"/>
      <c r="F183" s="307"/>
      <c r="G183" s="307"/>
      <c r="H183" s="307"/>
      <c r="I183" s="307"/>
      <c r="J183" s="307"/>
      <c r="K183" s="307"/>
      <c r="L183" s="307"/>
      <c r="M183" s="307"/>
      <c r="N183" s="307"/>
      <c r="O183" s="307"/>
      <c r="P183" s="307"/>
      <c r="Q183" s="296"/>
      <c r="R183" s="296"/>
      <c r="S183" s="296"/>
      <c r="T183" s="296"/>
      <c r="U183" s="296"/>
      <c r="V183" s="296"/>
      <c r="W183" s="296"/>
      <c r="X183" s="296"/>
    </row>
    <row r="184" spans="2:24" ht="12.75" customHeight="1">
      <c r="B184" s="19" t="s">
        <v>217</v>
      </c>
      <c r="C184" s="32"/>
      <c r="D184" s="310"/>
      <c r="E184" s="310"/>
      <c r="F184" s="310"/>
      <c r="G184" s="310"/>
      <c r="H184" s="310"/>
      <c r="I184" s="310"/>
      <c r="J184" s="310"/>
      <c r="K184" s="310"/>
      <c r="L184" s="310"/>
      <c r="M184" s="310"/>
      <c r="N184" s="310"/>
      <c r="O184" s="310"/>
      <c r="P184" s="310"/>
      <c r="Q184" s="298"/>
      <c r="R184" s="298"/>
      <c r="S184" s="298"/>
      <c r="T184" s="298"/>
      <c r="U184" s="298"/>
      <c r="V184" s="298"/>
      <c r="W184" s="298"/>
      <c r="X184" s="298"/>
    </row>
    <row r="185" spans="2:24" ht="12.75" customHeight="1">
      <c r="B185" s="4" t="s">
        <v>44</v>
      </c>
      <c r="C185" s="8"/>
      <c r="D185" s="309"/>
      <c r="E185" s="309"/>
      <c r="F185" s="309"/>
      <c r="G185" s="309"/>
      <c r="H185" s="309"/>
      <c r="I185" s="309"/>
      <c r="J185" s="309"/>
      <c r="K185" s="309"/>
      <c r="L185" s="309"/>
      <c r="M185" s="309"/>
      <c r="N185" s="309"/>
      <c r="O185" s="309"/>
      <c r="P185" s="309"/>
      <c r="Q185" s="2"/>
      <c r="R185" s="2"/>
      <c r="S185" s="2"/>
      <c r="T185" s="2"/>
      <c r="U185" s="2"/>
      <c r="V185" s="2"/>
      <c r="W185" s="2"/>
      <c r="X185" s="2"/>
    </row>
    <row r="186" spans="2:24" ht="12.75" customHeight="1">
      <c r="B186" s="8" t="s">
        <v>125</v>
      </c>
      <c r="C186" s="8"/>
      <c r="D186" s="339">
        <f t="shared" ref="D186:K198" si="125">IFERROR(D31/D$43,0)</f>
        <v>6.7650962277974916E-2</v>
      </c>
      <c r="E186" s="339">
        <f t="shared" si="125"/>
        <v>6.3720647092649421E-2</v>
      </c>
      <c r="F186" s="339">
        <f t="shared" si="125"/>
        <v>8.1153579559562206E-2</v>
      </c>
      <c r="G186" s="339">
        <f t="shared" si="125"/>
        <v>0.1666388528514138</v>
      </c>
      <c r="H186" s="339">
        <f t="shared" si="125"/>
        <v>0.11029093007921201</v>
      </c>
      <c r="I186" s="339">
        <f t="shared" si="125"/>
        <v>0.11567831430638789</v>
      </c>
      <c r="J186" s="339">
        <f t="shared" si="125"/>
        <v>5.3345036557724344E-2</v>
      </c>
      <c r="K186" s="339">
        <f t="shared" si="125"/>
        <v>5.7471553498949425E-2</v>
      </c>
      <c r="L186" s="339">
        <f t="shared" ref="L186:O198" si="126">IFERROR(L31/L$43,0)</f>
        <v>0.20476501566526381</v>
      </c>
      <c r="M186" s="339">
        <f t="shared" si="126"/>
        <v>0.19356005555259209</v>
      </c>
      <c r="N186" s="339">
        <f t="shared" si="126"/>
        <v>0.22192402894850508</v>
      </c>
      <c r="O186" s="339">
        <f t="shared" si="126"/>
        <v>0.35934086368065532</v>
      </c>
      <c r="P186" s="339">
        <f t="shared" ref="P186:Q198" si="127">IFERROR(P31/P$43,0)</f>
        <v>0.33492600765794994</v>
      </c>
      <c r="Q186" s="340">
        <f t="shared" si="127"/>
        <v>0.22305133143865413</v>
      </c>
      <c r="R186" s="340"/>
      <c r="S186" s="340"/>
      <c r="T186" s="340"/>
      <c r="U186" s="340"/>
      <c r="V186" s="340"/>
      <c r="W186" s="340"/>
      <c r="X186" s="340"/>
    </row>
    <row r="187" spans="2:24" ht="12.75" customHeight="1">
      <c r="B187" s="8" t="s">
        <v>46</v>
      </c>
      <c r="C187" s="8"/>
      <c r="D187" s="339">
        <f t="shared" si="125"/>
        <v>0</v>
      </c>
      <c r="E187" s="339">
        <f t="shared" si="125"/>
        <v>0</v>
      </c>
      <c r="F187" s="339">
        <f t="shared" si="125"/>
        <v>0</v>
      </c>
      <c r="G187" s="339">
        <f t="shared" si="125"/>
        <v>0</v>
      </c>
      <c r="H187" s="339">
        <f t="shared" si="125"/>
        <v>0</v>
      </c>
      <c r="I187" s="339">
        <f t="shared" si="125"/>
        <v>0</v>
      </c>
      <c r="J187" s="339">
        <f t="shared" si="125"/>
        <v>2.2425824297580381E-3</v>
      </c>
      <c r="K187" s="339">
        <f t="shared" si="125"/>
        <v>0</v>
      </c>
      <c r="L187" s="339">
        <f t="shared" si="126"/>
        <v>0</v>
      </c>
      <c r="M187" s="339">
        <f t="shared" si="126"/>
        <v>0</v>
      </c>
      <c r="N187" s="339">
        <f t="shared" si="126"/>
        <v>3.5773149451429421E-3</v>
      </c>
      <c r="O187" s="339">
        <f t="shared" si="126"/>
        <v>0</v>
      </c>
      <c r="P187" s="339">
        <f t="shared" si="127"/>
        <v>0</v>
      </c>
      <c r="Q187" s="340">
        <f t="shared" si="127"/>
        <v>0</v>
      </c>
      <c r="R187" s="340"/>
      <c r="S187" s="340"/>
      <c r="T187" s="340"/>
      <c r="U187" s="340"/>
      <c r="V187" s="340"/>
      <c r="W187" s="340"/>
      <c r="X187" s="340"/>
    </row>
    <row r="188" spans="2:24" ht="12.75" customHeight="1">
      <c r="B188" s="8" t="s">
        <v>48</v>
      </c>
      <c r="C188" s="8"/>
      <c r="D188" s="339">
        <f t="shared" si="125"/>
        <v>8.1903594846357244E-2</v>
      </c>
      <c r="E188" s="339">
        <f t="shared" si="125"/>
        <v>0.10374026646622121</v>
      </c>
      <c r="F188" s="339">
        <f t="shared" si="125"/>
        <v>0.13119094190609987</v>
      </c>
      <c r="G188" s="339">
        <f t="shared" si="125"/>
        <v>0.15409192126760166</v>
      </c>
      <c r="H188" s="339">
        <f t="shared" si="125"/>
        <v>9.4931712352907663E-2</v>
      </c>
      <c r="I188" s="339">
        <f t="shared" si="125"/>
        <v>0.12541215112219631</v>
      </c>
      <c r="J188" s="339">
        <f t="shared" si="125"/>
        <v>9.993347329885309E-2</v>
      </c>
      <c r="K188" s="339">
        <f t="shared" si="125"/>
        <v>0.10348820674297818</v>
      </c>
      <c r="L188" s="339">
        <f t="shared" si="126"/>
        <v>7.9389457679550676E-2</v>
      </c>
      <c r="M188" s="339">
        <f t="shared" si="126"/>
        <v>9.568399772689852E-2</v>
      </c>
      <c r="N188" s="339">
        <f t="shared" si="126"/>
        <v>7.061702028419059E-2</v>
      </c>
      <c r="O188" s="339">
        <f t="shared" si="126"/>
        <v>5.5174139383130844E-2</v>
      </c>
      <c r="P188" s="339">
        <f t="shared" si="127"/>
        <v>6.4227499336675833E-2</v>
      </c>
      <c r="Q188" s="340">
        <f t="shared" si="127"/>
        <v>4.882615196045418E-2</v>
      </c>
      <c r="R188" s="340"/>
      <c r="S188" s="340"/>
      <c r="T188" s="340"/>
      <c r="U188" s="340"/>
      <c r="V188" s="340"/>
      <c r="W188" s="340"/>
      <c r="X188" s="340"/>
    </row>
    <row r="189" spans="2:24" ht="12.75" customHeight="1">
      <c r="B189" s="8" t="s">
        <v>49</v>
      </c>
      <c r="C189" s="8"/>
      <c r="D189" s="339">
        <f t="shared" si="125"/>
        <v>0.12193078633813011</v>
      </c>
      <c r="E189" s="339">
        <f t="shared" si="125"/>
        <v>0.27845918760956062</v>
      </c>
      <c r="F189" s="339">
        <f t="shared" si="125"/>
        <v>0.19933646475329689</v>
      </c>
      <c r="G189" s="339">
        <f t="shared" si="125"/>
        <v>0.15825473777765109</v>
      </c>
      <c r="H189" s="339">
        <f t="shared" si="125"/>
        <v>0.32655451074658276</v>
      </c>
      <c r="I189" s="339">
        <f t="shared" si="125"/>
        <v>0.27735786985943417</v>
      </c>
      <c r="J189" s="339">
        <f t="shared" si="125"/>
        <v>0.26566104934856949</v>
      </c>
      <c r="K189" s="339">
        <f t="shared" si="125"/>
        <v>0.34125699527694664</v>
      </c>
      <c r="L189" s="339">
        <f t="shared" si="126"/>
        <v>0.29995608440531063</v>
      </c>
      <c r="M189" s="339">
        <f t="shared" si="126"/>
        <v>0.28681270429371891</v>
      </c>
      <c r="N189" s="339">
        <f t="shared" si="126"/>
        <v>0.28744038120839971</v>
      </c>
      <c r="O189" s="339">
        <f t="shared" si="126"/>
        <v>0.23106929544420585</v>
      </c>
      <c r="P189" s="339">
        <f t="shared" si="127"/>
        <v>0.21327873159916602</v>
      </c>
      <c r="Q189" s="340">
        <f t="shared" si="127"/>
        <v>0.27224788868984279</v>
      </c>
      <c r="R189" s="340"/>
      <c r="S189" s="340"/>
      <c r="T189" s="340"/>
      <c r="U189" s="340"/>
      <c r="V189" s="340"/>
      <c r="W189" s="340"/>
      <c r="X189" s="340"/>
    </row>
    <row r="190" spans="2:24" ht="12.75" customHeight="1">
      <c r="B190" s="8" t="s">
        <v>50</v>
      </c>
      <c r="C190" s="8"/>
      <c r="D190" s="339">
        <f t="shared" si="125"/>
        <v>0.34837148099575449</v>
      </c>
      <c r="E190" s="339">
        <f t="shared" si="125"/>
        <v>0.21074934257827774</v>
      </c>
      <c r="F190" s="339">
        <f t="shared" si="125"/>
        <v>0.22613902684496803</v>
      </c>
      <c r="G190" s="339">
        <f t="shared" si="125"/>
        <v>0.23217060013557328</v>
      </c>
      <c r="H190" s="339">
        <f t="shared" si="125"/>
        <v>0.2352695581026652</v>
      </c>
      <c r="I190" s="339">
        <f t="shared" si="125"/>
        <v>0.13598587169915755</v>
      </c>
      <c r="J190" s="339">
        <f t="shared" si="125"/>
        <v>0.28943326604588837</v>
      </c>
      <c r="K190" s="339">
        <f t="shared" si="125"/>
        <v>0.23427700380952937</v>
      </c>
      <c r="L190" s="339">
        <f t="shared" si="126"/>
        <v>9.853225849636231E-2</v>
      </c>
      <c r="M190" s="339">
        <f t="shared" si="126"/>
        <v>0.10854767824796269</v>
      </c>
      <c r="N190" s="339">
        <f t="shared" si="126"/>
        <v>0.13523980252409734</v>
      </c>
      <c r="O190" s="339">
        <f t="shared" si="126"/>
        <v>0.13150779547338326</v>
      </c>
      <c r="P190" s="339">
        <f t="shared" si="127"/>
        <v>0.20366720364561774</v>
      </c>
      <c r="Q190" s="340">
        <f t="shared" si="127"/>
        <v>0.24275015826407878</v>
      </c>
      <c r="R190" s="340"/>
      <c r="S190" s="340"/>
      <c r="T190" s="340"/>
      <c r="U190" s="340"/>
      <c r="V190" s="340"/>
      <c r="W190" s="340"/>
      <c r="X190" s="340"/>
    </row>
    <row r="191" spans="2:24" ht="12.75" customHeight="1">
      <c r="B191" s="4" t="s">
        <v>51</v>
      </c>
      <c r="C191" s="4"/>
      <c r="D191" s="341">
        <f t="shared" si="125"/>
        <v>0.61985682445821666</v>
      </c>
      <c r="E191" s="341">
        <f t="shared" si="125"/>
        <v>0.65666944374670888</v>
      </c>
      <c r="F191" s="341">
        <f t="shared" si="125"/>
        <v>0.63782001294549773</v>
      </c>
      <c r="G191" s="341">
        <f t="shared" si="125"/>
        <v>0.71115611203223983</v>
      </c>
      <c r="H191" s="341">
        <f t="shared" si="125"/>
        <v>0.76704671118174528</v>
      </c>
      <c r="I191" s="341">
        <f t="shared" si="125"/>
        <v>0.65443420698717591</v>
      </c>
      <c r="J191" s="341">
        <f t="shared" si="125"/>
        <v>0.71061540777049659</v>
      </c>
      <c r="K191" s="341">
        <f t="shared" si="125"/>
        <v>0.73649375932840366</v>
      </c>
      <c r="L191" s="341">
        <f t="shared" si="126"/>
        <v>0.68264281624648737</v>
      </c>
      <c r="M191" s="341">
        <f t="shared" si="126"/>
        <v>0.68460443582117214</v>
      </c>
      <c r="N191" s="341">
        <f t="shared" si="126"/>
        <v>0.71879854791033571</v>
      </c>
      <c r="O191" s="341">
        <f t="shared" si="126"/>
        <v>0.77709209402766188</v>
      </c>
      <c r="P191" s="341">
        <f t="shared" si="127"/>
        <v>0.81609944227926157</v>
      </c>
      <c r="Q191" s="342">
        <f t="shared" si="127"/>
        <v>0.78687553035302993</v>
      </c>
      <c r="R191" s="342"/>
      <c r="S191" s="342"/>
      <c r="T191" s="342"/>
      <c r="U191" s="342"/>
      <c r="V191" s="342"/>
      <c r="W191" s="342"/>
      <c r="X191" s="342"/>
    </row>
    <row r="192" spans="2:24" ht="12.75" customHeight="1">
      <c r="B192" s="8" t="s">
        <v>126</v>
      </c>
      <c r="C192" s="8"/>
      <c r="D192" s="339">
        <f t="shared" si="125"/>
        <v>5.7096775586704916E-2</v>
      </c>
      <c r="E192" s="339">
        <f t="shared" si="125"/>
        <v>5.3321441472706968E-2</v>
      </c>
      <c r="F192" s="339">
        <f t="shared" si="125"/>
        <v>5.5190426032597308E-2</v>
      </c>
      <c r="G192" s="339">
        <f t="shared" si="125"/>
        <v>5.6847521062368067E-2</v>
      </c>
      <c r="H192" s="339">
        <f t="shared" si="125"/>
        <v>4.6193902700503393E-2</v>
      </c>
      <c r="I192" s="339">
        <f t="shared" si="125"/>
        <v>4.3383721547704014E-2</v>
      </c>
      <c r="J192" s="339">
        <f t="shared" si="125"/>
        <v>4.1748083244277652E-2</v>
      </c>
      <c r="K192" s="339">
        <f t="shared" si="125"/>
        <v>3.5366875894651845E-2</v>
      </c>
      <c r="L192" s="339">
        <f t="shared" si="126"/>
        <v>2.9975579116523165E-2</v>
      </c>
      <c r="M192" s="339">
        <f t="shared" si="126"/>
        <v>2.7076452140085628E-2</v>
      </c>
      <c r="N192" s="339">
        <f t="shared" si="126"/>
        <v>2.4387075373274177E-2</v>
      </c>
      <c r="O192" s="339">
        <f t="shared" si="126"/>
        <v>1.9497866451985861E-2</v>
      </c>
      <c r="P192" s="339">
        <f t="shared" si="127"/>
        <v>1.8189459489838234E-2</v>
      </c>
      <c r="Q192" s="340">
        <f t="shared" si="127"/>
        <v>8.3172824374015044E-3</v>
      </c>
      <c r="R192" s="340"/>
      <c r="S192" s="340"/>
      <c r="T192" s="340"/>
      <c r="U192" s="340"/>
      <c r="V192" s="340"/>
      <c r="W192" s="340"/>
      <c r="X192" s="340"/>
    </row>
    <row r="193" spans="2:24" ht="12.75" customHeight="1">
      <c r="B193" s="8" t="s">
        <v>53</v>
      </c>
      <c r="C193" s="8"/>
      <c r="D193" s="339">
        <f t="shared" si="125"/>
        <v>8.1118967699800627E-3</v>
      </c>
      <c r="E193" s="339">
        <f t="shared" si="125"/>
        <v>8.4738729447402534E-3</v>
      </c>
      <c r="F193" s="339">
        <f t="shared" si="125"/>
        <v>9.6828619985984028E-3</v>
      </c>
      <c r="G193" s="339">
        <f t="shared" si="125"/>
        <v>1.0931277001746105E-2</v>
      </c>
      <c r="H193" s="339">
        <f t="shared" si="125"/>
        <v>9.6687692697326692E-3</v>
      </c>
      <c r="I193" s="339">
        <f t="shared" si="125"/>
        <v>9.297890524492319E-3</v>
      </c>
      <c r="J193" s="339">
        <f t="shared" si="125"/>
        <v>9.5433817409895684E-3</v>
      </c>
      <c r="K193" s="339">
        <f t="shared" si="125"/>
        <v>7.3208203702405565E-3</v>
      </c>
      <c r="L193" s="339">
        <f t="shared" si="126"/>
        <v>6.5523409601001273E-3</v>
      </c>
      <c r="M193" s="339">
        <f t="shared" si="126"/>
        <v>6.5878872660002476E-3</v>
      </c>
      <c r="N193" s="339">
        <f t="shared" si="126"/>
        <v>5.5005819365432423E-3</v>
      </c>
      <c r="O193" s="339">
        <f t="shared" si="126"/>
        <v>4.5551999344151566E-3</v>
      </c>
      <c r="P193" s="339">
        <f t="shared" si="127"/>
        <v>4.1641127138655979E-3</v>
      </c>
      <c r="Q193" s="340">
        <f t="shared" si="127"/>
        <v>3.9330307234352055E-3</v>
      </c>
      <c r="R193" s="340"/>
      <c r="S193" s="340"/>
      <c r="T193" s="340"/>
      <c r="U193" s="340"/>
      <c r="V193" s="340"/>
      <c r="W193" s="340"/>
      <c r="X193" s="340"/>
    </row>
    <row r="194" spans="2:24" ht="12.75" customHeight="1">
      <c r="B194" s="8" t="s">
        <v>54</v>
      </c>
      <c r="C194" s="8"/>
      <c r="D194" s="339">
        <f t="shared" si="125"/>
        <v>4.8984878816724857E-2</v>
      </c>
      <c r="E194" s="339">
        <f t="shared" si="125"/>
        <v>4.4847568527966716E-2</v>
      </c>
      <c r="F194" s="339">
        <f t="shared" si="125"/>
        <v>4.5507564033998908E-2</v>
      </c>
      <c r="G194" s="339">
        <f t="shared" si="125"/>
        <v>4.5916244060621961E-2</v>
      </c>
      <c r="H194" s="339">
        <f t="shared" si="125"/>
        <v>3.6525133430770726E-2</v>
      </c>
      <c r="I194" s="339">
        <f t="shared" si="125"/>
        <v>3.4085831023211693E-2</v>
      </c>
      <c r="J194" s="339">
        <f t="shared" si="125"/>
        <v>3.2204701503288087E-2</v>
      </c>
      <c r="K194" s="339">
        <f t="shared" si="125"/>
        <v>2.8046055603262267E-2</v>
      </c>
      <c r="L194" s="339">
        <f t="shared" si="126"/>
        <v>2.3423238223176119E-2</v>
      </c>
      <c r="M194" s="339">
        <f t="shared" si="126"/>
        <v>2.0488564810699963E-2</v>
      </c>
      <c r="N194" s="339">
        <f t="shared" si="126"/>
        <v>1.8886493377364623E-2</v>
      </c>
      <c r="O194" s="339">
        <f t="shared" si="126"/>
        <v>1.4942666517570702E-2</v>
      </c>
      <c r="P194" s="339">
        <f t="shared" si="127"/>
        <v>1.4025346775972638E-2</v>
      </c>
      <c r="Q194" s="340">
        <f t="shared" si="127"/>
        <v>4.3842517139662997E-3</v>
      </c>
      <c r="R194" s="340"/>
      <c r="S194" s="340"/>
      <c r="T194" s="340"/>
      <c r="U194" s="340"/>
      <c r="V194" s="340"/>
      <c r="W194" s="340"/>
      <c r="X194" s="340"/>
    </row>
    <row r="195" spans="2:24" ht="12.75" customHeight="1">
      <c r="B195" s="8" t="s">
        <v>55</v>
      </c>
      <c r="C195" s="8"/>
      <c r="D195" s="339">
        <f t="shared" si="125"/>
        <v>0.22689018084714729</v>
      </c>
      <c r="E195" s="339">
        <f t="shared" si="125"/>
        <v>0.17314100804313795</v>
      </c>
      <c r="F195" s="339">
        <f t="shared" si="125"/>
        <v>0.21284844664226485</v>
      </c>
      <c r="G195" s="339">
        <f t="shared" si="125"/>
        <v>0.13490643159550691</v>
      </c>
      <c r="H195" s="339">
        <f t="shared" si="125"/>
        <v>0.10972878447585838</v>
      </c>
      <c r="I195" s="339">
        <f t="shared" si="125"/>
        <v>0.14988664994879872</v>
      </c>
      <c r="J195" s="339">
        <f t="shared" si="125"/>
        <v>9.8905075230412476E-2</v>
      </c>
      <c r="K195" s="339">
        <f t="shared" si="125"/>
        <v>8.6850134904267726E-2</v>
      </c>
      <c r="L195" s="339">
        <f t="shared" si="126"/>
        <v>5.4779436872137321E-2</v>
      </c>
      <c r="M195" s="339">
        <f t="shared" si="126"/>
        <v>5.2015832995676879E-2</v>
      </c>
      <c r="N195" s="339">
        <f t="shared" si="126"/>
        <v>4.871764304203046E-2</v>
      </c>
      <c r="O195" s="339">
        <f t="shared" si="126"/>
        <v>0</v>
      </c>
      <c r="P195" s="339">
        <f t="shared" si="127"/>
        <v>2.8381304222244825E-4</v>
      </c>
      <c r="Q195" s="340">
        <f t="shared" si="127"/>
        <v>0.11802459491130476</v>
      </c>
      <c r="R195" s="340"/>
      <c r="S195" s="340"/>
      <c r="T195" s="340"/>
      <c r="U195" s="340"/>
      <c r="V195" s="340"/>
      <c r="W195" s="340"/>
      <c r="X195" s="340"/>
    </row>
    <row r="196" spans="2:24" ht="12.75" customHeight="1">
      <c r="B196" s="8" t="s">
        <v>56</v>
      </c>
      <c r="C196" s="8"/>
      <c r="D196" s="339">
        <f t="shared" si="125"/>
        <v>0.10426811600377189</v>
      </c>
      <c r="E196" s="339">
        <f t="shared" si="125"/>
        <v>0.12534197968218638</v>
      </c>
      <c r="F196" s="339">
        <f t="shared" si="125"/>
        <v>0.10382397637823848</v>
      </c>
      <c r="G196" s="339">
        <f t="shared" si="125"/>
        <v>0.10802121206666905</v>
      </c>
      <c r="H196" s="339">
        <f t="shared" si="125"/>
        <v>8.6699370911625551E-2</v>
      </c>
      <c r="I196" s="339">
        <f t="shared" si="125"/>
        <v>0.16159331194454271</v>
      </c>
      <c r="J196" s="339">
        <f t="shared" si="125"/>
        <v>0.15827481540609939</v>
      </c>
      <c r="K196" s="339">
        <f t="shared" si="125"/>
        <v>0.14861005008521555</v>
      </c>
      <c r="L196" s="339">
        <f t="shared" si="126"/>
        <v>0.23915450865819912</v>
      </c>
      <c r="M196" s="339">
        <f t="shared" si="126"/>
        <v>0.24289116637245087</v>
      </c>
      <c r="N196" s="339">
        <f t="shared" si="126"/>
        <v>0.21359731567026916</v>
      </c>
      <c r="O196" s="339">
        <f t="shared" si="126"/>
        <v>0.20796523945476744</v>
      </c>
      <c r="P196" s="339">
        <f t="shared" si="127"/>
        <v>0.16959139790254343</v>
      </c>
      <c r="Q196" s="340">
        <f t="shared" si="127"/>
        <v>9.0715623021698999E-2</v>
      </c>
      <c r="R196" s="340"/>
      <c r="S196" s="340"/>
      <c r="T196" s="340"/>
      <c r="U196" s="340"/>
      <c r="V196" s="340"/>
      <c r="W196" s="340"/>
      <c r="X196" s="340"/>
    </row>
    <row r="197" spans="2:24" ht="12.75" customHeight="1">
      <c r="B197" s="4" t="s">
        <v>57</v>
      </c>
      <c r="C197" s="4"/>
      <c r="D197" s="341">
        <f t="shared" si="125"/>
        <v>0.38014317566764411</v>
      </c>
      <c r="E197" s="341">
        <f t="shared" si="125"/>
        <v>0.34333055625329101</v>
      </c>
      <c r="F197" s="341">
        <f t="shared" si="125"/>
        <v>0.36217998705450222</v>
      </c>
      <c r="G197" s="341">
        <f t="shared" si="125"/>
        <v>0.28884388784527909</v>
      </c>
      <c r="H197" s="341">
        <f t="shared" si="125"/>
        <v>0.23295328881825467</v>
      </c>
      <c r="I197" s="341">
        <f t="shared" si="125"/>
        <v>0.34556579291655315</v>
      </c>
      <c r="J197" s="341">
        <f t="shared" si="125"/>
        <v>0.28938459222950325</v>
      </c>
      <c r="K197" s="341">
        <f t="shared" si="125"/>
        <v>0.26350624059274558</v>
      </c>
      <c r="L197" s="341">
        <f t="shared" si="126"/>
        <v>0.31735718375351257</v>
      </c>
      <c r="M197" s="341">
        <f t="shared" si="126"/>
        <v>0.3153955642422131</v>
      </c>
      <c r="N197" s="341">
        <f t="shared" si="126"/>
        <v>0.28120145208966424</v>
      </c>
      <c r="O197" s="341">
        <f t="shared" si="126"/>
        <v>0.22290790597233812</v>
      </c>
      <c r="P197" s="341">
        <f t="shared" si="127"/>
        <v>0.18390055772073854</v>
      </c>
      <c r="Q197" s="342">
        <f t="shared" si="127"/>
        <v>0.21312446964697004</v>
      </c>
      <c r="R197" s="342"/>
      <c r="S197" s="342"/>
      <c r="T197" s="342"/>
      <c r="U197" s="342"/>
      <c r="V197" s="342"/>
      <c r="W197" s="342"/>
      <c r="X197" s="342"/>
    </row>
    <row r="198" spans="2:24" ht="12.75" customHeight="1">
      <c r="B198" s="4" t="s">
        <v>58</v>
      </c>
      <c r="C198" s="4"/>
      <c r="D198" s="341">
        <f t="shared" si="125"/>
        <v>1</v>
      </c>
      <c r="E198" s="341">
        <f t="shared" si="125"/>
        <v>1</v>
      </c>
      <c r="F198" s="341">
        <f t="shared" si="125"/>
        <v>1</v>
      </c>
      <c r="G198" s="341">
        <f>IFERROR(G43/G$43,0)</f>
        <v>1</v>
      </c>
      <c r="H198" s="341">
        <f>IFERROR(H43/H$43,0)</f>
        <v>1</v>
      </c>
      <c r="I198" s="341">
        <f>IFERROR(I43/I$43,0)</f>
        <v>1</v>
      </c>
      <c r="J198" s="341">
        <f>IFERROR(J43/J$43,0)</f>
        <v>1</v>
      </c>
      <c r="K198" s="341">
        <f>IFERROR(K43/K$43,0)</f>
        <v>1</v>
      </c>
      <c r="L198" s="341">
        <f t="shared" si="126"/>
        <v>1</v>
      </c>
      <c r="M198" s="341">
        <f t="shared" si="126"/>
        <v>1</v>
      </c>
      <c r="N198" s="341">
        <f t="shared" si="126"/>
        <v>1</v>
      </c>
      <c r="O198" s="341">
        <f t="shared" si="126"/>
        <v>1</v>
      </c>
      <c r="P198" s="341">
        <f t="shared" si="127"/>
        <v>1</v>
      </c>
      <c r="Q198" s="342">
        <f t="shared" si="127"/>
        <v>1</v>
      </c>
      <c r="R198" s="342"/>
      <c r="S198" s="342"/>
      <c r="T198" s="342"/>
      <c r="U198" s="342"/>
      <c r="V198" s="342"/>
      <c r="W198" s="342"/>
      <c r="X198" s="342"/>
    </row>
    <row r="199" spans="2:24" ht="12.75" customHeight="1">
      <c r="B199" s="8"/>
      <c r="C199" s="8"/>
      <c r="D199" s="309"/>
      <c r="E199" s="309"/>
      <c r="F199" s="309"/>
      <c r="G199" s="309"/>
      <c r="H199" s="309"/>
      <c r="I199" s="309"/>
      <c r="J199" s="309"/>
      <c r="K199" s="309"/>
      <c r="L199" s="309"/>
      <c r="M199" s="309"/>
      <c r="N199" s="309"/>
      <c r="O199" s="309"/>
      <c r="P199" s="309"/>
      <c r="Q199" s="2"/>
      <c r="R199" s="2"/>
      <c r="S199" s="2"/>
      <c r="T199" s="2"/>
      <c r="U199" s="2"/>
      <c r="V199" s="2"/>
      <c r="W199" s="2"/>
      <c r="X199" s="2"/>
    </row>
    <row r="200" spans="2:24" ht="12.75" customHeight="1">
      <c r="B200" s="4" t="s">
        <v>59</v>
      </c>
      <c r="C200" s="8"/>
      <c r="D200" s="307"/>
      <c r="E200" s="307"/>
      <c r="F200" s="307"/>
      <c r="G200" s="307"/>
      <c r="H200" s="307"/>
      <c r="I200" s="307"/>
      <c r="J200" s="307"/>
      <c r="K200" s="307"/>
      <c r="L200" s="307"/>
      <c r="M200" s="307"/>
      <c r="N200" s="307"/>
      <c r="O200" s="307"/>
      <c r="P200" s="307"/>
      <c r="Q200" s="296"/>
      <c r="R200" s="296"/>
      <c r="S200" s="296"/>
      <c r="T200" s="296"/>
      <c r="U200" s="296"/>
      <c r="V200" s="296"/>
      <c r="W200" s="296"/>
      <c r="X200" s="296"/>
    </row>
    <row r="201" spans="2:24" ht="12.75" customHeight="1">
      <c r="B201" s="8" t="s">
        <v>60</v>
      </c>
      <c r="C201" s="8"/>
      <c r="D201" s="339">
        <f t="shared" ref="D201:K213" si="128">IFERROR(D46/D$43,0)</f>
        <v>5.7895754129377603E-3</v>
      </c>
      <c r="E201" s="339">
        <f t="shared" si="128"/>
        <v>2.5453106982457577E-2</v>
      </c>
      <c r="F201" s="339">
        <f t="shared" si="128"/>
        <v>3.2707542018098078E-2</v>
      </c>
      <c r="G201" s="339">
        <f t="shared" si="128"/>
        <v>4.380276203477057E-2</v>
      </c>
      <c r="H201" s="339">
        <f t="shared" si="128"/>
        <v>2.6817099172885172E-2</v>
      </c>
      <c r="I201" s="339">
        <f t="shared" si="128"/>
        <v>2.1618648971489327E-2</v>
      </c>
      <c r="J201" s="339">
        <f t="shared" si="128"/>
        <v>1.403660410947247E-2</v>
      </c>
      <c r="K201" s="339">
        <f t="shared" si="128"/>
        <v>1.6797682621760839E-2</v>
      </c>
      <c r="L201" s="339">
        <f t="shared" ref="L201:O215" si="129">IFERROR(L46/L$43,0)</f>
        <v>1.3169848019881806E-2</v>
      </c>
      <c r="M201" s="339">
        <f t="shared" si="129"/>
        <v>1.472687736296921E-2</v>
      </c>
      <c r="N201" s="339">
        <f t="shared" si="129"/>
        <v>1.6905473116872589E-2</v>
      </c>
      <c r="O201" s="339">
        <f t="shared" si="129"/>
        <v>2.5468031968753295E-2</v>
      </c>
      <c r="P201" s="339">
        <f t="shared" ref="P201:Q215" si="130">IFERROR(P46/P$43,0)</f>
        <v>1.7924949816123744E-2</v>
      </c>
      <c r="Q201" s="340">
        <f t="shared" si="130"/>
        <v>2.2257990652317386E-2</v>
      </c>
      <c r="R201" s="340"/>
      <c r="S201" s="340"/>
      <c r="T201" s="340"/>
      <c r="U201" s="340"/>
      <c r="V201" s="340"/>
      <c r="W201" s="340"/>
      <c r="X201" s="340"/>
    </row>
    <row r="202" spans="2:24" ht="12.75" customHeight="1">
      <c r="B202" s="8" t="s">
        <v>61</v>
      </c>
      <c r="C202" s="8"/>
      <c r="D202" s="339">
        <f t="shared" si="128"/>
        <v>9.0556798497854349E-2</v>
      </c>
      <c r="E202" s="339">
        <f t="shared" si="128"/>
        <v>2.8548509889804317E-2</v>
      </c>
      <c r="F202" s="339">
        <f t="shared" si="128"/>
        <v>2.954809518292633E-2</v>
      </c>
      <c r="G202" s="339">
        <f t="shared" si="128"/>
        <v>5.5116516674507266E-4</v>
      </c>
      <c r="H202" s="339">
        <f t="shared" si="128"/>
        <v>1.175544758952671E-3</v>
      </c>
      <c r="I202" s="339">
        <f t="shared" si="128"/>
        <v>2.4067724060911595E-4</v>
      </c>
      <c r="J202" s="339">
        <f t="shared" si="128"/>
        <v>2.242582429758038E-4</v>
      </c>
      <c r="K202" s="339">
        <f t="shared" si="128"/>
        <v>0</v>
      </c>
      <c r="L202" s="339">
        <f t="shared" si="129"/>
        <v>0</v>
      </c>
      <c r="M202" s="339">
        <f t="shared" si="129"/>
        <v>0</v>
      </c>
      <c r="N202" s="339">
        <f t="shared" si="129"/>
        <v>0</v>
      </c>
      <c r="O202" s="339">
        <f t="shared" si="129"/>
        <v>4.6286592562884529E-4</v>
      </c>
      <c r="P202" s="339">
        <f t="shared" si="130"/>
        <v>4.5590632034761547E-4</v>
      </c>
      <c r="Q202" s="340">
        <f t="shared" si="130"/>
        <v>4.7815955712996504E-3</v>
      </c>
      <c r="R202" s="340"/>
      <c r="S202" s="340"/>
      <c r="T202" s="340"/>
      <c r="U202" s="340"/>
      <c r="V202" s="340"/>
      <c r="W202" s="340"/>
      <c r="X202" s="340"/>
    </row>
    <row r="203" spans="2:24" ht="12.75" customHeight="1">
      <c r="B203" s="8" t="s">
        <v>62</v>
      </c>
      <c r="C203" s="8"/>
      <c r="D203" s="339">
        <f t="shared" si="128"/>
        <v>0.31695404086962709</v>
      </c>
      <c r="E203" s="339">
        <f t="shared" si="128"/>
        <v>0.40316839489070372</v>
      </c>
      <c r="F203" s="339">
        <f t="shared" si="128"/>
        <v>0.34361319594249762</v>
      </c>
      <c r="G203" s="339">
        <f t="shared" si="128"/>
        <v>0.24097648663687532</v>
      </c>
      <c r="H203" s="339">
        <f t="shared" si="128"/>
        <v>0.39358265985741486</v>
      </c>
      <c r="I203" s="339">
        <f t="shared" si="128"/>
        <v>0.39823602278441572</v>
      </c>
      <c r="J203" s="339">
        <f t="shared" si="128"/>
        <v>0.41678167848583775</v>
      </c>
      <c r="K203" s="339">
        <f t="shared" si="128"/>
        <v>0.40207955185802907</v>
      </c>
      <c r="L203" s="339">
        <f t="shared" si="129"/>
        <v>0.33747007141255392</v>
      </c>
      <c r="M203" s="339">
        <f t="shared" si="129"/>
        <v>0.34242580283530061</v>
      </c>
      <c r="N203" s="339">
        <f t="shared" si="129"/>
        <v>0.37705173003404763</v>
      </c>
      <c r="O203" s="339">
        <f t="shared" si="129"/>
        <v>0.42090281014463232</v>
      </c>
      <c r="P203" s="339">
        <f t="shared" si="130"/>
        <v>0.34643054688580127</v>
      </c>
      <c r="Q203" s="340">
        <f t="shared" si="130"/>
        <v>0.34531875058928113</v>
      </c>
      <c r="R203" s="340"/>
      <c r="S203" s="340"/>
      <c r="T203" s="340"/>
      <c r="U203" s="340"/>
      <c r="V203" s="340"/>
      <c r="W203" s="340"/>
      <c r="X203" s="340"/>
    </row>
    <row r="204" spans="2:24" ht="12.75" customHeight="1">
      <c r="B204" s="4" t="s">
        <v>63</v>
      </c>
      <c r="C204" s="4"/>
      <c r="D204" s="341">
        <f t="shared" si="128"/>
        <v>0.41330041465455852</v>
      </c>
      <c r="E204" s="341">
        <f t="shared" si="128"/>
        <v>0.45717001176296557</v>
      </c>
      <c r="F204" s="341">
        <f t="shared" si="128"/>
        <v>0.40586883314352207</v>
      </c>
      <c r="G204" s="341">
        <f t="shared" si="128"/>
        <v>0.28533041383839097</v>
      </c>
      <c r="H204" s="341">
        <f t="shared" si="128"/>
        <v>0.42157530378925273</v>
      </c>
      <c r="I204" s="341">
        <f t="shared" si="128"/>
        <v>0.42009534899651413</v>
      </c>
      <c r="J204" s="341">
        <f t="shared" si="128"/>
        <v>0.43104254074858273</v>
      </c>
      <c r="K204" s="341">
        <f t="shared" si="128"/>
        <v>0.41887723447978992</v>
      </c>
      <c r="L204" s="341">
        <f t="shared" si="129"/>
        <v>0.35063991943243566</v>
      </c>
      <c r="M204" s="341">
        <f t="shared" si="129"/>
        <v>0.35715268026165525</v>
      </c>
      <c r="N204" s="341">
        <f t="shared" si="129"/>
        <v>0.39395720309155396</v>
      </c>
      <c r="O204" s="341">
        <f t="shared" si="129"/>
        <v>0.44683370803901445</v>
      </c>
      <c r="P204" s="341">
        <f t="shared" si="130"/>
        <v>0.36481140302227261</v>
      </c>
      <c r="Q204" s="342">
        <f t="shared" si="130"/>
        <v>0.37235833681289815</v>
      </c>
      <c r="R204" s="342"/>
      <c r="S204" s="342"/>
      <c r="T204" s="342"/>
      <c r="U204" s="342"/>
      <c r="V204" s="342"/>
      <c r="W204" s="342"/>
      <c r="X204" s="342"/>
    </row>
    <row r="205" spans="2:24" ht="12.75" customHeight="1">
      <c r="B205" s="8" t="s">
        <v>64</v>
      </c>
      <c r="C205" s="8"/>
      <c r="D205" s="339">
        <f t="shared" si="128"/>
        <v>1.521426710547045E-2</v>
      </c>
      <c r="E205" s="339">
        <f t="shared" si="128"/>
        <v>1.3801157506301837E-2</v>
      </c>
      <c r="F205" s="339">
        <f t="shared" si="128"/>
        <v>1.4252835772529834E-2</v>
      </c>
      <c r="G205" s="339">
        <f t="shared" si="128"/>
        <v>1.417841771164658E-4</v>
      </c>
      <c r="H205" s="339">
        <f t="shared" si="128"/>
        <v>8.8783516032086494E-5</v>
      </c>
      <c r="I205" s="339">
        <f t="shared" si="128"/>
        <v>6.0150055973030252E-5</v>
      </c>
      <c r="J205" s="339">
        <f t="shared" si="128"/>
        <v>3.1396154016612529E-4</v>
      </c>
      <c r="K205" s="339">
        <f t="shared" si="128"/>
        <v>5.4970171689747729E-2</v>
      </c>
      <c r="L205" s="339">
        <f t="shared" si="129"/>
        <v>4.6516221553299306E-2</v>
      </c>
      <c r="M205" s="339">
        <f t="shared" si="129"/>
        <v>4.4150478441660104E-2</v>
      </c>
      <c r="N205" s="339">
        <f t="shared" si="129"/>
        <v>4.1333200462188718E-2</v>
      </c>
      <c r="O205" s="339">
        <f t="shared" si="129"/>
        <v>5.5131688884499798E-2</v>
      </c>
      <c r="P205" s="339">
        <f t="shared" si="130"/>
        <v>7.0905842113841044E-2</v>
      </c>
      <c r="Q205" s="340">
        <f t="shared" si="130"/>
        <v>7.7717764637743617E-2</v>
      </c>
      <c r="R205" s="340"/>
      <c r="S205" s="340"/>
      <c r="T205" s="340"/>
      <c r="U205" s="340"/>
      <c r="V205" s="340"/>
      <c r="W205" s="340"/>
      <c r="X205" s="340"/>
    </row>
    <row r="206" spans="2:24" ht="12.75" customHeight="1">
      <c r="B206" s="8" t="s">
        <v>65</v>
      </c>
      <c r="C206" s="8"/>
      <c r="D206" s="339">
        <f t="shared" si="128"/>
        <v>4.0869487649311167E-3</v>
      </c>
      <c r="E206" s="339">
        <f t="shared" si="128"/>
        <v>3.6967799571132778E-3</v>
      </c>
      <c r="F206" s="339">
        <f t="shared" si="128"/>
        <v>3.8633564807035578E-3</v>
      </c>
      <c r="G206" s="339">
        <f t="shared" si="128"/>
        <v>4.6342389779886889E-3</v>
      </c>
      <c r="H206" s="339">
        <f t="shared" si="128"/>
        <v>3.7808614717041692E-3</v>
      </c>
      <c r="I206" s="339">
        <f t="shared" si="128"/>
        <v>3.5588913724892142E-3</v>
      </c>
      <c r="J206" s="339">
        <f t="shared" si="128"/>
        <v>3.2995592510571066E-3</v>
      </c>
      <c r="K206" s="339">
        <f t="shared" si="128"/>
        <v>2.8858351345837489E-3</v>
      </c>
      <c r="L206" s="339">
        <f t="shared" si="129"/>
        <v>2.4307574783377054E-3</v>
      </c>
      <c r="M206" s="339">
        <f t="shared" si="129"/>
        <v>2.3853788387752993E-3</v>
      </c>
      <c r="N206" s="339">
        <f t="shared" si="129"/>
        <v>2.2231785900118763E-3</v>
      </c>
      <c r="O206" s="339">
        <f t="shared" si="129"/>
        <v>1.7370335255154925E-3</v>
      </c>
      <c r="P206" s="339">
        <f t="shared" si="130"/>
        <v>1.6418511593387121E-2</v>
      </c>
      <c r="Q206" s="340">
        <f t="shared" si="130"/>
        <v>3.6064006034238906E-2</v>
      </c>
      <c r="R206" s="340"/>
      <c r="S206" s="340"/>
      <c r="T206" s="340"/>
      <c r="U206" s="340"/>
      <c r="V206" s="340"/>
      <c r="W206" s="340"/>
      <c r="X206" s="340"/>
    </row>
    <row r="207" spans="2:24" ht="12.75" customHeight="1">
      <c r="B207" s="4" t="s">
        <v>66</v>
      </c>
      <c r="C207" s="4"/>
      <c r="D207" s="341">
        <f t="shared" si="128"/>
        <v>1.9301215870401567E-2</v>
      </c>
      <c r="E207" s="341">
        <f t="shared" si="128"/>
        <v>1.7497937463415113E-2</v>
      </c>
      <c r="F207" s="341">
        <f t="shared" si="128"/>
        <v>1.8116192134804154E-2</v>
      </c>
      <c r="G207" s="341">
        <f t="shared" si="128"/>
        <v>4.7760231551051543E-3</v>
      </c>
      <c r="H207" s="341">
        <f t="shared" si="128"/>
        <v>3.8696449877362554E-3</v>
      </c>
      <c r="I207" s="341">
        <f t="shared" si="128"/>
        <v>3.6190414284622448E-3</v>
      </c>
      <c r="J207" s="341">
        <f t="shared" si="128"/>
        <v>3.6135207912232317E-3</v>
      </c>
      <c r="K207" s="341">
        <f t="shared" si="128"/>
        <v>5.7856006824331487E-2</v>
      </c>
      <c r="L207" s="341">
        <f t="shared" si="129"/>
        <v>4.8946979031637014E-2</v>
      </c>
      <c r="M207" s="341">
        <f t="shared" si="129"/>
        <v>4.6535857280435404E-2</v>
      </c>
      <c r="N207" s="341">
        <f t="shared" si="129"/>
        <v>4.3556379052200597E-2</v>
      </c>
      <c r="O207" s="341">
        <f t="shared" si="129"/>
        <v>5.6868722410015282E-2</v>
      </c>
      <c r="P207" s="341">
        <f t="shared" si="130"/>
        <v>8.7324353707228172E-2</v>
      </c>
      <c r="Q207" s="342">
        <f t="shared" si="130"/>
        <v>0.11378177067198253</v>
      </c>
      <c r="R207" s="342"/>
      <c r="S207" s="342"/>
      <c r="T207" s="342"/>
      <c r="U207" s="342"/>
      <c r="V207" s="342"/>
      <c r="W207" s="342"/>
      <c r="X207" s="342"/>
    </row>
    <row r="208" spans="2:24" ht="12.75" customHeight="1">
      <c r="B208" s="4" t="s">
        <v>67</v>
      </c>
      <c r="C208" s="4"/>
      <c r="D208" s="341">
        <f t="shared" si="128"/>
        <v>0.43260163052496003</v>
      </c>
      <c r="E208" s="341">
        <f t="shared" si="128"/>
        <v>0.47466794922638073</v>
      </c>
      <c r="F208" s="341">
        <f t="shared" si="128"/>
        <v>0.42398502527832616</v>
      </c>
      <c r="G208" s="341">
        <f t="shared" si="128"/>
        <v>0.29010643687101495</v>
      </c>
      <c r="H208" s="341">
        <f t="shared" si="128"/>
        <v>0.42544494877698891</v>
      </c>
      <c r="I208" s="341">
        <f t="shared" si="128"/>
        <v>0.42371439052124726</v>
      </c>
      <c r="J208" s="341">
        <f t="shared" si="128"/>
        <v>0.43465606153980596</v>
      </c>
      <c r="K208" s="341">
        <f t="shared" si="128"/>
        <v>0.47673324130412142</v>
      </c>
      <c r="L208" s="341">
        <f t="shared" si="129"/>
        <v>0.39958689846407275</v>
      </c>
      <c r="M208" s="341">
        <f t="shared" si="129"/>
        <v>0.4036885374787052</v>
      </c>
      <c r="N208" s="341">
        <f t="shared" si="129"/>
        <v>0.43751358214375452</v>
      </c>
      <c r="O208" s="341">
        <f t="shared" si="129"/>
        <v>0.50370243044902974</v>
      </c>
      <c r="P208" s="341">
        <f t="shared" si="130"/>
        <v>0.45213575672950079</v>
      </c>
      <c r="Q208" s="342">
        <f t="shared" si="130"/>
        <v>0.48614010748488062</v>
      </c>
      <c r="R208" s="342"/>
      <c r="S208" s="342"/>
      <c r="T208" s="342"/>
      <c r="U208" s="342"/>
      <c r="V208" s="342"/>
      <c r="W208" s="342"/>
      <c r="X208" s="342"/>
    </row>
    <row r="209" spans="2:24" ht="12.75" customHeight="1">
      <c r="B209" s="44" t="s">
        <v>68</v>
      </c>
      <c r="C209" s="44"/>
      <c r="D209" s="339">
        <f t="shared" si="128"/>
        <v>0</v>
      </c>
      <c r="E209" s="339">
        <f t="shared" si="128"/>
        <v>0</v>
      </c>
      <c r="F209" s="339">
        <f t="shared" si="128"/>
        <v>0</v>
      </c>
      <c r="G209" s="339">
        <f t="shared" si="128"/>
        <v>0</v>
      </c>
      <c r="H209" s="339">
        <f t="shared" si="128"/>
        <v>0</v>
      </c>
      <c r="I209" s="339">
        <f t="shared" si="128"/>
        <v>0</v>
      </c>
      <c r="J209" s="339">
        <f t="shared" si="128"/>
        <v>0</v>
      </c>
      <c r="K209" s="339">
        <f t="shared" si="128"/>
        <v>0</v>
      </c>
      <c r="L209" s="339">
        <f t="shared" si="129"/>
        <v>0</v>
      </c>
      <c r="M209" s="339">
        <f t="shared" si="129"/>
        <v>0</v>
      </c>
      <c r="N209" s="339">
        <f t="shared" si="129"/>
        <v>0</v>
      </c>
      <c r="O209" s="339">
        <f t="shared" si="129"/>
        <v>0</v>
      </c>
      <c r="P209" s="339">
        <f t="shared" si="130"/>
        <v>0</v>
      </c>
      <c r="Q209" s="340">
        <f t="shared" si="130"/>
        <v>0</v>
      </c>
      <c r="R209" s="340"/>
      <c r="S209" s="340"/>
      <c r="T209" s="340"/>
      <c r="U209" s="340"/>
      <c r="V209" s="340"/>
      <c r="W209" s="340"/>
      <c r="X209" s="340"/>
    </row>
    <row r="210" spans="2:24" ht="12.75" customHeight="1">
      <c r="B210" s="44" t="s">
        <v>72</v>
      </c>
      <c r="C210" s="44"/>
      <c r="D210" s="339">
        <f t="shared" si="128"/>
        <v>4.0508618240923909E-2</v>
      </c>
      <c r="E210" s="339">
        <f t="shared" si="128"/>
        <v>3.6827315500594392E-2</v>
      </c>
      <c r="F210" s="339">
        <f t="shared" si="128"/>
        <v>3.8116771346158693E-2</v>
      </c>
      <c r="G210" s="339">
        <f t="shared" si="128"/>
        <v>3.9169802862299062E-2</v>
      </c>
      <c r="H210" s="339">
        <f t="shared" si="128"/>
        <v>3.1859525193921309E-2</v>
      </c>
      <c r="I210" s="339">
        <f t="shared" si="128"/>
        <v>1.0572836425050143E-2</v>
      </c>
      <c r="J210" s="339">
        <f t="shared" si="128"/>
        <v>9.8515576875968115E-3</v>
      </c>
      <c r="K210" s="339">
        <f t="shared" si="128"/>
        <v>8.659714808190451E-3</v>
      </c>
      <c r="L210" s="339">
        <f t="shared" si="129"/>
        <v>7.254712742233555E-3</v>
      </c>
      <c r="M210" s="339">
        <f t="shared" si="129"/>
        <v>6.8887149627412051E-3</v>
      </c>
      <c r="N210" s="339">
        <f t="shared" si="129"/>
        <v>6.4519192954386149E-3</v>
      </c>
      <c r="O210" s="339">
        <f t="shared" si="129"/>
        <v>5.0304179927085184E-3</v>
      </c>
      <c r="P210" s="339">
        <f t="shared" si="130"/>
        <v>4.3311023917277404E-3</v>
      </c>
      <c r="Q210" s="340">
        <f t="shared" si="130"/>
        <v>3.4683404496046763E-3</v>
      </c>
      <c r="R210" s="340"/>
      <c r="S210" s="340"/>
      <c r="T210" s="340"/>
      <c r="U210" s="340"/>
      <c r="V210" s="340"/>
      <c r="W210" s="340"/>
      <c r="X210" s="340"/>
    </row>
    <row r="211" spans="2:24" ht="12.75" customHeight="1">
      <c r="B211" s="44" t="s">
        <v>69</v>
      </c>
      <c r="C211" s="44"/>
      <c r="D211" s="339">
        <f t="shared" si="128"/>
        <v>0.40275435051165243</v>
      </c>
      <c r="E211" s="339">
        <f t="shared" si="128"/>
        <v>0.36615323305560649</v>
      </c>
      <c r="F211" s="339">
        <f t="shared" si="128"/>
        <v>0.37897356547240185</v>
      </c>
      <c r="G211" s="339">
        <f t="shared" si="128"/>
        <v>0.5144208222954012</v>
      </c>
      <c r="H211" s="339">
        <f t="shared" si="128"/>
        <v>0.41841423623739143</v>
      </c>
      <c r="I211" s="339">
        <f t="shared" si="128"/>
        <v>0.50541913423755347</v>
      </c>
      <c r="J211" s="339">
        <f t="shared" si="128"/>
        <v>0.47363054762971735</v>
      </c>
      <c r="K211" s="339">
        <f t="shared" si="128"/>
        <v>0.41633065521041857</v>
      </c>
      <c r="L211" s="339">
        <f t="shared" si="129"/>
        <v>0.50064815689361231</v>
      </c>
      <c r="M211" s="339">
        <f t="shared" si="129"/>
        <v>0.47539062840964019</v>
      </c>
      <c r="N211" s="339">
        <f t="shared" si="129"/>
        <v>0.44524733348617629</v>
      </c>
      <c r="O211" s="339">
        <f t="shared" si="129"/>
        <v>0.34714944422163396</v>
      </c>
      <c r="P211" s="339">
        <f t="shared" si="130"/>
        <v>0.40130914736892381</v>
      </c>
      <c r="Q211" s="340">
        <f t="shared" si="130"/>
        <v>0.35774416443301049</v>
      </c>
      <c r="R211" s="340"/>
      <c r="S211" s="340"/>
      <c r="T211" s="340"/>
      <c r="U211" s="340"/>
      <c r="V211" s="340"/>
      <c r="W211" s="340"/>
      <c r="X211" s="340"/>
    </row>
    <row r="212" spans="2:24" ht="12.75" customHeight="1">
      <c r="B212" s="44" t="s">
        <v>70</v>
      </c>
      <c r="C212" s="44"/>
      <c r="D212" s="339">
        <f t="shared" si="128"/>
        <v>6.1960211203465135E-2</v>
      </c>
      <c r="E212" s="339">
        <f t="shared" si="128"/>
        <v>6.2837702898001419E-2</v>
      </c>
      <c r="F212" s="339">
        <f t="shared" si="128"/>
        <v>9.5229441545912313E-2</v>
      </c>
      <c r="G212" s="339">
        <f t="shared" si="128"/>
        <v>0.12708133015798262</v>
      </c>
      <c r="H212" s="339">
        <f t="shared" si="128"/>
        <v>0.1019385006638342</v>
      </c>
      <c r="I212" s="339">
        <f t="shared" si="128"/>
        <v>3.6968846888639502E-2</v>
      </c>
      <c r="J212" s="339">
        <f t="shared" si="128"/>
        <v>5.8737845033355093E-2</v>
      </c>
      <c r="K212" s="339">
        <f t="shared" si="128"/>
        <v>7.4241196318226205E-2</v>
      </c>
      <c r="L212" s="339">
        <f t="shared" si="129"/>
        <v>7.1588808348410179E-2</v>
      </c>
      <c r="M212" s="339">
        <f t="shared" si="129"/>
        <v>8.5649709623835946E-2</v>
      </c>
      <c r="N212" s="339">
        <f t="shared" si="129"/>
        <v>8.0766984170375283E-2</v>
      </c>
      <c r="O212" s="339">
        <f t="shared" si="129"/>
        <v>0.11196362618224052</v>
      </c>
      <c r="P212" s="339">
        <f t="shared" si="130"/>
        <v>0.10618828427524866</v>
      </c>
      <c r="Q212" s="340">
        <f t="shared" si="130"/>
        <v>0.10940425359966595</v>
      </c>
      <c r="R212" s="340"/>
      <c r="S212" s="340"/>
      <c r="T212" s="340"/>
      <c r="U212" s="340"/>
      <c r="V212" s="340"/>
      <c r="W212" s="340"/>
      <c r="X212" s="340"/>
    </row>
    <row r="213" spans="2:24" ht="12.75" customHeight="1">
      <c r="B213" s="44" t="s">
        <v>71</v>
      </c>
      <c r="C213" s="44"/>
      <c r="D213" s="339">
        <f t="shared" si="128"/>
        <v>6.2175189518998475E-2</v>
      </c>
      <c r="E213" s="339">
        <f t="shared" si="128"/>
        <v>5.9513799319417075E-2</v>
      </c>
      <c r="F213" s="339">
        <f t="shared" si="128"/>
        <v>6.3695196238771776E-2</v>
      </c>
      <c r="G213" s="339">
        <f>IFERROR(G58/G$43,0)</f>
        <v>2.9221607690821071E-2</v>
      </c>
      <c r="H213" s="339">
        <f>IFERROR(H58/H$43,0)</f>
        <v>2.2342789227486431E-2</v>
      </c>
      <c r="I213" s="339">
        <f>IFERROR(I58/I$43,0)</f>
        <v>2.3324791927509754E-2</v>
      </c>
      <c r="J213" s="339">
        <f>IFERROR(J58/J$43,0)</f>
        <v>2.3123988019821462E-2</v>
      </c>
      <c r="K213" s="339">
        <f>IFERROR(K58/K$43,0)</f>
        <v>2.4035192280192654E-2</v>
      </c>
      <c r="L213" s="339">
        <f t="shared" si="129"/>
        <v>2.0921423484918156E-2</v>
      </c>
      <c r="M213" s="339">
        <f t="shared" si="129"/>
        <v>2.8382409525077333E-2</v>
      </c>
      <c r="N213" s="339">
        <f t="shared" si="129"/>
        <v>3.0020180904255182E-2</v>
      </c>
      <c r="O213" s="339">
        <f t="shared" si="129"/>
        <v>3.2154081154387261E-2</v>
      </c>
      <c r="P213" s="339">
        <f t="shared" si="130"/>
        <v>3.6035709234599048E-2</v>
      </c>
      <c r="Q213" s="340">
        <f t="shared" si="130"/>
        <v>4.3236399391188396E-2</v>
      </c>
      <c r="R213" s="340"/>
      <c r="S213" s="340"/>
      <c r="T213" s="340"/>
      <c r="U213" s="340"/>
      <c r="V213" s="340"/>
      <c r="W213" s="340"/>
      <c r="X213" s="340"/>
    </row>
    <row r="214" spans="2:24" ht="12.75" customHeight="1">
      <c r="B214" s="4" t="s">
        <v>73</v>
      </c>
      <c r="C214" s="4"/>
      <c r="D214" s="341">
        <f t="shared" ref="D214:K215" si="131">IFERROR(D59/D$43,0)</f>
        <v>0.56739836947503985</v>
      </c>
      <c r="E214" s="341">
        <f t="shared" si="131"/>
        <v>0.52533205077361933</v>
      </c>
      <c r="F214" s="341">
        <f t="shared" si="131"/>
        <v>0.57601497460324469</v>
      </c>
      <c r="G214" s="341">
        <f t="shared" si="131"/>
        <v>0.70989356300650397</v>
      </c>
      <c r="H214" s="341">
        <f t="shared" si="131"/>
        <v>0.57455505122301087</v>
      </c>
      <c r="I214" s="341">
        <f t="shared" si="131"/>
        <v>0.57628560947875274</v>
      </c>
      <c r="J214" s="341">
        <f t="shared" si="131"/>
        <v>0.56534393846019393</v>
      </c>
      <c r="K214" s="341">
        <f t="shared" si="131"/>
        <v>0.52326675869587869</v>
      </c>
      <c r="L214" s="341">
        <f t="shared" si="129"/>
        <v>0.60041310153592731</v>
      </c>
      <c r="M214" s="341">
        <f t="shared" si="129"/>
        <v>0.59631146252129474</v>
      </c>
      <c r="N214" s="341">
        <f t="shared" si="129"/>
        <v>0.56248641785624542</v>
      </c>
      <c r="O214" s="341">
        <f t="shared" si="129"/>
        <v>0.49629756955097032</v>
      </c>
      <c r="P214" s="341">
        <f t="shared" si="130"/>
        <v>0.54786424327049932</v>
      </c>
      <c r="Q214" s="342">
        <f t="shared" si="130"/>
        <v>0.51385315787346952</v>
      </c>
      <c r="R214" s="342"/>
      <c r="S214" s="342"/>
      <c r="T214" s="342"/>
      <c r="U214" s="342"/>
      <c r="V214" s="342"/>
      <c r="W214" s="342"/>
      <c r="X214" s="342"/>
    </row>
    <row r="215" spans="2:24" ht="12.75" customHeight="1">
      <c r="B215" s="4" t="s">
        <v>74</v>
      </c>
      <c r="C215" s="4"/>
      <c r="D215" s="341">
        <f t="shared" si="131"/>
        <v>1</v>
      </c>
      <c r="E215" s="341">
        <f t="shared" si="131"/>
        <v>1</v>
      </c>
      <c r="F215" s="341">
        <f t="shared" si="131"/>
        <v>1</v>
      </c>
      <c r="G215" s="341">
        <f t="shared" si="131"/>
        <v>1</v>
      </c>
      <c r="H215" s="341">
        <f t="shared" si="131"/>
        <v>1</v>
      </c>
      <c r="I215" s="341">
        <f t="shared" si="131"/>
        <v>1</v>
      </c>
      <c r="J215" s="341">
        <f t="shared" si="131"/>
        <v>1</v>
      </c>
      <c r="K215" s="341">
        <f t="shared" si="131"/>
        <v>1</v>
      </c>
      <c r="L215" s="341">
        <f t="shared" si="129"/>
        <v>1</v>
      </c>
      <c r="M215" s="341">
        <f t="shared" si="129"/>
        <v>1</v>
      </c>
      <c r="N215" s="341">
        <f t="shared" si="129"/>
        <v>1</v>
      </c>
      <c r="O215" s="341">
        <f t="shared" si="129"/>
        <v>1</v>
      </c>
      <c r="P215" s="341">
        <f t="shared" si="130"/>
        <v>1</v>
      </c>
      <c r="Q215" s="342">
        <f t="shared" si="130"/>
        <v>0.99999326535835009</v>
      </c>
      <c r="R215" s="342"/>
      <c r="S215" s="342"/>
      <c r="T215" s="342"/>
      <c r="U215" s="342"/>
      <c r="V215" s="342"/>
      <c r="W215" s="342"/>
      <c r="X215" s="342"/>
    </row>
    <row r="216" spans="2:24" ht="12.75" customHeight="1">
      <c r="D216" s="311"/>
      <c r="E216" s="311"/>
      <c r="F216" s="311"/>
      <c r="G216" s="311"/>
      <c r="H216" s="311"/>
      <c r="I216" s="311"/>
      <c r="J216" s="311"/>
      <c r="K216" s="311"/>
      <c r="L216" s="311"/>
      <c r="M216" s="311"/>
      <c r="N216" s="311"/>
      <c r="O216" s="311"/>
      <c r="P216" s="311"/>
      <c r="Q216" s="48"/>
      <c r="R216" s="48"/>
      <c r="S216" s="48"/>
      <c r="T216" s="48"/>
      <c r="U216" s="48"/>
      <c r="V216" s="48"/>
      <c r="W216" s="48"/>
      <c r="X216" s="48"/>
    </row>
    <row r="217" spans="2:24" ht="12.75" customHeight="1">
      <c r="B217" s="19" t="s">
        <v>76</v>
      </c>
      <c r="C217" s="23"/>
      <c r="D217" s="312"/>
      <c r="E217" s="312"/>
      <c r="F217" s="312"/>
      <c r="G217" s="312"/>
      <c r="H217" s="312"/>
      <c r="I217" s="312"/>
      <c r="J217" s="312"/>
      <c r="K217" s="312"/>
      <c r="L217" s="312"/>
      <c r="M217" s="312"/>
      <c r="N217" s="312"/>
      <c r="O217" s="312"/>
      <c r="P217" s="312"/>
      <c r="Q217" s="293"/>
      <c r="R217" s="293"/>
      <c r="S217" s="293"/>
      <c r="T217" s="293"/>
      <c r="U217" s="293"/>
      <c r="V217" s="293"/>
      <c r="W217" s="293"/>
      <c r="X217" s="293"/>
    </row>
    <row r="218" spans="2:24" ht="12.75" customHeight="1">
      <c r="B218" s="8" t="s">
        <v>77</v>
      </c>
      <c r="D218" s="245">
        <f>IF(D33="",0,C33-D33)</f>
        <v>-65.074779000000007</v>
      </c>
      <c r="E218" s="245">
        <f t="shared" ref="E218:K220" si="132">IF(E33="",0,D33-E33)</f>
        <v>-25.589135099999993</v>
      </c>
      <c r="F218" s="245">
        <f t="shared" si="132"/>
        <v>-20.111889900000008</v>
      </c>
      <c r="G218" s="245">
        <f t="shared" si="132"/>
        <v>-15.03288049999999</v>
      </c>
      <c r="H218" s="245">
        <f t="shared" si="132"/>
        <v>30.517186899999999</v>
      </c>
      <c r="I218" s="245">
        <f t="shared" si="132"/>
        <v>-34.978559099999998</v>
      </c>
      <c r="J218" s="245">
        <f t="shared" si="132"/>
        <v>18.86559729999999</v>
      </c>
      <c r="K218" s="245">
        <f t="shared" si="132"/>
        <v>-19.840843699999994</v>
      </c>
      <c r="L218" s="245">
        <f t="shared" ref="L218:Q220" si="133">IF(L33="",0,K33-L33)</f>
        <v>12.3152872</v>
      </c>
      <c r="M218" s="245">
        <f t="shared" si="133"/>
        <v>-32.025838099999987</v>
      </c>
      <c r="N218" s="245">
        <f t="shared" si="133"/>
        <v>32.004517899999982</v>
      </c>
      <c r="O218" s="245">
        <f t="shared" si="133"/>
        <v>-0.24978959999999972</v>
      </c>
      <c r="P218" s="245">
        <f t="shared" si="133"/>
        <v>-41.964131199999997</v>
      </c>
      <c r="Q218" s="249">
        <f t="shared" si="133"/>
        <v>16.165256900000003</v>
      </c>
      <c r="R218" s="249"/>
      <c r="S218" s="249"/>
      <c r="T218" s="249"/>
      <c r="U218" s="249"/>
      <c r="V218" s="249"/>
      <c r="W218" s="249"/>
      <c r="X218" s="249"/>
    </row>
    <row r="219" spans="2:24" ht="12.75" customHeight="1">
      <c r="B219" s="8" t="s">
        <v>78</v>
      </c>
      <c r="D219" s="245">
        <f>IF(D34="",0,C34-D34)</f>
        <v>-96.877542300000002</v>
      </c>
      <c r="E219" s="245">
        <f t="shared" si="132"/>
        <v>-146.48215520000002</v>
      </c>
      <c r="F219" s="245">
        <f t="shared" si="132"/>
        <v>75.042763200000024</v>
      </c>
      <c r="G219" s="245">
        <f t="shared" si="132"/>
        <v>39.109509199999991</v>
      </c>
      <c r="H219" s="245">
        <f t="shared" si="132"/>
        <v>-198.58470679999996</v>
      </c>
      <c r="I219" s="245">
        <f t="shared" si="132"/>
        <v>39.69065919999997</v>
      </c>
      <c r="J219" s="245">
        <f t="shared" si="132"/>
        <v>-8.0538055000000099</v>
      </c>
      <c r="K219" s="245">
        <f t="shared" si="132"/>
        <v>-136.63198510000001</v>
      </c>
      <c r="L219" s="245">
        <f t="shared" si="133"/>
        <v>-16.564362599999981</v>
      </c>
      <c r="M219" s="245">
        <f t="shared" si="133"/>
        <v>-3.1384219999999914</v>
      </c>
      <c r="N219" s="245">
        <f t="shared" si="133"/>
        <v>-31.690922300000011</v>
      </c>
      <c r="O219" s="245">
        <f t="shared" si="133"/>
        <v>-15.033343600000023</v>
      </c>
      <c r="P219" s="245">
        <f t="shared" si="133"/>
        <v>-35.963327000000049</v>
      </c>
      <c r="Q219" s="249">
        <f t="shared" si="133"/>
        <v>-273.32235919999994</v>
      </c>
      <c r="R219" s="249"/>
      <c r="S219" s="249"/>
      <c r="T219" s="249"/>
      <c r="U219" s="249"/>
      <c r="V219" s="249"/>
      <c r="W219" s="249"/>
      <c r="X219" s="249"/>
    </row>
    <row r="220" spans="2:24" ht="12.75" customHeight="1">
      <c r="B220" s="8" t="s">
        <v>79</v>
      </c>
      <c r="D220" s="245">
        <f>IF(D35="",0,C35-D35)</f>
        <v>-276.79123460000005</v>
      </c>
      <c r="E220" s="245">
        <f t="shared" si="132"/>
        <v>92.606626800000043</v>
      </c>
      <c r="F220" s="245">
        <f t="shared" si="132"/>
        <v>-6.7640365999999688</v>
      </c>
      <c r="G220" s="245">
        <f t="shared" si="132"/>
        <v>1.3924525999999844</v>
      </c>
      <c r="H220" s="245">
        <f t="shared" si="132"/>
        <v>-46.605023200000005</v>
      </c>
      <c r="I220" s="245">
        <f t="shared" si="132"/>
        <v>94.907859099999996</v>
      </c>
      <c r="J220" s="245">
        <f t="shared" si="132"/>
        <v>-181.402862</v>
      </c>
      <c r="K220" s="245">
        <f t="shared" si="132"/>
        <v>25.542591700000003</v>
      </c>
      <c r="L220" s="245">
        <f t="shared" si="133"/>
        <v>149.5065835</v>
      </c>
      <c r="M220" s="245">
        <f t="shared" si="133"/>
        <v>-23.643196200000006</v>
      </c>
      <c r="N220" s="245">
        <f t="shared" si="133"/>
        <v>-56.555396899999977</v>
      </c>
      <c r="O220" s="245">
        <f t="shared" si="133"/>
        <v>-56.310753399999982</v>
      </c>
      <c r="P220" s="245">
        <f t="shared" si="133"/>
        <v>-226.94316530000009</v>
      </c>
      <c r="Q220" s="249">
        <f t="shared" si="133"/>
        <v>-209.84044550000004</v>
      </c>
      <c r="R220" s="249"/>
      <c r="S220" s="249"/>
      <c r="T220" s="249"/>
      <c r="U220" s="249"/>
      <c r="V220" s="249"/>
      <c r="W220" s="249"/>
      <c r="X220" s="249"/>
    </row>
    <row r="221" spans="2:24" ht="12.75" customHeight="1">
      <c r="B221" s="8" t="s">
        <v>80</v>
      </c>
      <c r="D221" s="245">
        <f>IF(D46="",0,D46-C46)</f>
        <v>4.5999853999999996</v>
      </c>
      <c r="E221" s="245">
        <f t="shared" ref="E221:K222" si="134">IF(E46="",0,E46-D46)</f>
        <v>17.644784000000001</v>
      </c>
      <c r="F221" s="245">
        <f t="shared" si="134"/>
        <v>5.3730234999999986</v>
      </c>
      <c r="G221" s="245">
        <f t="shared" si="134"/>
        <v>8.1450674999999997</v>
      </c>
      <c r="H221" s="245">
        <f t="shared" si="134"/>
        <v>-8.8441261000000004</v>
      </c>
      <c r="I221" s="245">
        <f t="shared" si="134"/>
        <v>-4.4626756000000007</v>
      </c>
      <c r="J221" s="245">
        <f t="shared" si="134"/>
        <v>-6.8082457999999981</v>
      </c>
      <c r="K221" s="245">
        <f t="shared" si="134"/>
        <v>5.6552612999999958</v>
      </c>
      <c r="L221" s="245">
        <f t="shared" ref="L221:Q222" si="135">IF(L46="",0,L46-K46)</f>
        <v>-1.5738773999999971</v>
      </c>
      <c r="M221" s="245">
        <f t="shared" si="135"/>
        <v>3.5046605</v>
      </c>
      <c r="N221" s="245">
        <f t="shared" si="135"/>
        <v>5.2426857000000027</v>
      </c>
      <c r="O221" s="245">
        <f t="shared" si="135"/>
        <v>26.545938799999998</v>
      </c>
      <c r="P221" s="245">
        <f t="shared" si="135"/>
        <v>-10.043630499999999</v>
      </c>
      <c r="Q221" s="249">
        <f t="shared" si="135"/>
        <v>21.121148699999992</v>
      </c>
      <c r="R221" s="249"/>
      <c r="S221" s="249"/>
      <c r="T221" s="249"/>
      <c r="U221" s="249"/>
      <c r="V221" s="249"/>
      <c r="W221" s="249"/>
      <c r="X221" s="249"/>
    </row>
    <row r="222" spans="2:24" ht="12.75" customHeight="1">
      <c r="B222" s="8" t="s">
        <v>81</v>
      </c>
      <c r="D222" s="245">
        <f>IF(D47="",0,D47-C47)</f>
        <v>71.95</v>
      </c>
      <c r="E222" s="245">
        <f t="shared" si="134"/>
        <v>-47</v>
      </c>
      <c r="F222" s="245">
        <f t="shared" si="134"/>
        <v>0</v>
      </c>
      <c r="G222" s="245">
        <f t="shared" si="134"/>
        <v>-24.5</v>
      </c>
      <c r="H222" s="245">
        <f t="shared" si="134"/>
        <v>0.73</v>
      </c>
      <c r="I222" s="245">
        <f t="shared" si="134"/>
        <v>-0.92999999999999994</v>
      </c>
      <c r="J222" s="245">
        <f t="shared" si="134"/>
        <v>0</v>
      </c>
      <c r="K222" s="245">
        <f t="shared" si="134"/>
        <v>-0.25</v>
      </c>
      <c r="L222" s="245">
        <f t="shared" si="135"/>
        <v>0</v>
      </c>
      <c r="M222" s="245">
        <f t="shared" si="135"/>
        <v>0</v>
      </c>
      <c r="N222" s="245">
        <f t="shared" si="135"/>
        <v>0</v>
      </c>
      <c r="O222" s="245">
        <f t="shared" si="135"/>
        <v>1</v>
      </c>
      <c r="P222" s="245">
        <f t="shared" si="135"/>
        <v>0.14399999999999991</v>
      </c>
      <c r="Q222" s="249">
        <f t="shared" si="135"/>
        <v>13.055999999999999</v>
      </c>
      <c r="R222" s="249"/>
      <c r="S222" s="249"/>
      <c r="T222" s="249"/>
      <c r="U222" s="249"/>
      <c r="V222" s="249"/>
      <c r="W222" s="249"/>
      <c r="X222" s="249"/>
    </row>
    <row r="223" spans="2:24" ht="12.75" customHeight="1">
      <c r="B223" s="24" t="s">
        <v>466</v>
      </c>
      <c r="C223" s="33"/>
      <c r="D223" s="414">
        <f t="shared" ref="D223:K223" si="136">SUM(D218:D222)</f>
        <v>-362.19357050000008</v>
      </c>
      <c r="E223" s="414">
        <f t="shared" si="136"/>
        <v>-108.81987949999997</v>
      </c>
      <c r="F223" s="414">
        <f t="shared" si="136"/>
        <v>53.539860200000049</v>
      </c>
      <c r="G223" s="414">
        <f t="shared" si="136"/>
        <v>9.1141487999999811</v>
      </c>
      <c r="H223" s="414">
        <f t="shared" si="136"/>
        <v>-222.78666920000001</v>
      </c>
      <c r="I223" s="414">
        <f t="shared" si="136"/>
        <v>94.227283599999964</v>
      </c>
      <c r="J223" s="414">
        <f t="shared" si="136"/>
        <v>-177.39931600000003</v>
      </c>
      <c r="K223" s="414">
        <f t="shared" si="136"/>
        <v>-125.52497580000001</v>
      </c>
      <c r="L223" s="414">
        <f t="shared" ref="L223:Q223" si="137">SUM(L218:L222)</f>
        <v>143.68363070000004</v>
      </c>
      <c r="M223" s="414">
        <f t="shared" si="137"/>
        <v>-55.302795799999984</v>
      </c>
      <c r="N223" s="414">
        <f t="shared" si="137"/>
        <v>-50.999115600000003</v>
      </c>
      <c r="O223" s="414">
        <f t="shared" si="137"/>
        <v>-44.047947800000003</v>
      </c>
      <c r="P223" s="414">
        <f t="shared" si="137"/>
        <v>-314.77025400000014</v>
      </c>
      <c r="Q223" s="415">
        <f t="shared" si="137"/>
        <v>-432.82039909999997</v>
      </c>
      <c r="R223" s="415"/>
      <c r="S223" s="415"/>
      <c r="T223" s="415"/>
      <c r="U223" s="415"/>
      <c r="V223" s="415"/>
      <c r="W223" s="415"/>
      <c r="X223" s="415"/>
    </row>
    <row r="224" spans="2:24" ht="12.75" customHeight="1">
      <c r="B224" s="9"/>
    </row>
    <row r="225" spans="2:2" ht="12.75" customHeight="1">
      <c r="B225" s="9"/>
    </row>
    <row r="226" spans="2:2" ht="12.75" customHeight="1">
      <c r="B226" s="9"/>
    </row>
    <row r="227" spans="2:2" ht="12.75" customHeight="1">
      <c r="B227" s="9"/>
    </row>
    <row r="228" spans="2:2" ht="12.75" customHeight="1">
      <c r="B228" s="10"/>
    </row>
    <row r="229" spans="2:2" ht="12.75" customHeight="1">
      <c r="B229" s="9"/>
    </row>
    <row r="230" spans="2:2" ht="12.75" customHeight="1">
      <c r="B230" s="9"/>
    </row>
    <row r="231" spans="2:2" ht="12.75" customHeight="1">
      <c r="B231" s="9"/>
    </row>
    <row r="232" spans="2:2" ht="12.75" customHeight="1">
      <c r="B232" s="9"/>
    </row>
    <row r="233" spans="2:2" ht="12.75" customHeight="1">
      <c r="B233" s="9"/>
    </row>
    <row r="234" spans="2:2" ht="12.75" customHeight="1">
      <c r="B234" s="10"/>
    </row>
    <row r="235" spans="2:2" ht="12.75" customHeight="1">
      <c r="B235" s="9"/>
    </row>
    <row r="236" spans="2:2" ht="12.75" customHeight="1">
      <c r="B236" s="9"/>
    </row>
    <row r="237" spans="2:2" ht="12.75" customHeight="1">
      <c r="B237" s="9"/>
    </row>
    <row r="238" spans="2:2" ht="12.75" customHeight="1">
      <c r="B238" s="9"/>
    </row>
    <row r="239" spans="2:2" ht="12.75" customHeight="1">
      <c r="B239" s="11"/>
    </row>
    <row r="240" spans="2:2" ht="12.75" customHeight="1">
      <c r="B240" s="10"/>
    </row>
    <row r="241" spans="2:2" ht="12.75" customHeight="1">
      <c r="B241" s="9"/>
    </row>
    <row r="242" spans="2:2" ht="12.75" customHeight="1">
      <c r="B242" s="9"/>
    </row>
    <row r="243" spans="2:2" ht="12.75" customHeight="1">
      <c r="B243" s="9"/>
    </row>
    <row r="244" spans="2:2" ht="12.75" customHeight="1">
      <c r="B244" s="9"/>
    </row>
    <row r="245" spans="2:2" ht="12.75" customHeight="1">
      <c r="B245" s="8"/>
    </row>
    <row r="246" spans="2:2" ht="12.75" customHeight="1">
      <c r="B246" s="12"/>
    </row>
    <row r="247" spans="2:2" ht="12.75" customHeight="1">
      <c r="B247" s="13"/>
    </row>
    <row r="248" spans="2:2" ht="12.75" customHeight="1">
      <c r="B248" s="9"/>
    </row>
    <row r="249" spans="2:2" ht="12.75" customHeight="1">
      <c r="B249" s="12"/>
    </row>
    <row r="250" spans="2:2" ht="12.75" customHeight="1">
      <c r="B250" s="9"/>
    </row>
    <row r="251" spans="2:2" ht="12.75" customHeight="1">
      <c r="B251" s="9"/>
    </row>
    <row r="252" spans="2:2" ht="12.75" customHeight="1">
      <c r="B252" s="9"/>
    </row>
    <row r="253" spans="2:2" ht="12.75" customHeight="1">
      <c r="B253" s="12"/>
    </row>
    <row r="254" spans="2:2" ht="12.75" customHeight="1">
      <c r="B254" s="8"/>
    </row>
    <row r="255" spans="2:2" ht="12.75" customHeight="1">
      <c r="B255" s="4"/>
    </row>
    <row r="256" spans="2:2" ht="12.75" customHeight="1">
      <c r="B256" s="8"/>
    </row>
    <row r="257" spans="2:2" ht="12.75" customHeight="1">
      <c r="B257" s="8"/>
    </row>
    <row r="258" spans="2:2" ht="12.75" customHeight="1">
      <c r="B258" s="8"/>
    </row>
    <row r="259" spans="2:2" ht="12.75" customHeight="1">
      <c r="B259" s="8"/>
    </row>
    <row r="260" spans="2:2" ht="12.75" customHeight="1">
      <c r="B260" s="8"/>
    </row>
    <row r="261" spans="2:2" ht="12.75" customHeight="1">
      <c r="B261" s="8"/>
    </row>
    <row r="262" spans="2:2" ht="12.75" customHeight="1">
      <c r="B262" s="4"/>
    </row>
    <row r="263" spans="2:2" ht="12.75" customHeight="1">
      <c r="B263" s="8"/>
    </row>
    <row r="264" spans="2:2" ht="12.75" customHeight="1">
      <c r="B264" s="8"/>
    </row>
    <row r="265" spans="2:2" ht="12.75" customHeight="1">
      <c r="B265" s="4"/>
    </row>
    <row r="266" spans="2:2" ht="12.75" customHeight="1">
      <c r="B266" s="8"/>
    </row>
    <row r="267" spans="2:2" ht="12.75" customHeight="1">
      <c r="B267" s="8"/>
    </row>
    <row r="268" spans="2:2" ht="12.75" customHeight="1">
      <c r="B268" s="8"/>
    </row>
    <row r="269" spans="2:2" ht="12.75" customHeight="1">
      <c r="B269" s="8"/>
    </row>
    <row r="270" spans="2:2" ht="12.75" customHeight="1">
      <c r="B270" s="4"/>
    </row>
  </sheetData>
  <sheetProtection selectLockedCells="1"/>
  <conditionalFormatting sqref="B7">
    <cfRule type="cellIs" dxfId="11" priority="1" operator="equal">
      <formula>0</formula>
    </cfRule>
  </conditionalFormatting>
  <dataValidations disablePrompts="1" count="1">
    <dataValidation allowBlank="1" showInputMessage="1" showErrorMessage="1" sqref="B7" xr:uid="{00000000-0002-0000-0600-000000000000}"/>
  </dataValidations>
  <pageMargins left="0.7" right="0.7" top="0.75" bottom="0.75" header="0.3" footer="0.3"/>
  <pageSetup paperSize="9" orientation="portrait" r:id="rId1"/>
  <ignoredErrors>
    <ignoredError sqref="D10:O20 D50:O94 D224:P235 D121:O223 P10:P20 P25:P144" unlockedFormula="1"/>
    <ignoredError sqref="D29:O49 D95:O120 D21:O28 P21:P24" formula="1"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theme="7" tint="0.59999389629810485"/>
  </sheetPr>
  <dimension ref="B7:X98"/>
  <sheetViews>
    <sheetView showGridLines="0" topLeftCell="A4" zoomScale="90" zoomScaleNormal="90" workbookViewId="0">
      <pane xSplit="3" ySplit="6" topLeftCell="D10" activePane="bottomRight" state="frozen"/>
      <selection activeCell="A4" sqref="A4"/>
      <selection pane="topRight" activeCell="D4" sqref="D4"/>
      <selection pane="bottomLeft" activeCell="A10" sqref="A10"/>
      <selection pane="bottomRight" activeCell="X6" sqref="X6"/>
    </sheetView>
  </sheetViews>
  <sheetFormatPr defaultColWidth="9.140625" defaultRowHeight="12.75" customHeight="1"/>
  <cols>
    <col min="1" max="1" width="3.7109375" style="5" customWidth="1"/>
    <col min="2" max="2" width="35.7109375" style="5" customWidth="1"/>
    <col min="3" max="18" width="9.7109375" style="5" customWidth="1"/>
    <col min="19" max="22" width="9.7109375" style="1" customWidth="1"/>
    <col min="23" max="24" width="9.140625" style="1"/>
    <col min="25" max="16384" width="9.140625" style="5"/>
  </cols>
  <sheetData>
    <row r="7" spans="2:24" ht="12.75" customHeight="1" thickBot="1">
      <c r="B7" s="38" t="str">
        <f>ticker</f>
        <v>DXG VN EQUITY</v>
      </c>
      <c r="C7" s="8"/>
      <c r="D7" s="8"/>
      <c r="E7" s="8"/>
      <c r="F7" s="8"/>
      <c r="G7" s="8"/>
      <c r="H7" s="16"/>
      <c r="I7" s="8"/>
      <c r="J7" s="8"/>
    </row>
    <row r="8" spans="2:24" ht="12.75" customHeight="1" thickBot="1">
      <c r="B8" s="4"/>
      <c r="C8" s="8"/>
      <c r="D8" s="301">
        <f ca="1">D16</f>
        <v>2023</v>
      </c>
      <c r="E8" s="302"/>
      <c r="F8" s="302"/>
      <c r="G8" s="302"/>
      <c r="H8" s="301">
        <f ca="1">H16</f>
        <v>2024</v>
      </c>
      <c r="I8" s="302"/>
      <c r="J8" s="302"/>
      <c r="K8" s="457"/>
      <c r="L8" s="78">
        <f ca="1">L16</f>
        <v>2025</v>
      </c>
      <c r="M8" s="299"/>
      <c r="N8" s="299"/>
      <c r="O8" s="300"/>
      <c r="P8" s="470">
        <f ca="1">D8</f>
        <v>2023</v>
      </c>
      <c r="Q8" s="469">
        <f ca="1">H8</f>
        <v>2024</v>
      </c>
      <c r="R8" s="300">
        <f ca="1">L8</f>
        <v>2025</v>
      </c>
      <c r="S8" s="2263" t="s">
        <v>428</v>
      </c>
      <c r="T8" s="2265"/>
      <c r="U8" s="2264" t="s">
        <v>427</v>
      </c>
      <c r="V8" s="2264"/>
      <c r="W8" s="2264"/>
      <c r="X8" s="2265"/>
    </row>
    <row r="9" spans="2:24" ht="12.75" customHeight="1" thickBot="1">
      <c r="B9" s="170" t="s">
        <v>467</v>
      </c>
      <c r="C9" s="171"/>
      <c r="D9" s="166" t="s">
        <v>423</v>
      </c>
      <c r="E9" s="167" t="s">
        <v>424</v>
      </c>
      <c r="F9" s="167" t="s">
        <v>425</v>
      </c>
      <c r="G9" s="167" t="s">
        <v>426</v>
      </c>
      <c r="H9" s="166" t="s">
        <v>423</v>
      </c>
      <c r="I9" s="167" t="s">
        <v>424</v>
      </c>
      <c r="J9" s="167" t="s">
        <v>425</v>
      </c>
      <c r="K9" s="458" t="s">
        <v>426</v>
      </c>
      <c r="L9" s="172" t="s">
        <v>423</v>
      </c>
      <c r="M9" s="168" t="s">
        <v>424</v>
      </c>
      <c r="N9" s="168" t="s">
        <v>425</v>
      </c>
      <c r="O9" s="169" t="s">
        <v>426</v>
      </c>
      <c r="P9" s="172" t="s">
        <v>585</v>
      </c>
      <c r="Q9" s="168" t="s">
        <v>585</v>
      </c>
      <c r="R9" s="169" t="s">
        <v>585</v>
      </c>
      <c r="S9" s="172" t="s">
        <v>11</v>
      </c>
      <c r="T9" s="471" t="s">
        <v>453</v>
      </c>
      <c r="U9" s="168" t="s">
        <v>423</v>
      </c>
      <c r="V9" s="168" t="s">
        <v>424</v>
      </c>
      <c r="W9" s="168" t="s">
        <v>425</v>
      </c>
      <c r="X9" s="169" t="s">
        <v>426</v>
      </c>
    </row>
    <row r="10" spans="2:24" ht="12.75" customHeight="1">
      <c r="B10" s="117" t="s">
        <v>118</v>
      </c>
      <c r="C10" s="118"/>
      <c r="D10" s="445">
        <f t="shared" ref="D10:O10" si="0">IFERROR(D20/D18,0)</f>
        <v>0.88995394327873945</v>
      </c>
      <c r="E10" s="446">
        <f t="shared" si="0"/>
        <v>0.51117167723154178</v>
      </c>
      <c r="F10" s="446">
        <f t="shared" si="0"/>
        <v>0.41597891784317048</v>
      </c>
      <c r="G10" s="446">
        <f t="shared" si="0"/>
        <v>0.41222002150453829</v>
      </c>
      <c r="H10" s="445">
        <f t="shared" si="0"/>
        <v>0.59852359512075837</v>
      </c>
      <c r="I10" s="446">
        <f t="shared" si="0"/>
        <v>0.52994881419823037</v>
      </c>
      <c r="J10" s="446">
        <f t="shared" si="0"/>
        <v>0.82124366609804011</v>
      </c>
      <c r="K10" s="459">
        <f t="shared" si="0"/>
        <v>0.62640126638367521</v>
      </c>
      <c r="L10" s="447">
        <f t="shared" si="0"/>
        <v>0.53494070003592453</v>
      </c>
      <c r="M10" s="448">
        <f t="shared" si="0"/>
        <v>0.70806485850588785</v>
      </c>
      <c r="N10" s="448">
        <f t="shared" si="0"/>
        <v>0.6501308211317659</v>
      </c>
      <c r="O10" s="449">
        <f t="shared" si="0"/>
        <v>0.5519251238385835</v>
      </c>
      <c r="P10" s="439">
        <f>P20/P18</f>
        <v>0.47802567973078497</v>
      </c>
      <c r="Q10" s="450">
        <f>Q20/Q18</f>
        <v>0.60109822880872132</v>
      </c>
      <c r="R10" s="451">
        <f>R20/R18</f>
        <v>0.59625986103587925</v>
      </c>
      <c r="S10" s="439"/>
      <c r="T10" s="440">
        <f>L10-S10</f>
        <v>0.53494070003592453</v>
      </c>
      <c r="U10" s="441">
        <f t="shared" ref="U10:X14" si="1">IFERROR(IF(L10&lt;&gt;0,L10/H10-1,0),0)</f>
        <v>-0.10623289641907152</v>
      </c>
      <c r="V10" s="441">
        <f t="shared" si="1"/>
        <v>0.33610046769730517</v>
      </c>
      <c r="W10" s="441">
        <f t="shared" si="1"/>
        <v>-0.20835819139924638</v>
      </c>
      <c r="X10" s="440">
        <f t="shared" si="1"/>
        <v>-0.11889526177853316</v>
      </c>
    </row>
    <row r="11" spans="2:24" ht="12.75" customHeight="1">
      <c r="B11" s="117" t="s">
        <v>422</v>
      </c>
      <c r="C11" s="118"/>
      <c r="D11" s="445">
        <f t="shared" ref="D11:O11" si="2">IFERROR(D23/D18,0)</f>
        <v>0.1401262393234054</v>
      </c>
      <c r="E11" s="446">
        <f t="shared" si="2"/>
        <v>0.16823484627203317</v>
      </c>
      <c r="F11" s="446">
        <f t="shared" si="2"/>
        <v>0.21557516980770072</v>
      </c>
      <c r="G11" s="446">
        <f t="shared" si="2"/>
        <v>0.13533318052177906</v>
      </c>
      <c r="H11" s="445">
        <f t="shared" si="2"/>
        <v>-1.7930099172963781E-3</v>
      </c>
      <c r="I11" s="446">
        <f t="shared" si="2"/>
        <v>0.21038031320341677</v>
      </c>
      <c r="J11" s="446">
        <f t="shared" si="2"/>
        <v>-0.13900383656071441</v>
      </c>
      <c r="K11" s="459">
        <f t="shared" si="2"/>
        <v>0.30280826407492634</v>
      </c>
      <c r="L11" s="439">
        <f t="shared" si="2"/>
        <v>0.29791364464632658</v>
      </c>
      <c r="M11" s="450">
        <f t="shared" si="2"/>
        <v>0.44012864379651401</v>
      </c>
      <c r="N11" s="450">
        <f t="shared" si="2"/>
        <v>0.16161435585663353</v>
      </c>
      <c r="O11" s="451">
        <f t="shared" si="2"/>
        <v>0.32091500276549351</v>
      </c>
      <c r="P11" s="439">
        <f>P23/P18</f>
        <v>0.17389666639986984</v>
      </c>
      <c r="Q11" s="450">
        <f>Q23/Q18</f>
        <v>0.18153146846525978</v>
      </c>
      <c r="R11" s="451">
        <f>R23/R18</f>
        <v>0.32633637724491676</v>
      </c>
      <c r="S11" s="439"/>
      <c r="T11" s="440">
        <f>L11-S11</f>
        <v>0.29791364464632658</v>
      </c>
      <c r="U11" s="441">
        <f t="shared" si="1"/>
        <v>-167.15281475717711</v>
      </c>
      <c r="V11" s="441">
        <f t="shared" si="1"/>
        <v>1.0920619286793891</v>
      </c>
      <c r="W11" s="441">
        <f t="shared" si="1"/>
        <v>-2.1626611168105656</v>
      </c>
      <c r="X11" s="440">
        <f t="shared" si="1"/>
        <v>5.9796051953479257E-2</v>
      </c>
    </row>
    <row r="12" spans="2:24" ht="12.75" customHeight="1">
      <c r="B12" s="81" t="s">
        <v>4</v>
      </c>
      <c r="C12" s="118"/>
      <c r="D12" s="445">
        <f t="shared" ref="D12:O12" si="3">IFERROR(D34/D18,0)</f>
        <v>0.18489131799364852</v>
      </c>
      <c r="E12" s="446">
        <f t="shared" si="3"/>
        <v>0.16404183197455172</v>
      </c>
      <c r="F12" s="446">
        <f t="shared" si="3"/>
        <v>0.23098992826162759</v>
      </c>
      <c r="G12" s="446">
        <f t="shared" si="3"/>
        <v>0.23494020906566757</v>
      </c>
      <c r="H12" s="445">
        <f t="shared" si="3"/>
        <v>4.2053827203130174E-2</v>
      </c>
      <c r="I12" s="446">
        <f t="shared" si="3"/>
        <v>0.22420107131700756</v>
      </c>
      <c r="J12" s="446">
        <f t="shared" si="3"/>
        <v>1.28549190577037</v>
      </c>
      <c r="K12" s="459">
        <f t="shared" si="3"/>
        <v>0.41186130398176257</v>
      </c>
      <c r="L12" s="439">
        <f t="shared" si="3"/>
        <v>0.34395228006203754</v>
      </c>
      <c r="M12" s="450">
        <f t="shared" si="3"/>
        <v>0.51345190408896624</v>
      </c>
      <c r="N12" s="450">
        <f t="shared" si="3"/>
        <v>0.30416110169104132</v>
      </c>
      <c r="O12" s="451">
        <f t="shared" si="3"/>
        <v>0.70031070474866741</v>
      </c>
      <c r="P12" s="439">
        <f>P34/P18</f>
        <v>0.21246498514122517</v>
      </c>
      <c r="Q12" s="450">
        <f>Q34/Q18</f>
        <v>0.36292267556840763</v>
      </c>
      <c r="R12" s="451">
        <f>R34/R18</f>
        <v>0.54686896012023134</v>
      </c>
      <c r="S12" s="439"/>
      <c r="T12" s="440">
        <f>L12-S12</f>
        <v>0.34395228006203754</v>
      </c>
      <c r="U12" s="441">
        <f t="shared" si="1"/>
        <v>7.178857976484867</v>
      </c>
      <c r="V12" s="441">
        <f t="shared" si="1"/>
        <v>1.2901402793163932</v>
      </c>
      <c r="W12" s="441">
        <f t="shared" si="1"/>
        <v>-0.76338932954325878</v>
      </c>
      <c r="X12" s="440">
        <f t="shared" si="1"/>
        <v>0.70035567308279467</v>
      </c>
    </row>
    <row r="13" spans="2:24" ht="12.75" customHeight="1">
      <c r="B13" s="81" t="s">
        <v>452</v>
      </c>
      <c r="C13" s="118"/>
      <c r="D13" s="445">
        <f t="shared" ref="D13:O13" si="4">IFERROR(D26/D18,0)</f>
        <v>0.18489131799364852</v>
      </c>
      <c r="E13" s="446">
        <f t="shared" si="4"/>
        <v>0.16404183197455172</v>
      </c>
      <c r="F13" s="446">
        <f t="shared" si="4"/>
        <v>0.23098992826162759</v>
      </c>
      <c r="G13" s="446">
        <f t="shared" si="4"/>
        <v>0.23494020906566757</v>
      </c>
      <c r="H13" s="445">
        <f t="shared" si="4"/>
        <v>3.8848318573173286E-2</v>
      </c>
      <c r="I13" s="446">
        <f t="shared" si="4"/>
        <v>0.22105360773088356</v>
      </c>
      <c r="J13" s="446">
        <f t="shared" si="4"/>
        <v>1.2562469629363933</v>
      </c>
      <c r="K13" s="459">
        <f t="shared" si="4"/>
        <v>0.39569837095307647</v>
      </c>
      <c r="L13" s="439">
        <f t="shared" si="4"/>
        <v>0.31237905958821094</v>
      </c>
      <c r="M13" s="450">
        <f t="shared" si="4"/>
        <v>0.48829588086459808</v>
      </c>
      <c r="N13" s="450">
        <f t="shared" si="4"/>
        <v>0.26600987533647741</v>
      </c>
      <c r="O13" s="451">
        <f t="shared" si="4"/>
        <v>0.69068494447506412</v>
      </c>
      <c r="P13" s="439">
        <f>P26/P18</f>
        <v>0.21246498514122517</v>
      </c>
      <c r="Q13" s="450">
        <f>Q26/Q18</f>
        <v>0.35269117776637049</v>
      </c>
      <c r="R13" s="451">
        <f>R26/R18</f>
        <v>0.5263897629276757</v>
      </c>
      <c r="S13" s="439"/>
      <c r="T13" s="440">
        <f>L13-S13</f>
        <v>0.31237905958821094</v>
      </c>
      <c r="U13" s="441">
        <f t="shared" si="1"/>
        <v>7.0409930483818766</v>
      </c>
      <c r="V13" s="441">
        <f t="shared" si="1"/>
        <v>1.2089478017434678</v>
      </c>
      <c r="W13" s="441">
        <f t="shared" si="1"/>
        <v>-0.78825033358512797</v>
      </c>
      <c r="X13" s="440">
        <f t="shared" si="1"/>
        <v>0.7454834166021076</v>
      </c>
    </row>
    <row r="14" spans="2:24" ht="12.75" customHeight="1" thickBot="1">
      <c r="B14" s="119" t="s">
        <v>455</v>
      </c>
      <c r="C14" s="120"/>
      <c r="D14" s="452">
        <f t="shared" ref="D14:O14" si="5">IFERROR(D32/D18,0)</f>
        <v>7.3557385360960653E-2</v>
      </c>
      <c r="E14" s="453">
        <f t="shared" si="5"/>
        <v>5.9949701172853524E-2</v>
      </c>
      <c r="F14" s="453">
        <f t="shared" si="5"/>
        <v>0.16668585907522218</v>
      </c>
      <c r="G14" s="453">
        <f t="shared" si="5"/>
        <v>0.19944565129177425</v>
      </c>
      <c r="H14" s="452">
        <f t="shared" si="5"/>
        <v>2.8801979682599836E-2</v>
      </c>
      <c r="I14" s="453">
        <f t="shared" si="5"/>
        <v>0.14436670822516784</v>
      </c>
      <c r="J14" s="453">
        <f t="shared" si="5"/>
        <v>0.96025547731011496</v>
      </c>
      <c r="K14" s="460">
        <f t="shared" si="5"/>
        <v>0.25279770607902841</v>
      </c>
      <c r="L14" s="442">
        <f t="shared" si="5"/>
        <v>0.23072886856581312</v>
      </c>
      <c r="M14" s="454">
        <f t="shared" si="5"/>
        <v>0.2663378095249212</v>
      </c>
      <c r="N14" s="454">
        <f t="shared" si="5"/>
        <v>1.6844520096427992E-2</v>
      </c>
      <c r="O14" s="455">
        <f t="shared" si="5"/>
        <v>0.47851992432375884</v>
      </c>
      <c r="P14" s="442">
        <f>P32/P18</f>
        <v>0.14339410981902437</v>
      </c>
      <c r="Q14" s="454">
        <f>Q32/Q18</f>
        <v>0.24158241045978893</v>
      </c>
      <c r="R14" s="455">
        <f>R32/R18</f>
        <v>0.33157033366096178</v>
      </c>
      <c r="S14" s="442"/>
      <c r="T14" s="443">
        <f>L14-S14</f>
        <v>0.23072886856581312</v>
      </c>
      <c r="U14" s="444">
        <f t="shared" si="1"/>
        <v>7.0108683885088485</v>
      </c>
      <c r="V14" s="444">
        <f t="shared" si="1"/>
        <v>0.84487000361271525</v>
      </c>
      <c r="W14" s="444">
        <f t="shared" si="1"/>
        <v>-0.98245829313714184</v>
      </c>
      <c r="X14" s="443">
        <f t="shared" si="1"/>
        <v>0.89289662373030487</v>
      </c>
    </row>
    <row r="15" spans="2:24" ht="12.75" customHeight="1" thickBot="1">
      <c r="B15" s="38"/>
      <c r="C15" s="8"/>
      <c r="D15" s="8"/>
      <c r="E15" s="8"/>
      <c r="F15" s="8"/>
      <c r="G15" s="8"/>
      <c r="H15" s="16"/>
      <c r="I15" s="8"/>
      <c r="J15" s="8"/>
    </row>
    <row r="16" spans="2:24" ht="12.75" customHeight="1" thickBot="1">
      <c r="B16" s="15" t="s">
        <v>0</v>
      </c>
      <c r="C16" s="121"/>
      <c r="D16" s="301">
        <f ca="1">year - 2</f>
        <v>2023</v>
      </c>
      <c r="E16" s="461"/>
      <c r="F16" s="461"/>
      <c r="G16" s="462"/>
      <c r="H16" s="301">
        <f ca="1">year-1</f>
        <v>2024</v>
      </c>
      <c r="I16" s="302"/>
      <c r="J16" s="302"/>
      <c r="K16" s="457"/>
      <c r="L16" s="78">
        <f ca="1">year</f>
        <v>2025</v>
      </c>
      <c r="M16" s="299"/>
      <c r="N16" s="299"/>
      <c r="O16" s="300"/>
      <c r="P16" s="469">
        <f ca="1">P8</f>
        <v>2023</v>
      </c>
      <c r="Q16" s="469">
        <f ca="1">Q8</f>
        <v>2024</v>
      </c>
      <c r="R16" s="300">
        <f ca="1">R8</f>
        <v>2025</v>
      </c>
      <c r="S16" s="2263" t="s">
        <v>428</v>
      </c>
      <c r="T16" s="2265"/>
      <c r="U16" s="2263" t="s">
        <v>427</v>
      </c>
      <c r="V16" s="2264"/>
      <c r="W16" s="2264"/>
      <c r="X16" s="2265"/>
    </row>
    <row r="17" spans="2:24" ht="12.75" customHeight="1" thickBot="1">
      <c r="B17" s="122" t="s">
        <v>474</v>
      </c>
      <c r="C17" s="165"/>
      <c r="D17" s="166" t="s">
        <v>423</v>
      </c>
      <c r="E17" s="167" t="s">
        <v>424</v>
      </c>
      <c r="F17" s="167" t="s">
        <v>425</v>
      </c>
      <c r="G17" s="458" t="s">
        <v>426</v>
      </c>
      <c r="H17" s="166" t="s">
        <v>423</v>
      </c>
      <c r="I17" s="167" t="s">
        <v>424</v>
      </c>
      <c r="J17" s="167" t="s">
        <v>425</v>
      </c>
      <c r="K17" s="458" t="s">
        <v>426</v>
      </c>
      <c r="L17" s="172" t="s">
        <v>423</v>
      </c>
      <c r="M17" s="168" t="s">
        <v>424</v>
      </c>
      <c r="N17" s="168" t="s">
        <v>425</v>
      </c>
      <c r="O17" s="169" t="s">
        <v>426</v>
      </c>
      <c r="P17" s="436"/>
      <c r="Q17" s="436"/>
      <c r="R17" s="169"/>
      <c r="S17" s="172" t="s">
        <v>11</v>
      </c>
      <c r="T17" s="169" t="s">
        <v>429</v>
      </c>
      <c r="U17" s="172" t="s">
        <v>423</v>
      </c>
      <c r="V17" s="168" t="s">
        <v>424</v>
      </c>
      <c r="W17" s="168" t="s">
        <v>425</v>
      </c>
      <c r="X17" s="169" t="s">
        <v>426</v>
      </c>
    </row>
    <row r="18" spans="2:24" ht="12.75" customHeight="1">
      <c r="B18" s="164" t="s">
        <v>26</v>
      </c>
      <c r="C18" s="107"/>
      <c r="D18" s="433">
        <f>'FS QTR'!D10</f>
        <v>34.725550499999997</v>
      </c>
      <c r="E18" s="287">
        <f>'FS QTR'!E10</f>
        <v>94.877759000000012</v>
      </c>
      <c r="F18" s="287">
        <f>'FS QTR'!F10</f>
        <v>152.94241600000001</v>
      </c>
      <c r="G18" s="463">
        <f>'FS QTR'!G10</f>
        <v>120.95725849999999</v>
      </c>
      <c r="H18" s="433">
        <f>'FS QTR'!H10</f>
        <v>48.773071000000002</v>
      </c>
      <c r="I18" s="287">
        <f>'FS QTR'!I10</f>
        <v>139.0551433</v>
      </c>
      <c r="J18" s="287">
        <f>'FS QTR'!J10</f>
        <v>31.3242534</v>
      </c>
      <c r="K18" s="463">
        <f>'FS QTR'!K10</f>
        <v>123.4386727</v>
      </c>
      <c r="L18" s="433">
        <f>'FS QTR'!L10</f>
        <v>92.389558499999993</v>
      </c>
      <c r="M18" s="287">
        <f>'FS QTR'!M10</f>
        <v>117.63306440000001</v>
      </c>
      <c r="N18" s="287">
        <f>'FS QTR'!N10</f>
        <v>57.464836900000002</v>
      </c>
      <c r="O18" s="463">
        <f>'FS QTR'!O10</f>
        <v>238.69319769999998</v>
      </c>
      <c r="P18" s="287">
        <f>SUM(D18:G18)</f>
        <v>403.50298399999997</v>
      </c>
      <c r="Q18" s="287">
        <f>SUM(H18:K18)</f>
        <v>342.59114040000003</v>
      </c>
      <c r="R18" s="287">
        <f>SUM(L18:O18)</f>
        <v>506.1806575</v>
      </c>
      <c r="S18" s="267" t="e">
        <f>'P&amp;L'!#REF!</f>
        <v>#REF!</v>
      </c>
      <c r="T18" s="437">
        <f>IFERROR(R18/S18,0)</f>
        <v>0</v>
      </c>
      <c r="U18" s="427">
        <f t="shared" ref="U18:U36" si="6">IF(L18&lt;&gt;0,L18/H18-1,0)</f>
        <v>0.89427396318759556</v>
      </c>
      <c r="V18" s="428">
        <f t="shared" ref="V18:V36" si="7">IF(M18&lt;&gt;0,M18/I18-1,0)</f>
        <v>-0.15405455987905192</v>
      </c>
      <c r="W18" s="428">
        <f t="shared" ref="W18:W36" si="8">IF(N18&lt;&gt;0,N18/J18-1,0)</f>
        <v>0.83451577173105118</v>
      </c>
      <c r="X18" s="429">
        <f t="shared" ref="X18:X36" si="9">IF(O18&lt;&gt;0,O18/K18-1,0)</f>
        <v>0.93369867383546468</v>
      </c>
    </row>
    <row r="19" spans="2:24" ht="12.75" customHeight="1">
      <c r="B19" s="123" t="s">
        <v>27</v>
      </c>
      <c r="C19" s="18"/>
      <c r="D19" s="433">
        <f>'FS QTR'!D11</f>
        <v>-3.8214098999999999</v>
      </c>
      <c r="E19" s="287">
        <f>'FS QTR'!E11</f>
        <v>-46.378935800000001</v>
      </c>
      <c r="F19" s="287">
        <f>'FS QTR'!F11</f>
        <v>-89.321595299999998</v>
      </c>
      <c r="G19" s="463">
        <f>'FS QTR'!G11</f>
        <v>-71.096254799999997</v>
      </c>
      <c r="H19" s="433">
        <f>'FS QTR'!H11</f>
        <v>-19.5812372</v>
      </c>
      <c r="I19" s="287">
        <f>'FS QTR'!I11</f>
        <v>-65.363034999999996</v>
      </c>
      <c r="J19" s="287">
        <f>'FS QTR'!J11</f>
        <v>-5.5994086999999997</v>
      </c>
      <c r="K19" s="463">
        <f>'FS QTR'!K11</f>
        <v>-46.116531799999997</v>
      </c>
      <c r="L19" s="433">
        <f>'FS QTR'!L11</f>
        <v>-42.966623399999996</v>
      </c>
      <c r="M19" s="287">
        <f>'FS QTR'!M11</f>
        <v>-34.341225299999998</v>
      </c>
      <c r="N19" s="287">
        <f>'FS QTR'!N11</f>
        <v>-20.105175299999999</v>
      </c>
      <c r="O19" s="463">
        <f>'FS QTR'!O11</f>
        <v>-106.95242500000001</v>
      </c>
      <c r="P19" s="287">
        <f t="shared" ref="P19:P36" si="10">SUM(D19:G19)</f>
        <v>-210.6181958</v>
      </c>
      <c r="Q19" s="287">
        <f t="shared" ref="Q19:Q36" si="11">SUM(H19:K19)</f>
        <v>-136.66021269999999</v>
      </c>
      <c r="R19" s="287">
        <f t="shared" ref="R19:R36" si="12">SUM(L19:O19)</f>
        <v>-204.36544900000001</v>
      </c>
      <c r="S19" s="267" t="e">
        <f>'P&amp;L'!#REF!</f>
        <v>#REF!</v>
      </c>
      <c r="T19" s="437">
        <f t="shared" ref="T19:T36" si="13">IFERROR(R19/S19,0)</f>
        <v>0</v>
      </c>
      <c r="U19" s="427">
        <f t="shared" si="6"/>
        <v>1.1942752115785611</v>
      </c>
      <c r="V19" s="428">
        <f t="shared" si="7"/>
        <v>-0.4746078528942238</v>
      </c>
      <c r="W19" s="428">
        <f t="shared" si="8"/>
        <v>2.5905890027280916</v>
      </c>
      <c r="X19" s="429">
        <f t="shared" si="9"/>
        <v>1.3191775449167671</v>
      </c>
    </row>
    <row r="20" spans="2:24" ht="12.75" customHeight="1">
      <c r="B20" s="123" t="s">
        <v>28</v>
      </c>
      <c r="C20" s="18"/>
      <c r="D20" s="433">
        <f>'FS QTR'!D12</f>
        <v>30.904140599999998</v>
      </c>
      <c r="E20" s="287">
        <f>'FS QTR'!E12</f>
        <v>48.498823200000011</v>
      </c>
      <c r="F20" s="287">
        <f>'FS QTR'!F12</f>
        <v>63.62082070000001</v>
      </c>
      <c r="G20" s="463">
        <f>'FS QTR'!G12</f>
        <v>49.861003699999998</v>
      </c>
      <c r="H20" s="433">
        <f>'FS QTR'!H12</f>
        <v>29.191833800000001</v>
      </c>
      <c r="I20" s="287">
        <f>'FS QTR'!I12</f>
        <v>73.692108300000001</v>
      </c>
      <c r="J20" s="287">
        <f>'FS QTR'!J12</f>
        <v>25.724844699999998</v>
      </c>
      <c r="K20" s="463">
        <f>'FS QTR'!K12</f>
        <v>77.322140899999994</v>
      </c>
      <c r="L20" s="433">
        <f>'FS QTR'!L12</f>
        <v>49.422935099999997</v>
      </c>
      <c r="M20" s="287">
        <f>'FS QTR'!M12</f>
        <v>83.291839100000004</v>
      </c>
      <c r="N20" s="287">
        <f>'FS QTR'!N12</f>
        <v>37.359661600000003</v>
      </c>
      <c r="O20" s="463">
        <f>'FS QTR'!O12</f>
        <v>131.74077269999998</v>
      </c>
      <c r="P20" s="287">
        <f t="shared" si="10"/>
        <v>192.88478820000003</v>
      </c>
      <c r="Q20" s="287">
        <f t="shared" si="11"/>
        <v>205.93092769999998</v>
      </c>
      <c r="R20" s="287">
        <f t="shared" si="12"/>
        <v>301.81520849999998</v>
      </c>
      <c r="S20" s="267" t="e">
        <f>'P&amp;L'!#REF!</f>
        <v>#REF!</v>
      </c>
      <c r="T20" s="437">
        <f t="shared" si="13"/>
        <v>0</v>
      </c>
      <c r="U20" s="427">
        <f t="shared" si="6"/>
        <v>0.69303975346694369</v>
      </c>
      <c r="V20" s="428">
        <f t="shared" si="7"/>
        <v>0.13026809819200147</v>
      </c>
      <c r="W20" s="428">
        <f t="shared" si="8"/>
        <v>0.45227938343977669</v>
      </c>
      <c r="X20" s="429">
        <f t="shared" si="9"/>
        <v>0.70379106380899481</v>
      </c>
    </row>
    <row r="21" spans="2:24" ht="12.75" customHeight="1">
      <c r="B21" s="117" t="s">
        <v>29</v>
      </c>
      <c r="C21" s="15"/>
      <c r="D21" s="433">
        <f>'FS QTR'!D13</f>
        <v>-6.7188995</v>
      </c>
      <c r="E21" s="287">
        <f>'FS QTR'!E13</f>
        <v>-13.199600700000001</v>
      </c>
      <c r="F21" s="287">
        <f>'FS QTR'!F13</f>
        <v>-11.821989</v>
      </c>
      <c r="G21" s="463">
        <f>'FS QTR'!G13</f>
        <v>-12.3052355</v>
      </c>
      <c r="H21" s="433">
        <f>'FS QTR'!H13</f>
        <v>-11.6435137</v>
      </c>
      <c r="I21" s="287">
        <f>'FS QTR'!I13</f>
        <v>-26.212991300000002</v>
      </c>
      <c r="J21" s="287">
        <f>'FS QTR'!J13</f>
        <v>-10.0771964</v>
      </c>
      <c r="K21" s="463">
        <f>'FS QTR'!K13</f>
        <v>-14.560108099999999</v>
      </c>
      <c r="L21" s="433">
        <f>'FS QTR'!L13</f>
        <v>-6.8286184999999993</v>
      </c>
      <c r="M21" s="287">
        <f>'FS QTR'!M13</f>
        <v>-12.496487399999999</v>
      </c>
      <c r="N21" s="287">
        <f>'FS QTR'!N13</f>
        <v>-10.398006199999999</v>
      </c>
      <c r="O21" s="463">
        <f>'FS QTR'!O13</f>
        <v>-24.579357599999998</v>
      </c>
      <c r="P21" s="287">
        <f t="shared" si="10"/>
        <v>-44.045724700000001</v>
      </c>
      <c r="Q21" s="287">
        <f t="shared" si="11"/>
        <v>-62.493809499999998</v>
      </c>
      <c r="R21" s="287">
        <f t="shared" si="12"/>
        <v>-54.302469699999989</v>
      </c>
      <c r="S21" s="267" t="e">
        <f>'P&amp;L'!#REF!</f>
        <v>#REF!</v>
      </c>
      <c r="T21" s="437">
        <f t="shared" si="13"/>
        <v>0</v>
      </c>
      <c r="U21" s="427">
        <f t="shared" si="6"/>
        <v>-0.41352596166911371</v>
      </c>
      <c r="V21" s="428">
        <f t="shared" si="7"/>
        <v>-0.5232712185732119</v>
      </c>
      <c r="W21" s="428">
        <f t="shared" si="8"/>
        <v>3.1835223534990353E-2</v>
      </c>
      <c r="X21" s="429">
        <f t="shared" si="9"/>
        <v>0.68813015886880669</v>
      </c>
    </row>
    <row r="22" spans="2:24" ht="12.75" customHeight="1">
      <c r="B22" s="117" t="s">
        <v>30</v>
      </c>
      <c r="C22" s="15"/>
      <c r="D22" s="433">
        <f>'FS QTR'!D14</f>
        <v>-19.319280299999999</v>
      </c>
      <c r="E22" s="287">
        <f>'FS QTR'!E14</f>
        <v>-19.3374773</v>
      </c>
      <c r="F22" s="287">
        <f>'FS QTR'!F14</f>
        <v>-18.828244399999999</v>
      </c>
      <c r="G22" s="463">
        <f>'FS QTR'!G14</f>
        <v>-21.186237700000003</v>
      </c>
      <c r="H22" s="433">
        <f>'FS QTR'!H14</f>
        <v>-17.635770700000002</v>
      </c>
      <c r="I22" s="287">
        <f>'FS QTR'!I14</f>
        <v>-18.2246524</v>
      </c>
      <c r="J22" s="287">
        <f>'FS QTR'!J14</f>
        <v>-20.001839700000001</v>
      </c>
      <c r="K22" s="463">
        <f>'FS QTR'!K14</f>
        <v>-25.3837826</v>
      </c>
      <c r="L22" s="433">
        <f>'FS QTR'!L14</f>
        <v>-15.070206499999999</v>
      </c>
      <c r="M22" s="287">
        <f>'FS QTR'!M14</f>
        <v>-19.0216706</v>
      </c>
      <c r="N22" s="287">
        <f>'FS QTR'!N14</f>
        <v>-17.674512799999999</v>
      </c>
      <c r="O22" s="463">
        <f>'FS QTR'!O14</f>
        <v>-30.561186899999999</v>
      </c>
      <c r="P22" s="287">
        <f t="shared" si="10"/>
        <v>-78.671239700000001</v>
      </c>
      <c r="Q22" s="287">
        <f t="shared" si="11"/>
        <v>-81.246045400000014</v>
      </c>
      <c r="R22" s="287">
        <f t="shared" si="12"/>
        <v>-82.327576799999989</v>
      </c>
      <c r="S22" s="267" t="e">
        <f>'P&amp;L'!#REF!</f>
        <v>#REF!</v>
      </c>
      <c r="T22" s="437">
        <f t="shared" si="13"/>
        <v>0</v>
      </c>
      <c r="U22" s="427">
        <f t="shared" si="6"/>
        <v>-0.14547502593691597</v>
      </c>
      <c r="V22" s="428">
        <f t="shared" si="7"/>
        <v>4.3732971280154631E-2</v>
      </c>
      <c r="W22" s="428">
        <f t="shared" si="8"/>
        <v>-0.11635564202626836</v>
      </c>
      <c r="X22" s="429">
        <f t="shared" si="9"/>
        <v>0.20396504262528614</v>
      </c>
    </row>
    <row r="23" spans="2:24" ht="12.75" customHeight="1">
      <c r="B23" s="123" t="s">
        <v>287</v>
      </c>
      <c r="C23" s="18"/>
      <c r="D23" s="433">
        <f>'FS QTR'!D15</f>
        <v>4.8659607999999999</v>
      </c>
      <c r="E23" s="287">
        <f>'FS QTR'!E15</f>
        <v>15.961745200000014</v>
      </c>
      <c r="F23" s="287">
        <f>'FS QTR'!F15</f>
        <v>32.970587300000005</v>
      </c>
      <c r="G23" s="463">
        <f>'FS QTR'!G15</f>
        <v>16.369530499999993</v>
      </c>
      <c r="H23" s="433">
        <f>'FS QTR'!H15</f>
        <v>-8.7450600000000378E-2</v>
      </c>
      <c r="I23" s="287">
        <f>'FS QTR'!I15</f>
        <v>29.254464600000002</v>
      </c>
      <c r="J23" s="287">
        <f>'FS QTR'!J15</f>
        <v>-4.354191400000003</v>
      </c>
      <c r="K23" s="463">
        <f>'FS QTR'!K15</f>
        <v>37.378250199999997</v>
      </c>
      <c r="L23" s="433">
        <f>'FS QTR'!L15</f>
        <v>27.524110100000001</v>
      </c>
      <c r="M23" s="287">
        <f>'FS QTR'!M15</f>
        <v>51.773681099999997</v>
      </c>
      <c r="N23" s="287">
        <f>'FS QTR'!N15</f>
        <v>9.2871426000000064</v>
      </c>
      <c r="O23" s="463">
        <f>'FS QTR'!O15</f>
        <v>76.600228199999989</v>
      </c>
      <c r="P23" s="287">
        <f t="shared" si="10"/>
        <v>70.167823800000008</v>
      </c>
      <c r="Q23" s="287">
        <f t="shared" si="11"/>
        <v>62.191072799999993</v>
      </c>
      <c r="R23" s="287">
        <f t="shared" si="12"/>
        <v>165.18516199999999</v>
      </c>
      <c r="S23" s="267" t="e">
        <f>'P&amp;L'!#REF!</f>
        <v>#REF!</v>
      </c>
      <c r="T23" s="437">
        <f t="shared" si="13"/>
        <v>0</v>
      </c>
      <c r="U23" s="427">
        <f t="shared" si="6"/>
        <v>-315.73895090485235</v>
      </c>
      <c r="V23" s="428">
        <f t="shared" si="7"/>
        <v>0.76977024901696511</v>
      </c>
      <c r="W23" s="428">
        <f t="shared" si="8"/>
        <v>-3.1329201559674202</v>
      </c>
      <c r="X23" s="429">
        <f t="shared" si="9"/>
        <v>1.0493262201985045</v>
      </c>
    </row>
    <row r="24" spans="2:24" ht="12.75" customHeight="1">
      <c r="B24" s="123" t="s">
        <v>32</v>
      </c>
      <c r="C24" s="18"/>
      <c r="D24" s="433">
        <f>'FS QTR'!D16</f>
        <v>0</v>
      </c>
      <c r="E24" s="287">
        <f>'FS QTR'!E16</f>
        <v>0</v>
      </c>
      <c r="F24" s="287">
        <f>'FS QTR'!F16</f>
        <v>0</v>
      </c>
      <c r="G24" s="463">
        <f>'FS QTR'!G16</f>
        <v>0</v>
      </c>
      <c r="H24" s="433">
        <f>'FS QTR'!H16</f>
        <v>0</v>
      </c>
      <c r="I24" s="287">
        <f>'FS QTR'!I16</f>
        <v>0</v>
      </c>
      <c r="J24" s="287">
        <f>'FS QTR'!J16</f>
        <v>0</v>
      </c>
      <c r="K24" s="463">
        <f>'FS QTR'!K16</f>
        <v>0</v>
      </c>
      <c r="L24" s="433">
        <f>'FS QTR'!L16</f>
        <v>0</v>
      </c>
      <c r="M24" s="287">
        <f>'FS QTR'!M16</f>
        <v>0</v>
      </c>
      <c r="N24" s="287">
        <f>'FS QTR'!N16</f>
        <v>0</v>
      </c>
      <c r="O24" s="463">
        <f>'FS QTR'!O16</f>
        <v>0</v>
      </c>
      <c r="P24" s="287">
        <f t="shared" si="10"/>
        <v>0</v>
      </c>
      <c r="Q24" s="287">
        <f t="shared" si="11"/>
        <v>0</v>
      </c>
      <c r="R24" s="287">
        <f t="shared" si="12"/>
        <v>0</v>
      </c>
      <c r="S24" s="267" t="e">
        <f>'P&amp;L'!#REF!</f>
        <v>#REF!</v>
      </c>
      <c r="T24" s="437">
        <f t="shared" si="13"/>
        <v>0</v>
      </c>
      <c r="U24" s="427">
        <f t="shared" si="6"/>
        <v>0</v>
      </c>
      <c r="V24" s="428">
        <f t="shared" si="7"/>
        <v>0</v>
      </c>
      <c r="W24" s="428">
        <f t="shared" si="8"/>
        <v>0</v>
      </c>
      <c r="X24" s="429">
        <f t="shared" si="9"/>
        <v>0</v>
      </c>
    </row>
    <row r="25" spans="2:24" ht="12.75" customHeight="1">
      <c r="B25" s="102" t="s">
        <v>230</v>
      </c>
      <c r="C25" s="8"/>
      <c r="D25" s="433">
        <f>'FS QTR'!D17</f>
        <v>1.554492</v>
      </c>
      <c r="E25" s="287">
        <f>'FS QTR'!E17</f>
        <v>-0.39782380000000001</v>
      </c>
      <c r="F25" s="287">
        <f>'FS QTR'!F17</f>
        <v>2.3575704000000002</v>
      </c>
      <c r="G25" s="463">
        <f>'FS QTR'!G17</f>
        <v>12.048193100000001</v>
      </c>
      <c r="H25" s="433">
        <f>'FS QTR'!H17</f>
        <v>1.9822023999999998</v>
      </c>
      <c r="I25" s="287">
        <f>'FS QTR'!I17</f>
        <v>1.4841765</v>
      </c>
      <c r="J25" s="287">
        <f>'FS QTR'!J17</f>
        <v>43.705189599999997</v>
      </c>
      <c r="K25" s="463">
        <f>'FS QTR'!K17</f>
        <v>11.466231499999999</v>
      </c>
      <c r="L25" s="433">
        <f>'FS QTR'!L17</f>
        <v>1.3364532999999998</v>
      </c>
      <c r="M25" s="287">
        <f>'FS QTR'!M17</f>
        <v>5.6660596999999999</v>
      </c>
      <c r="N25" s="287">
        <f>'FS QTR'!N17</f>
        <v>5.9990715000000003</v>
      </c>
      <c r="O25" s="463">
        <f>'FS QTR'!O17</f>
        <v>88.261569800000004</v>
      </c>
      <c r="P25" s="287">
        <f t="shared" si="10"/>
        <v>15.562431700000001</v>
      </c>
      <c r="Q25" s="287">
        <f t="shared" si="11"/>
        <v>58.637799999999999</v>
      </c>
      <c r="R25" s="287">
        <f t="shared" si="12"/>
        <v>101.2631543</v>
      </c>
      <c r="S25" s="267" t="e">
        <f>'P&amp;L'!#REF!</f>
        <v>#REF!</v>
      </c>
      <c r="T25" s="437">
        <f t="shared" si="13"/>
        <v>0</v>
      </c>
      <c r="U25" s="427">
        <f t="shared" si="6"/>
        <v>-0.32577354360987554</v>
      </c>
      <c r="V25" s="428">
        <f t="shared" si="7"/>
        <v>2.8176454754538964</v>
      </c>
      <c r="W25" s="428">
        <f t="shared" si="8"/>
        <v>-0.8627377765683002</v>
      </c>
      <c r="X25" s="429">
        <f t="shared" si="9"/>
        <v>6.6975220498557011</v>
      </c>
    </row>
    <row r="26" spans="2:24" ht="12.75" customHeight="1">
      <c r="B26" s="81" t="s">
        <v>288</v>
      </c>
      <c r="D26" s="433">
        <f>'FS QTR'!D18</f>
        <v>6.4204527999999996</v>
      </c>
      <c r="E26" s="287">
        <f>'FS QTR'!E18</f>
        <v>15.563921400000014</v>
      </c>
      <c r="F26" s="287">
        <f>'FS QTR'!F18</f>
        <v>35.328157700000006</v>
      </c>
      <c r="G26" s="463">
        <f>'FS QTR'!G18</f>
        <v>28.417723599999995</v>
      </c>
      <c r="H26" s="433">
        <f>'FS QTR'!H18</f>
        <v>1.8947517999999994</v>
      </c>
      <c r="I26" s="287">
        <f>'FS QTR'!I18</f>
        <v>30.738641100000002</v>
      </c>
      <c r="J26" s="287">
        <f>'FS QTR'!J18</f>
        <v>39.350998199999992</v>
      </c>
      <c r="K26" s="463">
        <f>'FS QTR'!K18</f>
        <v>48.844481699999996</v>
      </c>
      <c r="L26" s="433">
        <f>'FS QTR'!L18</f>
        <v>28.8605634</v>
      </c>
      <c r="M26" s="287">
        <f>'FS QTR'!M18</f>
        <v>57.439740799999996</v>
      </c>
      <c r="N26" s="287">
        <f>'FS QTR'!N18</f>
        <v>15.286214100000006</v>
      </c>
      <c r="O26" s="463">
        <f>'FS QTR'!O18</f>
        <v>164.86179799999999</v>
      </c>
      <c r="P26" s="287">
        <f t="shared" si="10"/>
        <v>85.730255500000013</v>
      </c>
      <c r="Q26" s="287">
        <f t="shared" si="11"/>
        <v>120.8288728</v>
      </c>
      <c r="R26" s="287">
        <f t="shared" si="12"/>
        <v>266.44831629999999</v>
      </c>
      <c r="S26" s="267" t="e">
        <f>'P&amp;L'!#REF!</f>
        <v>#REF!</v>
      </c>
      <c r="T26" s="437">
        <f t="shared" si="13"/>
        <v>0</v>
      </c>
      <c r="U26" s="427">
        <f t="shared" si="6"/>
        <v>14.231843769722245</v>
      </c>
      <c r="V26" s="428">
        <f t="shared" si="7"/>
        <v>0.86864932035007847</v>
      </c>
      <c r="W26" s="428">
        <f t="shared" si="8"/>
        <v>-0.61154189730312836</v>
      </c>
      <c r="X26" s="429">
        <f t="shared" si="9"/>
        <v>2.3752389678852914</v>
      </c>
    </row>
    <row r="27" spans="2:24" ht="12.75" customHeight="1">
      <c r="B27" s="123" t="s">
        <v>295</v>
      </c>
      <c r="C27" s="18"/>
      <c r="D27" s="433">
        <f>'FS QTR'!D19</f>
        <v>-3.7097560000000001</v>
      </c>
      <c r="E27" s="287">
        <f>'FS QTR'!E19</f>
        <v>-1.7768341000000001</v>
      </c>
      <c r="F27" s="287">
        <f>'FS QTR'!F19</f>
        <v>-1.0733553999999998</v>
      </c>
      <c r="G27" s="463">
        <f>'FS QTR'!G19</f>
        <v>-5.6510199999999997E-2</v>
      </c>
      <c r="H27" s="433">
        <f>'FS QTR'!H19</f>
        <v>-4.5523099999999997E-2</v>
      </c>
      <c r="I27" s="287">
        <f>'FS QTR'!I19</f>
        <v>-5.5175199999999994E-2</v>
      </c>
      <c r="J27" s="287">
        <f>'FS QTR'!J19</f>
        <v>-3.2271099999999997E-2</v>
      </c>
      <c r="K27" s="463">
        <f>'FS QTR'!K19</f>
        <v>-0.20985970000000001</v>
      </c>
      <c r="L27" s="433">
        <f>'FS QTR'!L19</f>
        <v>-3.3608800000000001E-2</v>
      </c>
      <c r="M27" s="287">
        <f>'FS QTR'!M19</f>
        <v>-1.10954E-2</v>
      </c>
      <c r="N27" s="287">
        <f>'FS QTR'!N19</f>
        <v>-9.898500000000001E-3</v>
      </c>
      <c r="O27" s="463">
        <f>'FS QTR'!O19</f>
        <v>-2.4688099999999998E-2</v>
      </c>
      <c r="P27" s="287">
        <f t="shared" si="10"/>
        <v>-6.6164556999999995</v>
      </c>
      <c r="Q27" s="287">
        <f t="shared" si="11"/>
        <v>-0.3428291</v>
      </c>
      <c r="R27" s="287">
        <f t="shared" si="12"/>
        <v>-7.9290799999999995E-2</v>
      </c>
      <c r="S27" s="267" t="e">
        <f>'P&amp;L'!#REF!</f>
        <v>#REF!</v>
      </c>
      <c r="T27" s="437">
        <f t="shared" si="13"/>
        <v>0</v>
      </c>
      <c r="U27" s="427">
        <f t="shared" si="6"/>
        <v>-0.26171987408590358</v>
      </c>
      <c r="V27" s="428">
        <f t="shared" si="7"/>
        <v>-0.79890603024547258</v>
      </c>
      <c r="W27" s="428">
        <f t="shared" si="8"/>
        <v>-0.69327044941139282</v>
      </c>
      <c r="X27" s="429">
        <f t="shared" si="9"/>
        <v>-0.88235902367152919</v>
      </c>
    </row>
    <row r="28" spans="2:24" ht="12.75" customHeight="1">
      <c r="B28" s="123" t="s">
        <v>34</v>
      </c>
      <c r="C28" s="18"/>
      <c r="D28" s="433">
        <f>'FS QTR'!D20</f>
        <v>2.7106967999999996</v>
      </c>
      <c r="E28" s="287">
        <f>'FS QTR'!E20</f>
        <v>13.787087300000014</v>
      </c>
      <c r="F28" s="287">
        <f>'FS QTR'!F20</f>
        <v>34.254802300000009</v>
      </c>
      <c r="G28" s="463">
        <f>'FS QTR'!G20</f>
        <v>28.361213399999993</v>
      </c>
      <c r="H28" s="433">
        <f>'FS QTR'!H20</f>
        <v>1.8492286999999994</v>
      </c>
      <c r="I28" s="287">
        <f>'FS QTR'!I20</f>
        <v>30.683465900000002</v>
      </c>
      <c r="J28" s="287">
        <f>'FS QTR'!J20</f>
        <v>39.31872709999999</v>
      </c>
      <c r="K28" s="463">
        <f>'FS QTR'!K20</f>
        <v>48.634621999999993</v>
      </c>
      <c r="L28" s="433">
        <f>'FS QTR'!L20</f>
        <v>28.826954600000001</v>
      </c>
      <c r="M28" s="287">
        <f>'FS QTR'!M20</f>
        <v>57.428645399999994</v>
      </c>
      <c r="N28" s="287">
        <f>'FS QTR'!N20</f>
        <v>15.276315600000006</v>
      </c>
      <c r="O28" s="463">
        <f>'FS QTR'!O20</f>
        <v>164.8371099</v>
      </c>
      <c r="P28" s="287">
        <f t="shared" si="10"/>
        <v>79.113799800000024</v>
      </c>
      <c r="Q28" s="287">
        <f t="shared" si="11"/>
        <v>120.48604369999998</v>
      </c>
      <c r="R28" s="287">
        <f t="shared" si="12"/>
        <v>266.36902550000002</v>
      </c>
      <c r="S28" s="267" t="e">
        <f>'P&amp;L'!#REF!</f>
        <v>#REF!</v>
      </c>
      <c r="T28" s="437">
        <f t="shared" si="13"/>
        <v>0</v>
      </c>
      <c r="U28" s="427">
        <f t="shared" si="6"/>
        <v>14.58863681923172</v>
      </c>
      <c r="V28" s="428">
        <f t="shared" si="7"/>
        <v>0.87164792879542308</v>
      </c>
      <c r="W28" s="428">
        <f t="shared" si="8"/>
        <v>-0.611474818064494</v>
      </c>
      <c r="X28" s="429">
        <f t="shared" si="9"/>
        <v>2.3892955907007978</v>
      </c>
    </row>
    <row r="29" spans="2:24" ht="12.75" customHeight="1">
      <c r="B29" s="123" t="s">
        <v>35</v>
      </c>
      <c r="C29" s="21"/>
      <c r="D29" s="433">
        <f>'FS QTR'!D21</f>
        <v>-4.0322640999999999</v>
      </c>
      <c r="E29" s="287">
        <f>'FS QTR'!E21</f>
        <v>-4.4655487000000003</v>
      </c>
      <c r="F29" s="287">
        <f>'FS QTR'!F21</f>
        <v>-7.0392748000000003</v>
      </c>
      <c r="G29" s="463">
        <f>'FS QTR'!G21</f>
        <v>-4.4818639999999998</v>
      </c>
      <c r="H29" s="433">
        <f>'FS QTR'!H21</f>
        <v>-1.9398140000000001</v>
      </c>
      <c r="I29" s="287">
        <f>'FS QTR'!I21</f>
        <v>-10.032336799999999</v>
      </c>
      <c r="J29" s="287">
        <f>'FS QTR'!J21</f>
        <v>-9.490792299999999</v>
      </c>
      <c r="K29" s="463">
        <f>'FS QTR'!K21</f>
        <v>-9.2932006999999999</v>
      </c>
      <c r="L29" s="433">
        <f>'FS QTR'!L21</f>
        <v>-6.6503024999999996</v>
      </c>
      <c r="M29" s="287">
        <f>'FS QTR'!M21</f>
        <v>-12.662512699999999</v>
      </c>
      <c r="N29" s="287">
        <f>'FS QTR'!N21</f>
        <v>-4.4850402999999996</v>
      </c>
      <c r="O29" s="463">
        <f>'FS QTR'!O21</f>
        <v>-29.5231496</v>
      </c>
      <c r="P29" s="287">
        <f t="shared" si="10"/>
        <v>-20.018951600000001</v>
      </c>
      <c r="Q29" s="287">
        <f t="shared" si="11"/>
        <v>-30.756143799999997</v>
      </c>
      <c r="R29" s="287">
        <f t="shared" si="12"/>
        <v>-53.321005099999994</v>
      </c>
      <c r="S29" s="267" t="e">
        <f>'P&amp;L'!#REF!</f>
        <v>#REF!</v>
      </c>
      <c r="T29" s="437">
        <f t="shared" si="13"/>
        <v>0</v>
      </c>
      <c r="U29" s="427">
        <f t="shared" si="6"/>
        <v>2.4283196739481201</v>
      </c>
      <c r="V29" s="428">
        <f t="shared" si="7"/>
        <v>0.26216981670711048</v>
      </c>
      <c r="W29" s="428">
        <f t="shared" si="8"/>
        <v>-0.52743246736102312</v>
      </c>
      <c r="X29" s="429">
        <f t="shared" si="9"/>
        <v>2.1768548375372978</v>
      </c>
    </row>
    <row r="30" spans="2:24" ht="12.75" customHeight="1">
      <c r="B30" s="123" t="s">
        <v>220</v>
      </c>
      <c r="C30" s="18"/>
      <c r="D30" s="433">
        <f>'FS QTR'!D22</f>
        <v>-1.3215673000000003</v>
      </c>
      <c r="E30" s="287">
        <f>'FS QTR'!E22</f>
        <v>9.3215386000000144</v>
      </c>
      <c r="F30" s="287">
        <f>'FS QTR'!F22</f>
        <v>27.215527500000007</v>
      </c>
      <c r="G30" s="463">
        <f>'FS QTR'!G22</f>
        <v>23.879349399999995</v>
      </c>
      <c r="H30" s="433">
        <f>'FS QTR'!H22</f>
        <v>-9.0585300000000757E-2</v>
      </c>
      <c r="I30" s="287">
        <f>'FS QTR'!I22</f>
        <v>20.651129100000002</v>
      </c>
      <c r="J30" s="287">
        <f>'FS QTR'!J22</f>
        <v>29.827934799999991</v>
      </c>
      <c r="K30" s="463">
        <f>'FS QTR'!K22</f>
        <v>39.341421299999993</v>
      </c>
      <c r="L30" s="433">
        <f>'FS QTR'!L22</f>
        <v>22.176652100000002</v>
      </c>
      <c r="M30" s="287">
        <f>'FS QTR'!M22</f>
        <v>44.766132699999993</v>
      </c>
      <c r="N30" s="287">
        <f>'FS QTR'!N22</f>
        <v>10.791275300000006</v>
      </c>
      <c r="O30" s="463">
        <f>'FS QTR'!O22</f>
        <v>135.31396029999999</v>
      </c>
      <c r="P30" s="287">
        <f t="shared" si="10"/>
        <v>59.094848200000015</v>
      </c>
      <c r="Q30" s="287">
        <f t="shared" si="11"/>
        <v>89.729899899999992</v>
      </c>
      <c r="R30" s="287">
        <f t="shared" si="12"/>
        <v>213.04802039999998</v>
      </c>
      <c r="S30" s="267" t="e">
        <f>'P&amp;L'!#REF!</f>
        <v>#REF!</v>
      </c>
      <c r="T30" s="437">
        <f t="shared" si="13"/>
        <v>0</v>
      </c>
      <c r="U30" s="427">
        <f t="shared" si="6"/>
        <v>-245.81513115262428</v>
      </c>
      <c r="V30" s="428">
        <f t="shared" si="7"/>
        <v>1.1677329352417822</v>
      </c>
      <c r="W30" s="428">
        <f t="shared" si="8"/>
        <v>-0.63821580768642394</v>
      </c>
      <c r="X30" s="429">
        <f t="shared" si="9"/>
        <v>2.4394781842820716</v>
      </c>
    </row>
    <row r="31" spans="2:24" ht="12.75" customHeight="1">
      <c r="B31" s="123" t="s">
        <v>37</v>
      </c>
      <c r="C31" s="18"/>
      <c r="D31" s="433">
        <f>'FS QTR'!D23</f>
        <v>3.8758879999999998</v>
      </c>
      <c r="E31" s="287">
        <f>'FS QTR'!E23</f>
        <v>-3.6336453</v>
      </c>
      <c r="F31" s="287">
        <f>'FS QTR'!F23</f>
        <v>-1.7221895</v>
      </c>
      <c r="G31" s="463">
        <f>'FS QTR'!G23</f>
        <v>0.24504980000000001</v>
      </c>
      <c r="H31" s="433">
        <f>'FS QTR'!H23</f>
        <v>1.4953463</v>
      </c>
      <c r="I31" s="287">
        <f>'FS QTR'!I23</f>
        <v>-0.57619579999999992</v>
      </c>
      <c r="J31" s="287">
        <f>'FS QTR'!J23</f>
        <v>0.25135109999999999</v>
      </c>
      <c r="K31" s="463">
        <f>'FS QTR'!K23</f>
        <v>-8.1364080000000012</v>
      </c>
      <c r="L31" s="433">
        <f>'FS QTR'!L23</f>
        <v>-0.85971379999999997</v>
      </c>
      <c r="M31" s="287">
        <f>'FS QTR'!M23</f>
        <v>-13.436</v>
      </c>
      <c r="N31" s="287">
        <f>'FS QTR'!N23</f>
        <v>-9.8233076999999991</v>
      </c>
      <c r="O31" s="463">
        <f>'FS QTR'!O23</f>
        <v>-21.0945094</v>
      </c>
      <c r="P31" s="287">
        <f t="shared" si="10"/>
        <v>-1.2348970000000001</v>
      </c>
      <c r="Q31" s="287">
        <f t="shared" si="11"/>
        <v>-6.9659064000000015</v>
      </c>
      <c r="R31" s="287">
        <f t="shared" si="12"/>
        <v>-45.213530899999995</v>
      </c>
      <c r="S31" s="267" t="e">
        <f>'P&amp;L'!#REF!</f>
        <v>#REF!</v>
      </c>
      <c r="T31" s="437">
        <f t="shared" si="13"/>
        <v>0</v>
      </c>
      <c r="U31" s="427">
        <f t="shared" si="6"/>
        <v>-1.5749262227752863</v>
      </c>
      <c r="V31" s="428">
        <f t="shared" si="7"/>
        <v>22.318462231067983</v>
      </c>
      <c r="W31" s="428">
        <f t="shared" si="8"/>
        <v>-40.082015952983696</v>
      </c>
      <c r="X31" s="429">
        <f t="shared" si="9"/>
        <v>1.5926071308125156</v>
      </c>
    </row>
    <row r="32" spans="2:24" ht="12.75" customHeight="1">
      <c r="B32" s="123" t="s">
        <v>219</v>
      </c>
      <c r="C32" s="18"/>
      <c r="D32" s="433">
        <f>'FS QTR'!D24</f>
        <v>2.5543206999999994</v>
      </c>
      <c r="E32" s="287">
        <f>'FS QTR'!E24</f>
        <v>5.6878933000000149</v>
      </c>
      <c r="F32" s="287">
        <f>'FS QTR'!F24</f>
        <v>25.493338000000008</v>
      </c>
      <c r="G32" s="463">
        <f>'FS QTR'!G24</f>
        <v>24.124399199999996</v>
      </c>
      <c r="H32" s="433">
        <f>'FS QTR'!H24</f>
        <v>1.4047609999999993</v>
      </c>
      <c r="I32" s="287">
        <f>'FS QTR'!I24</f>
        <v>20.074933300000001</v>
      </c>
      <c r="J32" s="287">
        <f>'FS QTR'!J24</f>
        <v>30.079285899999991</v>
      </c>
      <c r="K32" s="463">
        <f>'FS QTR'!K24</f>
        <v>31.20501329999999</v>
      </c>
      <c r="L32" s="433">
        <f>'FS QTR'!L24</f>
        <v>21.3169383</v>
      </c>
      <c r="M32" s="287">
        <f>'FS QTR'!M24</f>
        <v>31.330132699999993</v>
      </c>
      <c r="N32" s="287">
        <f>'FS QTR'!N24</f>
        <v>0.96796760000000681</v>
      </c>
      <c r="O32" s="463">
        <f>'FS QTR'!O24</f>
        <v>114.2194509</v>
      </c>
      <c r="P32" s="287">
        <f t="shared" si="10"/>
        <v>57.859951200000026</v>
      </c>
      <c r="Q32" s="287">
        <f t="shared" si="11"/>
        <v>82.763993499999984</v>
      </c>
      <c r="R32" s="287">
        <f t="shared" si="12"/>
        <v>167.83448950000002</v>
      </c>
      <c r="S32" s="267" t="e">
        <f>'P&amp;L'!#REF!</f>
        <v>#REF!</v>
      </c>
      <c r="T32" s="437">
        <f t="shared" si="13"/>
        <v>0</v>
      </c>
      <c r="U32" s="427">
        <f t="shared" si="6"/>
        <v>14.174779410874883</v>
      </c>
      <c r="V32" s="428">
        <f t="shared" si="7"/>
        <v>0.56065936717209364</v>
      </c>
      <c r="W32" s="428">
        <f t="shared" si="8"/>
        <v>-0.96781946209700387</v>
      </c>
      <c r="X32" s="429">
        <f t="shared" si="9"/>
        <v>2.660291691014919</v>
      </c>
    </row>
    <row r="33" spans="2:24" ht="12.75" customHeight="1">
      <c r="B33" s="123" t="s">
        <v>39</v>
      </c>
      <c r="C33" s="18"/>
      <c r="D33" s="433">
        <f>'FS QTR'!D25</f>
        <v>79.822521874999978</v>
      </c>
      <c r="E33" s="287">
        <f>'FS QTR'!E25</f>
        <v>177.74666562500047</v>
      </c>
      <c r="F33" s="287">
        <f>'FS QTR'!F25</f>
        <v>796.66681250000022</v>
      </c>
      <c r="G33" s="463">
        <f>'FS QTR'!G25</f>
        <v>652.01078918918904</v>
      </c>
      <c r="H33" s="433">
        <f>'FS QTR'!H25</f>
        <v>33.446690476190454</v>
      </c>
      <c r="I33" s="287">
        <f>'FS QTR'!I25</f>
        <v>424.86774743715802</v>
      </c>
      <c r="J33" s="287">
        <f>'FS QTR'!J25</f>
        <v>571.30993633180776</v>
      </c>
      <c r="K33" s="463">
        <f>'FS QTR'!K25</f>
        <v>591.00761044370677</v>
      </c>
      <c r="L33" s="433">
        <f>'FS QTR'!L25</f>
        <v>333.59924114364571</v>
      </c>
      <c r="M33" s="287">
        <f>'FS QTR'!M25</f>
        <v>417.73510266666659</v>
      </c>
      <c r="N33" s="287">
        <f>'FS QTR'!N25</f>
        <v>12.906234666666757</v>
      </c>
      <c r="O33" s="463">
        <f>'FS QTR'!O25</f>
        <v>1522.9260119999999</v>
      </c>
      <c r="P33" s="287">
        <f t="shared" si="10"/>
        <v>1706.2467891891897</v>
      </c>
      <c r="Q33" s="287">
        <f t="shared" si="11"/>
        <v>1620.6319846888628</v>
      </c>
      <c r="R33" s="287">
        <f t="shared" si="12"/>
        <v>2287.1665904769789</v>
      </c>
      <c r="S33" s="267" t="e">
        <f>'P&amp;L'!#REF!</f>
        <v>#REF!</v>
      </c>
      <c r="T33" s="437">
        <f t="shared" si="13"/>
        <v>0</v>
      </c>
      <c r="U33" s="427">
        <f t="shared" si="6"/>
        <v>8.9740583117221568</v>
      </c>
      <c r="V33" s="428">
        <f t="shared" si="7"/>
        <v>-1.678791768383503E-2</v>
      </c>
      <c r="W33" s="428">
        <f t="shared" si="8"/>
        <v>-0.97740939926665127</v>
      </c>
      <c r="X33" s="429">
        <f t="shared" si="9"/>
        <v>1.5768297820338439</v>
      </c>
    </row>
    <row r="34" spans="2:24" ht="12.75" customHeight="1">
      <c r="B34" s="123" t="s">
        <v>4</v>
      </c>
      <c r="C34" s="18"/>
      <c r="D34" s="433">
        <f>'FS QTR'!D26</f>
        <v>6.4204527999999996</v>
      </c>
      <c r="E34" s="287">
        <f>'FS QTR'!E26</f>
        <v>15.563921400000014</v>
      </c>
      <c r="F34" s="287">
        <f>'FS QTR'!F26</f>
        <v>35.328157700000006</v>
      </c>
      <c r="G34" s="463">
        <f>'FS QTR'!G26</f>
        <v>28.417723599999995</v>
      </c>
      <c r="H34" s="433">
        <f>'FS QTR'!H26</f>
        <v>2.0510942999999995</v>
      </c>
      <c r="I34" s="287">
        <f>'FS QTR'!I26</f>
        <v>31.176312100000004</v>
      </c>
      <c r="J34" s="287">
        <f>'FS QTR'!J26</f>
        <v>40.267074199999989</v>
      </c>
      <c r="K34" s="463">
        <f>'FS QTR'!K26</f>
        <v>50.839612699999996</v>
      </c>
      <c r="L34" s="433">
        <f>'FS QTR'!L26</f>
        <v>31.777599299999999</v>
      </c>
      <c r="M34" s="287">
        <f>'FS QTR'!M26</f>
        <v>60.398920899999993</v>
      </c>
      <c r="N34" s="287">
        <f>'FS QTR'!N26</f>
        <v>17.478568100000004</v>
      </c>
      <c r="O34" s="463">
        <f>'FS QTR'!O26</f>
        <v>167.1594015</v>
      </c>
      <c r="P34" s="287">
        <f t="shared" si="10"/>
        <v>85.730255500000013</v>
      </c>
      <c r="Q34" s="287">
        <f t="shared" si="11"/>
        <v>124.33409330000001</v>
      </c>
      <c r="R34" s="287">
        <f t="shared" si="12"/>
        <v>276.81448979999999</v>
      </c>
      <c r="S34" s="267" t="e">
        <f>'P&amp;L'!#REF!</f>
        <v>#REF!</v>
      </c>
      <c r="T34" s="437">
        <f t="shared" si="13"/>
        <v>0</v>
      </c>
      <c r="U34" s="427">
        <f t="shared" si="6"/>
        <v>14.492997713464469</v>
      </c>
      <c r="V34" s="428">
        <f t="shared" si="7"/>
        <v>0.93733372652501723</v>
      </c>
      <c r="W34" s="428">
        <f t="shared" si="8"/>
        <v>-0.5659339932872498</v>
      </c>
      <c r="X34" s="429">
        <f t="shared" si="9"/>
        <v>2.2879755100888093</v>
      </c>
    </row>
    <row r="35" spans="2:24" ht="12.75" customHeight="1">
      <c r="B35" s="123" t="s">
        <v>41</v>
      </c>
      <c r="C35" s="18"/>
      <c r="D35" s="433">
        <f>'FS QTR'!D27</f>
        <v>0</v>
      </c>
      <c r="E35" s="287">
        <f>'FS QTR'!E27</f>
        <v>0</v>
      </c>
      <c r="F35" s="287">
        <f>'FS QTR'!F27</f>
        <v>0</v>
      </c>
      <c r="G35" s="463">
        <f>'FS QTR'!G27</f>
        <v>0</v>
      </c>
      <c r="H35" s="433">
        <f>'FS QTR'!H27</f>
        <v>-0.1563425</v>
      </c>
      <c r="I35" s="287">
        <f>'FS QTR'!I27</f>
        <v>-0.43767099999999998</v>
      </c>
      <c r="J35" s="287">
        <f>'FS QTR'!J27</f>
        <v>-0.916076</v>
      </c>
      <c r="K35" s="463">
        <f>'FS QTR'!K27</f>
        <v>-1.995131</v>
      </c>
      <c r="L35" s="433">
        <f>'FS QTR'!L27</f>
        <v>-2.9170358999999997</v>
      </c>
      <c r="M35" s="287">
        <f>'FS QTR'!M27</f>
        <v>-2.9591801000000002</v>
      </c>
      <c r="N35" s="287">
        <f>'FS QTR'!N27</f>
        <v>-2.1923539999999999</v>
      </c>
      <c r="O35" s="463">
        <f>'FS QTR'!O27</f>
        <v>-2.2976035000000001</v>
      </c>
      <c r="P35" s="287">
        <f t="shared" si="10"/>
        <v>0</v>
      </c>
      <c r="Q35" s="287">
        <f t="shared" si="11"/>
        <v>-3.5052205000000001</v>
      </c>
      <c r="R35" s="287">
        <f t="shared" si="12"/>
        <v>-10.366173499999999</v>
      </c>
      <c r="S35" s="267" t="e">
        <f>'P&amp;L'!#REF!</f>
        <v>#REF!</v>
      </c>
      <c r="T35" s="437">
        <f t="shared" si="13"/>
        <v>0</v>
      </c>
      <c r="U35" s="427">
        <f t="shared" si="6"/>
        <v>17.657984233333863</v>
      </c>
      <c r="V35" s="428">
        <f t="shared" si="7"/>
        <v>5.7611975662084083</v>
      </c>
      <c r="W35" s="428">
        <f t="shared" si="8"/>
        <v>1.3932010007903273</v>
      </c>
      <c r="X35" s="429">
        <f t="shared" si="9"/>
        <v>0.15160533318363556</v>
      </c>
    </row>
    <row r="36" spans="2:24" ht="12.75" customHeight="1" thickBot="1">
      <c r="B36" s="123" t="s">
        <v>40</v>
      </c>
      <c r="C36" s="18"/>
      <c r="D36" s="433">
        <f>'FS QTR'!D28</f>
        <v>32</v>
      </c>
      <c r="E36" s="287">
        <f>'FS QTR'!E28</f>
        <v>32</v>
      </c>
      <c r="F36" s="287">
        <f>'FS QTR'!F28</f>
        <v>32</v>
      </c>
      <c r="G36" s="463">
        <f>'FS QTR'!G28</f>
        <v>37</v>
      </c>
      <c r="H36" s="433">
        <f>'FS QTR'!H28</f>
        <v>42</v>
      </c>
      <c r="I36" s="287">
        <f>'FS QTR'!I28</f>
        <v>47.249840500000005</v>
      </c>
      <c r="J36" s="287">
        <f>'FS QTR'!J28</f>
        <v>52.649681000000008</v>
      </c>
      <c r="K36" s="463">
        <f>'FS QTR'!K28</f>
        <v>52.799681000000007</v>
      </c>
      <c r="L36" s="433">
        <f>'FS QTR'!L28</f>
        <v>63.899840500000003</v>
      </c>
      <c r="M36" s="287">
        <f>'FS QTR'!M28</f>
        <v>75</v>
      </c>
      <c r="N36" s="287">
        <f>'FS QTR'!N28</f>
        <v>75</v>
      </c>
      <c r="O36" s="463">
        <f>'FS QTR'!O28</f>
        <v>75</v>
      </c>
      <c r="P36" s="287">
        <f t="shared" si="10"/>
        <v>133</v>
      </c>
      <c r="Q36" s="287">
        <f t="shared" si="11"/>
        <v>194.69920250000001</v>
      </c>
      <c r="R36" s="287">
        <f t="shared" si="12"/>
        <v>288.89984049999998</v>
      </c>
      <c r="S36" s="329" t="e">
        <f>'P&amp;L'!#REF!</f>
        <v>#REF!</v>
      </c>
      <c r="T36" s="438">
        <f t="shared" si="13"/>
        <v>0</v>
      </c>
      <c r="U36" s="430">
        <f t="shared" si="6"/>
        <v>0.5214247738095239</v>
      </c>
      <c r="V36" s="431">
        <f t="shared" si="7"/>
        <v>0.58730694551233453</v>
      </c>
      <c r="W36" s="431">
        <f t="shared" si="8"/>
        <v>0.42451005543604325</v>
      </c>
      <c r="X36" s="432">
        <f t="shared" si="9"/>
        <v>0.42046312741927339</v>
      </c>
    </row>
    <row r="37" spans="2:24" ht="12.75" customHeight="1">
      <c r="B37" s="123"/>
      <c r="C37" s="8"/>
      <c r="D37" s="433"/>
      <c r="E37" s="287"/>
      <c r="F37" s="287"/>
      <c r="G37" s="463"/>
      <c r="H37" s="433"/>
      <c r="I37" s="287"/>
      <c r="J37" s="287"/>
      <c r="K37" s="463"/>
      <c r="L37" s="433"/>
      <c r="M37" s="287"/>
      <c r="N37" s="287"/>
      <c r="O37" s="463"/>
      <c r="P37" s="315"/>
      <c r="Q37" s="315"/>
      <c r="R37" s="316"/>
      <c r="S37" s="21"/>
      <c r="T37" s="124"/>
      <c r="U37" s="46"/>
      <c r="V37" s="46"/>
    </row>
    <row r="38" spans="2:24" ht="12.75" customHeight="1">
      <c r="B38" s="125" t="s">
        <v>43</v>
      </c>
      <c r="D38" s="434"/>
      <c r="E38" s="304"/>
      <c r="F38" s="304"/>
      <c r="G38" s="464"/>
      <c r="H38" s="434"/>
      <c r="I38" s="304"/>
      <c r="J38" s="304"/>
      <c r="K38" s="464"/>
      <c r="L38" s="434"/>
      <c r="M38" s="304"/>
      <c r="N38" s="304"/>
      <c r="O38" s="464"/>
      <c r="P38" s="317"/>
      <c r="Q38" s="317"/>
      <c r="R38" s="318"/>
    </row>
    <row r="39" spans="2:24" ht="12.75" customHeight="1">
      <c r="B39" s="125" t="s">
        <v>44</v>
      </c>
      <c r="D39" s="434"/>
      <c r="E39" s="304"/>
      <c r="F39" s="304"/>
      <c r="G39" s="464"/>
      <c r="H39" s="434"/>
      <c r="I39" s="304"/>
      <c r="J39" s="304"/>
      <c r="K39" s="464"/>
      <c r="L39" s="434"/>
      <c r="M39" s="304"/>
      <c r="N39" s="304"/>
      <c r="O39" s="464"/>
      <c r="P39" s="317"/>
      <c r="Q39" s="317"/>
      <c r="R39" s="318"/>
    </row>
    <row r="40" spans="2:24" ht="12.75" customHeight="1">
      <c r="B40" s="102" t="s">
        <v>45</v>
      </c>
      <c r="D40" s="433">
        <f>'FS QTR'!D31</f>
        <v>53.750649500000002</v>
      </c>
      <c r="E40" s="287">
        <f>'FS QTR'!E31</f>
        <v>55.688726000000003</v>
      </c>
      <c r="F40" s="287">
        <f>'FS QTR'!F31</f>
        <v>68.524952200000001</v>
      </c>
      <c r="G40" s="463">
        <f>'FS QTR'!G31</f>
        <v>136.05265410000001</v>
      </c>
      <c r="H40" s="433">
        <f>'FS QTR'!H31</f>
        <v>110.7089258</v>
      </c>
      <c r="I40" s="287">
        <f>'FS QTR'!I31</f>
        <v>120.1591746</v>
      </c>
      <c r="J40" s="287">
        <f>'FS QTR'!J31</f>
        <v>59.468311900000003</v>
      </c>
      <c r="K40" s="463">
        <f>'FS QTR'!K31</f>
        <v>72.886290099999997</v>
      </c>
      <c r="L40" s="433">
        <f>'FS QTR'!L31</f>
        <v>306.7498794</v>
      </c>
      <c r="M40" s="287">
        <f>'FS QTR'!M31</f>
        <v>305.37001150000003</v>
      </c>
      <c r="N40" s="287">
        <f>'FS QTR'!N31</f>
        <v>373.82149020000003</v>
      </c>
      <c r="O40" s="463">
        <f>'FS QTR'!O31</f>
        <v>776.33898669999996</v>
      </c>
      <c r="P40" s="315"/>
      <c r="Q40" s="315"/>
      <c r="R40" s="318"/>
    </row>
    <row r="41" spans="2:24" ht="12.75" customHeight="1">
      <c r="B41" s="102" t="s">
        <v>46</v>
      </c>
      <c r="D41" s="433">
        <f>'FS QTR'!D32</f>
        <v>0</v>
      </c>
      <c r="E41" s="287">
        <f>'FS QTR'!E32</f>
        <v>0</v>
      </c>
      <c r="F41" s="287">
        <f>'FS QTR'!F32</f>
        <v>0</v>
      </c>
      <c r="G41" s="463">
        <f>'FS QTR'!G32</f>
        <v>0</v>
      </c>
      <c r="H41" s="433">
        <f>'FS QTR'!H32</f>
        <v>0</v>
      </c>
      <c r="I41" s="287">
        <f>'FS QTR'!I32</f>
        <v>0</v>
      </c>
      <c r="J41" s="287">
        <f>'FS QTR'!J32</f>
        <v>2.5</v>
      </c>
      <c r="K41" s="463">
        <f>'FS QTR'!K32</f>
        <v>0</v>
      </c>
      <c r="L41" s="433">
        <f>'FS QTR'!L32</f>
        <v>0</v>
      </c>
      <c r="M41" s="287">
        <f>'FS QTR'!M32</f>
        <v>0</v>
      </c>
      <c r="N41" s="287">
        <f>'FS QTR'!N32</f>
        <v>6.0258333000000004</v>
      </c>
      <c r="O41" s="463">
        <f>'FS QTR'!O32</f>
        <v>0</v>
      </c>
      <c r="P41" s="315"/>
      <c r="Q41" s="315"/>
      <c r="R41" s="318"/>
    </row>
    <row r="42" spans="2:24" ht="12.75" customHeight="1">
      <c r="B42" s="102" t="s">
        <v>48</v>
      </c>
      <c r="D42" s="433">
        <f>'FS QTR'!D33</f>
        <v>65.074779000000007</v>
      </c>
      <c r="E42" s="287">
        <f>'FS QTR'!E33</f>
        <v>90.6639141</v>
      </c>
      <c r="F42" s="287">
        <f>'FS QTR'!F33</f>
        <v>110.77580400000001</v>
      </c>
      <c r="G42" s="463">
        <f>'FS QTR'!G33</f>
        <v>125.8086845</v>
      </c>
      <c r="H42" s="433">
        <f>'FS QTR'!H33</f>
        <v>95.2914976</v>
      </c>
      <c r="I42" s="287">
        <f>'FS QTR'!I33</f>
        <v>130.2700567</v>
      </c>
      <c r="J42" s="287">
        <f>'FS QTR'!J33</f>
        <v>111.40445940000001</v>
      </c>
      <c r="K42" s="463">
        <f>'FS QTR'!K33</f>
        <v>131.2453031</v>
      </c>
      <c r="L42" s="433">
        <f>'FS QTR'!L33</f>
        <v>118.9300159</v>
      </c>
      <c r="M42" s="287">
        <f>'FS QTR'!M33</f>
        <v>150.95585399999999</v>
      </c>
      <c r="N42" s="287">
        <f>'FS QTR'!N33</f>
        <v>118.95133610000001</v>
      </c>
      <c r="O42" s="463">
        <f>'FS QTR'!O33</f>
        <v>119.20112570000001</v>
      </c>
      <c r="P42" s="315"/>
      <c r="Q42" s="315"/>
      <c r="R42" s="318"/>
    </row>
    <row r="43" spans="2:24" ht="12.75" customHeight="1">
      <c r="B43" s="102" t="s">
        <v>49</v>
      </c>
      <c r="D43" s="433">
        <f>'FS QTR'!D34</f>
        <v>96.877542300000002</v>
      </c>
      <c r="E43" s="287">
        <f>'FS QTR'!E34</f>
        <v>243.35969750000001</v>
      </c>
      <c r="F43" s="287">
        <f>'FS QTR'!F34</f>
        <v>168.31693429999999</v>
      </c>
      <c r="G43" s="463">
        <f>'FS QTR'!G34</f>
        <v>129.20742509999999</v>
      </c>
      <c r="H43" s="433">
        <f>'FS QTR'!H34</f>
        <v>327.79213189999996</v>
      </c>
      <c r="I43" s="287">
        <f>'FS QTR'!I34</f>
        <v>288.10147269999999</v>
      </c>
      <c r="J43" s="287">
        <f>'FS QTR'!J34</f>
        <v>296.1552782</v>
      </c>
      <c r="K43" s="463">
        <f>'FS QTR'!K34</f>
        <v>432.78726330000001</v>
      </c>
      <c r="L43" s="433">
        <f>'FS QTR'!L34</f>
        <v>449.35162589999999</v>
      </c>
      <c r="M43" s="287">
        <f>'FS QTR'!M34</f>
        <v>452.49004789999998</v>
      </c>
      <c r="N43" s="287">
        <f>'FS QTR'!N34</f>
        <v>484.18097019999999</v>
      </c>
      <c r="O43" s="463">
        <f>'FS QTR'!O34</f>
        <v>499.21431380000001</v>
      </c>
      <c r="P43" s="315"/>
      <c r="Q43" s="315"/>
      <c r="R43" s="318"/>
    </row>
    <row r="44" spans="2:24" ht="12.75" customHeight="1">
      <c r="B44" s="102" t="s">
        <v>50</v>
      </c>
      <c r="D44" s="433">
        <f>'FS QTR'!D35</f>
        <v>276.79123460000005</v>
      </c>
      <c r="E44" s="287">
        <f>'FS QTR'!E35</f>
        <v>184.18460780000001</v>
      </c>
      <c r="F44" s="287">
        <f>'FS QTR'!F35</f>
        <v>190.94864439999998</v>
      </c>
      <c r="G44" s="463">
        <f>'FS QTR'!G35</f>
        <v>189.55619179999999</v>
      </c>
      <c r="H44" s="433">
        <f>'FS QTR'!H35</f>
        <v>236.161215</v>
      </c>
      <c r="I44" s="287">
        <f>'FS QTR'!I35</f>
        <v>141.2533559</v>
      </c>
      <c r="J44" s="287">
        <f>'FS QTR'!J35</f>
        <v>322.6562179</v>
      </c>
      <c r="K44" s="463">
        <f>'FS QTR'!K35</f>
        <v>297.1136262</v>
      </c>
      <c r="L44" s="433">
        <f>'FS QTR'!L35</f>
        <v>147.60704269999999</v>
      </c>
      <c r="M44" s="287">
        <f>'FS QTR'!M35</f>
        <v>171.2502389</v>
      </c>
      <c r="N44" s="287">
        <f>'FS QTR'!N35</f>
        <v>227.80563579999998</v>
      </c>
      <c r="O44" s="463">
        <f>'FS QTR'!O35</f>
        <v>284.11638919999996</v>
      </c>
      <c r="P44" s="315"/>
      <c r="Q44" s="315"/>
      <c r="R44" s="318"/>
    </row>
    <row r="45" spans="2:24" ht="12.75" customHeight="1">
      <c r="B45" s="102" t="s">
        <v>51</v>
      </c>
      <c r="D45" s="433">
        <f>'FS QTR'!D36</f>
        <v>492.4942054</v>
      </c>
      <c r="E45" s="287">
        <f>'FS QTR'!E36</f>
        <v>573.89694539999994</v>
      </c>
      <c r="F45" s="287">
        <f>'FS QTR'!F36</f>
        <v>538.56633479999994</v>
      </c>
      <c r="G45" s="463">
        <f>'FS QTR'!G36</f>
        <v>580.62495550000006</v>
      </c>
      <c r="H45" s="433">
        <f>'FS QTR'!H36</f>
        <v>769.95377020000001</v>
      </c>
      <c r="I45" s="287">
        <f>'FS QTR'!I36</f>
        <v>679.78405989999999</v>
      </c>
      <c r="J45" s="287">
        <f>'FS QTR'!J36</f>
        <v>792.18426749999992</v>
      </c>
      <c r="K45" s="463">
        <f>'FS QTR'!K36</f>
        <v>934.03248270000006</v>
      </c>
      <c r="L45" s="433">
        <f>'FS QTR'!L36</f>
        <v>1022.6385638999999</v>
      </c>
      <c r="M45" s="287">
        <f>'FS QTR'!M36</f>
        <v>1080.0661522999999</v>
      </c>
      <c r="N45" s="287">
        <f>'FS QTR'!N36</f>
        <v>1210.7852656</v>
      </c>
      <c r="O45" s="463">
        <f>'FS QTR'!O36</f>
        <v>1678.8708154999999</v>
      </c>
      <c r="P45" s="315"/>
      <c r="Q45" s="315"/>
      <c r="R45" s="318"/>
    </row>
    <row r="46" spans="2:24" ht="12.75" customHeight="1">
      <c r="B46" s="102" t="s">
        <v>52</v>
      </c>
      <c r="D46" s="433">
        <f>'FS QTR'!D37</f>
        <v>45.3650424</v>
      </c>
      <c r="E46" s="287">
        <f>'FS QTR'!E37</f>
        <v>46.6003294</v>
      </c>
      <c r="F46" s="287">
        <f>'FS QTR'!F37</f>
        <v>46.602027</v>
      </c>
      <c r="G46" s="463">
        <f>'FS QTR'!G37</f>
        <v>46.413282299999999</v>
      </c>
      <c r="H46" s="433">
        <f>'FS QTR'!H37</f>
        <v>46.368974699999995</v>
      </c>
      <c r="I46" s="287">
        <f>'FS QTR'!I37</f>
        <v>45.0642128</v>
      </c>
      <c r="J46" s="287">
        <f>'FS QTR'!J37</f>
        <v>46.540188100000002</v>
      </c>
      <c r="K46" s="463">
        <f>'FS QTR'!K37</f>
        <v>44.852804900000002</v>
      </c>
      <c r="L46" s="433">
        <f>'FS QTR'!L37</f>
        <v>44.905157500000001</v>
      </c>
      <c r="M46" s="287">
        <f>'FS QTR'!M37</f>
        <v>42.717163300000003</v>
      </c>
      <c r="N46" s="287">
        <f>'FS QTR'!N37</f>
        <v>41.0789805</v>
      </c>
      <c r="O46" s="463">
        <f>'FS QTR'!O37</f>
        <v>42.124220800000003</v>
      </c>
      <c r="P46" s="315"/>
      <c r="Q46" s="315"/>
      <c r="R46" s="318"/>
    </row>
    <row r="47" spans="2:24" ht="12.75" customHeight="1">
      <c r="B47" s="102" t="s">
        <v>53</v>
      </c>
      <c r="D47" s="433">
        <f>'FS QTR'!D38</f>
        <v>6.4451369999999999</v>
      </c>
      <c r="E47" s="287">
        <f>'FS QTR'!E38</f>
        <v>7.4057501000000006</v>
      </c>
      <c r="F47" s="287">
        <f>'FS QTR'!F38</f>
        <v>8.1760737999999993</v>
      </c>
      <c r="G47" s="463">
        <f>'FS QTR'!G38</f>
        <v>8.9248649000000011</v>
      </c>
      <c r="H47" s="433">
        <f>'FS QTR'!H38</f>
        <v>9.7054133</v>
      </c>
      <c r="I47" s="287">
        <f>'FS QTR'!I38</f>
        <v>9.6580491999999989</v>
      </c>
      <c r="J47" s="287">
        <f>'FS QTR'!J38</f>
        <v>10.638830499999999</v>
      </c>
      <c r="K47" s="463">
        <f>'FS QTR'!K38</f>
        <v>9.2843747000000008</v>
      </c>
      <c r="L47" s="433">
        <f>'FS QTR'!L38</f>
        <v>9.8157870999999997</v>
      </c>
      <c r="M47" s="287">
        <f>'FS QTR'!M38</f>
        <v>10.393379999999999</v>
      </c>
      <c r="N47" s="287">
        <f>'FS QTR'!N38</f>
        <v>9.2654938999999992</v>
      </c>
      <c r="O47" s="463">
        <f>'FS QTR'!O38</f>
        <v>9.8412945999999994</v>
      </c>
      <c r="P47" s="315"/>
      <c r="Q47" s="315"/>
      <c r="R47" s="318"/>
    </row>
    <row r="48" spans="2:24" ht="12.75" customHeight="1">
      <c r="B48" s="102" t="s">
        <v>54</v>
      </c>
      <c r="D48" s="433">
        <f>'FS QTR'!D39</f>
        <v>38.919905400000005</v>
      </c>
      <c r="E48" s="287">
        <f>'FS QTR'!E39</f>
        <v>39.194579300000001</v>
      </c>
      <c r="F48" s="287">
        <f>'FS QTR'!F39</f>
        <v>38.425953200000002</v>
      </c>
      <c r="G48" s="463">
        <f>'FS QTR'!G39</f>
        <v>37.488417399999996</v>
      </c>
      <c r="H48" s="433">
        <f>'FS QTR'!H39</f>
        <v>36.663561399999999</v>
      </c>
      <c r="I48" s="287">
        <f>'FS QTR'!I39</f>
        <v>35.406163599999999</v>
      </c>
      <c r="J48" s="287">
        <f>'FS QTR'!J39</f>
        <v>35.901357600000004</v>
      </c>
      <c r="K48" s="463">
        <f>'FS QTR'!K39</f>
        <v>35.568430300000003</v>
      </c>
      <c r="L48" s="433">
        <f>'FS QTR'!L39</f>
        <v>35.089370499999994</v>
      </c>
      <c r="M48" s="287">
        <f>'FS QTR'!M39</f>
        <v>32.323783200000001</v>
      </c>
      <c r="N48" s="287">
        <f>'FS QTR'!N39</f>
        <v>31.8134865</v>
      </c>
      <c r="O48" s="463">
        <f>'FS QTR'!O39</f>
        <v>32.282926199999999</v>
      </c>
      <c r="P48" s="315"/>
      <c r="Q48" s="315"/>
      <c r="R48" s="318"/>
    </row>
    <row r="49" spans="2:18" ht="12.75" customHeight="1">
      <c r="B49" s="102" t="s">
        <v>55</v>
      </c>
      <c r="D49" s="433">
        <f>'FS QTR'!D40</f>
        <v>180.2708221</v>
      </c>
      <c r="E49" s="287">
        <f>'FS QTR'!E40</f>
        <v>151.3167646</v>
      </c>
      <c r="F49" s="287">
        <f>'FS QTR'!F40</f>
        <v>179.72626360000001</v>
      </c>
      <c r="G49" s="463">
        <f>'FS QTR'!G40</f>
        <v>110.14464969999999</v>
      </c>
      <c r="H49" s="433">
        <f>'FS QTR'!H40</f>
        <v>110.14464969999999</v>
      </c>
      <c r="I49" s="287">
        <f>'FS QTR'!I40</f>
        <v>155.69258809999999</v>
      </c>
      <c r="J49" s="287">
        <f>'FS QTR'!J40</f>
        <v>110.25801540000001</v>
      </c>
      <c r="K49" s="463">
        <f>'FS QTR'!K40</f>
        <v>110.14464969999999</v>
      </c>
      <c r="L49" s="433">
        <f>'FS QTR'!L40</f>
        <v>82.062776199999988</v>
      </c>
      <c r="M49" s="287">
        <f>'FS QTR'!M40</f>
        <v>82.062776199999988</v>
      </c>
      <c r="N49" s="287">
        <f>'FS QTR'!N40</f>
        <v>82.062776199999988</v>
      </c>
      <c r="O49" s="463">
        <f>'FS QTR'!O40</f>
        <v>0</v>
      </c>
      <c r="P49" s="315"/>
      <c r="Q49" s="315"/>
      <c r="R49" s="318"/>
    </row>
    <row r="50" spans="2:18" ht="12.75" customHeight="1">
      <c r="B50" s="102" t="s">
        <v>56</v>
      </c>
      <c r="D50" s="433">
        <f>'FS QTR'!D41</f>
        <v>82.844039000000009</v>
      </c>
      <c r="E50" s="287">
        <f>'FS QTR'!E41</f>
        <v>109.54275389999999</v>
      </c>
      <c r="F50" s="287">
        <f>'FS QTR'!F41</f>
        <v>87.667519499999997</v>
      </c>
      <c r="G50" s="463">
        <f>'FS QTR'!G41</f>
        <v>88.194153700000001</v>
      </c>
      <c r="H50" s="433">
        <f>'FS QTR'!H41</f>
        <v>87.027956099999997</v>
      </c>
      <c r="I50" s="287">
        <f>'FS QTR'!I41</f>
        <v>167.8527138</v>
      </c>
      <c r="J50" s="287">
        <f>'FS QTR'!J41</f>
        <v>176.44258389999999</v>
      </c>
      <c r="K50" s="463">
        <f>'FS QTR'!K41</f>
        <v>188.46950469999999</v>
      </c>
      <c r="L50" s="433">
        <f>'FS QTR'!L41</f>
        <v>358.26733610000002</v>
      </c>
      <c r="M50" s="287">
        <f>'FS QTR'!M41</f>
        <v>383.19723590000001</v>
      </c>
      <c r="N50" s="287">
        <f>'FS QTR'!N41</f>
        <v>359.79549949999995</v>
      </c>
      <c r="O50" s="463">
        <f>'FS QTR'!O41</f>
        <v>449.2990906</v>
      </c>
      <c r="P50" s="315"/>
      <c r="Q50" s="315"/>
      <c r="R50" s="318"/>
    </row>
    <row r="51" spans="2:18" ht="12.75" customHeight="1">
      <c r="B51" s="102" t="s">
        <v>57</v>
      </c>
      <c r="D51" s="433">
        <f>'FS QTR'!D42</f>
        <v>302.03476650000005</v>
      </c>
      <c r="E51" s="287">
        <f>'FS QTR'!E42</f>
        <v>300.05409779999997</v>
      </c>
      <c r="F51" s="287">
        <f>'FS QTR'!F42</f>
        <v>305.81973629999999</v>
      </c>
      <c r="G51" s="463">
        <f>'FS QTR'!G42</f>
        <v>235.82722089999999</v>
      </c>
      <c r="H51" s="433">
        <f>'FS QTR'!H42</f>
        <v>233.83616720000001</v>
      </c>
      <c r="I51" s="287">
        <f>'FS QTR'!I42</f>
        <v>358.95146549999998</v>
      </c>
      <c r="J51" s="287">
        <f>'FS QTR'!J42</f>
        <v>322.60195699999997</v>
      </c>
      <c r="K51" s="463">
        <f>'FS QTR'!K42</f>
        <v>334.18258470000001</v>
      </c>
      <c r="L51" s="433">
        <f>'FS QTR'!L42</f>
        <v>475.41948280000003</v>
      </c>
      <c r="M51" s="287">
        <f>'FS QTR'!M42</f>
        <v>497.58379539999999</v>
      </c>
      <c r="N51" s="287">
        <f>'FS QTR'!N42</f>
        <v>473.67176219999999</v>
      </c>
      <c r="O51" s="463">
        <f>'FS QTR'!O42</f>
        <v>481.58201679999996</v>
      </c>
      <c r="P51" s="315"/>
      <c r="Q51" s="315"/>
      <c r="R51" s="318"/>
    </row>
    <row r="52" spans="2:18" ht="12.75" customHeight="1">
      <c r="B52" s="125" t="s">
        <v>58</v>
      </c>
      <c r="C52" s="6"/>
      <c r="D52" s="433">
        <f>'FS QTR'!D43</f>
        <v>794.52897180000002</v>
      </c>
      <c r="E52" s="287">
        <f>'FS QTR'!E43</f>
        <v>873.95104319999996</v>
      </c>
      <c r="F52" s="287">
        <f>'FS QTR'!F43</f>
        <v>844.38607109999998</v>
      </c>
      <c r="G52" s="463">
        <f>'FS QTR'!G43</f>
        <v>816.45217649999995</v>
      </c>
      <c r="H52" s="433">
        <f>'FS QTR'!H43</f>
        <v>1003.7899374000001</v>
      </c>
      <c r="I52" s="287">
        <f>'FS QTR'!I43</f>
        <v>1038.7355255</v>
      </c>
      <c r="J52" s="287">
        <f>'FS QTR'!J43</f>
        <v>1114.7862245000001</v>
      </c>
      <c r="K52" s="463">
        <f>'FS QTR'!K43</f>
        <v>1268.2150674999998</v>
      </c>
      <c r="L52" s="433">
        <f>'FS QTR'!L43</f>
        <v>1498.0580467</v>
      </c>
      <c r="M52" s="287">
        <f>'FS QTR'!M43</f>
        <v>1577.6499476000001</v>
      </c>
      <c r="N52" s="287">
        <f>'FS QTR'!N43</f>
        <v>1684.4570278000001</v>
      </c>
      <c r="O52" s="463">
        <f>'FS QTR'!O43</f>
        <v>2160.4528323</v>
      </c>
      <c r="P52" s="319"/>
      <c r="Q52" s="319"/>
      <c r="R52" s="318"/>
    </row>
    <row r="53" spans="2:18" ht="12.75" customHeight="1">
      <c r="B53" s="102"/>
      <c r="D53" s="434"/>
      <c r="E53" s="304"/>
      <c r="F53" s="304"/>
      <c r="G53" s="464"/>
      <c r="H53" s="434"/>
      <c r="I53" s="304"/>
      <c r="J53" s="304"/>
      <c r="K53" s="464"/>
      <c r="L53" s="434"/>
      <c r="M53" s="304"/>
      <c r="N53" s="304"/>
      <c r="O53" s="464"/>
      <c r="P53" s="317"/>
      <c r="Q53" s="317"/>
      <c r="R53" s="318"/>
    </row>
    <row r="54" spans="2:18" ht="12.75" customHeight="1">
      <c r="B54" s="125" t="s">
        <v>59</v>
      </c>
      <c r="D54" s="433"/>
      <c r="E54" s="287"/>
      <c r="F54" s="287"/>
      <c r="G54" s="463"/>
      <c r="H54" s="433"/>
      <c r="I54" s="287"/>
      <c r="J54" s="287"/>
      <c r="K54" s="463"/>
      <c r="L54" s="433"/>
      <c r="M54" s="287"/>
      <c r="N54" s="287"/>
      <c r="O54" s="463"/>
      <c r="P54" s="315"/>
      <c r="Q54" s="315"/>
      <c r="R54" s="318"/>
    </row>
    <row r="55" spans="2:18" ht="12.75" customHeight="1">
      <c r="B55" s="102" t="s">
        <v>60</v>
      </c>
      <c r="D55" s="433">
        <f>'FS QTR'!D46</f>
        <v>4.5999853999999996</v>
      </c>
      <c r="E55" s="287">
        <f>'FS QTR'!E46</f>
        <v>22.244769400000003</v>
      </c>
      <c r="F55" s="287">
        <f>'FS QTR'!F46</f>
        <v>27.617792900000001</v>
      </c>
      <c r="G55" s="463">
        <f>'FS QTR'!G46</f>
        <v>35.762860400000001</v>
      </c>
      <c r="H55" s="433">
        <f>'FS QTR'!H46</f>
        <v>26.918734300000001</v>
      </c>
      <c r="I55" s="287">
        <f>'FS QTR'!I46</f>
        <v>22.4560587</v>
      </c>
      <c r="J55" s="287">
        <f>'FS QTR'!J46</f>
        <v>15.647812900000002</v>
      </c>
      <c r="K55" s="463">
        <f>'FS QTR'!K46</f>
        <v>21.303074199999998</v>
      </c>
      <c r="L55" s="433">
        <f>'FS QTR'!L46</f>
        <v>19.7291968</v>
      </c>
      <c r="M55" s="287">
        <f>'FS QTR'!M46</f>
        <v>23.2338573</v>
      </c>
      <c r="N55" s="287">
        <f>'FS QTR'!N46</f>
        <v>28.476543000000003</v>
      </c>
      <c r="O55" s="463">
        <f>'FS QTR'!O46</f>
        <v>55.022481800000001</v>
      </c>
      <c r="P55" s="315"/>
      <c r="Q55" s="315"/>
      <c r="R55" s="318"/>
    </row>
    <row r="56" spans="2:18" ht="12.75" customHeight="1">
      <c r="B56" s="102" t="s">
        <v>294</v>
      </c>
      <c r="D56" s="433">
        <f>'FS QTR'!D47</f>
        <v>71.95</v>
      </c>
      <c r="E56" s="287">
        <f>'FS QTR'!E47</f>
        <v>24.95</v>
      </c>
      <c r="F56" s="287">
        <f>'FS QTR'!F47</f>
        <v>24.95</v>
      </c>
      <c r="G56" s="463">
        <f>'FS QTR'!G47</f>
        <v>0.45</v>
      </c>
      <c r="H56" s="433">
        <f>'FS QTR'!H47</f>
        <v>1.18</v>
      </c>
      <c r="I56" s="287">
        <f>'FS QTR'!I47</f>
        <v>0.25</v>
      </c>
      <c r="J56" s="287">
        <f>'FS QTR'!J47</f>
        <v>0.25</v>
      </c>
      <c r="K56" s="463">
        <f>'FS QTR'!K47</f>
        <v>0</v>
      </c>
      <c r="L56" s="433">
        <f>'FS QTR'!L47</f>
        <v>0</v>
      </c>
      <c r="M56" s="287">
        <f>'FS QTR'!M47</f>
        <v>0</v>
      </c>
      <c r="N56" s="287">
        <f>'FS QTR'!N47</f>
        <v>0</v>
      </c>
      <c r="O56" s="463">
        <f>'FS QTR'!O47</f>
        <v>1</v>
      </c>
      <c r="P56" s="315"/>
      <c r="Q56" s="315"/>
      <c r="R56" s="318"/>
    </row>
    <row r="57" spans="2:18" ht="12.75" customHeight="1">
      <c r="B57" s="102" t="s">
        <v>293</v>
      </c>
      <c r="D57" s="433">
        <f>'FS QTR'!D48</f>
        <v>251.8291682</v>
      </c>
      <c r="E57" s="287">
        <f>'FS QTR'!E48</f>
        <v>352.34943930000003</v>
      </c>
      <c r="F57" s="287">
        <f>'FS QTR'!F48</f>
        <v>290.14219650000001</v>
      </c>
      <c r="G57" s="463">
        <f>'FS QTR'!G48</f>
        <v>196.745777</v>
      </c>
      <c r="H57" s="433">
        <f>'FS QTR'!H48</f>
        <v>395.07431350000002</v>
      </c>
      <c r="I57" s="287">
        <f>'FS QTR'!I48</f>
        <v>413.66190440000003</v>
      </c>
      <c r="J57" s="287">
        <f>'FS QTR'!J48</f>
        <v>464.62247379999997</v>
      </c>
      <c r="K57" s="463">
        <f>'FS QTR'!K48</f>
        <v>509.92334600000004</v>
      </c>
      <c r="L57" s="433">
        <f>'FS QTR'!L48</f>
        <v>505.549756</v>
      </c>
      <c r="M57" s="287">
        <f>'FS QTR'!M48</f>
        <v>540.22804989999997</v>
      </c>
      <c r="N57" s="287">
        <f>'FS QTR'!N48</f>
        <v>635.12743649999993</v>
      </c>
      <c r="O57" s="463">
        <f>'FS QTR'!O48</f>
        <v>909.34066830000006</v>
      </c>
      <c r="P57" s="315"/>
      <c r="Q57" s="315"/>
      <c r="R57" s="318"/>
    </row>
    <row r="58" spans="2:18" ht="12.75" customHeight="1">
      <c r="B58" s="102" t="s">
        <v>63</v>
      </c>
      <c r="D58" s="433">
        <f>'FS QTR'!D49</f>
        <v>328.37915350000003</v>
      </c>
      <c r="E58" s="287">
        <f>'FS QTR'!E49</f>
        <v>399.54420870000001</v>
      </c>
      <c r="F58" s="287">
        <f>'FS QTR'!F49</f>
        <v>342.70998940000004</v>
      </c>
      <c r="G58" s="463">
        <f>'FS QTR'!G49</f>
        <v>232.95863740000001</v>
      </c>
      <c r="H58" s="433">
        <f>'FS QTR'!H49</f>
        <v>423.17304780000001</v>
      </c>
      <c r="I58" s="287">
        <f>'FS QTR'!I49</f>
        <v>436.3679631</v>
      </c>
      <c r="J58" s="287">
        <f>'FS QTR'!J49</f>
        <v>480.52028660000002</v>
      </c>
      <c r="K58" s="463">
        <f>'FS QTR'!K49</f>
        <v>531.22642020000001</v>
      </c>
      <c r="L58" s="433">
        <f>'FS QTR'!L49</f>
        <v>525.27895279999996</v>
      </c>
      <c r="M58" s="287">
        <f>'FS QTR'!M49</f>
        <v>563.46190730000001</v>
      </c>
      <c r="N58" s="287">
        <f>'FS QTR'!N49</f>
        <v>663.60397939999996</v>
      </c>
      <c r="O58" s="463">
        <f>'FS QTR'!O49</f>
        <v>965.36315009999998</v>
      </c>
      <c r="P58" s="315"/>
      <c r="Q58" s="315"/>
      <c r="R58" s="318"/>
    </row>
    <row r="59" spans="2:18" ht="12.75" customHeight="1">
      <c r="B59" s="102" t="s">
        <v>298</v>
      </c>
      <c r="D59" s="433">
        <f>'FS QTR'!D50</f>
        <v>12.088175999999999</v>
      </c>
      <c r="E59" s="287">
        <f>'FS QTR'!E50</f>
        <v>12.061536</v>
      </c>
      <c r="F59" s="287">
        <f>'FS QTR'!F50</f>
        <v>12.034896</v>
      </c>
      <c r="G59" s="463">
        <f>'FS QTR'!G50</f>
        <v>0.11576</v>
      </c>
      <c r="H59" s="433">
        <f>'FS QTR'!H50</f>
        <v>8.9120000000000005E-2</v>
      </c>
      <c r="I59" s="287">
        <f>'FS QTR'!I50</f>
        <v>6.2479999999999994E-2</v>
      </c>
      <c r="J59" s="287">
        <f>'FS QTR'!J50</f>
        <v>0.35</v>
      </c>
      <c r="K59" s="463">
        <f>'FS QTR'!K50</f>
        <v>69.713999999999999</v>
      </c>
      <c r="L59" s="433">
        <f>'FS QTR'!L50</f>
        <v>69.683999999999997</v>
      </c>
      <c r="M59" s="287">
        <f>'FS QTR'!M50</f>
        <v>69.653999999999996</v>
      </c>
      <c r="N59" s="287">
        <f>'FS QTR'!N50</f>
        <v>69.623999999999995</v>
      </c>
      <c r="O59" s="463">
        <f>'FS QTR'!O50</f>
        <v>119.10941340000001</v>
      </c>
      <c r="P59" s="315"/>
      <c r="Q59" s="315"/>
      <c r="R59" s="318"/>
    </row>
    <row r="60" spans="2:18" ht="12.75" customHeight="1">
      <c r="B60" s="102" t="s">
        <v>312</v>
      </c>
      <c r="D60" s="433">
        <f>'FS QTR'!D51</f>
        <v>3.2471991999999998</v>
      </c>
      <c r="E60" s="287">
        <f>'FS QTR'!E51</f>
        <v>3.2308047000000002</v>
      </c>
      <c r="F60" s="287">
        <f>'FS QTR'!F51</f>
        <v>3.2621644000000001</v>
      </c>
      <c r="G60" s="463">
        <f>'FS QTR'!G51</f>
        <v>3.7836345000000002</v>
      </c>
      <c r="H60" s="433">
        <f>'FS QTR'!H51</f>
        <v>3.7951907</v>
      </c>
      <c r="I60" s="287">
        <f>'FS QTR'!I51</f>
        <v>3.6967468999999999</v>
      </c>
      <c r="J60" s="287">
        <f>'FS QTR'!J51</f>
        <v>3.6783031999999998</v>
      </c>
      <c r="K60" s="463">
        <f>'FS QTR'!K51</f>
        <v>3.6598595999999999</v>
      </c>
      <c r="L60" s="433">
        <f>'FS QTR'!L51</f>
        <v>3.6414158000000003</v>
      </c>
      <c r="M60" s="287">
        <f>'FS QTR'!M51</f>
        <v>3.7632928000000003</v>
      </c>
      <c r="N60" s="287">
        <f>'FS QTR'!N51</f>
        <v>3.7448488000000002</v>
      </c>
      <c r="O60" s="463">
        <f>'FS QTR'!O51</f>
        <v>3.7527789999999999</v>
      </c>
      <c r="P60" s="315"/>
      <c r="Q60" s="315"/>
      <c r="R60" s="318"/>
    </row>
    <row r="61" spans="2:18" ht="12.75" customHeight="1">
      <c r="B61" s="102" t="s">
        <v>303</v>
      </c>
      <c r="D61" s="433">
        <f>'FS QTR'!D52</f>
        <v>15.3353752</v>
      </c>
      <c r="E61" s="287">
        <f>'FS QTR'!E52</f>
        <v>15.2923407</v>
      </c>
      <c r="F61" s="287">
        <f>'FS QTR'!F52</f>
        <v>15.2970603</v>
      </c>
      <c r="G61" s="463">
        <f>'FS QTR'!G52</f>
        <v>3.8993945000000001</v>
      </c>
      <c r="H61" s="433">
        <f>'FS QTR'!H52</f>
        <v>3.8843106999999999</v>
      </c>
      <c r="I61" s="287">
        <f>'FS QTR'!I52</f>
        <v>3.7592269000000003</v>
      </c>
      <c r="J61" s="287">
        <f>'FS QTR'!J52</f>
        <v>4.0283031999999999</v>
      </c>
      <c r="K61" s="463">
        <f>'FS QTR'!K52</f>
        <v>73.373859600000003</v>
      </c>
      <c r="L61" s="433">
        <f>'FS QTR'!L52</f>
        <v>73.325415800000002</v>
      </c>
      <c r="M61" s="287">
        <f>'FS QTR'!M52</f>
        <v>73.417292799999998</v>
      </c>
      <c r="N61" s="287">
        <f>'FS QTR'!N52</f>
        <v>73.368848800000009</v>
      </c>
      <c r="O61" s="463">
        <f>'FS QTR'!O52</f>
        <v>122.8621924</v>
      </c>
      <c r="P61" s="315"/>
      <c r="Q61" s="315"/>
      <c r="R61" s="318"/>
    </row>
    <row r="62" spans="2:18" ht="12.75" customHeight="1">
      <c r="B62" s="125" t="s">
        <v>67</v>
      </c>
      <c r="D62" s="433">
        <f>'FS QTR'!D53</f>
        <v>343.71452870000002</v>
      </c>
      <c r="E62" s="287">
        <f>'FS QTR'!E53</f>
        <v>414.83654940000002</v>
      </c>
      <c r="F62" s="287">
        <f>'FS QTR'!F53</f>
        <v>358.00704969999998</v>
      </c>
      <c r="G62" s="463">
        <f>'FS QTR'!G53</f>
        <v>236.85803179999999</v>
      </c>
      <c r="H62" s="433">
        <f>'FS QTR'!H53</f>
        <v>427.05735849999996</v>
      </c>
      <c r="I62" s="287">
        <f>'FS QTR'!I53</f>
        <v>440.12719010000001</v>
      </c>
      <c r="J62" s="287">
        <f>'FS QTR'!J53</f>
        <v>484.5485898</v>
      </c>
      <c r="K62" s="463">
        <f>'FS QTR'!K53</f>
        <v>604.60027980000007</v>
      </c>
      <c r="L62" s="433">
        <f>'FS QTR'!L53</f>
        <v>598.60436860000004</v>
      </c>
      <c r="M62" s="287">
        <f>'FS QTR'!M53</f>
        <v>636.87919999999997</v>
      </c>
      <c r="N62" s="287">
        <f>'FS QTR'!N53</f>
        <v>736.97282819999998</v>
      </c>
      <c r="O62" s="463">
        <f>'FS QTR'!O53</f>
        <v>1088.2253425000001</v>
      </c>
      <c r="P62" s="315"/>
      <c r="Q62" s="315"/>
      <c r="R62" s="318"/>
    </row>
    <row r="63" spans="2:18" ht="12.75" customHeight="1">
      <c r="B63" s="102" t="s">
        <v>68</v>
      </c>
      <c r="D63" s="433">
        <f>'FS QTR'!D54</f>
        <v>0</v>
      </c>
      <c r="E63" s="287">
        <f>'FS QTR'!E54</f>
        <v>0</v>
      </c>
      <c r="F63" s="287">
        <f>'FS QTR'!F54</f>
        <v>0</v>
      </c>
      <c r="G63" s="463">
        <f>'FS QTR'!G54</f>
        <v>0</v>
      </c>
      <c r="H63" s="433">
        <f>'FS QTR'!H54</f>
        <v>0</v>
      </c>
      <c r="I63" s="287">
        <f>'FS QTR'!I54</f>
        <v>0</v>
      </c>
      <c r="J63" s="287">
        <f>'FS QTR'!J54</f>
        <v>0</v>
      </c>
      <c r="K63" s="463">
        <f>'FS QTR'!K54</f>
        <v>0</v>
      </c>
      <c r="L63" s="433">
        <f>'FS QTR'!L54</f>
        <v>0</v>
      </c>
      <c r="M63" s="287">
        <f>'FS QTR'!M54</f>
        <v>0</v>
      </c>
      <c r="N63" s="287">
        <f>'FS QTR'!N54</f>
        <v>0</v>
      </c>
      <c r="O63" s="463">
        <f>'FS QTR'!O54</f>
        <v>0</v>
      </c>
      <c r="P63" s="315"/>
      <c r="Q63" s="315"/>
      <c r="R63" s="318"/>
    </row>
    <row r="64" spans="2:18" ht="12.75" customHeight="1">
      <c r="B64" s="102" t="s">
        <v>69</v>
      </c>
      <c r="D64" s="433">
        <f>'FS QTR'!D55</f>
        <v>32.185270799999998</v>
      </c>
      <c r="E64" s="287">
        <f>'FS QTR'!E55</f>
        <v>32.185270799999998</v>
      </c>
      <c r="F64" s="287">
        <f>'FS QTR'!F55</f>
        <v>32.185270799999998</v>
      </c>
      <c r="G64" s="463">
        <f>'FS QTR'!G55</f>
        <v>31.9802708</v>
      </c>
      <c r="H64" s="433">
        <f>'FS QTR'!H55</f>
        <v>31.9802708</v>
      </c>
      <c r="I64" s="287">
        <f>'FS QTR'!I55</f>
        <v>10.982380800000001</v>
      </c>
      <c r="J64" s="287">
        <f>'FS QTR'!J55</f>
        <v>10.982380800000001</v>
      </c>
      <c r="K64" s="463">
        <f>'FS QTR'!K55</f>
        <v>10.982380800000001</v>
      </c>
      <c r="L64" s="433">
        <f>'FS QTR'!L55</f>
        <v>10.8679808</v>
      </c>
      <c r="M64" s="287">
        <f>'FS QTR'!M55</f>
        <v>10.8679808</v>
      </c>
      <c r="N64" s="287">
        <f>'FS QTR'!N55</f>
        <v>10.8679808</v>
      </c>
      <c r="O64" s="463">
        <f>'FS QTR'!O55</f>
        <v>10.8679808</v>
      </c>
      <c r="P64" s="315"/>
      <c r="Q64" s="315"/>
      <c r="R64" s="318"/>
    </row>
    <row r="65" spans="2:22" ht="12.75" customHeight="1">
      <c r="B65" s="102" t="s">
        <v>70</v>
      </c>
      <c r="D65" s="433">
        <f>'FS QTR'!D56</f>
        <v>320</v>
      </c>
      <c r="E65" s="287">
        <f>'FS QTR'!E56</f>
        <v>320</v>
      </c>
      <c r="F65" s="287">
        <f>'FS QTR'!F56</f>
        <v>320</v>
      </c>
      <c r="G65" s="463">
        <f>'FS QTR'!G56</f>
        <v>420</v>
      </c>
      <c r="H65" s="433">
        <f>'FS QTR'!H56</f>
        <v>420</v>
      </c>
      <c r="I65" s="287">
        <f>'FS QTR'!I56</f>
        <v>524.9968100000001</v>
      </c>
      <c r="J65" s="287">
        <f>'FS QTR'!J56</f>
        <v>527.9968100000001</v>
      </c>
      <c r="K65" s="463">
        <f>'FS QTR'!K56</f>
        <v>527.9968100000001</v>
      </c>
      <c r="L65" s="433">
        <f>'FS QTR'!L56</f>
        <v>750</v>
      </c>
      <c r="M65" s="287">
        <f>'FS QTR'!M56</f>
        <v>750</v>
      </c>
      <c r="N65" s="287">
        <f>'FS QTR'!N56</f>
        <v>750</v>
      </c>
      <c r="O65" s="463">
        <f>'FS QTR'!O56</f>
        <v>750</v>
      </c>
      <c r="P65" s="315"/>
      <c r="Q65" s="315"/>
      <c r="R65" s="318"/>
    </row>
    <row r="66" spans="2:22" ht="12.75" customHeight="1">
      <c r="B66" s="102" t="s">
        <v>71</v>
      </c>
      <c r="D66" s="433">
        <f>'FS QTR'!D57</f>
        <v>49.229182899999998</v>
      </c>
      <c r="E66" s="287">
        <f>'FS QTR'!E57</f>
        <v>54.917076000000002</v>
      </c>
      <c r="F66" s="287">
        <f>'FS QTR'!F57</f>
        <v>80.410414000000003</v>
      </c>
      <c r="G66" s="463">
        <f>'FS QTR'!G57</f>
        <v>103.75582859999999</v>
      </c>
      <c r="H66" s="433">
        <f>'FS QTR'!H57</f>
        <v>102.32484119999999</v>
      </c>
      <c r="I66" s="287">
        <f>'FS QTR'!I57</f>
        <v>38.400854599999995</v>
      </c>
      <c r="J66" s="287">
        <f>'FS QTR'!J57</f>
        <v>65.480140500000005</v>
      </c>
      <c r="K66" s="463">
        <f>'FS QTR'!K57</f>
        <v>94.153803799999991</v>
      </c>
      <c r="L66" s="433">
        <f>'FS QTR'!L57</f>
        <v>107.24419040000001</v>
      </c>
      <c r="M66" s="287">
        <f>'FS QTR'!M57</f>
        <v>135.1252599</v>
      </c>
      <c r="N66" s="287">
        <f>'FS QTR'!N57</f>
        <v>136.04851410000001</v>
      </c>
      <c r="O66" s="463">
        <f>'FS QTR'!O57</f>
        <v>241.89213329999998</v>
      </c>
      <c r="P66" s="315"/>
      <c r="Q66" s="315"/>
      <c r="R66" s="318"/>
    </row>
    <row r="67" spans="2:22" ht="12.75" customHeight="1">
      <c r="B67" s="102" t="s">
        <v>72</v>
      </c>
      <c r="D67" s="433">
        <f>'FS QTR'!D58</f>
        <v>49.399989399999995</v>
      </c>
      <c r="E67" s="287">
        <f>'FS QTR'!E58</f>
        <v>52.012146999999999</v>
      </c>
      <c r="F67" s="287">
        <f>'FS QTR'!F58</f>
        <v>53.783336499999997</v>
      </c>
      <c r="G67" s="463">
        <f>'FS QTR'!G58</f>
        <v>23.858045199999999</v>
      </c>
      <c r="H67" s="433">
        <f>'FS QTR'!H58</f>
        <v>22.427467</v>
      </c>
      <c r="I67" s="287">
        <f>'FS QTR'!I58</f>
        <v>24.228290000000001</v>
      </c>
      <c r="J67" s="287">
        <f>'FS QTR'!J58</f>
        <v>25.778303300000001</v>
      </c>
      <c r="K67" s="463">
        <f>'FS QTR'!K58</f>
        <v>30.481793000000003</v>
      </c>
      <c r="L67" s="433">
        <f>'FS QTR'!L58</f>
        <v>31.341506799999998</v>
      </c>
      <c r="M67" s="287">
        <f>'FS QTR'!M58</f>
        <v>44.777506899999999</v>
      </c>
      <c r="N67" s="287">
        <f>'FS QTR'!N58</f>
        <v>50.5677047</v>
      </c>
      <c r="O67" s="463">
        <f>'FS QTR'!O58</f>
        <v>69.467375700000005</v>
      </c>
      <c r="P67" s="315"/>
      <c r="Q67" s="315"/>
      <c r="R67" s="318"/>
    </row>
    <row r="68" spans="2:22" ht="12.75" customHeight="1">
      <c r="B68" s="102" t="s">
        <v>73</v>
      </c>
      <c r="D68" s="433">
        <f>'FS QTR'!D59</f>
        <v>450.81444309999995</v>
      </c>
      <c r="E68" s="287">
        <f>'FS QTR'!E59</f>
        <v>459.11449379999999</v>
      </c>
      <c r="F68" s="287">
        <f>'FS QTR'!F59</f>
        <v>486.37902130000003</v>
      </c>
      <c r="G68" s="463">
        <f>'FS QTR'!G59</f>
        <v>579.59414460000005</v>
      </c>
      <c r="H68" s="433">
        <f>'FS QTR'!H59</f>
        <v>576.73257889999991</v>
      </c>
      <c r="I68" s="287">
        <f>'FS QTR'!I59</f>
        <v>598.60833539999999</v>
      </c>
      <c r="J68" s="287">
        <f>'FS QTR'!J59</f>
        <v>630.23763470000006</v>
      </c>
      <c r="K68" s="463">
        <f>'FS QTR'!K59</f>
        <v>663.61478769999997</v>
      </c>
      <c r="L68" s="433">
        <f>'FS QTR'!L59</f>
        <v>899.45367810000005</v>
      </c>
      <c r="M68" s="287">
        <f>'FS QTR'!M59</f>
        <v>940.77074760000005</v>
      </c>
      <c r="N68" s="287">
        <f>'FS QTR'!N59</f>
        <v>947.48419960000001</v>
      </c>
      <c r="O68" s="463">
        <f>'FS QTR'!O59</f>
        <v>1072.2274898000001</v>
      </c>
      <c r="P68" s="315"/>
      <c r="Q68" s="315"/>
      <c r="R68" s="318"/>
    </row>
    <row r="69" spans="2:22" ht="12.75" customHeight="1">
      <c r="B69" s="125" t="s">
        <v>74</v>
      </c>
      <c r="C69" s="6"/>
      <c r="D69" s="435">
        <f>'FS QTR'!D60</f>
        <v>794.52897180000002</v>
      </c>
      <c r="E69" s="289">
        <f>'FS QTR'!E60</f>
        <v>873.95104319999996</v>
      </c>
      <c r="F69" s="289">
        <f>'FS QTR'!F60</f>
        <v>844.38607109999998</v>
      </c>
      <c r="G69" s="465">
        <f>'FS QTR'!G60</f>
        <v>816.45217649999995</v>
      </c>
      <c r="H69" s="435">
        <f>'FS QTR'!H60</f>
        <v>1003.7899374000001</v>
      </c>
      <c r="I69" s="289">
        <f>'FS QTR'!I60</f>
        <v>1038.7355255</v>
      </c>
      <c r="J69" s="289">
        <f>'FS QTR'!J60</f>
        <v>1114.7862245000001</v>
      </c>
      <c r="K69" s="465">
        <f>'FS QTR'!K60</f>
        <v>1268.2150674999998</v>
      </c>
      <c r="L69" s="435">
        <f>'FS QTR'!L60</f>
        <v>1498.0580467</v>
      </c>
      <c r="M69" s="289">
        <f>'FS QTR'!M60</f>
        <v>1577.6499476000001</v>
      </c>
      <c r="N69" s="289">
        <f>'FS QTR'!N60</f>
        <v>1684.4570278000001</v>
      </c>
      <c r="O69" s="465">
        <f>'FS QTR'!O60</f>
        <v>2160.4528323</v>
      </c>
      <c r="P69" s="319"/>
      <c r="Q69" s="319"/>
      <c r="R69" s="318"/>
    </row>
    <row r="70" spans="2:22" ht="12.75" customHeight="1">
      <c r="B70" s="125"/>
      <c r="D70" s="433"/>
      <c r="E70" s="287"/>
      <c r="F70" s="287"/>
      <c r="G70" s="463"/>
      <c r="H70" s="433"/>
      <c r="I70" s="287"/>
      <c r="J70" s="287"/>
      <c r="K70" s="463"/>
      <c r="L70" s="433"/>
      <c r="M70" s="287"/>
      <c r="N70" s="287"/>
      <c r="O70" s="463"/>
      <c r="P70" s="315"/>
      <c r="Q70" s="315"/>
      <c r="R70" s="318"/>
    </row>
    <row r="71" spans="2:22" ht="12.75" customHeight="1">
      <c r="B71" s="125" t="s">
        <v>82</v>
      </c>
      <c r="D71" s="433"/>
      <c r="E71" s="287"/>
      <c r="F71" s="287"/>
      <c r="G71" s="463"/>
      <c r="H71" s="433"/>
      <c r="I71" s="287"/>
      <c r="J71" s="287"/>
      <c r="K71" s="463"/>
      <c r="L71" s="433"/>
      <c r="M71" s="287"/>
      <c r="N71" s="287"/>
      <c r="O71" s="463"/>
      <c r="P71" s="315"/>
      <c r="Q71" s="315"/>
      <c r="R71" s="318"/>
      <c r="S71" s="69"/>
      <c r="T71" s="69"/>
      <c r="U71" s="69"/>
      <c r="V71" s="69"/>
    </row>
    <row r="72" spans="2:22" ht="12.75" customHeight="1">
      <c r="B72" s="125" t="s">
        <v>83</v>
      </c>
      <c r="D72" s="433">
        <f>'FS QTR'!D64</f>
        <v>0</v>
      </c>
      <c r="E72" s="287">
        <f>'FS QTR'!E64</f>
        <v>53.750649500000002</v>
      </c>
      <c r="F72" s="287">
        <f>'FS QTR'!F64</f>
        <v>55.688726000000003</v>
      </c>
      <c r="G72" s="463">
        <f>'FS QTR'!G64</f>
        <v>68.524952200000001</v>
      </c>
      <c r="H72" s="433">
        <f>'FS QTR'!H64</f>
        <v>136.05265410000001</v>
      </c>
      <c r="I72" s="287">
        <f>'FS QTR'!I64</f>
        <v>110.7089258</v>
      </c>
      <c r="J72" s="287">
        <f>'FS QTR'!J64</f>
        <v>120.1591746</v>
      </c>
      <c r="K72" s="463">
        <f>'FS QTR'!K64</f>
        <v>59.468311900000003</v>
      </c>
      <c r="L72" s="433">
        <f>'FS QTR'!L64</f>
        <v>72.886290099999997</v>
      </c>
      <c r="M72" s="287">
        <f>'FS QTR'!M64</f>
        <v>306.7498794</v>
      </c>
      <c r="N72" s="287">
        <f>'FS QTR'!N64</f>
        <v>305.37001150000003</v>
      </c>
      <c r="O72" s="463">
        <f>'FS QTR'!O64</f>
        <v>373.82149020000003</v>
      </c>
      <c r="P72" s="315"/>
      <c r="Q72" s="315"/>
      <c r="R72" s="318"/>
    </row>
    <row r="73" spans="2:22" ht="12.75" customHeight="1">
      <c r="B73" s="126" t="s">
        <v>84</v>
      </c>
      <c r="D73" s="433">
        <f>'FS QTR'!D65</f>
        <v>2.5543208000000002</v>
      </c>
      <c r="E73" s="287">
        <f>'FS QTR'!E65</f>
        <v>5.6878931000000001</v>
      </c>
      <c r="F73" s="287">
        <f>'FS QTR'!F65</f>
        <v>25.493338000000001</v>
      </c>
      <c r="G73" s="463">
        <f>'FS QTR'!G65</f>
        <v>24.124399199999999</v>
      </c>
      <c r="H73" s="433">
        <f>'FS QTR'!H65</f>
        <v>1.4047609000000001</v>
      </c>
      <c r="I73" s="287">
        <f>'FS QTR'!I65</f>
        <v>20.0749335</v>
      </c>
      <c r="J73" s="287">
        <f>'FS QTR'!J65</f>
        <v>30.079285899999999</v>
      </c>
      <c r="K73" s="463">
        <f>'FS QTR'!K65</f>
        <v>31.205013399999999</v>
      </c>
      <c r="L73" s="433">
        <f>'FS QTR'!L65</f>
        <v>21.3169383</v>
      </c>
      <c r="M73" s="287">
        <f>'FS QTR'!M65</f>
        <v>31.330132600000002</v>
      </c>
      <c r="N73" s="287">
        <f>'FS QTR'!N65</f>
        <v>0.96796769999999999</v>
      </c>
      <c r="O73" s="463">
        <f>'FS QTR'!O65</f>
        <v>114.21945100000001</v>
      </c>
      <c r="P73" s="315"/>
      <c r="Q73" s="315"/>
      <c r="R73" s="318"/>
    </row>
    <row r="74" spans="2:22" ht="12.75" customHeight="1">
      <c r="B74" s="126" t="s">
        <v>85</v>
      </c>
      <c r="D74" s="433">
        <f>'FS QTR'!D66</f>
        <v>0.95970709999999992</v>
      </c>
      <c r="E74" s="287">
        <f>'FS QTR'!E66</f>
        <v>0.70433709999999994</v>
      </c>
      <c r="F74" s="287">
        <f>'FS QTR'!F66</f>
        <v>0.78535739999999998</v>
      </c>
      <c r="G74" s="463">
        <f>'FS QTR'!G66</f>
        <v>1.6653115000000001</v>
      </c>
      <c r="H74" s="433">
        <f>'FS QTR'!H66</f>
        <v>1.0149950999999999</v>
      </c>
      <c r="I74" s="287">
        <f>'FS QTR'!I66</f>
        <v>0.94780539999999991</v>
      </c>
      <c r="J74" s="287">
        <f>'FS QTR'!J66</f>
        <v>0.88136339999999991</v>
      </c>
      <c r="K74" s="463">
        <f>'FS QTR'!K66</f>
        <v>0.69535709999999995</v>
      </c>
      <c r="L74" s="433">
        <f>'FS QTR'!L66</f>
        <v>0.8184572</v>
      </c>
      <c r="M74" s="287">
        <f>'FS QTR'!M66</f>
        <v>0.81873249999999997</v>
      </c>
      <c r="N74" s="287">
        <f>'FS QTR'!N66</f>
        <v>0.81396159999999995</v>
      </c>
      <c r="O74" s="463">
        <f>'FS QTR'!O66</f>
        <v>0.83829240000000005</v>
      </c>
      <c r="P74" s="315"/>
      <c r="Q74" s="315"/>
      <c r="R74" s="318"/>
    </row>
    <row r="75" spans="2:22" ht="12.75" customHeight="1">
      <c r="B75" s="126" t="s">
        <v>86</v>
      </c>
      <c r="D75" s="433">
        <f>'FS QTR'!D67</f>
        <v>-6.5866420999999997</v>
      </c>
      <c r="E75" s="287">
        <f>'FS QTR'!E67</f>
        <v>11.0882541</v>
      </c>
      <c r="F75" s="287">
        <f>'FS QTR'!F67</f>
        <v>-38.797260100000003</v>
      </c>
      <c r="G75" s="463">
        <f>'FS QTR'!G67</f>
        <v>-4.0608151000000001</v>
      </c>
      <c r="H75" s="433">
        <f>'FS QTR'!H67</f>
        <v>-7.9518320000000005</v>
      </c>
      <c r="I75" s="287">
        <f>'FS QTR'!I67</f>
        <v>-0.44243509999999997</v>
      </c>
      <c r="J75" s="287">
        <f>'FS QTR'!J67</f>
        <v>-133.4355746</v>
      </c>
      <c r="K75" s="463">
        <f>'FS QTR'!K67</f>
        <v>100.66317359999999</v>
      </c>
      <c r="L75" s="433">
        <f>'FS QTR'!L67</f>
        <v>7.2340200999999995</v>
      </c>
      <c r="M75" s="287">
        <f>'FS QTR'!M67</f>
        <v>-66.662555300000008</v>
      </c>
      <c r="N75" s="287">
        <f>'FS QTR'!N67</f>
        <v>5.2260284000000006</v>
      </c>
      <c r="O75" s="463">
        <f>'FS QTR'!O67</f>
        <v>-257.96647380000002</v>
      </c>
      <c r="P75" s="315"/>
      <c r="Q75" s="315"/>
      <c r="R75" s="318"/>
    </row>
    <row r="76" spans="2:22" ht="12.75" customHeight="1">
      <c r="B76" s="126" t="s">
        <v>87</v>
      </c>
      <c r="D76" s="433">
        <f>'FS QTR'!D68</f>
        <v>-2.6137703000000001</v>
      </c>
      <c r="E76" s="287">
        <f>'FS QTR'!E68</f>
        <v>34.196131600000001</v>
      </c>
      <c r="F76" s="287">
        <f>'FS QTR'!F68</f>
        <v>26.2032305</v>
      </c>
      <c r="G76" s="463">
        <f>'FS QTR'!G68</f>
        <v>33.913307200000006</v>
      </c>
      <c r="H76" s="433">
        <f>'FS QTR'!H68</f>
        <v>-20.369785700000001</v>
      </c>
      <c r="I76" s="287">
        <f>'FS QTR'!I68</f>
        <v>78.666343400000002</v>
      </c>
      <c r="J76" s="287">
        <f>'FS QTR'!J68</f>
        <v>-78.861430300000009</v>
      </c>
      <c r="K76" s="463">
        <f>'FS QTR'!K68</f>
        <v>-105.4686921</v>
      </c>
      <c r="L76" s="433">
        <f>'FS QTR'!L68</f>
        <v>12.4378338</v>
      </c>
      <c r="M76" s="287">
        <f>'FS QTR'!M68</f>
        <v>13.0220191</v>
      </c>
      <c r="N76" s="287">
        <f>'FS QTR'!N68</f>
        <v>65.730927500000007</v>
      </c>
      <c r="O76" s="463">
        <f>'FS QTR'!O68</f>
        <v>382.41334360000002</v>
      </c>
      <c r="P76" s="315"/>
      <c r="Q76" s="315"/>
      <c r="R76" s="318"/>
    </row>
    <row r="77" spans="2:22" ht="12.75" customHeight="1">
      <c r="B77" s="127" t="s">
        <v>88</v>
      </c>
      <c r="D77" s="433">
        <f>'FS QTR'!D69</f>
        <v>-5.6863843999999997</v>
      </c>
      <c r="E77" s="287">
        <f>'FS QTR'!E69</f>
        <v>51.676615899999994</v>
      </c>
      <c r="F77" s="287">
        <f>'FS QTR'!F69</f>
        <v>13.684665800000001</v>
      </c>
      <c r="G77" s="463">
        <f>'FS QTR'!G69</f>
        <v>55.642202899999994</v>
      </c>
      <c r="H77" s="433">
        <f>'FS QTR'!H69</f>
        <v>-25.901861700000001</v>
      </c>
      <c r="I77" s="287">
        <f>'FS QTR'!I69</f>
        <v>99.246647200000012</v>
      </c>
      <c r="J77" s="287">
        <f>'FS QTR'!J69</f>
        <v>-181.33635560000002</v>
      </c>
      <c r="K77" s="463">
        <f>'FS QTR'!K69</f>
        <v>27.094851900000002</v>
      </c>
      <c r="L77" s="433">
        <f>'FS QTR'!L69</f>
        <v>41.807249300000002</v>
      </c>
      <c r="M77" s="287">
        <f>'FS QTR'!M69</f>
        <v>-21.491671099999998</v>
      </c>
      <c r="N77" s="287">
        <f>'FS QTR'!N69</f>
        <v>72.738885199999999</v>
      </c>
      <c r="O77" s="463">
        <f>'FS QTR'!O69</f>
        <v>239.5046131</v>
      </c>
      <c r="P77" s="315"/>
      <c r="Q77" s="315"/>
      <c r="R77" s="318"/>
    </row>
    <row r="78" spans="2:22" ht="12.75" customHeight="1">
      <c r="B78" s="126" t="s">
        <v>89</v>
      </c>
      <c r="D78" s="433">
        <f>'FS QTR'!D70</f>
        <v>0</v>
      </c>
      <c r="E78" s="287">
        <f>'FS QTR'!E70</f>
        <v>1.4545500000000001E-2</v>
      </c>
      <c r="F78" s="287">
        <f>'FS QTR'!F70</f>
        <v>0</v>
      </c>
      <c r="G78" s="463">
        <f>'FS QTR'!G70</f>
        <v>3.0000000000000001E-3</v>
      </c>
      <c r="H78" s="433">
        <f>'FS QTR'!H70</f>
        <v>0</v>
      </c>
      <c r="I78" s="287">
        <f>'FS QTR'!I70</f>
        <v>0.1841546</v>
      </c>
      <c r="J78" s="287">
        <f>'FS QTR'!J70</f>
        <v>0</v>
      </c>
      <c r="K78" s="463">
        <f>'FS QTR'!K70</f>
        <v>0.48481819999999998</v>
      </c>
      <c r="L78" s="433">
        <f>'FS QTR'!L70</f>
        <v>0</v>
      </c>
      <c r="M78" s="287">
        <f>'FS QTR'!M70</f>
        <v>1.5</v>
      </c>
      <c r="N78" s="287">
        <f>'FS QTR'!N70</f>
        <v>0</v>
      </c>
      <c r="O78" s="463">
        <f>'FS QTR'!O70</f>
        <v>0</v>
      </c>
      <c r="P78" s="315"/>
      <c r="Q78" s="315"/>
      <c r="R78" s="318"/>
    </row>
    <row r="79" spans="2:22" ht="12.75" customHeight="1">
      <c r="B79" s="126" t="s">
        <v>90</v>
      </c>
      <c r="D79" s="433">
        <f>'FS QTR'!D71</f>
        <v>-3.6072699999999999E-2</v>
      </c>
      <c r="E79" s="287">
        <f>'FS QTR'!E71</f>
        <v>-1.4208486</v>
      </c>
      <c r="F79" s="287">
        <f>'FS QTR'!F71</f>
        <v>-0.1289487</v>
      </c>
      <c r="G79" s="463">
        <f>'FS QTR'!G71</f>
        <v>-1.1974727000000001</v>
      </c>
      <c r="H79" s="433">
        <f>'FS QTR'!H71</f>
        <v>-0.14522649999999998</v>
      </c>
      <c r="I79" s="287">
        <f>'FS QTR'!I71</f>
        <v>-0.58101800000000003</v>
      </c>
      <c r="J79" s="287">
        <f>'FS QTR'!J71</f>
        <v>-0.13300000000000001</v>
      </c>
      <c r="K79" s="463">
        <f>'FS QTR'!K71</f>
        <v>-1.6246152</v>
      </c>
      <c r="L79" s="433">
        <f>'FS QTR'!L71</f>
        <v>-0.11600000000000001</v>
      </c>
      <c r="M79" s="287">
        <f>'FS QTR'!M71</f>
        <v>-0.34633749999999996</v>
      </c>
      <c r="N79" s="287">
        <f>'FS QTR'!N71</f>
        <v>-0.80344949999999993</v>
      </c>
      <c r="O79" s="463">
        <f>'FS QTR'!O71</f>
        <v>-1.8175199</v>
      </c>
      <c r="P79" s="315"/>
      <c r="Q79" s="315"/>
      <c r="R79" s="318"/>
    </row>
    <row r="80" spans="2:22" ht="12.75" customHeight="1">
      <c r="B80" s="126" t="s">
        <v>91</v>
      </c>
      <c r="D80" s="433">
        <f>'FS QTR'!D72</f>
        <v>0</v>
      </c>
      <c r="E80" s="287">
        <f>'FS QTR'!E72</f>
        <v>0</v>
      </c>
      <c r="F80" s="287">
        <f>'FS QTR'!F72</f>
        <v>0</v>
      </c>
      <c r="G80" s="463">
        <f>'FS QTR'!G72</f>
        <v>0</v>
      </c>
      <c r="H80" s="433">
        <f>'FS QTR'!H72</f>
        <v>0</v>
      </c>
      <c r="I80" s="287">
        <f>'FS QTR'!I72</f>
        <v>0</v>
      </c>
      <c r="J80" s="287">
        <f>'FS QTR'!J72</f>
        <v>0</v>
      </c>
      <c r="K80" s="463">
        <f>'FS QTR'!K72</f>
        <v>0</v>
      </c>
      <c r="L80" s="433">
        <f>'FS QTR'!L72</f>
        <v>0</v>
      </c>
      <c r="M80" s="287">
        <f>'FS QTR'!M72</f>
        <v>0</v>
      </c>
      <c r="N80" s="287">
        <f>'FS QTR'!N72</f>
        <v>0</v>
      </c>
      <c r="O80" s="463">
        <f>'FS QTR'!O72</f>
        <v>0</v>
      </c>
      <c r="P80" s="315"/>
      <c r="Q80" s="315"/>
      <c r="R80" s="318"/>
    </row>
    <row r="81" spans="2:18" ht="12.75" customHeight="1">
      <c r="B81" s="126" t="s">
        <v>92</v>
      </c>
      <c r="D81" s="433">
        <f>'FS QTR'!D73</f>
        <v>0</v>
      </c>
      <c r="E81" s="287">
        <f>'FS QTR'!E73</f>
        <v>0</v>
      </c>
      <c r="F81" s="287">
        <f>'FS QTR'!F73</f>
        <v>0</v>
      </c>
      <c r="G81" s="463">
        <f>'FS QTR'!G73</f>
        <v>0</v>
      </c>
      <c r="H81" s="433">
        <f>'FS QTR'!H73</f>
        <v>0</v>
      </c>
      <c r="I81" s="287">
        <f>'FS QTR'!I73</f>
        <v>0</v>
      </c>
      <c r="J81" s="287">
        <f>'FS QTR'!J73</f>
        <v>0</v>
      </c>
      <c r="K81" s="463">
        <f>'FS QTR'!K73</f>
        <v>0</v>
      </c>
      <c r="L81" s="433">
        <f>'FS QTR'!L73</f>
        <v>0</v>
      </c>
      <c r="M81" s="287">
        <f>'FS QTR'!M73</f>
        <v>0</v>
      </c>
      <c r="N81" s="287">
        <f>'FS QTR'!N73</f>
        <v>0</v>
      </c>
      <c r="O81" s="463">
        <f>'FS QTR'!O73</f>
        <v>0</v>
      </c>
      <c r="P81" s="315"/>
      <c r="Q81" s="315"/>
      <c r="R81" s="318"/>
    </row>
    <row r="82" spans="2:18" ht="12.75" customHeight="1">
      <c r="B82" s="126" t="s">
        <v>93</v>
      </c>
      <c r="D82" s="433">
        <f>'FS QTR'!D74</f>
        <v>-6.3786454999999993</v>
      </c>
      <c r="E82" s="287">
        <f>'FS QTR'!E74</f>
        <v>-0.178816</v>
      </c>
      <c r="F82" s="287">
        <f>'FS QTR'!F74</f>
        <v>-0.32823150000000001</v>
      </c>
      <c r="G82" s="463">
        <f>'FS QTR'!G74</f>
        <v>-36.218215999999998</v>
      </c>
      <c r="H82" s="433">
        <f>'FS QTR'!H74</f>
        <v>0</v>
      </c>
      <c r="I82" s="287">
        <f>'FS QTR'!I74</f>
        <v>-92.682240999999991</v>
      </c>
      <c r="J82" s="287">
        <f>'FS QTR'!J74</f>
        <v>122.751356</v>
      </c>
      <c r="K82" s="463">
        <f>'FS QTR'!K74</f>
        <v>-195.71518719999997</v>
      </c>
      <c r="L82" s="433">
        <f>'FS QTR'!L74</f>
        <v>-29.8</v>
      </c>
      <c r="M82" s="287">
        <f>'FS QTR'!M74</f>
        <v>18.894771200000001</v>
      </c>
      <c r="N82" s="287">
        <f>'FS QTR'!N74</f>
        <v>-2.8159646999999999</v>
      </c>
      <c r="O82" s="463">
        <f>'FS QTR'!O74</f>
        <v>115.9193489</v>
      </c>
      <c r="P82" s="315"/>
      <c r="Q82" s="315"/>
      <c r="R82" s="318"/>
    </row>
    <row r="83" spans="2:18" ht="12.75" customHeight="1">
      <c r="B83" s="127" t="s">
        <v>94</v>
      </c>
      <c r="D83" s="433">
        <f>'FS QTR'!D75</f>
        <v>-6.4147182000000003</v>
      </c>
      <c r="E83" s="287">
        <f>'FS QTR'!E75</f>
        <v>-1.5851190999999998</v>
      </c>
      <c r="F83" s="287">
        <f>'FS QTR'!F75</f>
        <v>-0.45718020000000004</v>
      </c>
      <c r="G83" s="463">
        <f>'FS QTR'!G75</f>
        <v>-37.412688800000005</v>
      </c>
      <c r="H83" s="433">
        <f>'FS QTR'!H75</f>
        <v>-0.14522649999999998</v>
      </c>
      <c r="I83" s="287">
        <f>'FS QTR'!I75</f>
        <v>-93.079104399999991</v>
      </c>
      <c r="J83" s="287">
        <f>'FS QTR'!J75</f>
        <v>122.61835600000001</v>
      </c>
      <c r="K83" s="463">
        <f>'FS QTR'!K75</f>
        <v>-196.85498420000002</v>
      </c>
      <c r="L83" s="433">
        <f>'FS QTR'!L75</f>
        <v>-29.916</v>
      </c>
      <c r="M83" s="287">
        <f>'FS QTR'!M75</f>
        <v>20.0484337</v>
      </c>
      <c r="N83" s="287">
        <f>'FS QTR'!N75</f>
        <v>-3.6194142</v>
      </c>
      <c r="O83" s="463">
        <f>'FS QTR'!O75</f>
        <v>114.1018291</v>
      </c>
      <c r="P83" s="315"/>
      <c r="Q83" s="315"/>
      <c r="R83" s="318"/>
    </row>
    <row r="84" spans="2:18" ht="12.75" customHeight="1">
      <c r="B84" s="126" t="s">
        <v>95</v>
      </c>
      <c r="D84" s="433">
        <f>'FS QTR'!D76</f>
        <v>-2.2814074999999998</v>
      </c>
      <c r="E84" s="287">
        <f>'FS QTR'!E76</f>
        <v>-0.90633399999999997</v>
      </c>
      <c r="F84" s="287">
        <f>'FS QTR'!F76</f>
        <v>-0.41361939999999997</v>
      </c>
      <c r="G84" s="463">
        <f>'FS QTR'!G76</f>
        <v>-1.6597886000000002</v>
      </c>
      <c r="H84" s="433">
        <f>'FS QTR'!H76</f>
        <v>0</v>
      </c>
      <c r="I84" s="287">
        <f>'FS QTR'!I76</f>
        <v>-1.2054</v>
      </c>
      <c r="J84" s="287">
        <f>'FS QTR'!J76</f>
        <v>-0.14399999999999999</v>
      </c>
      <c r="K84" s="463">
        <f>'FS QTR'!K76</f>
        <v>-0.73799999999999999</v>
      </c>
      <c r="L84" s="433">
        <f>'FS QTR'!L76</f>
        <v>0</v>
      </c>
      <c r="M84" s="287">
        <f>'FS QTR'!M76</f>
        <v>0</v>
      </c>
      <c r="N84" s="287">
        <f>'FS QTR'!N76</f>
        <v>-0.54547289999999993</v>
      </c>
      <c r="O84" s="463">
        <f>'FS QTR'!O76</f>
        <v>-15.234359099999999</v>
      </c>
      <c r="P84" s="315"/>
      <c r="Q84" s="315"/>
      <c r="R84" s="318"/>
    </row>
    <row r="85" spans="2:18" ht="12.75" customHeight="1">
      <c r="B85" s="126" t="s">
        <v>96</v>
      </c>
      <c r="D85" s="433">
        <f>'FS QTR'!D77</f>
        <v>0.26</v>
      </c>
      <c r="E85" s="287">
        <f>'FS QTR'!E77</f>
        <v>0.37</v>
      </c>
      <c r="F85" s="287">
        <f>'FS QTR'!F77</f>
        <v>4.9000000000000002E-2</v>
      </c>
      <c r="G85" s="463">
        <f>'FS QTR'!G77</f>
        <v>100.71299999999999</v>
      </c>
      <c r="H85" s="433">
        <f>'FS QTR'!H77</f>
        <v>0</v>
      </c>
      <c r="I85" s="287">
        <f>'FS QTR'!I77</f>
        <v>0</v>
      </c>
      <c r="J85" s="287">
        <f>'FS QTR'!J77</f>
        <v>0.1</v>
      </c>
      <c r="K85" s="463">
        <f>'FS QTR'!K77</f>
        <v>113.442048</v>
      </c>
      <c r="L85" s="433">
        <f>'FS QTR'!L77</f>
        <v>222.00264000000001</v>
      </c>
      <c r="M85" s="287">
        <f>'FS QTR'!M77</f>
        <v>5.5000000000000003E-4</v>
      </c>
      <c r="N85" s="287">
        <f>'FS QTR'!N77</f>
        <v>0</v>
      </c>
      <c r="O85" s="463">
        <f>'FS QTR'!O77</f>
        <v>13.66</v>
      </c>
      <c r="P85" s="315"/>
      <c r="Q85" s="315"/>
      <c r="R85" s="318"/>
    </row>
    <row r="86" spans="2:18" ht="12.75" customHeight="1">
      <c r="B86" s="126" t="s">
        <v>97</v>
      </c>
      <c r="D86" s="433">
        <f>'FS QTR'!D78</f>
        <v>0</v>
      </c>
      <c r="E86" s="287">
        <f>'FS QTR'!E78</f>
        <v>0</v>
      </c>
      <c r="F86" s="287">
        <f>'FS QTR'!F78</f>
        <v>0</v>
      </c>
      <c r="G86" s="463">
        <f>'FS QTR'!G78</f>
        <v>-3.1017301000000002</v>
      </c>
      <c r="H86" s="433">
        <f>'FS QTR'!H78</f>
        <v>0</v>
      </c>
      <c r="I86" s="287">
        <f>'FS QTR'!I78</f>
        <v>0</v>
      </c>
      <c r="J86" s="287">
        <f>'FS QTR'!J78</f>
        <v>0</v>
      </c>
      <c r="K86" s="463">
        <f>'FS QTR'!K78</f>
        <v>0</v>
      </c>
      <c r="L86" s="433">
        <f>'FS QTR'!L78</f>
        <v>0</v>
      </c>
      <c r="M86" s="287">
        <f>'FS QTR'!M78</f>
        <v>0</v>
      </c>
      <c r="N86" s="287">
        <f>'FS QTR'!N78</f>
        <v>0</v>
      </c>
      <c r="O86" s="463">
        <f>'FS QTR'!O78</f>
        <v>0</v>
      </c>
      <c r="P86" s="315"/>
      <c r="Q86" s="315"/>
      <c r="R86" s="318"/>
    </row>
    <row r="87" spans="2:18" ht="12.75" customHeight="1">
      <c r="B87" s="127" t="s">
        <v>98</v>
      </c>
      <c r="D87" s="433">
        <f>'FS QTR'!D79</f>
        <v>-14.1225101</v>
      </c>
      <c r="E87" s="287">
        <f>'FS QTR'!E79</f>
        <v>103.3058123</v>
      </c>
      <c r="F87" s="287">
        <f>'FS QTR'!F79</f>
        <v>68.551592200000016</v>
      </c>
      <c r="G87" s="463">
        <f>'FS QTR'!G79</f>
        <v>182.7059476</v>
      </c>
      <c r="H87" s="433">
        <f>'FS QTR'!H79</f>
        <v>110.00556590000001</v>
      </c>
      <c r="I87" s="287">
        <f>'FS QTR'!I79</f>
        <v>115.67106860000003</v>
      </c>
      <c r="J87" s="287">
        <f>'FS QTR'!J79</f>
        <v>61.39717499999999</v>
      </c>
      <c r="K87" s="463">
        <f>'FS QTR'!K79</f>
        <v>2.4122275999999943</v>
      </c>
      <c r="L87" s="433">
        <f>'FS QTR'!L79</f>
        <v>306.78017940000001</v>
      </c>
      <c r="M87" s="287">
        <f>'FS QTR'!M79</f>
        <v>305.30719199999993</v>
      </c>
      <c r="N87" s="287">
        <f>'FS QTR'!N79</f>
        <v>373.94400960000007</v>
      </c>
      <c r="O87" s="463">
        <f>'FS QTR'!O79</f>
        <v>725.85357329999999</v>
      </c>
      <c r="P87" s="315"/>
      <c r="Q87" s="315"/>
      <c r="R87" s="318"/>
    </row>
    <row r="88" spans="2:18" ht="12.75" customHeight="1">
      <c r="B88" s="126" t="s">
        <v>292</v>
      </c>
      <c r="D88" s="433">
        <f>'FS QTR'!D80</f>
        <v>71.95</v>
      </c>
      <c r="E88" s="287">
        <f>'FS QTR'!E80</f>
        <v>-47</v>
      </c>
      <c r="F88" s="287">
        <f>'FS QTR'!F80</f>
        <v>0</v>
      </c>
      <c r="G88" s="463">
        <f>'FS QTR'!G80</f>
        <v>-24.5</v>
      </c>
      <c r="H88" s="433">
        <f>'FS QTR'!H80</f>
        <v>0.73</v>
      </c>
      <c r="I88" s="287">
        <f>'FS QTR'!I80</f>
        <v>-0.92999999999999994</v>
      </c>
      <c r="J88" s="287">
        <f>'FS QTR'!J80</f>
        <v>0</v>
      </c>
      <c r="K88" s="463">
        <f>'FS QTR'!K80</f>
        <v>-0.25</v>
      </c>
      <c r="L88" s="433">
        <f>'FS QTR'!L80</f>
        <v>0</v>
      </c>
      <c r="M88" s="287">
        <f>'FS QTR'!M80</f>
        <v>0</v>
      </c>
      <c r="N88" s="287">
        <f>'FS QTR'!N80</f>
        <v>0</v>
      </c>
      <c r="O88" s="463">
        <f>'FS QTR'!O80</f>
        <v>1</v>
      </c>
      <c r="P88" s="315"/>
      <c r="Q88" s="315"/>
      <c r="R88" s="318"/>
    </row>
    <row r="89" spans="2:18" ht="12.75" customHeight="1">
      <c r="B89" s="126" t="s">
        <v>291</v>
      </c>
      <c r="D89" s="433">
        <f>'FS QTR'!D81</f>
        <v>12.088175999999999</v>
      </c>
      <c r="E89" s="287">
        <f>'FS QTR'!E81</f>
        <v>-2.6639999999998665E-2</v>
      </c>
      <c r="F89" s="287">
        <f>'FS QTR'!F81</f>
        <v>-2.6640000000000441E-2</v>
      </c>
      <c r="G89" s="463">
        <f>'FS QTR'!G81</f>
        <v>-11.919136</v>
      </c>
      <c r="H89" s="433">
        <f>'FS QTR'!H81</f>
        <v>-2.6639999999999997E-2</v>
      </c>
      <c r="I89" s="287">
        <f>'FS QTR'!I81</f>
        <v>-2.6640000000000011E-2</v>
      </c>
      <c r="J89" s="287">
        <f>'FS QTR'!J81</f>
        <v>0.28752</v>
      </c>
      <c r="K89" s="463">
        <f>'FS QTR'!K81</f>
        <v>69.364000000000004</v>
      </c>
      <c r="L89" s="433">
        <f>'FS QTR'!L81</f>
        <v>-3.0000000000001137E-2</v>
      </c>
      <c r="M89" s="287">
        <f>'FS QTR'!M81</f>
        <v>-3.0000000000001137E-2</v>
      </c>
      <c r="N89" s="287">
        <f>'FS QTR'!N81</f>
        <v>-3.0000000000001137E-2</v>
      </c>
      <c r="O89" s="463">
        <f>'FS QTR'!O81</f>
        <v>49.485413400000013</v>
      </c>
      <c r="P89" s="315"/>
      <c r="Q89" s="315"/>
      <c r="R89" s="318"/>
    </row>
    <row r="90" spans="2:18" ht="12.75" customHeight="1">
      <c r="B90" s="126" t="s">
        <v>99</v>
      </c>
      <c r="D90" s="433">
        <f>'FS QTR'!D82</f>
        <v>0</v>
      </c>
      <c r="E90" s="287">
        <f>'FS QTR'!E82</f>
        <v>0</v>
      </c>
      <c r="F90" s="287">
        <f>'FS QTR'!F82</f>
        <v>0</v>
      </c>
      <c r="G90" s="463">
        <f>'FS QTR'!G82</f>
        <v>0</v>
      </c>
      <c r="H90" s="433">
        <f>'FS QTR'!H82</f>
        <v>0</v>
      </c>
      <c r="I90" s="287">
        <f>'FS QTR'!I82</f>
        <v>0</v>
      </c>
      <c r="J90" s="287">
        <f>'FS QTR'!J82</f>
        <v>0</v>
      </c>
      <c r="K90" s="463">
        <f>'FS QTR'!K82</f>
        <v>0</v>
      </c>
      <c r="L90" s="433">
        <f>'FS QTR'!L82</f>
        <v>0</v>
      </c>
      <c r="M90" s="287">
        <f>'FS QTR'!M82</f>
        <v>0</v>
      </c>
      <c r="N90" s="287">
        <f>'FS QTR'!N82</f>
        <v>0</v>
      </c>
      <c r="O90" s="463">
        <f>'FS QTR'!O82</f>
        <v>0</v>
      </c>
      <c r="P90" s="315"/>
      <c r="Q90" s="315"/>
      <c r="R90" s="318"/>
    </row>
    <row r="91" spans="2:18" ht="12.75" customHeight="1">
      <c r="B91" s="127" t="s">
        <v>100</v>
      </c>
      <c r="D91" s="433">
        <f>'FS QTR'!D83</f>
        <v>-41.510047499999999</v>
      </c>
      <c r="E91" s="287">
        <f>'FS QTR'!E83</f>
        <v>-48.153420300000001</v>
      </c>
      <c r="F91" s="287">
        <f>'FS QTR'!F83</f>
        <v>-0.39125940000000003</v>
      </c>
      <c r="G91" s="463">
        <f>'FS QTR'!G83</f>
        <v>49.298187800000001</v>
      </c>
      <c r="H91" s="433">
        <f>'FS QTR'!H83</f>
        <v>0.70335999999999999</v>
      </c>
      <c r="I91" s="287">
        <f>'FS QTR'!I83</f>
        <v>3.2827060000000001</v>
      </c>
      <c r="J91" s="287">
        <f>'FS QTR'!J83</f>
        <v>-5.6925110000000005</v>
      </c>
      <c r="K91" s="463">
        <f>'FS QTR'!K83</f>
        <v>186.89775850000001</v>
      </c>
      <c r="L91" s="433">
        <f>'FS QTR'!L83</f>
        <v>221.97234</v>
      </c>
      <c r="M91" s="287">
        <f>'FS QTR'!M83</f>
        <v>6.3389500000000001E-2</v>
      </c>
      <c r="N91" s="287">
        <f>'FS QTR'!N83</f>
        <v>-0.6680123</v>
      </c>
      <c r="O91" s="463">
        <f>'FS QTR'!O83</f>
        <v>48.911054300000004</v>
      </c>
      <c r="P91" s="315"/>
      <c r="Q91" s="315"/>
      <c r="R91" s="318"/>
    </row>
    <row r="92" spans="2:18" ht="12.75" customHeight="1">
      <c r="B92" s="127" t="s">
        <v>101</v>
      </c>
      <c r="D92" s="433">
        <f>'FS QTR'!D84</f>
        <v>-53.611150099999996</v>
      </c>
      <c r="E92" s="287">
        <f>'FS QTR'!E84</f>
        <v>1.9380765</v>
      </c>
      <c r="F92" s="287">
        <f>'FS QTR'!F84</f>
        <v>12.836226199999999</v>
      </c>
      <c r="G92" s="463">
        <f>'FS QTR'!G84</f>
        <v>67.527701899999997</v>
      </c>
      <c r="H92" s="433">
        <f>'FS QTR'!H84</f>
        <v>-25.343728299999999</v>
      </c>
      <c r="I92" s="287">
        <f>'FS QTR'!I84</f>
        <v>9.4502487999999989</v>
      </c>
      <c r="J92" s="287">
        <f>'FS QTR'!J84</f>
        <v>-64.410510599999995</v>
      </c>
      <c r="K92" s="463">
        <f>'FS QTR'!K84</f>
        <v>17.137626100000002</v>
      </c>
      <c r="L92" s="433">
        <f>'FS QTR'!L84</f>
        <v>233.8635893</v>
      </c>
      <c r="M92" s="287">
        <f>'FS QTR'!M84</f>
        <v>-1.3798478999999999</v>
      </c>
      <c r="N92" s="287">
        <f>'FS QTR'!N84</f>
        <v>68.451458700000003</v>
      </c>
      <c r="O92" s="463">
        <f>'FS QTR'!O84</f>
        <v>402.51749649999999</v>
      </c>
      <c r="P92" s="315"/>
      <c r="Q92" s="315"/>
      <c r="R92" s="318"/>
    </row>
    <row r="93" spans="2:18" ht="12.75" customHeight="1" thickBot="1">
      <c r="B93" s="128" t="s">
        <v>102</v>
      </c>
      <c r="C93" s="65"/>
      <c r="D93" s="466">
        <f>'FS QTR'!D85</f>
        <v>-53.611150099999996</v>
      </c>
      <c r="E93" s="467">
        <f>'FS QTR'!E85</f>
        <v>55.688726000000003</v>
      </c>
      <c r="F93" s="467">
        <f>'FS QTR'!F85</f>
        <v>68.524952200000001</v>
      </c>
      <c r="G93" s="468">
        <f>'FS QTR'!G85</f>
        <v>136.05265409999998</v>
      </c>
      <c r="H93" s="466">
        <f>'FS QTR'!H85</f>
        <v>110.70892580000002</v>
      </c>
      <c r="I93" s="467">
        <f>'FS QTR'!I85</f>
        <v>120.1591746</v>
      </c>
      <c r="J93" s="467">
        <f>'FS QTR'!J85</f>
        <v>55.748664000000005</v>
      </c>
      <c r="K93" s="468">
        <f>'FS QTR'!K85</f>
        <v>76.605938000000009</v>
      </c>
      <c r="L93" s="466">
        <f>'FS QTR'!L85</f>
        <v>306.7498794</v>
      </c>
      <c r="M93" s="467">
        <f>'FS QTR'!M85</f>
        <v>305.37003149999998</v>
      </c>
      <c r="N93" s="467">
        <f>'FS QTR'!N85</f>
        <v>373.82147020000002</v>
      </c>
      <c r="O93" s="468">
        <f>'FS QTR'!O85</f>
        <v>776.33898670000008</v>
      </c>
      <c r="P93" s="320"/>
      <c r="Q93" s="320"/>
      <c r="R93" s="321"/>
    </row>
    <row r="94" spans="2:18" ht="12.75" customHeight="1">
      <c r="B94" s="8"/>
      <c r="H94" s="21"/>
      <c r="I94" s="21"/>
      <c r="J94" s="21"/>
      <c r="K94" s="21"/>
      <c r="L94" s="21"/>
      <c r="M94" s="21"/>
      <c r="N94" s="21"/>
      <c r="O94" s="21"/>
      <c r="P94" s="21"/>
      <c r="Q94" s="21"/>
    </row>
    <row r="95" spans="2:18" ht="12.75" customHeight="1">
      <c r="H95" s="21"/>
      <c r="I95" s="21"/>
      <c r="J95" s="21"/>
      <c r="K95" s="21"/>
      <c r="L95" s="21"/>
      <c r="M95" s="21"/>
      <c r="N95" s="21"/>
      <c r="O95" s="21"/>
      <c r="P95" s="21"/>
      <c r="Q95" s="21"/>
    </row>
    <row r="96" spans="2:18" ht="12.75" customHeight="1">
      <c r="H96" s="21"/>
      <c r="I96" s="21"/>
      <c r="J96" s="21"/>
      <c r="K96" s="21"/>
      <c r="L96" s="21"/>
      <c r="M96" s="21"/>
      <c r="N96" s="21"/>
      <c r="O96" s="21"/>
      <c r="P96" s="21"/>
      <c r="Q96" s="21"/>
    </row>
    <row r="97" spans="8:11" ht="12.75" customHeight="1">
      <c r="H97" s="21"/>
      <c r="I97" s="21"/>
      <c r="J97" s="21"/>
      <c r="K97" s="21"/>
    </row>
    <row r="98" spans="8:11" ht="12.75" customHeight="1">
      <c r="H98" s="21"/>
      <c r="I98" s="21"/>
      <c r="J98" s="21"/>
      <c r="K98" s="21"/>
    </row>
  </sheetData>
  <sheetProtection selectLockedCells="1"/>
  <mergeCells count="4">
    <mergeCell ref="U16:X16"/>
    <mergeCell ref="S16:T16"/>
    <mergeCell ref="S8:T8"/>
    <mergeCell ref="U8:X8"/>
  </mergeCells>
  <conditionalFormatting sqref="B7">
    <cfRule type="cellIs" dxfId="10" priority="1" operator="equal">
      <formula>0</formula>
    </cfRule>
  </conditionalFormatting>
  <dataValidations count="1">
    <dataValidation allowBlank="1" showInputMessage="1" showErrorMessage="1" sqref="B14:B15 B7 B9:B11" xr:uid="{00000000-0002-0000-0700-000000000000}"/>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theme="7" tint="0.39997558519241921"/>
    <pageSetUpPr autoPageBreaks="0"/>
  </sheetPr>
  <dimension ref="A7:M878"/>
  <sheetViews>
    <sheetView showGridLines="0" topLeftCell="A365" zoomScale="115" zoomScaleNormal="115" workbookViewId="0">
      <selection activeCell="K377" sqref="K377"/>
    </sheetView>
  </sheetViews>
  <sheetFormatPr defaultColWidth="9.140625" defaultRowHeight="12" customHeight="1"/>
  <cols>
    <col min="1" max="1" width="3.7109375" style="34" customWidth="1"/>
    <col min="2" max="2" width="9.7109375" style="34" customWidth="1"/>
    <col min="3" max="5" width="9.7109375" style="36" customWidth="1"/>
    <col min="6" max="6" width="9.7109375" style="35" customWidth="1"/>
    <col min="7" max="7" width="10.42578125" style="35" customWidth="1"/>
    <col min="8" max="9" width="10.140625" style="35" customWidth="1"/>
    <col min="10" max="10" width="9.7109375" style="35" customWidth="1"/>
    <col min="11" max="12" width="9.7109375" style="34" customWidth="1"/>
    <col min="13" max="16384" width="9.140625" style="34"/>
  </cols>
  <sheetData>
    <row r="7" spans="2:13" ht="12" customHeight="1">
      <c r="B7" s="38" t="str">
        <f>ticker</f>
        <v>DXG VN EQUITY</v>
      </c>
    </row>
    <row r="9" spans="2:13" ht="12" customHeight="1">
      <c r="B9" s="383" t="s">
        <v>261</v>
      </c>
      <c r="C9" s="384">
        <f ca="1">TODAY()</f>
        <v>45874</v>
      </c>
      <c r="D9" s="383"/>
      <c r="E9" s="383"/>
      <c r="F9" s="385"/>
      <c r="G9" s="385" t="s">
        <v>267</v>
      </c>
      <c r="H9" s="385" t="s">
        <v>268</v>
      </c>
      <c r="I9" s="385" t="s">
        <v>270</v>
      </c>
      <c r="J9" s="322"/>
      <c r="K9" s="323"/>
      <c r="L9" s="322"/>
      <c r="M9" s="322"/>
    </row>
    <row r="10" spans="2:13" ht="12" customHeight="1">
      <c r="B10" s="383" t="s">
        <v>262</v>
      </c>
      <c r="C10" s="384">
        <f ca="1">C9-366</f>
        <v>45508</v>
      </c>
      <c r="D10" s="383"/>
      <c r="E10" s="383"/>
      <c r="F10" s="385" t="s">
        <v>565</v>
      </c>
      <c r="G10" s="324">
        <f>F382/F351-1</f>
        <v>3.5264307557885344E-2</v>
      </c>
      <c r="H10" s="324">
        <f>F381/F198-1</f>
        <v>0.12092731829573955</v>
      </c>
      <c r="I10" s="324">
        <f>F382/F17-1</f>
        <v>0.1923959423556878</v>
      </c>
      <c r="J10" s="322"/>
      <c r="K10" s="324"/>
      <c r="L10" s="322"/>
      <c r="M10" s="322"/>
    </row>
    <row r="11" spans="2:13" ht="12" customHeight="1">
      <c r="B11" s="383"/>
      <c r="C11" s="386"/>
      <c r="D11" s="383"/>
      <c r="E11" s="383"/>
      <c r="F11" s="385" t="str">
        <f>B7</f>
        <v>DXG VN EQUITY</v>
      </c>
      <c r="G11" s="324">
        <f>C382/C351-1</f>
        <v>5.3691275167785157E-2</v>
      </c>
      <c r="H11" s="324">
        <f>C382/C198-1</f>
        <v>0.21705426356589141</v>
      </c>
      <c r="I11" s="324">
        <f>C382/C17-1</f>
        <v>0.75317525722542711</v>
      </c>
      <c r="J11" s="322"/>
      <c r="K11" s="324"/>
      <c r="L11" s="322"/>
      <c r="M11" s="322"/>
    </row>
    <row r="12" spans="2:13" ht="12" customHeight="1">
      <c r="B12" s="383"/>
      <c r="C12" s="387"/>
      <c r="D12" s="386"/>
      <c r="E12" s="386"/>
      <c r="F12" s="388" t="s">
        <v>286</v>
      </c>
      <c r="G12" s="324">
        <f>G11-G10</f>
        <v>1.8426967609899814E-2</v>
      </c>
      <c r="H12" s="324">
        <f>H11-H10</f>
        <v>9.6126945270151865E-2</v>
      </c>
      <c r="I12" s="324">
        <f>I11-I10</f>
        <v>0.56077931486973931</v>
      </c>
      <c r="J12" s="322"/>
      <c r="K12" s="324"/>
      <c r="L12" s="322"/>
      <c r="M12" s="322"/>
    </row>
    <row r="13" spans="2:13" ht="12" customHeight="1">
      <c r="B13" s="383"/>
      <c r="C13" s="389"/>
      <c r="D13" s="386"/>
      <c r="E13" s="386"/>
      <c r="F13" s="390"/>
      <c r="G13" s="390"/>
      <c r="H13" s="390"/>
      <c r="I13" s="390"/>
      <c r="J13" s="322"/>
      <c r="K13" s="325"/>
      <c r="L13" s="322"/>
      <c r="M13" s="322"/>
    </row>
    <row r="14" spans="2:13" ht="12" customHeight="1">
      <c r="B14" s="391"/>
      <c r="C14" s="401" t="s">
        <v>479</v>
      </c>
      <c r="D14" s="401" t="s">
        <v>242</v>
      </c>
      <c r="E14" s="401" t="s">
        <v>576</v>
      </c>
      <c r="F14" s="401" t="s">
        <v>479</v>
      </c>
      <c r="G14" s="402"/>
      <c r="H14" s="402"/>
      <c r="I14" s="390"/>
      <c r="J14" s="322"/>
      <c r="K14" s="325"/>
      <c r="L14" s="322"/>
      <c r="M14" s="322"/>
    </row>
    <row r="15" spans="2:13" ht="12" customHeight="1">
      <c r="B15" s="406" t="s">
        <v>269</v>
      </c>
      <c r="C15" s="407" t="s">
        <v>256</v>
      </c>
      <c r="D15" s="407" t="s">
        <v>5</v>
      </c>
      <c r="E15" s="407" t="s">
        <v>6</v>
      </c>
      <c r="F15" s="408" t="s">
        <v>580</v>
      </c>
      <c r="G15" s="409" t="str">
        <f>LEFT(F11,3)</f>
        <v>DXG</v>
      </c>
      <c r="H15" s="409" t="str">
        <f>index</f>
        <v>VNIndex</v>
      </c>
      <c r="I15" s="409"/>
      <c r="J15" s="410"/>
      <c r="K15" s="411"/>
      <c r="L15" s="411" t="s">
        <v>581</v>
      </c>
      <c r="M15" s="322"/>
    </row>
    <row r="16" spans="2:13" ht="12" customHeight="1">
      <c r="B16" s="405" t="e">
        <f ca="1">_xll.BDH(ticker,$C$14:$E$14,C10,C9,"Dir=V","Dts=S","Sort=A","Quote=C","QtTyp=Y","Days=A","Per=cd","DtFmt=D","Fill=P","UseDPDF=Y","cols=4;rows=367")</f>
        <v>#NAME?</v>
      </c>
      <c r="C16" s="397">
        <v>9149.86</v>
      </c>
      <c r="D16" s="398">
        <v>5.5488</v>
      </c>
      <c r="E16" s="398">
        <v>0.85919999999999996</v>
      </c>
      <c r="F16" s="399" t="e">
        <f ca="1">_xll.BDH("VNINDEX Index","PX_LAST",C10,C9,"Dir=V","Dts=H","Sort=A","Quote=C","QtTyp=Y","Days=A","Per=cd","DtFmt=D","Fill=P","cols=1;rows=367")</f>
        <v>#NAME?</v>
      </c>
      <c r="G16" s="400">
        <v>472.76</v>
      </c>
      <c r="H16" s="400"/>
      <c r="I16" s="393"/>
      <c r="J16" s="322"/>
      <c r="K16" s="423" t="e">
        <f ca="1">_xll.BDH(ticker,"VOLUME",C9-60,C9+1,"Dir=V","Dts=S","Sort=D","Quote=C","QtTyp=Y","Days=T","Per=cd","DtFmt=D","cols=2;rows=45")</f>
        <v>#NAME?</v>
      </c>
      <c r="L16" s="403">
        <v>1708610</v>
      </c>
      <c r="M16" s="322"/>
    </row>
    <row r="17" spans="2:13" ht="12" customHeight="1">
      <c r="B17" s="384">
        <v>41473</v>
      </c>
      <c r="C17" s="394">
        <v>8955.18</v>
      </c>
      <c r="D17" s="395">
        <v>5.4306999999999999</v>
      </c>
      <c r="E17" s="395">
        <v>0.84089999999999998</v>
      </c>
      <c r="F17" s="392">
        <v>496.84</v>
      </c>
      <c r="G17" s="396">
        <f>C17/C$17-1</f>
        <v>0</v>
      </c>
      <c r="H17" s="396">
        <f>F17/F$17-1</f>
        <v>0</v>
      </c>
      <c r="I17" s="390"/>
      <c r="J17" s="322"/>
      <c r="K17" s="380">
        <v>41837</v>
      </c>
      <c r="L17" s="322">
        <v>368410</v>
      </c>
      <c r="M17" s="322"/>
    </row>
    <row r="18" spans="2:13" ht="12" customHeight="1">
      <c r="B18" s="384">
        <v>41474</v>
      </c>
      <c r="C18" s="394">
        <v>9052.52</v>
      </c>
      <c r="D18" s="395">
        <v>5.4897999999999998</v>
      </c>
      <c r="E18" s="395">
        <v>0.85</v>
      </c>
      <c r="F18" s="392">
        <v>503.76</v>
      </c>
      <c r="G18" s="396">
        <f t="shared" ref="G18:G81" si="0">C18/C$17-1</f>
        <v>1.0869686594797701E-2</v>
      </c>
      <c r="H18" s="396">
        <f t="shared" ref="H18:H81" si="1">F18/F$17-1</f>
        <v>1.3928025118750575E-2</v>
      </c>
      <c r="I18" s="390"/>
      <c r="J18" s="322"/>
      <c r="K18" s="380">
        <v>41836</v>
      </c>
      <c r="L18" s="322">
        <v>1015450</v>
      </c>
      <c r="M18" s="322"/>
    </row>
    <row r="19" spans="2:13" ht="12" customHeight="1">
      <c r="B19" s="384">
        <v>41475</v>
      </c>
      <c r="C19" s="394">
        <v>9052.52</v>
      </c>
      <c r="D19" s="395">
        <v>5.4897999999999998</v>
      </c>
      <c r="E19" s="395">
        <v>0.85</v>
      </c>
      <c r="F19" s="392">
        <v>503.76</v>
      </c>
      <c r="G19" s="396">
        <f t="shared" si="0"/>
        <v>1.0869686594797701E-2</v>
      </c>
      <c r="H19" s="396">
        <f t="shared" si="1"/>
        <v>1.3928025118750575E-2</v>
      </c>
      <c r="I19" s="390"/>
      <c r="J19" s="322"/>
      <c r="K19" s="380">
        <v>41835</v>
      </c>
      <c r="L19" s="322">
        <v>466240</v>
      </c>
      <c r="M19" s="322"/>
    </row>
    <row r="20" spans="2:13" ht="12" customHeight="1">
      <c r="B20" s="384">
        <v>41476</v>
      </c>
      <c r="C20" s="394">
        <v>9052.52</v>
      </c>
      <c r="D20" s="395">
        <v>5.4897999999999998</v>
      </c>
      <c r="E20" s="395">
        <v>0.85</v>
      </c>
      <c r="F20" s="392">
        <v>503.76</v>
      </c>
      <c r="G20" s="396">
        <f t="shared" si="0"/>
        <v>1.0869686594797701E-2</v>
      </c>
      <c r="H20" s="396">
        <f t="shared" si="1"/>
        <v>1.3928025118750575E-2</v>
      </c>
      <c r="I20" s="390"/>
      <c r="J20" s="322"/>
      <c r="K20" s="380">
        <v>41834</v>
      </c>
      <c r="L20" s="322">
        <v>170860</v>
      </c>
      <c r="M20" s="322"/>
    </row>
    <row r="21" spans="2:13" ht="12" customHeight="1">
      <c r="B21" s="384">
        <v>41477</v>
      </c>
      <c r="C21" s="394">
        <v>8857.84</v>
      </c>
      <c r="D21" s="395">
        <v>5.3716999999999997</v>
      </c>
      <c r="E21" s="395">
        <v>0.83179999999999998</v>
      </c>
      <c r="F21" s="392">
        <v>506.16</v>
      </c>
      <c r="G21" s="396">
        <f t="shared" si="0"/>
        <v>-1.0869686594797701E-2</v>
      </c>
      <c r="H21" s="396">
        <f t="shared" si="1"/>
        <v>1.875855406166993E-2</v>
      </c>
      <c r="I21" s="390"/>
      <c r="J21" s="322"/>
      <c r="K21" s="380">
        <v>41831</v>
      </c>
      <c r="L21" s="322">
        <v>322430</v>
      </c>
      <c r="M21" s="322"/>
    </row>
    <row r="22" spans="2:13" ht="12" customHeight="1">
      <c r="B22" s="384">
        <v>41478</v>
      </c>
      <c r="C22" s="394">
        <v>8565.82</v>
      </c>
      <c r="D22" s="395">
        <v>5.1946000000000003</v>
      </c>
      <c r="E22" s="395">
        <v>0.80430000000000001</v>
      </c>
      <c r="F22" s="392">
        <v>504.29</v>
      </c>
      <c r="G22" s="396">
        <f t="shared" si="0"/>
        <v>-4.3478746379190691E-2</v>
      </c>
      <c r="H22" s="396">
        <f t="shared" si="1"/>
        <v>1.4994766926978542E-2</v>
      </c>
      <c r="I22" s="390"/>
      <c r="J22" s="322"/>
      <c r="K22" s="380">
        <v>41830</v>
      </c>
      <c r="L22" s="322">
        <v>880210</v>
      </c>
      <c r="M22" s="322"/>
    </row>
    <row r="23" spans="2:13" ht="12" customHeight="1">
      <c r="B23" s="384">
        <v>41479</v>
      </c>
      <c r="C23" s="394">
        <v>8663.16</v>
      </c>
      <c r="D23" s="395">
        <v>5.2535999999999996</v>
      </c>
      <c r="E23" s="395">
        <v>0.8135</v>
      </c>
      <c r="F23" s="392">
        <v>494.18</v>
      </c>
      <c r="G23" s="396">
        <f t="shared" si="0"/>
        <v>-3.2609059784392991E-2</v>
      </c>
      <c r="H23" s="396">
        <f t="shared" si="1"/>
        <v>-5.3538362450687993E-3</v>
      </c>
      <c r="I23" s="390"/>
      <c r="J23" s="322"/>
      <c r="K23" s="380">
        <v>41829</v>
      </c>
      <c r="L23" s="322">
        <v>901920</v>
      </c>
      <c r="M23" s="322"/>
    </row>
    <row r="24" spans="2:13" ht="12" customHeight="1">
      <c r="B24" s="384">
        <v>41480</v>
      </c>
      <c r="C24" s="394">
        <v>8663.16</v>
      </c>
      <c r="D24" s="395">
        <v>5.2535999999999996</v>
      </c>
      <c r="E24" s="395">
        <v>0.8135</v>
      </c>
      <c r="F24" s="392">
        <v>491.78</v>
      </c>
      <c r="G24" s="396">
        <f t="shared" si="0"/>
        <v>-3.2609059784392991E-2</v>
      </c>
      <c r="H24" s="396">
        <f t="shared" si="1"/>
        <v>-1.0184365187988043E-2</v>
      </c>
      <c r="I24" s="390"/>
      <c r="J24" s="322"/>
      <c r="K24" s="380">
        <v>41828</v>
      </c>
      <c r="L24" s="322">
        <v>522970</v>
      </c>
      <c r="M24" s="322"/>
    </row>
    <row r="25" spans="2:13" ht="12" customHeight="1">
      <c r="B25" s="384">
        <v>41481</v>
      </c>
      <c r="C25" s="394">
        <v>8565.82</v>
      </c>
      <c r="D25" s="395">
        <v>5.1946000000000003</v>
      </c>
      <c r="E25" s="395">
        <v>0.80430000000000001</v>
      </c>
      <c r="F25" s="392">
        <v>493.93</v>
      </c>
      <c r="G25" s="396">
        <f t="shared" si="0"/>
        <v>-4.3478746379190691E-2</v>
      </c>
      <c r="H25" s="396">
        <f t="shared" si="1"/>
        <v>-5.8570163432895006E-3</v>
      </c>
      <c r="I25" s="390"/>
      <c r="J25" s="322"/>
      <c r="K25" s="380">
        <v>41827</v>
      </c>
      <c r="L25" s="322">
        <v>880670</v>
      </c>
      <c r="M25" s="322"/>
    </row>
    <row r="26" spans="2:13" ht="12" customHeight="1">
      <c r="B26" s="384">
        <v>41482</v>
      </c>
      <c r="C26" s="394">
        <v>8565.82</v>
      </c>
      <c r="D26" s="395">
        <v>5.1946000000000003</v>
      </c>
      <c r="E26" s="395">
        <v>0.80430000000000001</v>
      </c>
      <c r="F26" s="392">
        <v>493.93</v>
      </c>
      <c r="G26" s="396">
        <f t="shared" si="0"/>
        <v>-4.3478746379190691E-2</v>
      </c>
      <c r="H26" s="396">
        <f t="shared" si="1"/>
        <v>-5.8570163432895006E-3</v>
      </c>
      <c r="I26" s="390"/>
      <c r="J26" s="322"/>
      <c r="K26" s="380">
        <v>41824</v>
      </c>
      <c r="L26" s="322">
        <v>532630</v>
      </c>
      <c r="M26" s="322"/>
    </row>
    <row r="27" spans="2:13" ht="12" customHeight="1">
      <c r="B27" s="384">
        <v>41483</v>
      </c>
      <c r="C27" s="394">
        <v>8565.82</v>
      </c>
      <c r="D27" s="395">
        <v>5.1946000000000003</v>
      </c>
      <c r="E27" s="395">
        <v>0.80430000000000001</v>
      </c>
      <c r="F27" s="392">
        <v>493.93</v>
      </c>
      <c r="G27" s="396">
        <f t="shared" si="0"/>
        <v>-4.3478746379190691E-2</v>
      </c>
      <c r="H27" s="396">
        <f t="shared" si="1"/>
        <v>-5.8570163432895006E-3</v>
      </c>
      <c r="I27" s="390"/>
      <c r="J27" s="322"/>
      <c r="K27" s="380">
        <v>41823</v>
      </c>
      <c r="L27" s="322">
        <v>1159700</v>
      </c>
      <c r="M27" s="322"/>
    </row>
    <row r="28" spans="2:13" ht="12" customHeight="1">
      <c r="B28" s="384">
        <v>41484</v>
      </c>
      <c r="C28" s="394">
        <v>8079.13</v>
      </c>
      <c r="D28" s="395">
        <v>4.8994999999999997</v>
      </c>
      <c r="E28" s="395">
        <v>0.75860000000000005</v>
      </c>
      <c r="F28" s="392">
        <v>485.69</v>
      </c>
      <c r="G28" s="396">
        <f t="shared" si="0"/>
        <v>-9.7826062681040438E-2</v>
      </c>
      <c r="H28" s="396">
        <f t="shared" si="1"/>
        <v>-2.2441832380645677E-2</v>
      </c>
      <c r="I28" s="390"/>
      <c r="J28" s="322"/>
      <c r="K28" s="380">
        <v>41822</v>
      </c>
      <c r="L28" s="322">
        <v>3980520</v>
      </c>
      <c r="M28" s="322"/>
    </row>
    <row r="29" spans="2:13" ht="12" customHeight="1">
      <c r="B29" s="384">
        <v>41485</v>
      </c>
      <c r="C29" s="394">
        <v>8079.13</v>
      </c>
      <c r="D29" s="395">
        <v>4.8994999999999997</v>
      </c>
      <c r="E29" s="395">
        <v>0.75860000000000005</v>
      </c>
      <c r="F29" s="392">
        <v>488.54</v>
      </c>
      <c r="G29" s="396">
        <f t="shared" si="0"/>
        <v>-9.7826062681040438E-2</v>
      </c>
      <c r="H29" s="396">
        <f t="shared" si="1"/>
        <v>-1.6705579260928971E-2</v>
      </c>
      <c r="I29" s="390"/>
      <c r="J29" s="322"/>
      <c r="K29" s="380">
        <v>41821</v>
      </c>
      <c r="L29" s="322">
        <v>364250</v>
      </c>
      <c r="M29" s="322"/>
    </row>
    <row r="30" spans="2:13" ht="12" customHeight="1">
      <c r="B30" s="384">
        <v>41486</v>
      </c>
      <c r="C30" s="394">
        <v>7884.45</v>
      </c>
      <c r="D30" s="395">
        <v>4.7813999999999997</v>
      </c>
      <c r="E30" s="395">
        <v>0.74039999999999995</v>
      </c>
      <c r="F30" s="392">
        <v>491.85</v>
      </c>
      <c r="G30" s="396">
        <f t="shared" si="0"/>
        <v>-0.11956543587063584</v>
      </c>
      <c r="H30" s="396">
        <f t="shared" si="1"/>
        <v>-1.0043474760486171E-2</v>
      </c>
      <c r="I30" s="390"/>
      <c r="J30" s="322"/>
      <c r="K30" s="380">
        <v>41820</v>
      </c>
      <c r="L30" s="322">
        <v>108610</v>
      </c>
      <c r="M30" s="322"/>
    </row>
    <row r="31" spans="2:13" ht="12" customHeight="1">
      <c r="B31" s="384">
        <v>41487</v>
      </c>
      <c r="C31" s="394">
        <v>7981.79</v>
      </c>
      <c r="D31" s="395">
        <v>4.8403999999999998</v>
      </c>
      <c r="E31" s="395">
        <v>0.74950000000000006</v>
      </c>
      <c r="F31" s="392">
        <v>492.43</v>
      </c>
      <c r="G31" s="396">
        <f t="shared" si="0"/>
        <v>-0.10869574927583814</v>
      </c>
      <c r="H31" s="396">
        <f t="shared" si="1"/>
        <v>-8.8760969326140415E-3</v>
      </c>
      <c r="I31" s="390"/>
      <c r="J31" s="322"/>
      <c r="K31" s="380">
        <v>41817</v>
      </c>
      <c r="L31" s="322">
        <v>199130</v>
      </c>
      <c r="M31" s="322"/>
    </row>
    <row r="32" spans="2:13" ht="12" customHeight="1">
      <c r="B32" s="384">
        <v>41488</v>
      </c>
      <c r="C32" s="394">
        <v>8176.47</v>
      </c>
      <c r="D32" s="395">
        <v>4.9584999999999999</v>
      </c>
      <c r="E32" s="395">
        <v>0.76780000000000004</v>
      </c>
      <c r="F32" s="392">
        <v>494.66</v>
      </c>
      <c r="G32" s="396">
        <f t="shared" si="0"/>
        <v>-8.6956376086242848E-2</v>
      </c>
      <c r="H32" s="396">
        <f t="shared" si="1"/>
        <v>-4.387730456484884E-3</v>
      </c>
      <c r="I32" s="390"/>
      <c r="J32" s="322"/>
      <c r="K32" s="380">
        <v>41816</v>
      </c>
      <c r="L32" s="322">
        <v>477290</v>
      </c>
      <c r="M32" s="322"/>
    </row>
    <row r="33" spans="2:13" ht="12" customHeight="1">
      <c r="B33" s="384">
        <v>41489</v>
      </c>
      <c r="C33" s="394">
        <v>8176.47</v>
      </c>
      <c r="D33" s="395">
        <v>4.9584999999999999</v>
      </c>
      <c r="E33" s="395">
        <v>0.76780000000000004</v>
      </c>
      <c r="F33" s="392">
        <v>494.66</v>
      </c>
      <c r="G33" s="396">
        <f t="shared" si="0"/>
        <v>-8.6956376086242848E-2</v>
      </c>
      <c r="H33" s="396">
        <f t="shared" si="1"/>
        <v>-4.387730456484884E-3</v>
      </c>
      <c r="I33" s="390"/>
      <c r="J33" s="322"/>
      <c r="K33" s="380">
        <v>41815</v>
      </c>
      <c r="L33" s="322">
        <v>184570</v>
      </c>
      <c r="M33" s="322"/>
    </row>
    <row r="34" spans="2:13" ht="12" customHeight="1">
      <c r="B34" s="384">
        <v>41490</v>
      </c>
      <c r="C34" s="394">
        <v>8176.47</v>
      </c>
      <c r="D34" s="395">
        <v>4.9584999999999999</v>
      </c>
      <c r="E34" s="395">
        <v>0.76780000000000004</v>
      </c>
      <c r="F34" s="392">
        <v>494.66</v>
      </c>
      <c r="G34" s="396">
        <f t="shared" si="0"/>
        <v>-8.6956376086242848E-2</v>
      </c>
      <c r="H34" s="396">
        <f t="shared" si="1"/>
        <v>-4.387730456484884E-3</v>
      </c>
      <c r="I34" s="390"/>
      <c r="J34" s="322"/>
      <c r="K34" s="380">
        <v>41814</v>
      </c>
      <c r="L34" s="322">
        <v>177110</v>
      </c>
      <c r="M34" s="322"/>
    </row>
    <row r="35" spans="2:13" ht="12" customHeight="1">
      <c r="B35" s="384">
        <v>41491</v>
      </c>
      <c r="C35" s="394">
        <v>7981.79</v>
      </c>
      <c r="D35" s="395">
        <v>4.8403999999999998</v>
      </c>
      <c r="E35" s="395">
        <v>0.74950000000000006</v>
      </c>
      <c r="F35" s="392">
        <v>493.66</v>
      </c>
      <c r="G35" s="396">
        <f t="shared" si="0"/>
        <v>-0.10869574927583814</v>
      </c>
      <c r="H35" s="396">
        <f t="shared" si="1"/>
        <v>-6.4004508493679113E-3</v>
      </c>
      <c r="I35" s="390"/>
      <c r="J35" s="322"/>
      <c r="K35" s="380">
        <v>41813</v>
      </c>
      <c r="L35" s="322">
        <v>135830</v>
      </c>
      <c r="M35" s="322"/>
    </row>
    <row r="36" spans="2:13" ht="12" customHeight="1">
      <c r="B36" s="384">
        <v>41492</v>
      </c>
      <c r="C36" s="394">
        <v>7884.45</v>
      </c>
      <c r="D36" s="395">
        <v>4.7813999999999997</v>
      </c>
      <c r="E36" s="395">
        <v>0.74039999999999995</v>
      </c>
      <c r="F36" s="392">
        <v>496.56</v>
      </c>
      <c r="G36" s="396">
        <f t="shared" si="0"/>
        <v>-0.11956543587063584</v>
      </c>
      <c r="H36" s="396">
        <f t="shared" si="1"/>
        <v>-5.6356171000715438E-4</v>
      </c>
      <c r="I36" s="390"/>
      <c r="J36" s="322"/>
      <c r="K36" s="380">
        <v>41810</v>
      </c>
      <c r="L36" s="322">
        <v>335970</v>
      </c>
      <c r="M36" s="322"/>
    </row>
    <row r="37" spans="2:13" ht="12" customHeight="1">
      <c r="B37" s="384">
        <v>41493</v>
      </c>
      <c r="C37" s="394">
        <v>8371.15</v>
      </c>
      <c r="D37" s="395">
        <v>5.0766</v>
      </c>
      <c r="E37" s="395">
        <v>0.78610000000000002</v>
      </c>
      <c r="F37" s="392">
        <v>500.1</v>
      </c>
      <c r="G37" s="396">
        <f t="shared" si="0"/>
        <v>-6.5217002896647558E-2</v>
      </c>
      <c r="H37" s="396">
        <f t="shared" si="1"/>
        <v>6.5614684807986379E-3</v>
      </c>
      <c r="I37" s="390"/>
      <c r="J37" s="322"/>
      <c r="K37" s="380">
        <v>41809</v>
      </c>
      <c r="L37" s="322">
        <v>356440</v>
      </c>
      <c r="M37" s="322"/>
    </row>
    <row r="38" spans="2:13" ht="12" customHeight="1">
      <c r="B38" s="384">
        <v>41494</v>
      </c>
      <c r="C38" s="394">
        <v>8273.81</v>
      </c>
      <c r="D38" s="395">
        <v>5.0175000000000001</v>
      </c>
      <c r="E38" s="395">
        <v>0.77690000000000003</v>
      </c>
      <c r="F38" s="392">
        <v>498.22</v>
      </c>
      <c r="G38" s="396">
        <f t="shared" si="0"/>
        <v>-7.6086689491445259E-2</v>
      </c>
      <c r="H38" s="396">
        <f t="shared" si="1"/>
        <v>2.7775541421786176E-3</v>
      </c>
      <c r="I38" s="390"/>
      <c r="J38" s="322"/>
      <c r="K38" s="380">
        <v>41808</v>
      </c>
      <c r="L38" s="322">
        <v>1139380</v>
      </c>
      <c r="M38" s="322"/>
    </row>
    <row r="39" spans="2:13" ht="12" customHeight="1">
      <c r="B39" s="384">
        <v>41495</v>
      </c>
      <c r="C39" s="394">
        <v>8273.81</v>
      </c>
      <c r="D39" s="395">
        <v>5.0175000000000001</v>
      </c>
      <c r="E39" s="395">
        <v>0.77690000000000003</v>
      </c>
      <c r="F39" s="392">
        <v>500.62</v>
      </c>
      <c r="G39" s="396">
        <f t="shared" si="0"/>
        <v>-7.6086689491445259E-2</v>
      </c>
      <c r="H39" s="396">
        <f t="shared" si="1"/>
        <v>7.6080830850979719E-3</v>
      </c>
      <c r="I39" s="390"/>
      <c r="J39" s="322"/>
      <c r="K39" s="380">
        <v>41807</v>
      </c>
      <c r="L39" s="322">
        <v>92830</v>
      </c>
      <c r="M39" s="322"/>
    </row>
    <row r="40" spans="2:13" ht="12" customHeight="1">
      <c r="B40" s="384">
        <v>41496</v>
      </c>
      <c r="C40" s="394">
        <v>8273.81</v>
      </c>
      <c r="D40" s="395">
        <v>5.0175000000000001</v>
      </c>
      <c r="E40" s="395">
        <v>0.77690000000000003</v>
      </c>
      <c r="F40" s="392">
        <v>500.62</v>
      </c>
      <c r="G40" s="396">
        <f t="shared" si="0"/>
        <v>-7.6086689491445259E-2</v>
      </c>
      <c r="H40" s="396">
        <f t="shared" si="1"/>
        <v>7.6080830850979719E-3</v>
      </c>
      <c r="I40" s="390"/>
      <c r="J40" s="322"/>
      <c r="K40" s="380">
        <v>41806</v>
      </c>
      <c r="L40" s="322">
        <v>134430</v>
      </c>
      <c r="M40" s="322"/>
    </row>
    <row r="41" spans="2:13" ht="12" customHeight="1">
      <c r="B41" s="384">
        <v>41497</v>
      </c>
      <c r="C41" s="394">
        <v>8273.81</v>
      </c>
      <c r="D41" s="395">
        <v>5.0175000000000001</v>
      </c>
      <c r="E41" s="395">
        <v>0.77690000000000003</v>
      </c>
      <c r="F41" s="392">
        <v>500.62</v>
      </c>
      <c r="G41" s="396">
        <f t="shared" si="0"/>
        <v>-7.6086689491445259E-2</v>
      </c>
      <c r="H41" s="396">
        <f t="shared" si="1"/>
        <v>7.6080830850979719E-3</v>
      </c>
      <c r="I41" s="390"/>
      <c r="J41" s="322"/>
      <c r="K41" s="380">
        <v>41803</v>
      </c>
      <c r="L41" s="322">
        <v>60560</v>
      </c>
      <c r="M41" s="322"/>
    </row>
    <row r="42" spans="2:13" ht="12" customHeight="1">
      <c r="B42" s="384">
        <v>41498</v>
      </c>
      <c r="C42" s="394">
        <v>8176.47</v>
      </c>
      <c r="D42" s="395">
        <v>4.9584999999999999</v>
      </c>
      <c r="E42" s="395">
        <v>0.76780000000000004</v>
      </c>
      <c r="F42" s="392">
        <v>499.46</v>
      </c>
      <c r="G42" s="396">
        <f t="shared" si="0"/>
        <v>-8.6956376086242848E-2</v>
      </c>
      <c r="H42" s="396">
        <f t="shared" si="1"/>
        <v>5.2733274293534915E-3</v>
      </c>
      <c r="I42" s="390"/>
      <c r="J42" s="322"/>
      <c r="K42" s="380">
        <v>41802</v>
      </c>
      <c r="L42" s="322">
        <v>312880</v>
      </c>
      <c r="M42" s="322"/>
    </row>
    <row r="43" spans="2:13" ht="12" customHeight="1">
      <c r="B43" s="384">
        <v>41499</v>
      </c>
      <c r="C43" s="394">
        <v>8079.13</v>
      </c>
      <c r="D43" s="395">
        <v>4.8994999999999997</v>
      </c>
      <c r="E43" s="395">
        <v>0.75860000000000005</v>
      </c>
      <c r="F43" s="392">
        <v>497.73</v>
      </c>
      <c r="G43" s="396">
        <f t="shared" si="0"/>
        <v>-9.7826062681040438E-2</v>
      </c>
      <c r="H43" s="396">
        <f t="shared" si="1"/>
        <v>1.7913211496660697E-3</v>
      </c>
      <c r="I43" s="390"/>
      <c r="J43" s="322"/>
      <c r="K43" s="380">
        <v>41801</v>
      </c>
      <c r="L43" s="322">
        <v>85860</v>
      </c>
      <c r="M43" s="322"/>
    </row>
    <row r="44" spans="2:13" ht="12" customHeight="1">
      <c r="B44" s="384">
        <v>41500</v>
      </c>
      <c r="C44" s="394">
        <v>8176.47</v>
      </c>
      <c r="D44" s="395">
        <v>4.9584999999999999</v>
      </c>
      <c r="E44" s="395">
        <v>0.76780000000000004</v>
      </c>
      <c r="F44" s="392">
        <v>503.57</v>
      </c>
      <c r="G44" s="396">
        <f t="shared" si="0"/>
        <v>-8.6956376086242848E-2</v>
      </c>
      <c r="H44" s="396">
        <f t="shared" si="1"/>
        <v>1.354560824410278E-2</v>
      </c>
      <c r="I44" s="390"/>
      <c r="J44" s="322"/>
      <c r="K44" s="380">
        <v>41800</v>
      </c>
      <c r="L44" s="322">
        <v>76210</v>
      </c>
      <c r="M44" s="322"/>
    </row>
    <row r="45" spans="2:13" ht="12" customHeight="1">
      <c r="B45" s="384">
        <v>41501</v>
      </c>
      <c r="C45" s="394">
        <v>8371.15</v>
      </c>
      <c r="D45" s="395">
        <v>5.0766</v>
      </c>
      <c r="E45" s="395">
        <v>0.78610000000000002</v>
      </c>
      <c r="F45" s="392">
        <v>508.22</v>
      </c>
      <c r="G45" s="396">
        <f t="shared" si="0"/>
        <v>-6.5217002896647558E-2</v>
      </c>
      <c r="H45" s="396">
        <f t="shared" si="1"/>
        <v>2.290475807100889E-2</v>
      </c>
      <c r="I45" s="390"/>
      <c r="J45" s="322"/>
      <c r="K45" s="380">
        <v>41799</v>
      </c>
      <c r="L45" s="322">
        <v>343950</v>
      </c>
      <c r="M45" s="322"/>
    </row>
    <row r="46" spans="2:13" ht="12" customHeight="1">
      <c r="B46" s="384">
        <v>41502</v>
      </c>
      <c r="C46" s="394">
        <v>8371.15</v>
      </c>
      <c r="D46" s="395">
        <v>5.0766</v>
      </c>
      <c r="E46" s="395">
        <v>0.78610000000000002</v>
      </c>
      <c r="F46" s="392">
        <v>507.79</v>
      </c>
      <c r="G46" s="396">
        <f t="shared" si="0"/>
        <v>-6.5217002896647558E-2</v>
      </c>
      <c r="H46" s="396">
        <f t="shared" si="1"/>
        <v>2.2039288302069249E-2</v>
      </c>
      <c r="I46" s="390"/>
      <c r="J46" s="322"/>
      <c r="K46" s="380">
        <v>41796</v>
      </c>
      <c r="L46" s="322">
        <v>122550</v>
      </c>
      <c r="M46" s="322"/>
    </row>
    <row r="47" spans="2:13" ht="12" customHeight="1">
      <c r="B47" s="384">
        <v>41503</v>
      </c>
      <c r="C47" s="394">
        <v>8371.15</v>
      </c>
      <c r="D47" s="395">
        <v>5.0766</v>
      </c>
      <c r="E47" s="395">
        <v>0.78610000000000002</v>
      </c>
      <c r="F47" s="392">
        <v>507.79</v>
      </c>
      <c r="G47" s="396">
        <f t="shared" si="0"/>
        <v>-6.5217002896647558E-2</v>
      </c>
      <c r="H47" s="396">
        <f t="shared" si="1"/>
        <v>2.2039288302069249E-2</v>
      </c>
      <c r="I47" s="390"/>
      <c r="J47" s="322"/>
      <c r="K47" s="380">
        <v>41795</v>
      </c>
      <c r="L47" s="322">
        <v>40360</v>
      </c>
      <c r="M47" s="322"/>
    </row>
    <row r="48" spans="2:13" ht="12" customHeight="1">
      <c r="B48" s="384">
        <v>41504</v>
      </c>
      <c r="C48" s="394">
        <v>8371.15</v>
      </c>
      <c r="D48" s="395">
        <v>5.0766</v>
      </c>
      <c r="E48" s="395">
        <v>0.78610000000000002</v>
      </c>
      <c r="F48" s="392">
        <v>507.79</v>
      </c>
      <c r="G48" s="396">
        <f t="shared" si="0"/>
        <v>-6.5217002896647558E-2</v>
      </c>
      <c r="H48" s="396">
        <f t="shared" si="1"/>
        <v>2.2039288302069249E-2</v>
      </c>
      <c r="I48" s="390"/>
      <c r="J48" s="322"/>
      <c r="K48" s="380">
        <v>41794</v>
      </c>
      <c r="L48" s="322">
        <v>152890</v>
      </c>
      <c r="M48" s="322"/>
    </row>
    <row r="49" spans="2:13" ht="12" customHeight="1">
      <c r="B49" s="384">
        <v>41505</v>
      </c>
      <c r="C49" s="394">
        <v>8565.82</v>
      </c>
      <c r="D49" s="395">
        <v>5.1946000000000003</v>
      </c>
      <c r="E49" s="395">
        <v>0.80430000000000001</v>
      </c>
      <c r="F49" s="392">
        <v>511.02</v>
      </c>
      <c r="G49" s="396">
        <f t="shared" si="0"/>
        <v>-4.3478746379190691E-2</v>
      </c>
      <c r="H49" s="396">
        <f t="shared" si="1"/>
        <v>2.8540375171081322E-2</v>
      </c>
      <c r="I49" s="390"/>
      <c r="J49" s="322"/>
      <c r="K49" s="380">
        <v>41793</v>
      </c>
      <c r="L49" s="322">
        <v>156620</v>
      </c>
      <c r="M49" s="322"/>
    </row>
    <row r="50" spans="2:13" ht="12" customHeight="1">
      <c r="B50" s="384">
        <v>41506</v>
      </c>
      <c r="C50" s="394">
        <v>8468.48</v>
      </c>
      <c r="D50" s="395">
        <v>5.1356000000000002</v>
      </c>
      <c r="E50" s="395">
        <v>0.79520000000000002</v>
      </c>
      <c r="F50" s="392">
        <v>504.81</v>
      </c>
      <c r="G50" s="396">
        <f t="shared" si="0"/>
        <v>-5.4348432973988281E-2</v>
      </c>
      <c r="H50" s="396">
        <f t="shared" si="1"/>
        <v>1.6041381531277654E-2</v>
      </c>
      <c r="I50" s="390"/>
      <c r="J50" s="322"/>
      <c r="K50" s="380">
        <v>41792</v>
      </c>
      <c r="L50" s="322">
        <v>178880</v>
      </c>
      <c r="M50" s="322"/>
    </row>
    <row r="51" spans="2:13" ht="12" customHeight="1">
      <c r="B51" s="384">
        <v>41507</v>
      </c>
      <c r="C51" s="394">
        <v>8468.48</v>
      </c>
      <c r="D51" s="395">
        <v>5.1356000000000002</v>
      </c>
      <c r="E51" s="395">
        <v>0.79520000000000002</v>
      </c>
      <c r="F51" s="392">
        <v>502.7</v>
      </c>
      <c r="G51" s="396">
        <f t="shared" si="0"/>
        <v>-5.4348432973988281E-2</v>
      </c>
      <c r="H51" s="396">
        <f t="shared" si="1"/>
        <v>1.179454150229442E-2</v>
      </c>
      <c r="I51" s="390"/>
      <c r="J51" s="322"/>
      <c r="K51" s="380">
        <v>41789</v>
      </c>
      <c r="L51" s="322">
        <v>129690</v>
      </c>
      <c r="M51" s="322"/>
    </row>
    <row r="52" spans="2:13" ht="12" customHeight="1">
      <c r="B52" s="384">
        <v>41508</v>
      </c>
      <c r="C52" s="394">
        <v>8468.48</v>
      </c>
      <c r="D52" s="395">
        <v>5.1356000000000002</v>
      </c>
      <c r="E52" s="395">
        <v>0.79520000000000002</v>
      </c>
      <c r="F52" s="392">
        <v>496.12</v>
      </c>
      <c r="G52" s="396">
        <f t="shared" si="0"/>
        <v>-5.4348432973988281E-2</v>
      </c>
      <c r="H52" s="396">
        <f t="shared" si="1"/>
        <v>-1.4491586828757619E-3</v>
      </c>
      <c r="I52" s="390"/>
      <c r="J52" s="322"/>
      <c r="K52" s="380">
        <v>41788</v>
      </c>
      <c r="L52" s="322">
        <v>295490</v>
      </c>
      <c r="M52" s="322"/>
    </row>
    <row r="53" spans="2:13" ht="12" customHeight="1">
      <c r="B53" s="384">
        <v>41509</v>
      </c>
      <c r="C53" s="394">
        <v>8371.15</v>
      </c>
      <c r="D53" s="395">
        <v>5.0766</v>
      </c>
      <c r="E53" s="395">
        <v>0.78610000000000002</v>
      </c>
      <c r="F53" s="392">
        <v>486.82</v>
      </c>
      <c r="G53" s="396">
        <f t="shared" si="0"/>
        <v>-6.5217002896647558E-2</v>
      </c>
      <c r="H53" s="396">
        <f t="shared" si="1"/>
        <v>-2.0167458336687871E-2</v>
      </c>
      <c r="I53" s="390"/>
      <c r="J53" s="322"/>
      <c r="K53" s="380">
        <v>41787</v>
      </c>
      <c r="L53" s="322">
        <v>194000</v>
      </c>
      <c r="M53" s="322"/>
    </row>
    <row r="54" spans="2:13" ht="12" customHeight="1">
      <c r="B54" s="384">
        <v>41510</v>
      </c>
      <c r="C54" s="394">
        <v>8371.15</v>
      </c>
      <c r="D54" s="395">
        <v>5.0766</v>
      </c>
      <c r="E54" s="395">
        <v>0.78610000000000002</v>
      </c>
      <c r="F54" s="392">
        <v>486.82</v>
      </c>
      <c r="G54" s="396">
        <f t="shared" si="0"/>
        <v>-6.5217002896647558E-2</v>
      </c>
      <c r="H54" s="396">
        <f t="shared" si="1"/>
        <v>-2.0167458336687871E-2</v>
      </c>
      <c r="I54" s="390"/>
      <c r="J54" s="322"/>
      <c r="K54" s="380">
        <v>41786</v>
      </c>
      <c r="L54" s="322">
        <v>297510</v>
      </c>
      <c r="M54" s="322"/>
    </row>
    <row r="55" spans="2:13" ht="12" customHeight="1">
      <c r="B55" s="384">
        <v>41511</v>
      </c>
      <c r="C55" s="394">
        <v>8371.15</v>
      </c>
      <c r="D55" s="395">
        <v>5.0766</v>
      </c>
      <c r="E55" s="395">
        <v>0.78610000000000002</v>
      </c>
      <c r="F55" s="392">
        <v>486.82</v>
      </c>
      <c r="G55" s="396">
        <f t="shared" si="0"/>
        <v>-6.5217002896647558E-2</v>
      </c>
      <c r="H55" s="396">
        <f t="shared" si="1"/>
        <v>-2.0167458336687871E-2</v>
      </c>
      <c r="I55" s="390"/>
      <c r="J55" s="322"/>
      <c r="K55" s="380">
        <v>41785</v>
      </c>
      <c r="L55" s="322">
        <v>177620</v>
      </c>
      <c r="M55" s="322"/>
    </row>
    <row r="56" spans="2:13" ht="12" customHeight="1">
      <c r="B56" s="384">
        <v>41512</v>
      </c>
      <c r="C56" s="394">
        <v>8371.15</v>
      </c>
      <c r="D56" s="395">
        <v>5.0766</v>
      </c>
      <c r="E56" s="395">
        <v>0.78610000000000002</v>
      </c>
      <c r="F56" s="392">
        <v>490.54</v>
      </c>
      <c r="G56" s="396">
        <f t="shared" si="0"/>
        <v>-6.5217002896647558E-2</v>
      </c>
      <c r="H56" s="396">
        <f t="shared" si="1"/>
        <v>-1.2680138475162916E-2</v>
      </c>
      <c r="I56" s="390"/>
      <c r="J56" s="322"/>
      <c r="K56" s="380">
        <v>41782</v>
      </c>
      <c r="L56" s="322">
        <v>246240</v>
      </c>
      <c r="M56" s="322"/>
    </row>
    <row r="57" spans="2:13" ht="12" customHeight="1">
      <c r="B57" s="384">
        <v>41513</v>
      </c>
      <c r="C57" s="394">
        <v>8371.15</v>
      </c>
      <c r="D57" s="395">
        <v>5.0766</v>
      </c>
      <c r="E57" s="395">
        <v>0.78610000000000002</v>
      </c>
      <c r="F57" s="392">
        <v>485.57</v>
      </c>
      <c r="G57" s="396">
        <f t="shared" si="0"/>
        <v>-6.5217002896647558E-2</v>
      </c>
      <c r="H57" s="396">
        <f t="shared" si="1"/>
        <v>-2.26833588277916E-2</v>
      </c>
      <c r="I57" s="390"/>
      <c r="J57" s="322"/>
      <c r="K57" s="380">
        <v>41781</v>
      </c>
      <c r="L57" s="322">
        <v>240040</v>
      </c>
      <c r="M57" s="322"/>
    </row>
    <row r="58" spans="2:13" ht="12" customHeight="1">
      <c r="B58" s="384">
        <v>41514</v>
      </c>
      <c r="C58" s="394">
        <v>8079.13</v>
      </c>
      <c r="D58" s="395">
        <v>4.8994999999999997</v>
      </c>
      <c r="E58" s="395">
        <v>0.75860000000000005</v>
      </c>
      <c r="F58" s="392">
        <v>473.3</v>
      </c>
      <c r="G58" s="396">
        <f t="shared" si="0"/>
        <v>-9.7826062681040438E-2</v>
      </c>
      <c r="H58" s="396">
        <f t="shared" si="1"/>
        <v>-4.7379438048466227E-2</v>
      </c>
      <c r="I58" s="390"/>
      <c r="J58" s="322"/>
      <c r="K58" s="380">
        <v>41780</v>
      </c>
      <c r="L58" s="322">
        <v>305510</v>
      </c>
      <c r="M58" s="322"/>
    </row>
    <row r="59" spans="2:13" ht="12" customHeight="1">
      <c r="B59" s="384">
        <v>41515</v>
      </c>
      <c r="C59" s="394">
        <v>7981.79</v>
      </c>
      <c r="D59" s="395">
        <v>4.8403999999999998</v>
      </c>
      <c r="E59" s="395">
        <v>0.74950000000000006</v>
      </c>
      <c r="F59" s="392">
        <v>468.55</v>
      </c>
      <c r="G59" s="396">
        <f t="shared" si="0"/>
        <v>-0.10869574927583814</v>
      </c>
      <c r="H59" s="396">
        <f t="shared" si="1"/>
        <v>-5.6939859914660551E-2</v>
      </c>
      <c r="I59" s="390"/>
      <c r="J59" s="322"/>
      <c r="K59" s="380">
        <v>41779</v>
      </c>
      <c r="L59" s="322">
        <v>444850</v>
      </c>
      <c r="M59" s="322"/>
    </row>
    <row r="60" spans="2:13" ht="12" customHeight="1">
      <c r="B60" s="384">
        <v>41516</v>
      </c>
      <c r="C60" s="394">
        <v>7981.79</v>
      </c>
      <c r="D60" s="395">
        <v>4.8403999999999998</v>
      </c>
      <c r="E60" s="395">
        <v>0.74950000000000006</v>
      </c>
      <c r="F60" s="392">
        <v>472.7</v>
      </c>
      <c r="G60" s="396">
        <f t="shared" si="0"/>
        <v>-0.10869574927583814</v>
      </c>
      <c r="H60" s="396">
        <f t="shared" si="1"/>
        <v>-4.8587070284196066E-2</v>
      </c>
      <c r="I60" s="390"/>
      <c r="J60" s="322"/>
      <c r="K60" s="380">
        <v>41778</v>
      </c>
      <c r="L60" s="322">
        <v>326720</v>
      </c>
      <c r="M60" s="322"/>
    </row>
    <row r="61" spans="2:13" ht="12" customHeight="1">
      <c r="B61" s="384">
        <v>41517</v>
      </c>
      <c r="C61" s="394">
        <v>7981.79</v>
      </c>
      <c r="D61" s="395">
        <v>4.8403999999999998</v>
      </c>
      <c r="E61" s="395">
        <v>0.74950000000000006</v>
      </c>
      <c r="F61" s="392">
        <v>472.7</v>
      </c>
      <c r="G61" s="396">
        <f t="shared" si="0"/>
        <v>-0.10869574927583814</v>
      </c>
      <c r="H61" s="396">
        <f t="shared" si="1"/>
        <v>-4.8587070284196066E-2</v>
      </c>
      <c r="I61" s="390"/>
      <c r="J61" s="322"/>
      <c r="K61" s="380"/>
      <c r="L61" s="322"/>
      <c r="M61" s="322"/>
    </row>
    <row r="62" spans="2:13" ht="12" customHeight="1">
      <c r="B62" s="384">
        <v>41518</v>
      </c>
      <c r="C62" s="394">
        <v>7981.79</v>
      </c>
      <c r="D62" s="395">
        <v>4.8403999999999998</v>
      </c>
      <c r="E62" s="395">
        <v>0.74950000000000006</v>
      </c>
      <c r="F62" s="392">
        <v>472.7</v>
      </c>
      <c r="G62" s="396">
        <f t="shared" si="0"/>
        <v>-0.10869574927583814</v>
      </c>
      <c r="H62" s="396">
        <f t="shared" si="1"/>
        <v>-4.8587070284196066E-2</v>
      </c>
      <c r="I62" s="390"/>
      <c r="J62" s="322"/>
      <c r="K62" s="325"/>
      <c r="L62" s="322"/>
      <c r="M62" s="322"/>
    </row>
    <row r="63" spans="2:13" ht="12" customHeight="1">
      <c r="B63" s="384">
        <v>41519</v>
      </c>
      <c r="C63" s="394">
        <v>7981.79</v>
      </c>
      <c r="D63" s="395">
        <v>4.8403999999999998</v>
      </c>
      <c r="E63" s="395">
        <v>0.74950000000000006</v>
      </c>
      <c r="F63" s="392">
        <v>472.7</v>
      </c>
      <c r="G63" s="396">
        <f t="shared" si="0"/>
        <v>-0.10869574927583814</v>
      </c>
      <c r="H63" s="396">
        <f t="shared" si="1"/>
        <v>-4.8587070284196066E-2</v>
      </c>
      <c r="I63" s="390"/>
      <c r="J63" s="322"/>
      <c r="K63" s="325"/>
      <c r="L63" s="322"/>
      <c r="M63" s="322"/>
    </row>
    <row r="64" spans="2:13" ht="12" customHeight="1">
      <c r="B64" s="384">
        <v>41520</v>
      </c>
      <c r="C64" s="394">
        <v>7884.45</v>
      </c>
      <c r="D64" s="395">
        <v>4.7813999999999997</v>
      </c>
      <c r="E64" s="395">
        <v>0.74039999999999995</v>
      </c>
      <c r="F64" s="392">
        <v>472.17</v>
      </c>
      <c r="G64" s="396">
        <f t="shared" si="0"/>
        <v>-0.11956543587063584</v>
      </c>
      <c r="H64" s="396">
        <f t="shared" si="1"/>
        <v>-4.9653812092424032E-2</v>
      </c>
      <c r="I64" s="390"/>
      <c r="J64" s="322"/>
      <c r="K64" s="325"/>
      <c r="L64" s="322"/>
      <c r="M64" s="322"/>
    </row>
    <row r="65" spans="2:13" ht="12" customHeight="1">
      <c r="B65" s="384">
        <v>41521</v>
      </c>
      <c r="C65" s="394">
        <v>7689.77</v>
      </c>
      <c r="D65" s="395">
        <v>4.6632999999999996</v>
      </c>
      <c r="E65" s="395">
        <v>0.72209999999999996</v>
      </c>
      <c r="F65" s="392">
        <v>471.45</v>
      </c>
      <c r="G65" s="396">
        <f t="shared" si="0"/>
        <v>-0.14130480906023102</v>
      </c>
      <c r="H65" s="396">
        <f t="shared" si="1"/>
        <v>-5.1102970775299905E-2</v>
      </c>
      <c r="I65" s="390"/>
      <c r="J65" s="322"/>
      <c r="K65" s="325"/>
      <c r="L65" s="322"/>
      <c r="M65" s="322"/>
    </row>
    <row r="66" spans="2:13" ht="12" customHeight="1">
      <c r="B66" s="384">
        <v>41522</v>
      </c>
      <c r="C66" s="394">
        <v>7884.45</v>
      </c>
      <c r="D66" s="395">
        <v>4.7813999999999997</v>
      </c>
      <c r="E66" s="395">
        <v>0.74039999999999995</v>
      </c>
      <c r="F66" s="392">
        <v>477.57</v>
      </c>
      <c r="G66" s="396">
        <f t="shared" si="0"/>
        <v>-0.11956543587063584</v>
      </c>
      <c r="H66" s="396">
        <f t="shared" si="1"/>
        <v>-3.8785121970855818E-2</v>
      </c>
      <c r="I66" s="390"/>
      <c r="J66" s="322"/>
      <c r="K66" s="325"/>
      <c r="L66" s="322"/>
      <c r="M66" s="322"/>
    </row>
    <row r="67" spans="2:13" ht="12" customHeight="1">
      <c r="B67" s="384">
        <v>41523</v>
      </c>
      <c r="C67" s="394">
        <v>7884.45</v>
      </c>
      <c r="D67" s="395">
        <v>4.7813999999999997</v>
      </c>
      <c r="E67" s="395">
        <v>0.74039999999999995</v>
      </c>
      <c r="F67" s="392">
        <v>480.03</v>
      </c>
      <c r="G67" s="396">
        <f t="shared" si="0"/>
        <v>-0.11956543587063584</v>
      </c>
      <c r="H67" s="396">
        <f t="shared" si="1"/>
        <v>-3.3833829804363558E-2</v>
      </c>
      <c r="I67" s="390"/>
      <c r="J67" s="322"/>
      <c r="K67" s="325"/>
      <c r="L67" s="322"/>
      <c r="M67" s="322"/>
    </row>
    <row r="68" spans="2:13" ht="12" customHeight="1">
      <c r="B68" s="384">
        <v>41524</v>
      </c>
      <c r="C68" s="394">
        <v>7884.45</v>
      </c>
      <c r="D68" s="395">
        <v>4.7813999999999997</v>
      </c>
      <c r="E68" s="395">
        <v>0.74039999999999995</v>
      </c>
      <c r="F68" s="392">
        <v>480.03</v>
      </c>
      <c r="G68" s="396">
        <f t="shared" si="0"/>
        <v>-0.11956543587063584</v>
      </c>
      <c r="H68" s="396">
        <f t="shared" si="1"/>
        <v>-3.3833829804363558E-2</v>
      </c>
      <c r="I68" s="390"/>
      <c r="J68" s="322"/>
      <c r="K68" s="325"/>
      <c r="L68" s="322"/>
      <c r="M68" s="322"/>
    </row>
    <row r="69" spans="2:13" ht="12" customHeight="1">
      <c r="B69" s="384">
        <v>41525</v>
      </c>
      <c r="C69" s="394">
        <v>7884.45</v>
      </c>
      <c r="D69" s="395">
        <v>4.7813999999999997</v>
      </c>
      <c r="E69" s="395">
        <v>0.74039999999999995</v>
      </c>
      <c r="F69" s="392">
        <v>480.03</v>
      </c>
      <c r="G69" s="396">
        <f t="shared" si="0"/>
        <v>-0.11956543587063584</v>
      </c>
      <c r="H69" s="396">
        <f t="shared" si="1"/>
        <v>-3.3833829804363558E-2</v>
      </c>
      <c r="I69" s="390"/>
      <c r="J69" s="322"/>
      <c r="K69" s="325"/>
      <c r="L69" s="322"/>
      <c r="M69" s="322"/>
    </row>
    <row r="70" spans="2:13" ht="12" customHeight="1">
      <c r="B70" s="384">
        <v>41526</v>
      </c>
      <c r="C70" s="394">
        <v>7592.43</v>
      </c>
      <c r="D70" s="395">
        <v>4.6043000000000003</v>
      </c>
      <c r="E70" s="395">
        <v>0.71289999999999998</v>
      </c>
      <c r="F70" s="392">
        <v>470.16</v>
      </c>
      <c r="G70" s="396">
        <f t="shared" si="0"/>
        <v>-0.15217449565502872</v>
      </c>
      <c r="H70" s="396">
        <f t="shared" si="1"/>
        <v>-5.3699380082118942E-2</v>
      </c>
      <c r="I70" s="390"/>
      <c r="J70" s="322"/>
      <c r="K70" s="325"/>
      <c r="L70" s="322"/>
      <c r="M70" s="322"/>
    </row>
    <row r="71" spans="2:13" ht="12" customHeight="1">
      <c r="B71" s="384">
        <v>41527</v>
      </c>
      <c r="C71" s="394">
        <v>7884.45</v>
      </c>
      <c r="D71" s="395">
        <v>4.7813999999999997</v>
      </c>
      <c r="E71" s="395">
        <v>0.74039999999999995</v>
      </c>
      <c r="F71" s="392">
        <v>474.53</v>
      </c>
      <c r="G71" s="396">
        <f t="shared" si="0"/>
        <v>-0.11956543587063584</v>
      </c>
      <c r="H71" s="396">
        <f t="shared" si="1"/>
        <v>-4.4903791965220208E-2</v>
      </c>
      <c r="I71" s="390"/>
      <c r="J71" s="322"/>
      <c r="K71" s="325"/>
      <c r="L71" s="322"/>
      <c r="M71" s="322"/>
    </row>
    <row r="72" spans="2:13" ht="12" customHeight="1">
      <c r="B72" s="384">
        <v>41528</v>
      </c>
      <c r="C72" s="394">
        <v>7981.79</v>
      </c>
      <c r="D72" s="395">
        <v>4.8403999999999998</v>
      </c>
      <c r="E72" s="395">
        <v>0.74950000000000006</v>
      </c>
      <c r="F72" s="392">
        <v>476.4</v>
      </c>
      <c r="G72" s="396">
        <f t="shared" si="0"/>
        <v>-0.10869574927583814</v>
      </c>
      <c r="H72" s="396">
        <f t="shared" si="1"/>
        <v>-4.1140004830528931E-2</v>
      </c>
      <c r="I72" s="390"/>
      <c r="J72" s="322"/>
      <c r="K72" s="325"/>
      <c r="L72" s="322"/>
      <c r="M72" s="322"/>
    </row>
    <row r="73" spans="2:13" ht="12" customHeight="1">
      <c r="B73" s="384">
        <v>41529</v>
      </c>
      <c r="C73" s="394">
        <v>7787.11</v>
      </c>
      <c r="D73" s="395">
        <v>4.7224000000000004</v>
      </c>
      <c r="E73" s="395">
        <v>0.73119999999999996</v>
      </c>
      <c r="F73" s="392">
        <v>475.59</v>
      </c>
      <c r="G73" s="396">
        <f t="shared" si="0"/>
        <v>-0.13043512246543343</v>
      </c>
      <c r="H73" s="396">
        <f t="shared" si="1"/>
        <v>-4.2770308348764163E-2</v>
      </c>
      <c r="I73" s="390"/>
      <c r="J73" s="322"/>
      <c r="K73" s="325"/>
      <c r="L73" s="322"/>
      <c r="M73" s="322"/>
    </row>
    <row r="74" spans="2:13" ht="12" customHeight="1">
      <c r="B74" s="384">
        <v>41530</v>
      </c>
      <c r="C74" s="394">
        <v>7884.45</v>
      </c>
      <c r="D74" s="395">
        <v>4.7813999999999997</v>
      </c>
      <c r="E74" s="395">
        <v>0.74039999999999995</v>
      </c>
      <c r="F74" s="392">
        <v>476.42</v>
      </c>
      <c r="G74" s="396">
        <f t="shared" si="0"/>
        <v>-0.11956543587063584</v>
      </c>
      <c r="H74" s="396">
        <f t="shared" si="1"/>
        <v>-4.1099750422671222E-2</v>
      </c>
      <c r="I74" s="390"/>
      <c r="J74" s="322"/>
      <c r="K74" s="325"/>
      <c r="L74" s="322"/>
      <c r="M74" s="322"/>
    </row>
    <row r="75" spans="2:13" ht="12" customHeight="1">
      <c r="B75" s="384">
        <v>41531</v>
      </c>
      <c r="C75" s="394">
        <v>7884.45</v>
      </c>
      <c r="D75" s="395">
        <v>4.7813999999999997</v>
      </c>
      <c r="E75" s="395">
        <v>0.74039999999999995</v>
      </c>
      <c r="F75" s="392">
        <v>476.42</v>
      </c>
      <c r="G75" s="396">
        <f t="shared" si="0"/>
        <v>-0.11956543587063584</v>
      </c>
      <c r="H75" s="396">
        <f t="shared" si="1"/>
        <v>-4.1099750422671222E-2</v>
      </c>
      <c r="I75" s="390"/>
      <c r="J75" s="322"/>
      <c r="K75" s="325"/>
      <c r="L75" s="322"/>
      <c r="M75" s="322"/>
    </row>
    <row r="76" spans="2:13" ht="12" customHeight="1">
      <c r="B76" s="384">
        <v>41532</v>
      </c>
      <c r="C76" s="394">
        <v>7884.45</v>
      </c>
      <c r="D76" s="395">
        <v>4.7813999999999997</v>
      </c>
      <c r="E76" s="395">
        <v>0.74039999999999995</v>
      </c>
      <c r="F76" s="392">
        <v>476.42</v>
      </c>
      <c r="G76" s="396">
        <f t="shared" si="0"/>
        <v>-0.11956543587063584</v>
      </c>
      <c r="H76" s="396">
        <f t="shared" si="1"/>
        <v>-4.1099750422671222E-2</v>
      </c>
      <c r="I76" s="390"/>
      <c r="J76" s="322"/>
      <c r="K76" s="325"/>
      <c r="L76" s="322"/>
      <c r="M76" s="322"/>
    </row>
    <row r="77" spans="2:13" ht="12" customHeight="1">
      <c r="B77" s="384">
        <v>41533</v>
      </c>
      <c r="C77" s="394">
        <v>7787.11</v>
      </c>
      <c r="D77" s="395">
        <v>4.7224000000000004</v>
      </c>
      <c r="E77" s="395">
        <v>0.73119999999999996</v>
      </c>
      <c r="F77" s="392">
        <v>475.57</v>
      </c>
      <c r="G77" s="396">
        <f t="shared" si="0"/>
        <v>-0.13043512246543343</v>
      </c>
      <c r="H77" s="396">
        <f t="shared" si="1"/>
        <v>-4.2810562756621762E-2</v>
      </c>
      <c r="I77" s="390"/>
      <c r="J77" s="322"/>
      <c r="K77" s="325"/>
      <c r="L77" s="322"/>
      <c r="M77" s="322"/>
    </row>
    <row r="78" spans="2:13" ht="12" customHeight="1">
      <c r="B78" s="384">
        <v>41534</v>
      </c>
      <c r="C78" s="394">
        <v>7787.11</v>
      </c>
      <c r="D78" s="395">
        <v>4.7224000000000004</v>
      </c>
      <c r="E78" s="395">
        <v>0.73119999999999996</v>
      </c>
      <c r="F78" s="392">
        <v>477.73</v>
      </c>
      <c r="G78" s="396">
        <f t="shared" si="0"/>
        <v>-0.13043512246543343</v>
      </c>
      <c r="H78" s="396">
        <f t="shared" si="1"/>
        <v>-3.8463086707994476E-2</v>
      </c>
      <c r="I78" s="390"/>
      <c r="J78" s="322"/>
      <c r="K78" s="325"/>
      <c r="L78" s="322"/>
      <c r="M78" s="322"/>
    </row>
    <row r="79" spans="2:13" ht="12" customHeight="1">
      <c r="B79" s="384">
        <v>41535</v>
      </c>
      <c r="C79" s="394">
        <v>8079.13</v>
      </c>
      <c r="D79" s="395">
        <v>4.8994999999999997</v>
      </c>
      <c r="E79" s="395">
        <v>0.75860000000000005</v>
      </c>
      <c r="F79" s="392">
        <v>474.26</v>
      </c>
      <c r="G79" s="396">
        <f t="shared" si="0"/>
        <v>-9.7826062681040438E-2</v>
      </c>
      <c r="H79" s="396">
        <f t="shared" si="1"/>
        <v>-4.5447226471298618E-2</v>
      </c>
      <c r="I79" s="390"/>
      <c r="J79" s="322"/>
      <c r="K79" s="325"/>
      <c r="L79" s="322"/>
      <c r="M79" s="322"/>
    </row>
    <row r="80" spans="2:13" ht="12" customHeight="1">
      <c r="B80" s="384">
        <v>41536</v>
      </c>
      <c r="C80" s="394">
        <v>7981.79</v>
      </c>
      <c r="D80" s="395">
        <v>4.8403999999999998</v>
      </c>
      <c r="E80" s="395">
        <v>0.74950000000000006</v>
      </c>
      <c r="F80" s="392">
        <v>476.09</v>
      </c>
      <c r="G80" s="396">
        <f t="shared" si="0"/>
        <v>-0.10869574927583814</v>
      </c>
      <c r="H80" s="396">
        <f t="shared" si="1"/>
        <v>-4.176394815232265E-2</v>
      </c>
      <c r="I80" s="390"/>
      <c r="J80" s="322"/>
      <c r="K80" s="325"/>
      <c r="L80" s="322"/>
      <c r="M80" s="322"/>
    </row>
    <row r="81" spans="2:13" ht="12" customHeight="1">
      <c r="B81" s="384">
        <v>41537</v>
      </c>
      <c r="C81" s="394">
        <v>7787.11</v>
      </c>
      <c r="D81" s="395">
        <v>4.7224000000000004</v>
      </c>
      <c r="E81" s="395">
        <v>0.73119999999999996</v>
      </c>
      <c r="F81" s="392">
        <v>477.19</v>
      </c>
      <c r="G81" s="396">
        <f t="shared" si="0"/>
        <v>-0.13043512246543343</v>
      </c>
      <c r="H81" s="396">
        <f t="shared" si="1"/>
        <v>-3.9549955720151297E-2</v>
      </c>
      <c r="I81" s="390"/>
      <c r="J81" s="322"/>
      <c r="K81" s="325"/>
      <c r="L81" s="322"/>
      <c r="M81" s="322"/>
    </row>
    <row r="82" spans="2:13" ht="12" customHeight="1">
      <c r="B82" s="384">
        <v>41538</v>
      </c>
      <c r="C82" s="394">
        <v>7787.11</v>
      </c>
      <c r="D82" s="395">
        <v>4.7224000000000004</v>
      </c>
      <c r="E82" s="395">
        <v>0.73119999999999996</v>
      </c>
      <c r="F82" s="392">
        <v>477.19</v>
      </c>
      <c r="G82" s="396">
        <f t="shared" ref="G82:G145" si="2">C82/C$17-1</f>
        <v>-0.13043512246543343</v>
      </c>
      <c r="H82" s="396">
        <f t="shared" ref="H82:H145" si="3">F82/F$17-1</f>
        <v>-3.9549955720151297E-2</v>
      </c>
      <c r="I82" s="390"/>
      <c r="J82" s="322"/>
      <c r="K82" s="325"/>
      <c r="L82" s="322"/>
      <c r="M82" s="322"/>
    </row>
    <row r="83" spans="2:13" ht="12" customHeight="1">
      <c r="B83" s="384">
        <v>41539</v>
      </c>
      <c r="C83" s="394">
        <v>7787.11</v>
      </c>
      <c r="D83" s="395">
        <v>4.7224000000000004</v>
      </c>
      <c r="E83" s="395">
        <v>0.73119999999999996</v>
      </c>
      <c r="F83" s="392">
        <v>477.19</v>
      </c>
      <c r="G83" s="396">
        <f t="shared" si="2"/>
        <v>-0.13043512246543343</v>
      </c>
      <c r="H83" s="396">
        <f t="shared" si="3"/>
        <v>-3.9549955720151297E-2</v>
      </c>
      <c r="I83" s="390"/>
      <c r="J83" s="322"/>
      <c r="K83" s="325"/>
      <c r="L83" s="322"/>
      <c r="M83" s="322"/>
    </row>
    <row r="84" spans="2:13" ht="12" customHeight="1">
      <c r="B84" s="384">
        <v>41540</v>
      </c>
      <c r="C84" s="394">
        <v>8079.13</v>
      </c>
      <c r="D84" s="395">
        <v>4.8994999999999997</v>
      </c>
      <c r="E84" s="395">
        <v>0.75860000000000005</v>
      </c>
      <c r="F84" s="392">
        <v>479.09</v>
      </c>
      <c r="G84" s="396">
        <f t="shared" si="2"/>
        <v>-9.7826062681040438E-2</v>
      </c>
      <c r="H84" s="396">
        <f t="shared" si="3"/>
        <v>-3.5725786973673568E-2</v>
      </c>
      <c r="I84" s="390"/>
      <c r="J84" s="322"/>
      <c r="K84" s="325"/>
      <c r="L84" s="322"/>
      <c r="M84" s="322"/>
    </row>
    <row r="85" spans="2:13" ht="12" customHeight="1">
      <c r="B85" s="384">
        <v>41541</v>
      </c>
      <c r="C85" s="394">
        <v>8079.13</v>
      </c>
      <c r="D85" s="395">
        <v>4.8994999999999997</v>
      </c>
      <c r="E85" s="395">
        <v>0.75860000000000005</v>
      </c>
      <c r="F85" s="392">
        <v>482.82</v>
      </c>
      <c r="G85" s="396">
        <f t="shared" si="2"/>
        <v>-9.7826062681040438E-2</v>
      </c>
      <c r="H85" s="396">
        <f t="shared" si="3"/>
        <v>-2.8218339908219869E-2</v>
      </c>
      <c r="I85" s="390"/>
      <c r="J85" s="322"/>
      <c r="K85" s="325"/>
      <c r="L85" s="322"/>
      <c r="M85" s="322"/>
    </row>
    <row r="86" spans="2:13" ht="12" customHeight="1">
      <c r="B86" s="384">
        <v>41542</v>
      </c>
      <c r="C86" s="394">
        <v>8371.15</v>
      </c>
      <c r="D86" s="395">
        <v>5.0766</v>
      </c>
      <c r="E86" s="395">
        <v>0.78610000000000002</v>
      </c>
      <c r="F86" s="392">
        <v>486.22</v>
      </c>
      <c r="G86" s="396">
        <f t="shared" si="2"/>
        <v>-6.5217002896647558E-2</v>
      </c>
      <c r="H86" s="396">
        <f t="shared" si="3"/>
        <v>-2.1375090572417599E-2</v>
      </c>
      <c r="I86" s="390"/>
      <c r="J86" s="322"/>
      <c r="K86" s="325"/>
      <c r="L86" s="322"/>
      <c r="M86" s="322"/>
    </row>
    <row r="87" spans="2:13" ht="12" customHeight="1">
      <c r="B87" s="384">
        <v>41543</v>
      </c>
      <c r="C87" s="394">
        <v>8371.15</v>
      </c>
      <c r="D87" s="395">
        <v>5.0766</v>
      </c>
      <c r="E87" s="395">
        <v>0.78610000000000002</v>
      </c>
      <c r="F87" s="392">
        <v>485.11</v>
      </c>
      <c r="G87" s="396">
        <f t="shared" si="2"/>
        <v>-6.5217002896647558E-2</v>
      </c>
      <c r="H87" s="396">
        <f t="shared" si="3"/>
        <v>-2.3609210208517806E-2</v>
      </c>
      <c r="I87" s="390"/>
      <c r="J87" s="322"/>
      <c r="K87" s="325"/>
      <c r="L87" s="322"/>
      <c r="M87" s="322"/>
    </row>
    <row r="88" spans="2:13" ht="12" customHeight="1">
      <c r="B88" s="384">
        <v>41544</v>
      </c>
      <c r="C88" s="394">
        <v>8176.47</v>
      </c>
      <c r="D88" s="395">
        <v>4.9584999999999999</v>
      </c>
      <c r="E88" s="395">
        <v>0.76780000000000004</v>
      </c>
      <c r="F88" s="392">
        <v>486.61</v>
      </c>
      <c r="G88" s="396">
        <f t="shared" si="2"/>
        <v>-8.6956376086242848E-2</v>
      </c>
      <c r="H88" s="396">
        <f t="shared" si="3"/>
        <v>-2.0590129619193265E-2</v>
      </c>
      <c r="I88" s="390"/>
      <c r="J88" s="322"/>
      <c r="K88" s="325"/>
      <c r="L88" s="322"/>
      <c r="M88" s="322"/>
    </row>
    <row r="89" spans="2:13" ht="12" customHeight="1">
      <c r="B89" s="384">
        <v>41545</v>
      </c>
      <c r="C89" s="394">
        <v>8176.47</v>
      </c>
      <c r="D89" s="395">
        <v>4.9584999999999999</v>
      </c>
      <c r="E89" s="395">
        <v>0.76780000000000004</v>
      </c>
      <c r="F89" s="392">
        <v>486.61</v>
      </c>
      <c r="G89" s="396">
        <f t="shared" si="2"/>
        <v>-8.6956376086242848E-2</v>
      </c>
      <c r="H89" s="396">
        <f t="shared" si="3"/>
        <v>-2.0590129619193265E-2</v>
      </c>
      <c r="I89" s="390"/>
      <c r="J89" s="322"/>
      <c r="K89" s="325"/>
      <c r="L89" s="322"/>
      <c r="M89" s="322"/>
    </row>
    <row r="90" spans="2:13" ht="12" customHeight="1">
      <c r="B90" s="384">
        <v>41546</v>
      </c>
      <c r="C90" s="394">
        <v>8176.47</v>
      </c>
      <c r="D90" s="395">
        <v>4.9584999999999999</v>
      </c>
      <c r="E90" s="395">
        <v>0.76780000000000004</v>
      </c>
      <c r="F90" s="392">
        <v>486.61</v>
      </c>
      <c r="G90" s="396">
        <f t="shared" si="2"/>
        <v>-8.6956376086242848E-2</v>
      </c>
      <c r="H90" s="396">
        <f t="shared" si="3"/>
        <v>-2.0590129619193265E-2</v>
      </c>
      <c r="I90" s="390"/>
      <c r="J90" s="322"/>
      <c r="K90" s="325"/>
      <c r="L90" s="322"/>
      <c r="M90" s="322"/>
    </row>
    <row r="91" spans="2:13" ht="12" customHeight="1">
      <c r="B91" s="384">
        <v>41547</v>
      </c>
      <c r="C91" s="394">
        <v>8565.82</v>
      </c>
      <c r="D91" s="395">
        <v>5.2178000000000004</v>
      </c>
      <c r="E91" s="395">
        <v>0.76870000000000005</v>
      </c>
      <c r="F91" s="392">
        <v>492.63</v>
      </c>
      <c r="G91" s="396">
        <f t="shared" si="2"/>
        <v>-4.3478746379190691E-2</v>
      </c>
      <c r="H91" s="396">
        <f t="shared" si="3"/>
        <v>-8.4735528540375027E-3</v>
      </c>
      <c r="I91" s="390"/>
      <c r="J91" s="322"/>
      <c r="K91" s="325"/>
      <c r="L91" s="322"/>
      <c r="M91" s="322"/>
    </row>
    <row r="92" spans="2:13" ht="12" customHeight="1">
      <c r="B92" s="384">
        <v>41548</v>
      </c>
      <c r="C92" s="394">
        <v>8371.15</v>
      </c>
      <c r="D92" s="395">
        <v>5.0991999999999997</v>
      </c>
      <c r="E92" s="395">
        <v>0.75119999999999998</v>
      </c>
      <c r="F92" s="392">
        <v>492.24</v>
      </c>
      <c r="G92" s="396">
        <f t="shared" si="2"/>
        <v>-6.5217002896647558E-2</v>
      </c>
      <c r="H92" s="396">
        <f t="shared" si="3"/>
        <v>-9.2585138072618367E-3</v>
      </c>
      <c r="I92" s="390"/>
      <c r="J92" s="322"/>
      <c r="K92" s="325"/>
      <c r="L92" s="322"/>
      <c r="M92" s="322"/>
    </row>
    <row r="93" spans="2:13" ht="12" customHeight="1">
      <c r="B93" s="384">
        <v>41549</v>
      </c>
      <c r="C93" s="394">
        <v>8468.48</v>
      </c>
      <c r="D93" s="395">
        <v>5.1585000000000001</v>
      </c>
      <c r="E93" s="395">
        <v>0.75990000000000002</v>
      </c>
      <c r="F93" s="392">
        <v>494.39</v>
      </c>
      <c r="G93" s="396">
        <f t="shared" si="2"/>
        <v>-5.4348432973988281E-2</v>
      </c>
      <c r="H93" s="396">
        <f t="shared" si="3"/>
        <v>-4.9311649625634058E-3</v>
      </c>
      <c r="I93" s="390"/>
      <c r="J93" s="322"/>
      <c r="K93" s="325"/>
      <c r="L93" s="322"/>
      <c r="M93" s="322"/>
    </row>
    <row r="94" spans="2:13" ht="12" customHeight="1">
      <c r="B94" s="384">
        <v>41550</v>
      </c>
      <c r="C94" s="394">
        <v>8760.5</v>
      </c>
      <c r="D94" s="395">
        <v>5.3364000000000003</v>
      </c>
      <c r="E94" s="395">
        <v>0.78620000000000001</v>
      </c>
      <c r="F94" s="392">
        <v>492.3</v>
      </c>
      <c r="G94" s="396">
        <f t="shared" si="2"/>
        <v>-2.173937318959529E-2</v>
      </c>
      <c r="H94" s="396">
        <f t="shared" si="3"/>
        <v>-9.1377505836888195E-3</v>
      </c>
      <c r="I94" s="390"/>
      <c r="J94" s="322"/>
      <c r="K94" s="325"/>
      <c r="L94" s="322"/>
      <c r="M94" s="322"/>
    </row>
    <row r="95" spans="2:13" ht="12" customHeight="1">
      <c r="B95" s="384">
        <v>41551</v>
      </c>
      <c r="C95" s="394">
        <v>9247.2000000000007</v>
      </c>
      <c r="D95" s="395">
        <v>5.6329000000000002</v>
      </c>
      <c r="E95" s="395">
        <v>0.82979999999999998</v>
      </c>
      <c r="F95" s="392">
        <v>497.5</v>
      </c>
      <c r="G95" s="396">
        <f t="shared" si="2"/>
        <v>3.2609059784393102E-2</v>
      </c>
      <c r="H95" s="396">
        <f t="shared" si="3"/>
        <v>1.3283954593028557E-3</v>
      </c>
      <c r="I95" s="390"/>
      <c r="J95" s="322"/>
      <c r="K95" s="325"/>
      <c r="L95" s="322"/>
      <c r="M95" s="322"/>
    </row>
    <row r="96" spans="2:13" ht="12" customHeight="1">
      <c r="B96" s="384">
        <v>41552</v>
      </c>
      <c r="C96" s="394">
        <v>9247.2000000000007</v>
      </c>
      <c r="D96" s="395">
        <v>5.6329000000000002</v>
      </c>
      <c r="E96" s="395">
        <v>0.82979999999999998</v>
      </c>
      <c r="F96" s="392">
        <v>497.5</v>
      </c>
      <c r="G96" s="396">
        <f t="shared" si="2"/>
        <v>3.2609059784393102E-2</v>
      </c>
      <c r="H96" s="396">
        <f t="shared" si="3"/>
        <v>1.3283954593028557E-3</v>
      </c>
      <c r="I96" s="390"/>
      <c r="J96" s="322"/>
      <c r="K96" s="325"/>
      <c r="L96" s="322"/>
      <c r="M96" s="322"/>
    </row>
    <row r="97" spans="2:13" ht="12" customHeight="1">
      <c r="B97" s="384">
        <v>41553</v>
      </c>
      <c r="C97" s="394">
        <v>9247.2000000000007</v>
      </c>
      <c r="D97" s="395">
        <v>5.6329000000000002</v>
      </c>
      <c r="E97" s="395">
        <v>0.82979999999999998</v>
      </c>
      <c r="F97" s="392">
        <v>497.5</v>
      </c>
      <c r="G97" s="396">
        <f t="shared" si="2"/>
        <v>3.2609059784393102E-2</v>
      </c>
      <c r="H97" s="396">
        <f t="shared" si="3"/>
        <v>1.3283954593028557E-3</v>
      </c>
      <c r="I97" s="390"/>
      <c r="J97" s="322"/>
      <c r="K97" s="325"/>
      <c r="L97" s="322"/>
      <c r="M97" s="322"/>
    </row>
    <row r="98" spans="2:13" ht="12" customHeight="1">
      <c r="B98" s="384">
        <v>41554</v>
      </c>
      <c r="C98" s="394">
        <v>9344.5300000000007</v>
      </c>
      <c r="D98" s="395">
        <v>5.6921999999999997</v>
      </c>
      <c r="E98" s="395">
        <v>0.83860000000000001</v>
      </c>
      <c r="F98" s="392">
        <v>500.47</v>
      </c>
      <c r="G98" s="396">
        <f t="shared" si="2"/>
        <v>4.3477629707052268E-2</v>
      </c>
      <c r="H98" s="396">
        <f t="shared" si="3"/>
        <v>7.3061750261653735E-3</v>
      </c>
      <c r="I98" s="390"/>
      <c r="J98" s="322"/>
      <c r="K98" s="325"/>
      <c r="L98" s="322"/>
      <c r="M98" s="322"/>
    </row>
    <row r="99" spans="2:13" ht="12" customHeight="1">
      <c r="B99" s="384">
        <v>41555</v>
      </c>
      <c r="C99" s="394">
        <v>9149.86</v>
      </c>
      <c r="D99" s="395">
        <v>5.5735999999999999</v>
      </c>
      <c r="E99" s="395">
        <v>0.82110000000000005</v>
      </c>
      <c r="F99" s="392">
        <v>502.22</v>
      </c>
      <c r="G99" s="396">
        <f t="shared" si="2"/>
        <v>2.1739373189595401E-2</v>
      </c>
      <c r="H99" s="396">
        <f t="shared" si="3"/>
        <v>1.0828435713710727E-2</v>
      </c>
      <c r="I99" s="390"/>
      <c r="J99" s="322"/>
      <c r="K99" s="325"/>
      <c r="L99" s="322"/>
      <c r="M99" s="322"/>
    </row>
    <row r="100" spans="2:13" ht="12" customHeight="1">
      <c r="B100" s="384">
        <v>41556</v>
      </c>
      <c r="C100" s="394">
        <v>9149.86</v>
      </c>
      <c r="D100" s="395">
        <v>5.5735999999999999</v>
      </c>
      <c r="E100" s="395">
        <v>0.82110000000000005</v>
      </c>
      <c r="F100" s="392">
        <v>500.67</v>
      </c>
      <c r="G100" s="396">
        <f t="shared" si="2"/>
        <v>2.1739373189595401E-2</v>
      </c>
      <c r="H100" s="396">
        <f t="shared" si="3"/>
        <v>7.7087191047420234E-3</v>
      </c>
      <c r="I100" s="390"/>
      <c r="J100" s="322"/>
      <c r="K100" s="325"/>
      <c r="L100" s="322"/>
      <c r="M100" s="322"/>
    </row>
    <row r="101" spans="2:13" ht="12" customHeight="1">
      <c r="B101" s="384">
        <v>41557</v>
      </c>
      <c r="C101" s="394">
        <v>8955.18</v>
      </c>
      <c r="D101" s="395">
        <v>5.4550000000000001</v>
      </c>
      <c r="E101" s="395">
        <v>0.80359999999999998</v>
      </c>
      <c r="F101" s="392">
        <v>494.81</v>
      </c>
      <c r="G101" s="396">
        <f t="shared" si="2"/>
        <v>0</v>
      </c>
      <c r="H101" s="396">
        <f t="shared" si="3"/>
        <v>-4.0858223975525076E-3</v>
      </c>
      <c r="I101" s="390"/>
      <c r="J101" s="322"/>
      <c r="K101" s="325"/>
      <c r="L101" s="322"/>
      <c r="M101" s="322"/>
    </row>
    <row r="102" spans="2:13" ht="12" customHeight="1">
      <c r="B102" s="384">
        <v>41558</v>
      </c>
      <c r="C102" s="394">
        <v>8857.84</v>
      </c>
      <c r="D102" s="395">
        <v>5.3956999999999997</v>
      </c>
      <c r="E102" s="395">
        <v>0.79490000000000005</v>
      </c>
      <c r="F102" s="392">
        <v>494.53</v>
      </c>
      <c r="G102" s="396">
        <f t="shared" si="2"/>
        <v>-1.0869686594797701E-2</v>
      </c>
      <c r="H102" s="396">
        <f t="shared" si="3"/>
        <v>-4.649384107559773E-3</v>
      </c>
      <c r="I102" s="390"/>
      <c r="J102" s="322"/>
      <c r="K102" s="325"/>
      <c r="L102" s="322"/>
      <c r="M102" s="322"/>
    </row>
    <row r="103" spans="2:13" ht="12" customHeight="1">
      <c r="B103" s="384">
        <v>41559</v>
      </c>
      <c r="C103" s="394">
        <v>8857.84</v>
      </c>
      <c r="D103" s="395">
        <v>5.3956999999999997</v>
      </c>
      <c r="E103" s="395">
        <v>0.79490000000000005</v>
      </c>
      <c r="F103" s="392">
        <v>494.53</v>
      </c>
      <c r="G103" s="396">
        <f t="shared" si="2"/>
        <v>-1.0869686594797701E-2</v>
      </c>
      <c r="H103" s="396">
        <f t="shared" si="3"/>
        <v>-4.649384107559773E-3</v>
      </c>
      <c r="I103" s="390"/>
      <c r="J103" s="322"/>
      <c r="K103" s="325"/>
      <c r="L103" s="322"/>
      <c r="M103" s="322"/>
    </row>
    <row r="104" spans="2:13" ht="12" customHeight="1">
      <c r="B104" s="384">
        <v>41560</v>
      </c>
      <c r="C104" s="394">
        <v>8857.84</v>
      </c>
      <c r="D104" s="395">
        <v>5.3956999999999997</v>
      </c>
      <c r="E104" s="395">
        <v>0.79490000000000005</v>
      </c>
      <c r="F104" s="392">
        <v>494.53</v>
      </c>
      <c r="G104" s="396">
        <f t="shared" si="2"/>
        <v>-1.0869686594797701E-2</v>
      </c>
      <c r="H104" s="396">
        <f t="shared" si="3"/>
        <v>-4.649384107559773E-3</v>
      </c>
      <c r="I104" s="390"/>
      <c r="J104" s="322"/>
      <c r="K104" s="325"/>
      <c r="L104" s="322"/>
      <c r="M104" s="322"/>
    </row>
    <row r="105" spans="2:13" ht="12" customHeight="1">
      <c r="B105" s="384">
        <v>41561</v>
      </c>
      <c r="C105" s="394">
        <v>8857.84</v>
      </c>
      <c r="D105" s="395">
        <v>5.3956999999999997</v>
      </c>
      <c r="E105" s="395">
        <v>0.79490000000000005</v>
      </c>
      <c r="F105" s="392">
        <v>493.62</v>
      </c>
      <c r="G105" s="396">
        <f t="shared" si="2"/>
        <v>-1.0869686594797701E-2</v>
      </c>
      <c r="H105" s="396">
        <f t="shared" si="3"/>
        <v>-6.4809596650832191E-3</v>
      </c>
      <c r="I105" s="390"/>
      <c r="J105" s="322"/>
      <c r="K105" s="325"/>
      <c r="L105" s="322"/>
      <c r="M105" s="322"/>
    </row>
    <row r="106" spans="2:13" ht="12" customHeight="1">
      <c r="B106" s="384">
        <v>41562</v>
      </c>
      <c r="C106" s="394">
        <v>8955.18</v>
      </c>
      <c r="D106" s="395">
        <v>5.4550000000000001</v>
      </c>
      <c r="E106" s="395">
        <v>0.80359999999999998</v>
      </c>
      <c r="F106" s="392">
        <v>495.72</v>
      </c>
      <c r="G106" s="396">
        <f t="shared" si="2"/>
        <v>0</v>
      </c>
      <c r="H106" s="396">
        <f t="shared" si="3"/>
        <v>-2.2542468400288396E-3</v>
      </c>
      <c r="I106" s="390"/>
      <c r="J106" s="322"/>
      <c r="K106" s="325"/>
      <c r="L106" s="322"/>
      <c r="M106" s="322"/>
    </row>
    <row r="107" spans="2:13" ht="12" customHeight="1">
      <c r="B107" s="384">
        <v>41563</v>
      </c>
      <c r="C107" s="394">
        <v>9344.5300000000007</v>
      </c>
      <c r="D107" s="395">
        <v>5.6921999999999997</v>
      </c>
      <c r="E107" s="395">
        <v>0.83860000000000001</v>
      </c>
      <c r="F107" s="392">
        <v>498.96</v>
      </c>
      <c r="G107" s="396">
        <f t="shared" si="2"/>
        <v>4.3477629707052268E-2</v>
      </c>
      <c r="H107" s="396">
        <f t="shared" si="3"/>
        <v>4.2669672329120889E-3</v>
      </c>
      <c r="I107" s="390"/>
      <c r="J107" s="322"/>
      <c r="K107" s="325"/>
      <c r="L107" s="322"/>
      <c r="M107" s="322"/>
    </row>
    <row r="108" spans="2:13" ht="12" customHeight="1">
      <c r="B108" s="384">
        <v>41564</v>
      </c>
      <c r="C108" s="394">
        <v>9344.5300000000007</v>
      </c>
      <c r="D108" s="395">
        <v>5.6921999999999997</v>
      </c>
      <c r="E108" s="395">
        <v>0.83860000000000001</v>
      </c>
      <c r="F108" s="392">
        <v>499.59</v>
      </c>
      <c r="G108" s="396">
        <f t="shared" si="2"/>
        <v>4.3477629707052268E-2</v>
      </c>
      <c r="H108" s="396">
        <f t="shared" si="3"/>
        <v>5.5349810804283806E-3</v>
      </c>
      <c r="I108" s="390"/>
      <c r="J108" s="322"/>
      <c r="K108" s="325"/>
      <c r="L108" s="322"/>
      <c r="M108" s="322"/>
    </row>
    <row r="109" spans="2:13" ht="12" customHeight="1">
      <c r="B109" s="384">
        <v>41565</v>
      </c>
      <c r="C109" s="394">
        <v>9539.2099999999991</v>
      </c>
      <c r="D109" s="395">
        <v>5.8108000000000004</v>
      </c>
      <c r="E109" s="395">
        <v>0.85599999999999998</v>
      </c>
      <c r="F109" s="392">
        <v>500.83</v>
      </c>
      <c r="G109" s="396">
        <f t="shared" si="2"/>
        <v>6.5217002896647447E-2</v>
      </c>
      <c r="H109" s="396">
        <f t="shared" si="3"/>
        <v>8.0307543676032545E-3</v>
      </c>
      <c r="I109" s="390"/>
      <c r="J109" s="322"/>
      <c r="K109" s="325"/>
      <c r="L109" s="322"/>
      <c r="M109" s="322"/>
    </row>
    <row r="110" spans="2:13" ht="12" customHeight="1">
      <c r="B110" s="384">
        <v>41566</v>
      </c>
      <c r="C110" s="394">
        <v>9539.2099999999991</v>
      </c>
      <c r="D110" s="395">
        <v>5.8108000000000004</v>
      </c>
      <c r="E110" s="395">
        <v>0.85599999999999998</v>
      </c>
      <c r="F110" s="392">
        <v>500.83</v>
      </c>
      <c r="G110" s="396">
        <f t="shared" si="2"/>
        <v>6.5217002896647447E-2</v>
      </c>
      <c r="H110" s="396">
        <f t="shared" si="3"/>
        <v>8.0307543676032545E-3</v>
      </c>
      <c r="I110" s="390"/>
      <c r="J110" s="322"/>
      <c r="K110" s="325"/>
      <c r="L110" s="322"/>
      <c r="M110" s="322"/>
    </row>
    <row r="111" spans="2:13" ht="12" customHeight="1">
      <c r="B111" s="384">
        <v>41567</v>
      </c>
      <c r="C111" s="394">
        <v>9539.2099999999991</v>
      </c>
      <c r="D111" s="395">
        <v>5.8108000000000004</v>
      </c>
      <c r="E111" s="395">
        <v>0.85599999999999998</v>
      </c>
      <c r="F111" s="392">
        <v>500.83</v>
      </c>
      <c r="G111" s="396">
        <f t="shared" si="2"/>
        <v>6.5217002896647447E-2</v>
      </c>
      <c r="H111" s="396">
        <f t="shared" si="3"/>
        <v>8.0307543676032545E-3</v>
      </c>
      <c r="I111" s="390"/>
      <c r="J111" s="322"/>
      <c r="K111" s="325"/>
      <c r="L111" s="322"/>
      <c r="M111" s="322"/>
    </row>
    <row r="112" spans="2:13" ht="12" customHeight="1">
      <c r="B112" s="384">
        <v>41568</v>
      </c>
      <c r="C112" s="394">
        <v>10123.25</v>
      </c>
      <c r="D112" s="395">
        <v>6.1665000000000001</v>
      </c>
      <c r="E112" s="395">
        <v>0.90839999999999999</v>
      </c>
      <c r="F112" s="392">
        <v>501.57</v>
      </c>
      <c r="G112" s="396">
        <f t="shared" si="2"/>
        <v>0.13043512246543343</v>
      </c>
      <c r="H112" s="396">
        <f t="shared" si="3"/>
        <v>9.5201674583367257E-3</v>
      </c>
      <c r="I112" s="390"/>
      <c r="J112" s="322"/>
      <c r="K112" s="325"/>
      <c r="L112" s="322"/>
      <c r="M112" s="322"/>
    </row>
    <row r="113" spans="2:13" ht="12" customHeight="1">
      <c r="B113" s="384">
        <v>41569</v>
      </c>
      <c r="C113" s="394">
        <v>10025.91</v>
      </c>
      <c r="D113" s="395">
        <v>6.1071999999999997</v>
      </c>
      <c r="E113" s="395">
        <v>0.89970000000000006</v>
      </c>
      <c r="F113" s="392">
        <v>500.57</v>
      </c>
      <c r="G113" s="396">
        <f t="shared" si="2"/>
        <v>0.11956543587063573</v>
      </c>
      <c r="H113" s="396">
        <f t="shared" si="3"/>
        <v>7.5074470654536984E-3</v>
      </c>
      <c r="I113" s="390"/>
      <c r="J113" s="322"/>
      <c r="K113" s="325"/>
      <c r="L113" s="322"/>
      <c r="M113" s="322"/>
    </row>
    <row r="114" spans="2:13" ht="12" customHeight="1">
      <c r="B114" s="384">
        <v>41570</v>
      </c>
      <c r="C114" s="394">
        <v>10220.58</v>
      </c>
      <c r="D114" s="395">
        <v>6.2257999999999996</v>
      </c>
      <c r="E114" s="395">
        <v>0.91720000000000002</v>
      </c>
      <c r="F114" s="392">
        <v>504.05</v>
      </c>
      <c r="G114" s="396">
        <f t="shared" si="2"/>
        <v>0.14130369238809259</v>
      </c>
      <c r="H114" s="396">
        <f t="shared" si="3"/>
        <v>1.4511714032686696E-2</v>
      </c>
      <c r="I114" s="390"/>
      <c r="J114" s="322"/>
      <c r="K114" s="325"/>
      <c r="L114" s="322"/>
      <c r="M114" s="322"/>
    </row>
    <row r="115" spans="2:13" ht="12" customHeight="1">
      <c r="B115" s="384">
        <v>41571</v>
      </c>
      <c r="C115" s="394">
        <v>9831.23</v>
      </c>
      <c r="D115" s="395">
        <v>5.9885999999999999</v>
      </c>
      <c r="E115" s="395">
        <v>0.88219999999999998</v>
      </c>
      <c r="F115" s="392">
        <v>501.17</v>
      </c>
      <c r="G115" s="396">
        <f t="shared" si="2"/>
        <v>9.7826062681040327E-2</v>
      </c>
      <c r="H115" s="396">
        <f t="shared" si="3"/>
        <v>8.715079301183648E-3</v>
      </c>
      <c r="I115" s="390"/>
      <c r="J115" s="322"/>
      <c r="K115" s="325"/>
      <c r="L115" s="322"/>
      <c r="M115" s="322"/>
    </row>
    <row r="116" spans="2:13" ht="12" customHeight="1">
      <c r="B116" s="384">
        <v>41572</v>
      </c>
      <c r="C116" s="394">
        <v>9831.23</v>
      </c>
      <c r="D116" s="395">
        <v>5.9885999999999999</v>
      </c>
      <c r="E116" s="395">
        <v>0.88219999999999998</v>
      </c>
      <c r="F116" s="392">
        <v>500.75</v>
      </c>
      <c r="G116" s="396">
        <f t="shared" si="2"/>
        <v>9.7826062681040327E-2</v>
      </c>
      <c r="H116" s="396">
        <f t="shared" si="3"/>
        <v>7.8697367361726389E-3</v>
      </c>
      <c r="I116" s="390"/>
      <c r="J116" s="322"/>
      <c r="K116" s="325"/>
      <c r="L116" s="322"/>
      <c r="M116" s="322"/>
    </row>
    <row r="117" spans="2:13" ht="12" customHeight="1">
      <c r="B117" s="384">
        <v>41573</v>
      </c>
      <c r="C117" s="394">
        <v>9831.23</v>
      </c>
      <c r="D117" s="395">
        <v>5.9885999999999999</v>
      </c>
      <c r="E117" s="395">
        <v>0.88219999999999998</v>
      </c>
      <c r="F117" s="392">
        <v>500.75</v>
      </c>
      <c r="G117" s="396">
        <f t="shared" si="2"/>
        <v>9.7826062681040327E-2</v>
      </c>
      <c r="H117" s="396">
        <f t="shared" si="3"/>
        <v>7.8697367361726389E-3</v>
      </c>
      <c r="I117" s="390"/>
      <c r="J117" s="322"/>
      <c r="K117" s="325"/>
      <c r="L117" s="322"/>
      <c r="M117" s="322"/>
    </row>
    <row r="118" spans="2:13" ht="12" customHeight="1">
      <c r="B118" s="384">
        <v>41574</v>
      </c>
      <c r="C118" s="394">
        <v>9831.23</v>
      </c>
      <c r="D118" s="395">
        <v>5.9885999999999999</v>
      </c>
      <c r="E118" s="395">
        <v>0.88219999999999998</v>
      </c>
      <c r="F118" s="392">
        <v>500.75</v>
      </c>
      <c r="G118" s="396">
        <f t="shared" si="2"/>
        <v>9.7826062681040327E-2</v>
      </c>
      <c r="H118" s="396">
        <f t="shared" si="3"/>
        <v>7.8697367361726389E-3</v>
      </c>
      <c r="I118" s="390"/>
      <c r="J118" s="322"/>
      <c r="K118" s="325"/>
      <c r="L118" s="322"/>
      <c r="M118" s="322"/>
    </row>
    <row r="119" spans="2:13" ht="12" customHeight="1">
      <c r="B119" s="384">
        <v>41575</v>
      </c>
      <c r="C119" s="394">
        <v>9441.8700000000008</v>
      </c>
      <c r="D119" s="395">
        <v>5.7515000000000001</v>
      </c>
      <c r="E119" s="395">
        <v>0.84730000000000005</v>
      </c>
      <c r="F119" s="392">
        <v>496.46</v>
      </c>
      <c r="G119" s="396">
        <f t="shared" si="2"/>
        <v>5.4347316301849968E-2</v>
      </c>
      <c r="H119" s="396">
        <f t="shared" si="3"/>
        <v>-7.6483374929559034E-4</v>
      </c>
      <c r="I119" s="390"/>
      <c r="J119" s="322"/>
      <c r="K119" s="325"/>
      <c r="L119" s="322"/>
      <c r="M119" s="322"/>
    </row>
    <row r="120" spans="2:13" ht="12" customHeight="1">
      <c r="B120" s="384">
        <v>41576</v>
      </c>
      <c r="C120" s="394">
        <v>9733.89</v>
      </c>
      <c r="D120" s="395">
        <v>5.9294000000000002</v>
      </c>
      <c r="E120" s="395">
        <v>0.87350000000000005</v>
      </c>
      <c r="F120" s="392">
        <v>497.08</v>
      </c>
      <c r="G120" s="396">
        <f t="shared" si="2"/>
        <v>8.6956376086242626E-2</v>
      </c>
      <c r="H120" s="396">
        <f t="shared" si="3"/>
        <v>4.8305289429184661E-4</v>
      </c>
      <c r="I120" s="390"/>
      <c r="J120" s="322"/>
      <c r="K120" s="325"/>
      <c r="L120" s="322"/>
      <c r="M120" s="322"/>
    </row>
    <row r="121" spans="2:13" ht="12" customHeight="1">
      <c r="B121" s="384">
        <v>41577</v>
      </c>
      <c r="C121" s="394">
        <v>9636.5499999999993</v>
      </c>
      <c r="D121" s="395">
        <v>5.8700999999999999</v>
      </c>
      <c r="E121" s="395">
        <v>0.86480000000000001</v>
      </c>
      <c r="F121" s="392">
        <v>499.07</v>
      </c>
      <c r="G121" s="396">
        <f t="shared" si="2"/>
        <v>7.6086689491445147E-2</v>
      </c>
      <c r="H121" s="396">
        <f t="shared" si="3"/>
        <v>4.4883664761292685E-3</v>
      </c>
      <c r="I121" s="390"/>
      <c r="J121" s="322"/>
      <c r="K121" s="325"/>
      <c r="L121" s="322"/>
      <c r="M121" s="322"/>
    </row>
    <row r="122" spans="2:13" ht="12" customHeight="1">
      <c r="B122" s="384">
        <v>41578</v>
      </c>
      <c r="C122" s="394">
        <v>9636.5499999999993</v>
      </c>
      <c r="D122" s="395">
        <v>5.8700999999999999</v>
      </c>
      <c r="E122" s="395">
        <v>0.86480000000000001</v>
      </c>
      <c r="F122" s="392">
        <v>497.41</v>
      </c>
      <c r="G122" s="396">
        <f t="shared" si="2"/>
        <v>7.6086689491445147E-2</v>
      </c>
      <c r="H122" s="396">
        <f t="shared" si="3"/>
        <v>1.1472506239433855E-3</v>
      </c>
      <c r="I122" s="390"/>
      <c r="J122" s="322"/>
      <c r="K122" s="325"/>
      <c r="L122" s="322"/>
      <c r="M122" s="322"/>
    </row>
    <row r="123" spans="2:13" ht="12" customHeight="1">
      <c r="B123" s="384">
        <v>41579</v>
      </c>
      <c r="C123" s="394">
        <v>9733.89</v>
      </c>
      <c r="D123" s="395">
        <v>5.9294000000000002</v>
      </c>
      <c r="E123" s="395">
        <v>0.87350000000000005</v>
      </c>
      <c r="F123" s="392">
        <v>497.08</v>
      </c>
      <c r="G123" s="396">
        <f t="shared" si="2"/>
        <v>8.6956376086242626E-2</v>
      </c>
      <c r="H123" s="396">
        <f t="shared" si="3"/>
        <v>4.8305289429184661E-4</v>
      </c>
      <c r="I123" s="390"/>
      <c r="J123" s="322"/>
      <c r="K123" s="325"/>
      <c r="L123" s="322"/>
      <c r="M123" s="322"/>
    </row>
    <row r="124" spans="2:13" ht="12" customHeight="1">
      <c r="B124" s="384">
        <v>41580</v>
      </c>
      <c r="C124" s="394">
        <v>9733.89</v>
      </c>
      <c r="D124" s="395">
        <v>5.9294000000000002</v>
      </c>
      <c r="E124" s="395">
        <v>0.87350000000000005</v>
      </c>
      <c r="F124" s="392">
        <v>497.08</v>
      </c>
      <c r="G124" s="396">
        <f t="shared" si="2"/>
        <v>8.6956376086242626E-2</v>
      </c>
      <c r="H124" s="396">
        <f t="shared" si="3"/>
        <v>4.8305289429184661E-4</v>
      </c>
      <c r="I124" s="390"/>
      <c r="J124" s="322"/>
      <c r="K124" s="325"/>
      <c r="L124" s="322"/>
      <c r="M124" s="322"/>
    </row>
    <row r="125" spans="2:13" ht="12" customHeight="1">
      <c r="B125" s="384">
        <v>41581</v>
      </c>
      <c r="C125" s="394">
        <v>9733.89</v>
      </c>
      <c r="D125" s="395">
        <v>5.9294000000000002</v>
      </c>
      <c r="E125" s="395">
        <v>0.87350000000000005</v>
      </c>
      <c r="F125" s="392">
        <v>497.08</v>
      </c>
      <c r="G125" s="396">
        <f t="shared" si="2"/>
        <v>8.6956376086242626E-2</v>
      </c>
      <c r="H125" s="396">
        <f t="shared" si="3"/>
        <v>4.8305289429184661E-4</v>
      </c>
      <c r="I125" s="390"/>
      <c r="J125" s="322"/>
      <c r="K125" s="325"/>
      <c r="L125" s="322"/>
      <c r="M125" s="322"/>
    </row>
    <row r="126" spans="2:13" ht="12" customHeight="1">
      <c r="B126" s="384">
        <v>41582</v>
      </c>
      <c r="C126" s="394">
        <v>10415.26</v>
      </c>
      <c r="D126" s="395">
        <v>6.3444000000000003</v>
      </c>
      <c r="E126" s="395">
        <v>0.93459999999999999</v>
      </c>
      <c r="F126" s="392">
        <v>497.07</v>
      </c>
      <c r="G126" s="396">
        <f t="shared" si="2"/>
        <v>0.163043065577688</v>
      </c>
      <c r="H126" s="396">
        <f t="shared" si="3"/>
        <v>4.6292569036321396E-4</v>
      </c>
      <c r="I126" s="390"/>
      <c r="J126" s="322"/>
      <c r="K126" s="325"/>
      <c r="L126" s="322"/>
      <c r="M126" s="322"/>
    </row>
    <row r="127" spans="2:13" ht="12" customHeight="1">
      <c r="B127" s="384">
        <v>41583</v>
      </c>
      <c r="C127" s="394">
        <v>11096.63</v>
      </c>
      <c r="D127" s="395">
        <v>6.7595000000000001</v>
      </c>
      <c r="E127" s="395">
        <v>0.99580000000000002</v>
      </c>
      <c r="F127" s="392">
        <v>499.79</v>
      </c>
      <c r="G127" s="396">
        <f t="shared" si="2"/>
        <v>0.23912975506913314</v>
      </c>
      <c r="H127" s="396">
        <f t="shared" si="3"/>
        <v>5.9375251590050304E-3</v>
      </c>
      <c r="I127" s="390"/>
      <c r="J127" s="322"/>
      <c r="K127" s="325"/>
      <c r="L127" s="322"/>
      <c r="M127" s="322"/>
    </row>
    <row r="128" spans="2:13" ht="12" customHeight="1">
      <c r="B128" s="384">
        <v>41584</v>
      </c>
      <c r="C128" s="394">
        <v>11193.97</v>
      </c>
      <c r="D128" s="395">
        <v>6.8187999999999995</v>
      </c>
      <c r="E128" s="395">
        <v>1.0044999999999999</v>
      </c>
      <c r="F128" s="392">
        <v>502.52</v>
      </c>
      <c r="G128" s="396">
        <f t="shared" si="2"/>
        <v>0.24999944166393062</v>
      </c>
      <c r="H128" s="396">
        <f t="shared" si="3"/>
        <v>1.143225183157548E-2</v>
      </c>
      <c r="I128" s="390"/>
      <c r="J128" s="322"/>
      <c r="K128" s="325"/>
      <c r="L128" s="322"/>
      <c r="M128" s="322"/>
    </row>
    <row r="129" spans="2:13" ht="12" customHeight="1">
      <c r="B129" s="384">
        <v>41585</v>
      </c>
      <c r="C129" s="394">
        <v>10999.3</v>
      </c>
      <c r="D129" s="395">
        <v>6.7001999999999997</v>
      </c>
      <c r="E129" s="395">
        <v>0.98709999999999998</v>
      </c>
      <c r="F129" s="392">
        <v>499.86</v>
      </c>
      <c r="G129" s="396">
        <f t="shared" si="2"/>
        <v>0.22826118514647376</v>
      </c>
      <c r="H129" s="396">
        <f t="shared" si="3"/>
        <v>6.0784155865067913E-3</v>
      </c>
      <c r="I129" s="390"/>
      <c r="J129" s="322"/>
      <c r="K129" s="325"/>
      <c r="L129" s="322"/>
      <c r="M129" s="322"/>
    </row>
    <row r="130" spans="2:13" ht="12" customHeight="1">
      <c r="B130" s="384">
        <v>41586</v>
      </c>
      <c r="C130" s="394">
        <v>11388.65</v>
      </c>
      <c r="D130" s="395">
        <v>6.9373000000000005</v>
      </c>
      <c r="E130" s="395">
        <v>1.022</v>
      </c>
      <c r="F130" s="392">
        <v>498.61</v>
      </c>
      <c r="G130" s="396">
        <f t="shared" si="2"/>
        <v>0.27173881485352602</v>
      </c>
      <c r="H130" s="396">
        <f t="shared" si="3"/>
        <v>3.5625150954030627E-3</v>
      </c>
      <c r="I130" s="390"/>
      <c r="J130" s="322"/>
      <c r="K130" s="325"/>
      <c r="L130" s="322"/>
      <c r="M130" s="322"/>
    </row>
    <row r="131" spans="2:13" ht="12" customHeight="1">
      <c r="B131" s="384">
        <v>41587</v>
      </c>
      <c r="C131" s="394">
        <v>11388.65</v>
      </c>
      <c r="D131" s="395">
        <v>6.9373000000000005</v>
      </c>
      <c r="E131" s="395">
        <v>1.022</v>
      </c>
      <c r="F131" s="392">
        <v>498.61</v>
      </c>
      <c r="G131" s="396">
        <f t="shared" si="2"/>
        <v>0.27173881485352602</v>
      </c>
      <c r="H131" s="396">
        <f t="shared" si="3"/>
        <v>3.5625150954030627E-3</v>
      </c>
      <c r="I131" s="390"/>
      <c r="J131" s="322"/>
      <c r="K131" s="325"/>
      <c r="L131" s="322"/>
      <c r="M131" s="322"/>
    </row>
    <row r="132" spans="2:13" ht="12" customHeight="1">
      <c r="B132" s="384">
        <v>41588</v>
      </c>
      <c r="C132" s="394">
        <v>11388.65</v>
      </c>
      <c r="D132" s="395">
        <v>6.9373000000000005</v>
      </c>
      <c r="E132" s="395">
        <v>1.022</v>
      </c>
      <c r="F132" s="392">
        <v>498.61</v>
      </c>
      <c r="G132" s="396">
        <f t="shared" si="2"/>
        <v>0.27173881485352602</v>
      </c>
      <c r="H132" s="396">
        <f t="shared" si="3"/>
        <v>3.5625150954030627E-3</v>
      </c>
      <c r="I132" s="390"/>
      <c r="J132" s="322"/>
      <c r="K132" s="325"/>
      <c r="L132" s="322"/>
      <c r="M132" s="322"/>
    </row>
    <row r="133" spans="2:13" ht="12" customHeight="1">
      <c r="B133" s="384">
        <v>41589</v>
      </c>
      <c r="C133" s="394">
        <v>12167.36</v>
      </c>
      <c r="D133" s="395">
        <v>7.4116999999999997</v>
      </c>
      <c r="E133" s="395">
        <v>1.0919000000000001</v>
      </c>
      <c r="F133" s="392">
        <v>501.08</v>
      </c>
      <c r="G133" s="396">
        <f t="shared" si="2"/>
        <v>0.35869519093976887</v>
      </c>
      <c r="H133" s="396">
        <f t="shared" si="3"/>
        <v>8.5339344658239558E-3</v>
      </c>
      <c r="I133" s="390"/>
      <c r="J133" s="322"/>
      <c r="K133" s="325"/>
      <c r="L133" s="322"/>
      <c r="M133" s="322"/>
    </row>
    <row r="134" spans="2:13" ht="12" customHeight="1">
      <c r="B134" s="384">
        <v>41590</v>
      </c>
      <c r="C134" s="394">
        <v>12167.36</v>
      </c>
      <c r="D134" s="395">
        <v>7.4116999999999997</v>
      </c>
      <c r="E134" s="395">
        <v>1.0919000000000001</v>
      </c>
      <c r="F134" s="392">
        <v>497.65</v>
      </c>
      <c r="G134" s="396">
        <f t="shared" si="2"/>
        <v>0.35869519093976887</v>
      </c>
      <c r="H134" s="396">
        <f t="shared" si="3"/>
        <v>1.6303035182352321E-3</v>
      </c>
      <c r="I134" s="390"/>
      <c r="J134" s="322"/>
      <c r="K134" s="325"/>
      <c r="L134" s="322"/>
      <c r="M134" s="322"/>
    </row>
    <row r="135" spans="2:13" ht="12" customHeight="1">
      <c r="B135" s="384">
        <v>41591</v>
      </c>
      <c r="C135" s="394">
        <v>11778.01</v>
      </c>
      <c r="D135" s="395">
        <v>7.1745000000000001</v>
      </c>
      <c r="E135" s="395">
        <v>1.0569</v>
      </c>
      <c r="F135" s="392">
        <v>496.12</v>
      </c>
      <c r="G135" s="396">
        <f t="shared" si="2"/>
        <v>0.3152175612327166</v>
      </c>
      <c r="H135" s="396">
        <f t="shared" si="3"/>
        <v>-1.4491586828757619E-3</v>
      </c>
      <c r="I135" s="390"/>
      <c r="J135" s="322"/>
      <c r="K135" s="325"/>
      <c r="L135" s="322"/>
      <c r="M135" s="322"/>
    </row>
    <row r="136" spans="2:13" ht="12" customHeight="1">
      <c r="B136" s="384">
        <v>41592</v>
      </c>
      <c r="C136" s="394">
        <v>11972.68</v>
      </c>
      <c r="D136" s="395">
        <v>7.2930999999999999</v>
      </c>
      <c r="E136" s="395">
        <v>1.0744</v>
      </c>
      <c r="F136" s="392">
        <v>497.85</v>
      </c>
      <c r="G136" s="396">
        <f t="shared" si="2"/>
        <v>0.33695581775017369</v>
      </c>
      <c r="H136" s="396">
        <f t="shared" si="3"/>
        <v>2.032847596811882E-3</v>
      </c>
      <c r="I136" s="390"/>
      <c r="J136" s="322"/>
      <c r="K136" s="325"/>
      <c r="L136" s="322"/>
      <c r="M136" s="322"/>
    </row>
    <row r="137" spans="2:13" ht="12" customHeight="1">
      <c r="B137" s="384">
        <v>41593</v>
      </c>
      <c r="C137" s="394">
        <v>11972.68</v>
      </c>
      <c r="D137" s="395">
        <v>7.2930999999999999</v>
      </c>
      <c r="E137" s="395">
        <v>1.0744</v>
      </c>
      <c r="F137" s="392">
        <v>501.34</v>
      </c>
      <c r="G137" s="396">
        <f t="shared" si="2"/>
        <v>0.33695581775017369</v>
      </c>
      <c r="H137" s="396">
        <f t="shared" si="3"/>
        <v>9.0572417679735118E-3</v>
      </c>
      <c r="I137" s="390"/>
      <c r="J137" s="322"/>
      <c r="K137" s="325"/>
      <c r="L137" s="322"/>
      <c r="M137" s="322"/>
    </row>
    <row r="138" spans="2:13" ht="12" customHeight="1">
      <c r="B138" s="384">
        <v>41594</v>
      </c>
      <c r="C138" s="394">
        <v>11972.68</v>
      </c>
      <c r="D138" s="395">
        <v>7.2930999999999999</v>
      </c>
      <c r="E138" s="395">
        <v>1.0744</v>
      </c>
      <c r="F138" s="392">
        <v>501.34</v>
      </c>
      <c r="G138" s="396">
        <f t="shared" si="2"/>
        <v>0.33695581775017369</v>
      </c>
      <c r="H138" s="396">
        <f t="shared" si="3"/>
        <v>9.0572417679735118E-3</v>
      </c>
      <c r="I138" s="390"/>
      <c r="J138" s="322"/>
      <c r="K138" s="325"/>
      <c r="L138" s="322"/>
      <c r="M138" s="322"/>
    </row>
    <row r="139" spans="2:13" ht="12" customHeight="1">
      <c r="B139" s="384">
        <v>41595</v>
      </c>
      <c r="C139" s="394">
        <v>11972.68</v>
      </c>
      <c r="D139" s="395">
        <v>7.2930999999999999</v>
      </c>
      <c r="E139" s="395">
        <v>1.0744</v>
      </c>
      <c r="F139" s="392">
        <v>501.34</v>
      </c>
      <c r="G139" s="396">
        <f t="shared" si="2"/>
        <v>0.33695581775017369</v>
      </c>
      <c r="H139" s="396">
        <f t="shared" si="3"/>
        <v>9.0572417679735118E-3</v>
      </c>
      <c r="I139" s="390"/>
      <c r="J139" s="322"/>
      <c r="K139" s="325"/>
      <c r="L139" s="322"/>
      <c r="M139" s="322"/>
    </row>
    <row r="140" spans="2:13" ht="12" customHeight="1">
      <c r="B140" s="384">
        <v>41596</v>
      </c>
      <c r="C140" s="394">
        <v>11778.01</v>
      </c>
      <c r="D140" s="395">
        <v>7.1745000000000001</v>
      </c>
      <c r="E140" s="395">
        <v>1.0569</v>
      </c>
      <c r="F140" s="392">
        <v>506.48</v>
      </c>
      <c r="G140" s="396">
        <f t="shared" si="2"/>
        <v>0.3152175612327166</v>
      </c>
      <c r="H140" s="396">
        <f t="shared" si="3"/>
        <v>1.9402624587392392E-2</v>
      </c>
      <c r="I140" s="390"/>
      <c r="J140" s="322"/>
      <c r="K140" s="325"/>
      <c r="L140" s="322"/>
      <c r="M140" s="322"/>
    </row>
    <row r="141" spans="2:13" ht="12" customHeight="1">
      <c r="B141" s="384">
        <v>41597</v>
      </c>
      <c r="C141" s="394">
        <v>12070.02</v>
      </c>
      <c r="D141" s="395">
        <v>7.3524000000000003</v>
      </c>
      <c r="E141" s="395">
        <v>1.0831</v>
      </c>
      <c r="F141" s="392">
        <v>504.71</v>
      </c>
      <c r="G141" s="396">
        <f t="shared" si="2"/>
        <v>0.34782550434497139</v>
      </c>
      <c r="H141" s="396">
        <f t="shared" si="3"/>
        <v>1.5840109491989329E-2</v>
      </c>
      <c r="I141" s="390"/>
      <c r="J141" s="322"/>
      <c r="K141" s="325"/>
      <c r="L141" s="322"/>
      <c r="M141" s="322"/>
    </row>
    <row r="142" spans="2:13" ht="12" customHeight="1">
      <c r="B142" s="384">
        <v>41598</v>
      </c>
      <c r="C142" s="394">
        <v>12264.7</v>
      </c>
      <c r="D142" s="395">
        <v>7.4710000000000001</v>
      </c>
      <c r="E142" s="395">
        <v>1.1006</v>
      </c>
      <c r="F142" s="392">
        <v>505.52</v>
      </c>
      <c r="G142" s="396">
        <f t="shared" si="2"/>
        <v>0.36956487753456657</v>
      </c>
      <c r="H142" s="396">
        <f t="shared" si="3"/>
        <v>1.7470413010224561E-2</v>
      </c>
      <c r="I142" s="390"/>
      <c r="J142" s="322"/>
      <c r="K142" s="325"/>
      <c r="L142" s="322"/>
      <c r="M142" s="322"/>
    </row>
    <row r="143" spans="2:13" ht="12" customHeight="1">
      <c r="B143" s="384">
        <v>41599</v>
      </c>
      <c r="C143" s="394">
        <v>11680.67</v>
      </c>
      <c r="D143" s="395">
        <v>7.1151999999999997</v>
      </c>
      <c r="E143" s="395">
        <v>1.0482</v>
      </c>
      <c r="F143" s="392">
        <v>503.54</v>
      </c>
      <c r="G143" s="396">
        <f t="shared" si="2"/>
        <v>0.30434787463791912</v>
      </c>
      <c r="H143" s="396">
        <f t="shared" si="3"/>
        <v>1.3485226632316438E-2</v>
      </c>
      <c r="I143" s="390"/>
      <c r="J143" s="322"/>
      <c r="K143" s="325"/>
      <c r="L143" s="322"/>
      <c r="M143" s="322"/>
    </row>
    <row r="144" spans="2:13" ht="12" customHeight="1">
      <c r="B144" s="384">
        <v>41600</v>
      </c>
      <c r="C144" s="394">
        <v>11388.65</v>
      </c>
      <c r="D144" s="395">
        <v>6.9373000000000005</v>
      </c>
      <c r="E144" s="395">
        <v>1.022</v>
      </c>
      <c r="F144" s="392">
        <v>505.64</v>
      </c>
      <c r="G144" s="396">
        <f t="shared" si="2"/>
        <v>0.27173881485352602</v>
      </c>
      <c r="H144" s="396">
        <f t="shared" si="3"/>
        <v>1.7711939457370596E-2</v>
      </c>
      <c r="I144" s="390"/>
      <c r="J144" s="322"/>
      <c r="K144" s="325"/>
      <c r="L144" s="322"/>
      <c r="M144" s="322"/>
    </row>
    <row r="145" spans="2:13" ht="12" customHeight="1">
      <c r="B145" s="384">
        <v>41601</v>
      </c>
      <c r="C145" s="394">
        <v>11388.65</v>
      </c>
      <c r="D145" s="395">
        <v>6.9373000000000005</v>
      </c>
      <c r="E145" s="395">
        <v>1.022</v>
      </c>
      <c r="F145" s="392">
        <v>505.64</v>
      </c>
      <c r="G145" s="396">
        <f t="shared" si="2"/>
        <v>0.27173881485352602</v>
      </c>
      <c r="H145" s="396">
        <f t="shared" si="3"/>
        <v>1.7711939457370596E-2</v>
      </c>
      <c r="I145" s="390"/>
      <c r="J145" s="322"/>
      <c r="K145" s="325"/>
      <c r="L145" s="322"/>
      <c r="M145" s="322"/>
    </row>
    <row r="146" spans="2:13" ht="12" customHeight="1">
      <c r="B146" s="384">
        <v>41602</v>
      </c>
      <c r="C146" s="394">
        <v>11388.65</v>
      </c>
      <c r="D146" s="395">
        <v>6.9373000000000005</v>
      </c>
      <c r="E146" s="395">
        <v>1.022</v>
      </c>
      <c r="F146" s="392">
        <v>505.64</v>
      </c>
      <c r="G146" s="396">
        <f t="shared" ref="G146:G209" si="4">C146/C$17-1</f>
        <v>0.27173881485352602</v>
      </c>
      <c r="H146" s="396">
        <f t="shared" ref="H146:H209" si="5">F146/F$17-1</f>
        <v>1.7711939457370596E-2</v>
      </c>
      <c r="I146" s="390"/>
      <c r="J146" s="322"/>
      <c r="K146" s="325"/>
      <c r="L146" s="322"/>
      <c r="M146" s="322"/>
    </row>
    <row r="147" spans="2:13" ht="12" customHeight="1">
      <c r="B147" s="384">
        <v>41603</v>
      </c>
      <c r="C147" s="394">
        <v>11778.01</v>
      </c>
      <c r="D147" s="395">
        <v>7.1745000000000001</v>
      </c>
      <c r="E147" s="395">
        <v>1.0569</v>
      </c>
      <c r="F147" s="392">
        <v>506.46</v>
      </c>
      <c r="G147" s="396">
        <f t="shared" si="4"/>
        <v>0.3152175612327166</v>
      </c>
      <c r="H147" s="396">
        <f t="shared" si="5"/>
        <v>1.9362370179534683E-2</v>
      </c>
      <c r="I147" s="390"/>
      <c r="J147" s="322"/>
      <c r="K147" s="325"/>
      <c r="L147" s="322"/>
      <c r="M147" s="322"/>
    </row>
    <row r="148" spans="2:13" ht="12" customHeight="1">
      <c r="B148" s="384">
        <v>41604</v>
      </c>
      <c r="C148" s="394">
        <v>11778.01</v>
      </c>
      <c r="D148" s="395">
        <v>7.1745000000000001</v>
      </c>
      <c r="E148" s="395">
        <v>1.0569</v>
      </c>
      <c r="F148" s="392">
        <v>509.16</v>
      </c>
      <c r="G148" s="396">
        <f t="shared" si="4"/>
        <v>0.3152175612327166</v>
      </c>
      <c r="H148" s="396">
        <f t="shared" si="5"/>
        <v>2.4796715240319012E-2</v>
      </c>
      <c r="I148" s="390"/>
      <c r="J148" s="322"/>
      <c r="K148" s="325"/>
      <c r="L148" s="322"/>
      <c r="M148" s="322"/>
    </row>
    <row r="149" spans="2:13" ht="12" customHeight="1">
      <c r="B149" s="384">
        <v>41605</v>
      </c>
      <c r="C149" s="394">
        <v>11388.65</v>
      </c>
      <c r="D149" s="395">
        <v>6.9373000000000005</v>
      </c>
      <c r="E149" s="395">
        <v>1.022</v>
      </c>
      <c r="F149" s="392">
        <v>508.43</v>
      </c>
      <c r="G149" s="396">
        <f t="shared" si="4"/>
        <v>0.27173881485352602</v>
      </c>
      <c r="H149" s="396">
        <f t="shared" si="5"/>
        <v>2.3327429353514173E-2</v>
      </c>
      <c r="I149" s="390"/>
      <c r="J149" s="322"/>
      <c r="K149" s="325"/>
      <c r="L149" s="322"/>
      <c r="M149" s="322"/>
    </row>
    <row r="150" spans="2:13" ht="12" customHeight="1">
      <c r="B150" s="384">
        <v>41606</v>
      </c>
      <c r="C150" s="394">
        <v>11778.01</v>
      </c>
      <c r="D150" s="395">
        <v>7.1745000000000001</v>
      </c>
      <c r="E150" s="395">
        <v>1.0569</v>
      </c>
      <c r="F150" s="392">
        <v>507.71</v>
      </c>
      <c r="G150" s="396">
        <f t="shared" si="4"/>
        <v>0.3152175612327166</v>
      </c>
      <c r="H150" s="396">
        <f t="shared" si="5"/>
        <v>2.1878270670638411E-2</v>
      </c>
      <c r="I150" s="390"/>
      <c r="J150" s="322"/>
      <c r="K150" s="325"/>
      <c r="L150" s="322"/>
      <c r="M150" s="322"/>
    </row>
    <row r="151" spans="2:13" ht="12" customHeight="1">
      <c r="B151" s="384">
        <v>41607</v>
      </c>
      <c r="C151" s="394">
        <v>11583.33</v>
      </c>
      <c r="D151" s="395">
        <v>7.0559000000000003</v>
      </c>
      <c r="E151" s="395">
        <v>1.0395000000000001</v>
      </c>
      <c r="F151" s="392">
        <v>507.78</v>
      </c>
      <c r="G151" s="396">
        <f t="shared" si="4"/>
        <v>0.29347818804312142</v>
      </c>
      <c r="H151" s="396">
        <f t="shared" si="5"/>
        <v>2.2019161098140172E-2</v>
      </c>
      <c r="I151" s="390"/>
      <c r="J151" s="322"/>
      <c r="K151" s="325"/>
      <c r="L151" s="322"/>
      <c r="M151" s="322"/>
    </row>
    <row r="152" spans="2:13" ht="12" customHeight="1">
      <c r="B152" s="384">
        <v>41608</v>
      </c>
      <c r="C152" s="394">
        <v>11583.33</v>
      </c>
      <c r="D152" s="395">
        <v>7.0559000000000003</v>
      </c>
      <c r="E152" s="395">
        <v>1.0395000000000001</v>
      </c>
      <c r="F152" s="392">
        <v>507.78</v>
      </c>
      <c r="G152" s="396">
        <f t="shared" si="4"/>
        <v>0.29347818804312142</v>
      </c>
      <c r="H152" s="396">
        <f t="shared" si="5"/>
        <v>2.2019161098140172E-2</v>
      </c>
      <c r="I152" s="390"/>
      <c r="J152" s="322"/>
      <c r="K152" s="325"/>
      <c r="L152" s="322"/>
      <c r="M152" s="322"/>
    </row>
    <row r="153" spans="2:13" ht="12" customHeight="1">
      <c r="B153" s="384">
        <v>41609</v>
      </c>
      <c r="C153" s="394">
        <v>11583.33</v>
      </c>
      <c r="D153" s="395">
        <v>7.0559000000000003</v>
      </c>
      <c r="E153" s="395">
        <v>1.0395000000000001</v>
      </c>
      <c r="F153" s="392">
        <v>507.78</v>
      </c>
      <c r="G153" s="396">
        <f t="shared" si="4"/>
        <v>0.29347818804312142</v>
      </c>
      <c r="H153" s="396">
        <f t="shared" si="5"/>
        <v>2.2019161098140172E-2</v>
      </c>
      <c r="I153" s="390"/>
      <c r="J153" s="322"/>
      <c r="K153" s="325"/>
      <c r="L153" s="322"/>
      <c r="M153" s="322"/>
    </row>
    <row r="154" spans="2:13" ht="12" customHeight="1">
      <c r="B154" s="384">
        <v>41610</v>
      </c>
      <c r="C154" s="394">
        <v>11485.99</v>
      </c>
      <c r="D154" s="395">
        <v>6.9965999999999999</v>
      </c>
      <c r="E154" s="395">
        <v>1.0306999999999999</v>
      </c>
      <c r="F154" s="392">
        <v>508.53</v>
      </c>
      <c r="G154" s="396">
        <f t="shared" si="4"/>
        <v>0.28260850144832372</v>
      </c>
      <c r="H154" s="396">
        <f t="shared" si="5"/>
        <v>2.3528701392802498E-2</v>
      </c>
      <c r="I154" s="390"/>
      <c r="J154" s="322"/>
      <c r="K154" s="325"/>
      <c r="L154" s="322"/>
      <c r="M154" s="322"/>
    </row>
    <row r="155" spans="2:13" ht="12" customHeight="1">
      <c r="B155" s="384">
        <v>41611</v>
      </c>
      <c r="C155" s="394">
        <v>11778.01</v>
      </c>
      <c r="D155" s="395">
        <v>7.1745000000000001</v>
      </c>
      <c r="E155" s="395">
        <v>1.0569</v>
      </c>
      <c r="F155" s="392">
        <v>511.62</v>
      </c>
      <c r="G155" s="396">
        <f t="shared" si="4"/>
        <v>0.3152175612327166</v>
      </c>
      <c r="H155" s="396">
        <f t="shared" si="5"/>
        <v>2.974800740681105E-2</v>
      </c>
      <c r="I155" s="390"/>
      <c r="J155" s="322"/>
      <c r="K155" s="325"/>
      <c r="L155" s="322"/>
      <c r="M155" s="322"/>
    </row>
    <row r="156" spans="2:13" ht="12" customHeight="1">
      <c r="B156" s="384">
        <v>41612</v>
      </c>
      <c r="C156" s="394">
        <v>12556.72</v>
      </c>
      <c r="D156" s="395">
        <v>7.6489000000000003</v>
      </c>
      <c r="E156" s="395">
        <v>1.1268</v>
      </c>
      <c r="F156" s="392">
        <v>510.88</v>
      </c>
      <c r="G156" s="396">
        <f t="shared" si="4"/>
        <v>0.40217393731895945</v>
      </c>
      <c r="H156" s="396">
        <f t="shared" si="5"/>
        <v>2.8258594316077579E-2</v>
      </c>
      <c r="I156" s="390"/>
      <c r="J156" s="322"/>
      <c r="K156" s="325"/>
      <c r="L156" s="322"/>
      <c r="M156" s="322"/>
    </row>
    <row r="157" spans="2:13" ht="12" customHeight="1">
      <c r="B157" s="384">
        <v>41613</v>
      </c>
      <c r="C157" s="394">
        <v>12362.04</v>
      </c>
      <c r="D157" s="395">
        <v>7.5303000000000004</v>
      </c>
      <c r="E157" s="395">
        <v>1.1093</v>
      </c>
      <c r="F157" s="392">
        <v>510.03</v>
      </c>
      <c r="G157" s="396">
        <f t="shared" si="4"/>
        <v>0.38043456412936427</v>
      </c>
      <c r="H157" s="396">
        <f t="shared" si="5"/>
        <v>2.654778198212715E-2</v>
      </c>
      <c r="I157" s="390"/>
      <c r="J157" s="322"/>
      <c r="K157" s="325"/>
      <c r="L157" s="322"/>
      <c r="M157" s="322"/>
    </row>
    <row r="158" spans="2:13" ht="12" customHeight="1">
      <c r="B158" s="384">
        <v>41614</v>
      </c>
      <c r="C158" s="394">
        <v>12070.02</v>
      </c>
      <c r="D158" s="395">
        <v>7.3524000000000003</v>
      </c>
      <c r="E158" s="395">
        <v>1.0831</v>
      </c>
      <c r="F158" s="392">
        <v>510.12</v>
      </c>
      <c r="G158" s="396">
        <f t="shared" si="4"/>
        <v>0.34782550434497139</v>
      </c>
      <c r="H158" s="396">
        <f t="shared" si="5"/>
        <v>2.672892681748662E-2</v>
      </c>
      <c r="I158" s="390"/>
      <c r="J158" s="322"/>
      <c r="K158" s="325"/>
      <c r="L158" s="322"/>
      <c r="M158" s="322"/>
    </row>
    <row r="159" spans="2:13" ht="12" customHeight="1">
      <c r="B159" s="384">
        <v>41615</v>
      </c>
      <c r="C159" s="394">
        <v>12070.02</v>
      </c>
      <c r="D159" s="395">
        <v>7.3524000000000003</v>
      </c>
      <c r="E159" s="395">
        <v>1.0831</v>
      </c>
      <c r="F159" s="392">
        <v>510.12</v>
      </c>
      <c r="G159" s="396">
        <f t="shared" si="4"/>
        <v>0.34782550434497139</v>
      </c>
      <c r="H159" s="396">
        <f t="shared" si="5"/>
        <v>2.672892681748662E-2</v>
      </c>
      <c r="I159" s="390"/>
      <c r="J159" s="322"/>
      <c r="K159" s="325"/>
      <c r="L159" s="322"/>
      <c r="M159" s="322"/>
    </row>
    <row r="160" spans="2:13" ht="12" customHeight="1">
      <c r="B160" s="384">
        <v>41616</v>
      </c>
      <c r="C160" s="394">
        <v>12070.02</v>
      </c>
      <c r="D160" s="395">
        <v>7.3524000000000003</v>
      </c>
      <c r="E160" s="395">
        <v>1.0831</v>
      </c>
      <c r="F160" s="392">
        <v>510.12</v>
      </c>
      <c r="G160" s="396">
        <f t="shared" si="4"/>
        <v>0.34782550434497139</v>
      </c>
      <c r="H160" s="396">
        <f t="shared" si="5"/>
        <v>2.672892681748662E-2</v>
      </c>
      <c r="I160" s="390"/>
      <c r="J160" s="322"/>
      <c r="K160" s="325"/>
      <c r="L160" s="322"/>
      <c r="M160" s="322"/>
    </row>
    <row r="161" spans="2:13" ht="12" customHeight="1">
      <c r="B161" s="384">
        <v>41617</v>
      </c>
      <c r="C161" s="394">
        <v>11778.01</v>
      </c>
      <c r="D161" s="395">
        <v>7.1745000000000001</v>
      </c>
      <c r="E161" s="395">
        <v>1.0569</v>
      </c>
      <c r="F161" s="392">
        <v>511.23</v>
      </c>
      <c r="G161" s="396">
        <f t="shared" si="4"/>
        <v>0.3152175612327166</v>
      </c>
      <c r="H161" s="396">
        <f t="shared" si="5"/>
        <v>2.8963046453586827E-2</v>
      </c>
      <c r="I161" s="390"/>
      <c r="J161" s="322"/>
      <c r="K161" s="325"/>
      <c r="L161" s="322"/>
      <c r="M161" s="322"/>
    </row>
    <row r="162" spans="2:13" ht="12" customHeight="1">
      <c r="B162" s="384">
        <v>41618</v>
      </c>
      <c r="C162" s="394">
        <v>11583.33</v>
      </c>
      <c r="D162" s="395">
        <v>7.0559000000000003</v>
      </c>
      <c r="E162" s="395">
        <v>1.0395000000000001</v>
      </c>
      <c r="F162" s="392">
        <v>511.6</v>
      </c>
      <c r="G162" s="396">
        <f t="shared" si="4"/>
        <v>0.29347818804312142</v>
      </c>
      <c r="H162" s="396">
        <f t="shared" si="5"/>
        <v>2.9707752998953563E-2</v>
      </c>
      <c r="I162" s="390"/>
      <c r="J162" s="322"/>
      <c r="K162" s="325"/>
      <c r="L162" s="322"/>
      <c r="M162" s="322"/>
    </row>
    <row r="163" spans="2:13" ht="12" customHeight="1">
      <c r="B163" s="384">
        <v>41619</v>
      </c>
      <c r="C163" s="394">
        <v>11800</v>
      </c>
      <c r="D163" s="395">
        <v>7.1879</v>
      </c>
      <c r="E163" s="395">
        <v>1.0589</v>
      </c>
      <c r="F163" s="392">
        <v>505.31</v>
      </c>
      <c r="G163" s="396">
        <f t="shared" si="4"/>
        <v>0.31767312326497055</v>
      </c>
      <c r="H163" s="396">
        <f t="shared" si="5"/>
        <v>1.7047741727719279E-2</v>
      </c>
      <c r="I163" s="390"/>
      <c r="J163" s="322"/>
      <c r="K163" s="325"/>
      <c r="L163" s="322"/>
      <c r="M163" s="322"/>
    </row>
    <row r="164" spans="2:13" ht="12" customHeight="1">
      <c r="B164" s="384">
        <v>41620</v>
      </c>
      <c r="C164" s="394">
        <v>11800</v>
      </c>
      <c r="D164" s="395">
        <v>7.1879</v>
      </c>
      <c r="E164" s="395">
        <v>1.0589</v>
      </c>
      <c r="F164" s="392">
        <v>506.92</v>
      </c>
      <c r="G164" s="396">
        <f t="shared" si="4"/>
        <v>0.31767312326497055</v>
      </c>
      <c r="H164" s="396">
        <f t="shared" si="5"/>
        <v>2.0288221560260888E-2</v>
      </c>
      <c r="I164" s="390"/>
      <c r="J164" s="322"/>
      <c r="K164" s="325"/>
      <c r="L164" s="322"/>
      <c r="M164" s="322"/>
    </row>
    <row r="165" spans="2:13" ht="12" customHeight="1">
      <c r="B165" s="384">
        <v>41621</v>
      </c>
      <c r="C165" s="394">
        <v>11900</v>
      </c>
      <c r="D165" s="395">
        <v>7.2488000000000001</v>
      </c>
      <c r="E165" s="395">
        <v>1.0679000000000001</v>
      </c>
      <c r="F165" s="392">
        <v>506.06</v>
      </c>
      <c r="G165" s="396">
        <f t="shared" si="4"/>
        <v>0.32883984464857208</v>
      </c>
      <c r="H165" s="396">
        <f t="shared" si="5"/>
        <v>1.8557282022381605E-2</v>
      </c>
      <c r="I165" s="390"/>
      <c r="J165" s="322"/>
      <c r="K165" s="325"/>
      <c r="L165" s="322"/>
      <c r="M165" s="322"/>
    </row>
    <row r="166" spans="2:13" ht="12" customHeight="1">
      <c r="B166" s="384">
        <v>41622</v>
      </c>
      <c r="C166" s="394">
        <v>11900</v>
      </c>
      <c r="D166" s="395">
        <v>7.2488000000000001</v>
      </c>
      <c r="E166" s="395">
        <v>1.0679000000000001</v>
      </c>
      <c r="F166" s="392">
        <v>506.06</v>
      </c>
      <c r="G166" s="396">
        <f t="shared" si="4"/>
        <v>0.32883984464857208</v>
      </c>
      <c r="H166" s="396">
        <f t="shared" si="5"/>
        <v>1.8557282022381605E-2</v>
      </c>
      <c r="I166" s="390"/>
      <c r="J166" s="322"/>
      <c r="K166" s="325"/>
      <c r="L166" s="322"/>
      <c r="M166" s="322"/>
    </row>
    <row r="167" spans="2:13" ht="12" customHeight="1">
      <c r="B167" s="384">
        <v>41623</v>
      </c>
      <c r="C167" s="394">
        <v>11900</v>
      </c>
      <c r="D167" s="395">
        <v>7.2488000000000001</v>
      </c>
      <c r="E167" s="395">
        <v>1.0679000000000001</v>
      </c>
      <c r="F167" s="392">
        <v>506.06</v>
      </c>
      <c r="G167" s="396">
        <f t="shared" si="4"/>
        <v>0.32883984464857208</v>
      </c>
      <c r="H167" s="396">
        <f t="shared" si="5"/>
        <v>1.8557282022381605E-2</v>
      </c>
      <c r="I167" s="390"/>
      <c r="J167" s="322"/>
      <c r="K167" s="325"/>
      <c r="L167" s="322"/>
      <c r="M167" s="322"/>
    </row>
    <row r="168" spans="2:13" ht="12" customHeight="1">
      <c r="B168" s="384">
        <v>41624</v>
      </c>
      <c r="C168" s="394">
        <v>11800</v>
      </c>
      <c r="D168" s="395">
        <v>7.1879</v>
      </c>
      <c r="E168" s="395">
        <v>1.0589</v>
      </c>
      <c r="F168" s="392">
        <v>502.04</v>
      </c>
      <c r="G168" s="396">
        <f t="shared" si="4"/>
        <v>0.31767312326497055</v>
      </c>
      <c r="H168" s="396">
        <f t="shared" si="5"/>
        <v>1.0466146042991786E-2</v>
      </c>
      <c r="I168" s="390"/>
      <c r="J168" s="322"/>
      <c r="K168" s="325"/>
      <c r="L168" s="322"/>
      <c r="M168" s="322"/>
    </row>
    <row r="169" spans="2:13" ht="12" customHeight="1">
      <c r="B169" s="384">
        <v>41625</v>
      </c>
      <c r="C169" s="394">
        <v>12300</v>
      </c>
      <c r="D169" s="395">
        <v>7.4924999999999997</v>
      </c>
      <c r="E169" s="395">
        <v>1.1038000000000001</v>
      </c>
      <c r="F169" s="392">
        <v>505.67</v>
      </c>
      <c r="G169" s="396">
        <f t="shared" si="4"/>
        <v>0.37350673018297775</v>
      </c>
      <c r="H169" s="396">
        <f t="shared" si="5"/>
        <v>1.777232106915716E-2</v>
      </c>
      <c r="I169" s="390"/>
      <c r="J169" s="322"/>
      <c r="K169" s="325"/>
      <c r="L169" s="322"/>
      <c r="M169" s="322"/>
    </row>
    <row r="170" spans="2:13" ht="12" customHeight="1">
      <c r="B170" s="384">
        <v>41626</v>
      </c>
      <c r="C170" s="394">
        <v>12100</v>
      </c>
      <c r="D170" s="395">
        <v>7.3707000000000003</v>
      </c>
      <c r="E170" s="395">
        <v>1.0858000000000001</v>
      </c>
      <c r="F170" s="392">
        <v>505.25</v>
      </c>
      <c r="G170" s="396">
        <f t="shared" si="4"/>
        <v>0.35117328741577492</v>
      </c>
      <c r="H170" s="396">
        <f t="shared" si="5"/>
        <v>1.6926978504146151E-2</v>
      </c>
      <c r="I170" s="390"/>
      <c r="J170" s="322"/>
      <c r="K170" s="325"/>
      <c r="L170" s="322"/>
      <c r="M170" s="322"/>
    </row>
    <row r="171" spans="2:13" ht="12" customHeight="1">
      <c r="B171" s="384">
        <v>41627</v>
      </c>
      <c r="C171" s="394">
        <v>12900</v>
      </c>
      <c r="D171" s="395">
        <v>7.8579999999999997</v>
      </c>
      <c r="E171" s="395">
        <v>1.1576</v>
      </c>
      <c r="F171" s="392">
        <v>506.28</v>
      </c>
      <c r="G171" s="396">
        <f t="shared" si="4"/>
        <v>0.44050705848458649</v>
      </c>
      <c r="H171" s="396">
        <f t="shared" si="5"/>
        <v>1.9000080508815742E-2</v>
      </c>
      <c r="I171" s="390"/>
      <c r="J171" s="322"/>
      <c r="K171" s="325"/>
      <c r="L171" s="322"/>
      <c r="M171" s="322"/>
    </row>
    <row r="172" spans="2:13" ht="12" customHeight="1">
      <c r="B172" s="384">
        <v>41628</v>
      </c>
      <c r="C172" s="394">
        <v>13100</v>
      </c>
      <c r="D172" s="395">
        <v>7.9798</v>
      </c>
      <c r="E172" s="395">
        <v>1.1756</v>
      </c>
      <c r="F172" s="392">
        <v>504.45</v>
      </c>
      <c r="G172" s="396">
        <f t="shared" si="4"/>
        <v>0.46284050125178933</v>
      </c>
      <c r="H172" s="396">
        <f t="shared" si="5"/>
        <v>1.5316802189839773E-2</v>
      </c>
      <c r="I172" s="390"/>
      <c r="J172" s="322"/>
      <c r="K172" s="325"/>
      <c r="L172" s="322"/>
      <c r="M172" s="322"/>
    </row>
    <row r="173" spans="2:13" ht="12" customHeight="1">
      <c r="B173" s="384">
        <v>41629</v>
      </c>
      <c r="C173" s="394">
        <v>13100</v>
      </c>
      <c r="D173" s="395">
        <v>7.9798</v>
      </c>
      <c r="E173" s="395">
        <v>1.1756</v>
      </c>
      <c r="F173" s="392">
        <v>504.45</v>
      </c>
      <c r="G173" s="396">
        <f t="shared" si="4"/>
        <v>0.46284050125178933</v>
      </c>
      <c r="H173" s="396">
        <f t="shared" si="5"/>
        <v>1.5316802189839773E-2</v>
      </c>
      <c r="I173" s="390"/>
      <c r="J173" s="322"/>
      <c r="K173" s="325"/>
      <c r="L173" s="322"/>
      <c r="M173" s="322"/>
    </row>
    <row r="174" spans="2:13" ht="12" customHeight="1">
      <c r="B174" s="384">
        <v>41630</v>
      </c>
      <c r="C174" s="394">
        <v>13100</v>
      </c>
      <c r="D174" s="395">
        <v>7.9798</v>
      </c>
      <c r="E174" s="395">
        <v>1.1756</v>
      </c>
      <c r="F174" s="392">
        <v>504.45</v>
      </c>
      <c r="G174" s="396">
        <f t="shared" si="4"/>
        <v>0.46284050125178933</v>
      </c>
      <c r="H174" s="396">
        <f t="shared" si="5"/>
        <v>1.5316802189839773E-2</v>
      </c>
      <c r="I174" s="390"/>
      <c r="J174" s="322"/>
      <c r="K174" s="325"/>
      <c r="L174" s="322"/>
      <c r="M174" s="322"/>
    </row>
    <row r="175" spans="2:13" ht="12" customHeight="1">
      <c r="B175" s="384">
        <v>41631</v>
      </c>
      <c r="C175" s="394">
        <v>12900</v>
      </c>
      <c r="D175" s="395">
        <v>7.8579999999999997</v>
      </c>
      <c r="E175" s="395">
        <v>1.1576</v>
      </c>
      <c r="F175" s="392">
        <v>508.68</v>
      </c>
      <c r="G175" s="396">
        <f t="shared" si="4"/>
        <v>0.44050705848458649</v>
      </c>
      <c r="H175" s="396">
        <f t="shared" si="5"/>
        <v>2.3830609451735096E-2</v>
      </c>
      <c r="I175" s="390"/>
      <c r="J175" s="322"/>
      <c r="K175" s="325"/>
      <c r="L175" s="322"/>
      <c r="M175" s="322"/>
    </row>
    <row r="176" spans="2:13" ht="12" customHeight="1">
      <c r="B176" s="384">
        <v>41632</v>
      </c>
      <c r="C176" s="394">
        <v>12800</v>
      </c>
      <c r="D176" s="395">
        <v>7.7971000000000004</v>
      </c>
      <c r="E176" s="395">
        <v>1.1487000000000001</v>
      </c>
      <c r="F176" s="392">
        <v>505.62</v>
      </c>
      <c r="G176" s="396">
        <f t="shared" si="4"/>
        <v>0.42934033710098518</v>
      </c>
      <c r="H176" s="396">
        <f t="shared" si="5"/>
        <v>1.7671685049512886E-2</v>
      </c>
      <c r="I176" s="390"/>
      <c r="J176" s="322"/>
      <c r="K176" s="325"/>
      <c r="L176" s="322"/>
      <c r="M176" s="322"/>
    </row>
    <row r="177" spans="2:13" ht="12" customHeight="1">
      <c r="B177" s="384">
        <v>41633</v>
      </c>
      <c r="C177" s="394">
        <v>13000</v>
      </c>
      <c r="D177" s="395">
        <v>7.9188999999999998</v>
      </c>
      <c r="E177" s="395">
        <v>1.1666000000000001</v>
      </c>
      <c r="F177" s="392">
        <v>504.42</v>
      </c>
      <c r="G177" s="396">
        <f t="shared" si="4"/>
        <v>0.45167377986818802</v>
      </c>
      <c r="H177" s="396">
        <f t="shared" si="5"/>
        <v>1.5256420578053431E-2</v>
      </c>
      <c r="I177" s="390"/>
      <c r="J177" s="322"/>
      <c r="K177" s="325"/>
      <c r="L177" s="322"/>
      <c r="M177" s="322"/>
    </row>
    <row r="178" spans="2:13" ht="12" customHeight="1">
      <c r="B178" s="384">
        <v>41634</v>
      </c>
      <c r="C178" s="394">
        <v>13000</v>
      </c>
      <c r="D178" s="395">
        <v>7.9188999999999998</v>
      </c>
      <c r="E178" s="395">
        <v>1.1666000000000001</v>
      </c>
      <c r="F178" s="392">
        <v>506.55</v>
      </c>
      <c r="G178" s="396">
        <f t="shared" si="4"/>
        <v>0.45167377986818802</v>
      </c>
      <c r="H178" s="396">
        <f t="shared" si="5"/>
        <v>1.9543515014894153E-2</v>
      </c>
      <c r="I178" s="390"/>
      <c r="J178" s="322"/>
      <c r="K178" s="325"/>
      <c r="L178" s="322"/>
      <c r="M178" s="322"/>
    </row>
    <row r="179" spans="2:13" ht="12" customHeight="1">
      <c r="B179" s="384">
        <v>41635</v>
      </c>
      <c r="C179" s="394">
        <v>12700</v>
      </c>
      <c r="D179" s="395">
        <v>7.7361000000000004</v>
      </c>
      <c r="E179" s="395">
        <v>1.1396999999999999</v>
      </c>
      <c r="F179" s="392">
        <v>506.41</v>
      </c>
      <c r="G179" s="396">
        <f t="shared" si="4"/>
        <v>0.41817361571738365</v>
      </c>
      <c r="H179" s="396">
        <f t="shared" si="5"/>
        <v>1.9261734159890631E-2</v>
      </c>
      <c r="I179" s="390"/>
      <c r="J179" s="322"/>
      <c r="K179" s="325"/>
      <c r="L179" s="322"/>
      <c r="M179" s="322"/>
    </row>
    <row r="180" spans="2:13" ht="12" customHeight="1">
      <c r="B180" s="384">
        <v>41636</v>
      </c>
      <c r="C180" s="394">
        <v>12700</v>
      </c>
      <c r="D180" s="395">
        <v>7.7361000000000004</v>
      </c>
      <c r="E180" s="395">
        <v>1.1396999999999999</v>
      </c>
      <c r="F180" s="392">
        <v>506.41</v>
      </c>
      <c r="G180" s="396">
        <f t="shared" si="4"/>
        <v>0.41817361571738365</v>
      </c>
      <c r="H180" s="396">
        <f t="shared" si="5"/>
        <v>1.9261734159890631E-2</v>
      </c>
      <c r="I180" s="390"/>
      <c r="J180" s="322"/>
      <c r="K180" s="325"/>
      <c r="L180" s="322"/>
      <c r="M180" s="322"/>
    </row>
    <row r="181" spans="2:13" ht="12" customHeight="1">
      <c r="B181" s="384">
        <v>41637</v>
      </c>
      <c r="C181" s="394">
        <v>12700</v>
      </c>
      <c r="D181" s="395">
        <v>7.7361000000000004</v>
      </c>
      <c r="E181" s="395">
        <v>1.1396999999999999</v>
      </c>
      <c r="F181" s="392">
        <v>506.41</v>
      </c>
      <c r="G181" s="396">
        <f t="shared" si="4"/>
        <v>0.41817361571738365</v>
      </c>
      <c r="H181" s="396">
        <f t="shared" si="5"/>
        <v>1.9261734159890631E-2</v>
      </c>
      <c r="I181" s="390"/>
      <c r="J181" s="322"/>
      <c r="K181" s="325"/>
      <c r="L181" s="322"/>
      <c r="M181" s="322"/>
    </row>
    <row r="182" spans="2:13" ht="12" customHeight="1">
      <c r="B182" s="384">
        <v>41638</v>
      </c>
      <c r="C182" s="394">
        <v>11900</v>
      </c>
      <c r="D182" s="395">
        <v>7.2488000000000001</v>
      </c>
      <c r="E182" s="395">
        <v>1.0679000000000001</v>
      </c>
      <c r="F182" s="392">
        <v>500.35</v>
      </c>
      <c r="G182" s="396">
        <f t="shared" si="4"/>
        <v>0.32883984464857208</v>
      </c>
      <c r="H182" s="396">
        <f t="shared" si="5"/>
        <v>7.0646485790195612E-3</v>
      </c>
      <c r="I182" s="390"/>
      <c r="J182" s="322"/>
      <c r="K182" s="325"/>
      <c r="L182" s="322"/>
      <c r="M182" s="322"/>
    </row>
    <row r="183" spans="2:13" ht="12" customHeight="1">
      <c r="B183" s="384">
        <v>41639</v>
      </c>
      <c r="C183" s="394">
        <v>12500</v>
      </c>
      <c r="D183" s="395">
        <v>7.3867000000000003</v>
      </c>
      <c r="E183" s="395">
        <v>1.0424</v>
      </c>
      <c r="F183" s="392">
        <v>504.63</v>
      </c>
      <c r="G183" s="396">
        <f t="shared" si="4"/>
        <v>0.39584017295018081</v>
      </c>
      <c r="H183" s="396">
        <f t="shared" si="5"/>
        <v>1.5679091860558714E-2</v>
      </c>
      <c r="I183" s="390"/>
      <c r="J183" s="322"/>
      <c r="K183" s="325"/>
      <c r="L183" s="322"/>
      <c r="M183" s="322"/>
    </row>
    <row r="184" spans="2:13" ht="12" customHeight="1">
      <c r="B184" s="384">
        <v>41640</v>
      </c>
      <c r="C184" s="394">
        <v>12500</v>
      </c>
      <c r="D184" s="395">
        <v>7.3867000000000003</v>
      </c>
      <c r="E184" s="395">
        <v>1.0424</v>
      </c>
      <c r="F184" s="392">
        <v>504.63</v>
      </c>
      <c r="G184" s="396">
        <f t="shared" si="4"/>
        <v>0.39584017295018081</v>
      </c>
      <c r="H184" s="396">
        <f t="shared" si="5"/>
        <v>1.5679091860558714E-2</v>
      </c>
      <c r="I184" s="390"/>
      <c r="J184" s="322"/>
      <c r="K184" s="325"/>
      <c r="L184" s="322"/>
      <c r="M184" s="322"/>
    </row>
    <row r="185" spans="2:13" ht="12" customHeight="1">
      <c r="B185" s="384">
        <v>41641</v>
      </c>
      <c r="C185" s="394">
        <v>12200</v>
      </c>
      <c r="D185" s="395">
        <v>7.2093999999999996</v>
      </c>
      <c r="E185" s="395">
        <v>1.0174000000000001</v>
      </c>
      <c r="F185" s="392">
        <v>504.51</v>
      </c>
      <c r="G185" s="396">
        <f t="shared" si="4"/>
        <v>0.36234000879937645</v>
      </c>
      <c r="H185" s="396">
        <f t="shared" si="5"/>
        <v>1.5437565413412901E-2</v>
      </c>
      <c r="I185" s="390"/>
      <c r="J185" s="322"/>
      <c r="K185" s="325"/>
      <c r="L185" s="322"/>
      <c r="M185" s="322"/>
    </row>
    <row r="186" spans="2:13" ht="12" customHeight="1">
      <c r="B186" s="384">
        <v>41642</v>
      </c>
      <c r="C186" s="394">
        <v>12300</v>
      </c>
      <c r="D186" s="395">
        <v>7.2685000000000004</v>
      </c>
      <c r="E186" s="395">
        <v>1.0257000000000001</v>
      </c>
      <c r="F186" s="392">
        <v>505.37</v>
      </c>
      <c r="G186" s="396">
        <f t="shared" si="4"/>
        <v>0.37350673018297775</v>
      </c>
      <c r="H186" s="396">
        <f t="shared" si="5"/>
        <v>1.7168504951292185E-2</v>
      </c>
      <c r="I186" s="390"/>
      <c r="J186" s="322"/>
      <c r="K186" s="325"/>
      <c r="L186" s="322"/>
      <c r="M186" s="322"/>
    </row>
    <row r="187" spans="2:13" ht="12" customHeight="1">
      <c r="B187" s="384">
        <v>41643</v>
      </c>
      <c r="C187" s="394">
        <v>12300</v>
      </c>
      <c r="D187" s="395">
        <v>7.2685000000000004</v>
      </c>
      <c r="E187" s="395">
        <v>1.0257000000000001</v>
      </c>
      <c r="F187" s="392">
        <v>505.37</v>
      </c>
      <c r="G187" s="396">
        <f t="shared" si="4"/>
        <v>0.37350673018297775</v>
      </c>
      <c r="H187" s="396">
        <f t="shared" si="5"/>
        <v>1.7168504951292185E-2</v>
      </c>
      <c r="I187" s="390"/>
      <c r="J187" s="322"/>
      <c r="K187" s="325"/>
      <c r="L187" s="322"/>
      <c r="M187" s="322"/>
    </row>
    <row r="188" spans="2:13" ht="12" customHeight="1">
      <c r="B188" s="384">
        <v>41644</v>
      </c>
      <c r="C188" s="394">
        <v>12300</v>
      </c>
      <c r="D188" s="395">
        <v>7.2685000000000004</v>
      </c>
      <c r="E188" s="395">
        <v>1.0257000000000001</v>
      </c>
      <c r="F188" s="392">
        <v>505.37</v>
      </c>
      <c r="G188" s="396">
        <f t="shared" si="4"/>
        <v>0.37350673018297775</v>
      </c>
      <c r="H188" s="396">
        <f t="shared" si="5"/>
        <v>1.7168504951292185E-2</v>
      </c>
      <c r="I188" s="390"/>
      <c r="J188" s="322"/>
      <c r="K188" s="325"/>
      <c r="L188" s="322"/>
      <c r="M188" s="322"/>
    </row>
    <row r="189" spans="2:13" ht="12" customHeight="1">
      <c r="B189" s="384">
        <v>41645</v>
      </c>
      <c r="C189" s="394">
        <v>12700</v>
      </c>
      <c r="D189" s="395">
        <v>7.5049000000000001</v>
      </c>
      <c r="E189" s="395">
        <v>1.0590999999999999</v>
      </c>
      <c r="F189" s="392">
        <v>509.1</v>
      </c>
      <c r="G189" s="396">
        <f t="shared" si="4"/>
        <v>0.41817361571738365</v>
      </c>
      <c r="H189" s="396">
        <f t="shared" si="5"/>
        <v>2.4675952016745883E-2</v>
      </c>
      <c r="I189" s="390"/>
      <c r="J189" s="322"/>
      <c r="K189" s="325"/>
      <c r="L189" s="322"/>
      <c r="M189" s="322"/>
    </row>
    <row r="190" spans="2:13" ht="12" customHeight="1">
      <c r="B190" s="384">
        <v>41646</v>
      </c>
      <c r="C190" s="394">
        <v>12700</v>
      </c>
      <c r="D190" s="395">
        <v>7.5049000000000001</v>
      </c>
      <c r="E190" s="395">
        <v>1.0590999999999999</v>
      </c>
      <c r="F190" s="392">
        <v>510.12</v>
      </c>
      <c r="G190" s="396">
        <f t="shared" si="4"/>
        <v>0.41817361571738365</v>
      </c>
      <c r="H190" s="396">
        <f t="shared" si="5"/>
        <v>2.672892681748662E-2</v>
      </c>
      <c r="I190" s="390"/>
      <c r="J190" s="322"/>
      <c r="K190" s="325"/>
      <c r="L190" s="322"/>
      <c r="M190" s="322"/>
    </row>
    <row r="191" spans="2:13" ht="12" customHeight="1">
      <c r="B191" s="384">
        <v>41647</v>
      </c>
      <c r="C191" s="394">
        <v>12700</v>
      </c>
      <c r="D191" s="395">
        <v>7.5049000000000001</v>
      </c>
      <c r="E191" s="395">
        <v>1.0590999999999999</v>
      </c>
      <c r="F191" s="392">
        <v>513.9</v>
      </c>
      <c r="G191" s="396">
        <f t="shared" si="4"/>
        <v>0.41817361571738365</v>
      </c>
      <c r="H191" s="396">
        <f t="shared" si="5"/>
        <v>3.433700990258437E-2</v>
      </c>
      <c r="I191" s="390"/>
      <c r="J191" s="322"/>
      <c r="K191" s="325"/>
      <c r="L191" s="322"/>
      <c r="M191" s="322"/>
    </row>
    <row r="192" spans="2:13" ht="12" customHeight="1">
      <c r="B192" s="384">
        <v>41648</v>
      </c>
      <c r="C192" s="394">
        <v>13000</v>
      </c>
      <c r="D192" s="395">
        <v>7.6821999999999999</v>
      </c>
      <c r="E192" s="395">
        <v>1.0841000000000001</v>
      </c>
      <c r="F192" s="392">
        <v>516.98</v>
      </c>
      <c r="G192" s="396">
        <f t="shared" si="4"/>
        <v>0.45167377986818802</v>
      </c>
      <c r="H192" s="396">
        <f t="shared" si="5"/>
        <v>4.0536188712664067E-2</v>
      </c>
      <c r="I192" s="390"/>
      <c r="J192" s="322"/>
      <c r="K192" s="325"/>
      <c r="L192" s="322"/>
      <c r="M192" s="322"/>
    </row>
    <row r="193" spans="2:13" ht="12" customHeight="1">
      <c r="B193" s="384">
        <v>41649</v>
      </c>
      <c r="C193" s="394">
        <v>12700</v>
      </c>
      <c r="D193" s="395">
        <v>7.5049000000000001</v>
      </c>
      <c r="E193" s="395">
        <v>1.0590999999999999</v>
      </c>
      <c r="F193" s="392">
        <v>518.94000000000005</v>
      </c>
      <c r="G193" s="396">
        <f t="shared" si="4"/>
        <v>0.41817361571738365</v>
      </c>
      <c r="H193" s="396">
        <f t="shared" si="5"/>
        <v>4.4481120682714925E-2</v>
      </c>
      <c r="I193" s="390"/>
      <c r="J193" s="322"/>
      <c r="K193" s="325"/>
      <c r="L193" s="322"/>
      <c r="M193" s="322"/>
    </row>
    <row r="194" spans="2:13" ht="12" customHeight="1">
      <c r="B194" s="384">
        <v>41650</v>
      </c>
      <c r="C194" s="394">
        <v>12700</v>
      </c>
      <c r="D194" s="395">
        <v>7.5049000000000001</v>
      </c>
      <c r="E194" s="395">
        <v>1.0590999999999999</v>
      </c>
      <c r="F194" s="392">
        <v>518.94000000000005</v>
      </c>
      <c r="G194" s="396">
        <f t="shared" si="4"/>
        <v>0.41817361571738365</v>
      </c>
      <c r="H194" s="396">
        <f t="shared" si="5"/>
        <v>4.4481120682714925E-2</v>
      </c>
      <c r="I194" s="390"/>
      <c r="J194" s="322"/>
      <c r="K194" s="325"/>
      <c r="L194" s="322"/>
      <c r="M194" s="322"/>
    </row>
    <row r="195" spans="2:13" ht="12" customHeight="1">
      <c r="B195" s="384">
        <v>41651</v>
      </c>
      <c r="C195" s="394">
        <v>12700</v>
      </c>
      <c r="D195" s="395">
        <v>7.5049000000000001</v>
      </c>
      <c r="E195" s="395">
        <v>1.0590999999999999</v>
      </c>
      <c r="F195" s="392">
        <v>518.94000000000005</v>
      </c>
      <c r="G195" s="396">
        <f t="shared" si="4"/>
        <v>0.41817361571738365</v>
      </c>
      <c r="H195" s="396">
        <f t="shared" si="5"/>
        <v>4.4481120682714925E-2</v>
      </c>
      <c r="I195" s="390"/>
      <c r="J195" s="322"/>
      <c r="K195" s="325"/>
      <c r="L195" s="322"/>
      <c r="M195" s="322"/>
    </row>
    <row r="196" spans="2:13" ht="12" customHeight="1">
      <c r="B196" s="384">
        <v>41652</v>
      </c>
      <c r="C196" s="394">
        <v>12600</v>
      </c>
      <c r="D196" s="395">
        <v>7.4458000000000002</v>
      </c>
      <c r="E196" s="395">
        <v>1.0508</v>
      </c>
      <c r="F196" s="392">
        <v>521.11</v>
      </c>
      <c r="G196" s="396">
        <f t="shared" si="4"/>
        <v>0.40700689433378212</v>
      </c>
      <c r="H196" s="396">
        <f t="shared" si="5"/>
        <v>4.8848723935271066E-2</v>
      </c>
      <c r="I196" s="390"/>
      <c r="J196" s="322"/>
      <c r="K196" s="325"/>
      <c r="L196" s="322"/>
      <c r="M196" s="322"/>
    </row>
    <row r="197" spans="2:13" ht="12" customHeight="1">
      <c r="B197" s="384">
        <v>41653</v>
      </c>
      <c r="C197" s="394">
        <v>12600</v>
      </c>
      <c r="D197" s="395">
        <v>7.4458000000000002</v>
      </c>
      <c r="E197" s="395">
        <v>1.0508</v>
      </c>
      <c r="F197" s="392">
        <v>522.30999999999995</v>
      </c>
      <c r="G197" s="396">
        <f t="shared" si="4"/>
        <v>0.40700689433378212</v>
      </c>
      <c r="H197" s="396">
        <f t="shared" si="5"/>
        <v>5.1263988406730521E-2</v>
      </c>
      <c r="I197" s="390"/>
      <c r="J197" s="322"/>
      <c r="K197" s="325"/>
      <c r="L197" s="322"/>
      <c r="M197" s="322"/>
    </row>
    <row r="198" spans="2:13" ht="12" customHeight="1">
      <c r="B198" s="384">
        <v>41654</v>
      </c>
      <c r="C198" s="394">
        <v>12900</v>
      </c>
      <c r="D198" s="395">
        <v>7.6231</v>
      </c>
      <c r="E198" s="395">
        <v>1.0758000000000001</v>
      </c>
      <c r="F198" s="392">
        <v>526.67999999999995</v>
      </c>
      <c r="G198" s="396">
        <f t="shared" si="4"/>
        <v>0.44050705848458649</v>
      </c>
      <c r="H198" s="396">
        <f t="shared" si="5"/>
        <v>6.0059576523629365E-2</v>
      </c>
      <c r="I198" s="390"/>
      <c r="J198" s="322"/>
      <c r="K198" s="325"/>
      <c r="L198" s="322"/>
      <c r="M198" s="322"/>
    </row>
    <row r="199" spans="2:13" ht="12" customHeight="1">
      <c r="B199" s="384">
        <v>41655</v>
      </c>
      <c r="C199" s="394">
        <v>12800</v>
      </c>
      <c r="D199" s="395">
        <v>7.5640000000000001</v>
      </c>
      <c r="E199" s="395">
        <v>1.0673999999999999</v>
      </c>
      <c r="F199" s="392">
        <v>533.54</v>
      </c>
      <c r="G199" s="396">
        <f t="shared" si="4"/>
        <v>0.42934033710098518</v>
      </c>
      <c r="H199" s="396">
        <f t="shared" si="5"/>
        <v>7.3866838418806813E-2</v>
      </c>
      <c r="I199" s="390"/>
      <c r="J199" s="322"/>
      <c r="K199" s="325"/>
      <c r="L199" s="322"/>
      <c r="M199" s="322"/>
    </row>
    <row r="200" spans="2:13" ht="12" customHeight="1">
      <c r="B200" s="384">
        <v>41656</v>
      </c>
      <c r="C200" s="394">
        <v>12500</v>
      </c>
      <c r="D200" s="395">
        <v>7.3867000000000003</v>
      </c>
      <c r="E200" s="395">
        <v>1.0424</v>
      </c>
      <c r="F200" s="392">
        <v>543.59</v>
      </c>
      <c r="G200" s="396">
        <f t="shared" si="4"/>
        <v>0.39584017295018081</v>
      </c>
      <c r="H200" s="396">
        <f t="shared" si="5"/>
        <v>9.4094678367281359E-2</v>
      </c>
      <c r="I200" s="390"/>
      <c r="J200" s="322"/>
      <c r="K200" s="325"/>
      <c r="L200" s="322"/>
      <c r="M200" s="322"/>
    </row>
    <row r="201" spans="2:13" ht="12" customHeight="1">
      <c r="B201" s="384">
        <v>41657</v>
      </c>
      <c r="C201" s="394">
        <v>12500</v>
      </c>
      <c r="D201" s="395">
        <v>7.3867000000000003</v>
      </c>
      <c r="E201" s="395">
        <v>1.0424</v>
      </c>
      <c r="F201" s="392">
        <v>543.59</v>
      </c>
      <c r="G201" s="396">
        <f t="shared" si="4"/>
        <v>0.39584017295018081</v>
      </c>
      <c r="H201" s="396">
        <f t="shared" si="5"/>
        <v>9.4094678367281359E-2</v>
      </c>
      <c r="I201" s="390"/>
      <c r="J201" s="322"/>
      <c r="K201" s="325"/>
      <c r="L201" s="322"/>
      <c r="M201" s="322"/>
    </row>
    <row r="202" spans="2:13" ht="12" customHeight="1">
      <c r="B202" s="384">
        <v>41658</v>
      </c>
      <c r="C202" s="394">
        <v>12500</v>
      </c>
      <c r="D202" s="395">
        <v>7.3867000000000003</v>
      </c>
      <c r="E202" s="395">
        <v>1.0424</v>
      </c>
      <c r="F202" s="392">
        <v>543.59</v>
      </c>
      <c r="G202" s="396">
        <f t="shared" si="4"/>
        <v>0.39584017295018081</v>
      </c>
      <c r="H202" s="396">
        <f t="shared" si="5"/>
        <v>9.4094678367281359E-2</v>
      </c>
      <c r="I202" s="390"/>
      <c r="J202" s="322"/>
      <c r="K202" s="325"/>
      <c r="L202" s="322"/>
      <c r="M202" s="322"/>
    </row>
    <row r="203" spans="2:13" ht="12" customHeight="1">
      <c r="B203" s="384">
        <v>41659</v>
      </c>
      <c r="C203" s="394">
        <v>12100</v>
      </c>
      <c r="D203" s="395">
        <v>7.1502999999999997</v>
      </c>
      <c r="E203" s="395">
        <v>1.0091000000000001</v>
      </c>
      <c r="F203" s="392">
        <v>553.66999999999996</v>
      </c>
      <c r="G203" s="396">
        <f t="shared" si="4"/>
        <v>0.35117328741577492</v>
      </c>
      <c r="H203" s="396">
        <f t="shared" si="5"/>
        <v>0.11438289992754203</v>
      </c>
      <c r="I203" s="390"/>
      <c r="J203" s="322"/>
      <c r="K203" s="325"/>
      <c r="L203" s="322"/>
      <c r="M203" s="322"/>
    </row>
    <row r="204" spans="2:13" ht="12" customHeight="1">
      <c r="B204" s="384">
        <v>41660</v>
      </c>
      <c r="C204" s="394">
        <v>12500</v>
      </c>
      <c r="D204" s="395">
        <v>7.3867000000000003</v>
      </c>
      <c r="E204" s="395">
        <v>1.0424</v>
      </c>
      <c r="F204" s="392">
        <v>559.91</v>
      </c>
      <c r="G204" s="396">
        <f t="shared" si="4"/>
        <v>0.39584017295018081</v>
      </c>
      <c r="H204" s="396">
        <f t="shared" si="5"/>
        <v>0.12694227517913204</v>
      </c>
      <c r="I204" s="390"/>
      <c r="J204" s="322"/>
      <c r="K204" s="325"/>
      <c r="L204" s="322"/>
      <c r="M204" s="322"/>
    </row>
    <row r="205" spans="2:13" ht="12" customHeight="1">
      <c r="B205" s="384">
        <v>41661</v>
      </c>
      <c r="C205" s="394">
        <v>12200</v>
      </c>
      <c r="D205" s="395">
        <v>7.2093999999999996</v>
      </c>
      <c r="E205" s="395">
        <v>1.0174000000000001</v>
      </c>
      <c r="F205" s="392">
        <v>551.91999999999996</v>
      </c>
      <c r="G205" s="396">
        <f t="shared" si="4"/>
        <v>0.36234000879937645</v>
      </c>
      <c r="H205" s="396">
        <f t="shared" si="5"/>
        <v>0.11086063923999667</v>
      </c>
      <c r="I205" s="390"/>
      <c r="J205" s="322"/>
      <c r="K205" s="325"/>
      <c r="L205" s="322"/>
      <c r="M205" s="322"/>
    </row>
    <row r="206" spans="2:13" ht="12" customHeight="1">
      <c r="B206" s="384">
        <v>41662</v>
      </c>
      <c r="C206" s="394">
        <v>12400</v>
      </c>
      <c r="D206" s="395">
        <v>7.3276000000000003</v>
      </c>
      <c r="E206" s="395">
        <v>1.0341</v>
      </c>
      <c r="F206" s="392">
        <v>553.54999999999995</v>
      </c>
      <c r="G206" s="396">
        <f t="shared" si="4"/>
        <v>0.38467345156657928</v>
      </c>
      <c r="H206" s="396">
        <f t="shared" si="5"/>
        <v>0.11414137348039599</v>
      </c>
      <c r="I206" s="390"/>
      <c r="J206" s="322"/>
      <c r="K206" s="325"/>
      <c r="L206" s="322"/>
      <c r="M206" s="322"/>
    </row>
    <row r="207" spans="2:13" ht="12" customHeight="1">
      <c r="B207" s="384">
        <v>41663</v>
      </c>
      <c r="C207" s="394">
        <v>12500</v>
      </c>
      <c r="D207" s="395">
        <v>7.3867000000000003</v>
      </c>
      <c r="E207" s="395">
        <v>1.0424</v>
      </c>
      <c r="F207" s="392">
        <v>560.19000000000005</v>
      </c>
      <c r="G207" s="396">
        <f t="shared" si="4"/>
        <v>0.39584017295018081</v>
      </c>
      <c r="H207" s="396">
        <f t="shared" si="5"/>
        <v>0.12750583688913952</v>
      </c>
      <c r="I207" s="390"/>
      <c r="J207" s="322"/>
      <c r="K207" s="325"/>
      <c r="L207" s="322"/>
      <c r="M207" s="322"/>
    </row>
    <row r="208" spans="2:13" ht="12" customHeight="1">
      <c r="B208" s="384">
        <v>41664</v>
      </c>
      <c r="C208" s="394">
        <v>12500</v>
      </c>
      <c r="D208" s="395">
        <v>7.3867000000000003</v>
      </c>
      <c r="E208" s="395">
        <v>1.0424</v>
      </c>
      <c r="F208" s="392">
        <v>560.19000000000005</v>
      </c>
      <c r="G208" s="396">
        <f t="shared" si="4"/>
        <v>0.39584017295018081</v>
      </c>
      <c r="H208" s="396">
        <f t="shared" si="5"/>
        <v>0.12750583688913952</v>
      </c>
      <c r="I208" s="390"/>
      <c r="J208" s="322"/>
      <c r="K208" s="325"/>
      <c r="L208" s="322"/>
      <c r="M208" s="322"/>
    </row>
    <row r="209" spans="2:13" ht="12" customHeight="1">
      <c r="B209" s="384">
        <v>41665</v>
      </c>
      <c r="C209" s="394">
        <v>12500</v>
      </c>
      <c r="D209" s="395">
        <v>7.3867000000000003</v>
      </c>
      <c r="E209" s="395">
        <v>1.0424</v>
      </c>
      <c r="F209" s="392">
        <v>560.19000000000005</v>
      </c>
      <c r="G209" s="396">
        <f t="shared" si="4"/>
        <v>0.39584017295018081</v>
      </c>
      <c r="H209" s="396">
        <f t="shared" si="5"/>
        <v>0.12750583688913952</v>
      </c>
      <c r="I209" s="390"/>
      <c r="J209" s="322"/>
      <c r="K209" s="325"/>
      <c r="L209" s="322"/>
      <c r="M209" s="322"/>
    </row>
    <row r="210" spans="2:13" ht="12" customHeight="1">
      <c r="B210" s="384">
        <v>41666</v>
      </c>
      <c r="C210" s="394">
        <v>12700</v>
      </c>
      <c r="D210" s="395">
        <v>7.5049000000000001</v>
      </c>
      <c r="E210" s="395">
        <v>1.0590999999999999</v>
      </c>
      <c r="F210" s="392">
        <v>556.52</v>
      </c>
      <c r="G210" s="396">
        <f t="shared" ref="G210:G273" si="6">C210/C$17-1</f>
        <v>0.41817361571738365</v>
      </c>
      <c r="H210" s="396">
        <f t="shared" ref="H210:H273" si="7">F210/F$17-1</f>
        <v>0.12011915304725873</v>
      </c>
      <c r="I210" s="390"/>
      <c r="J210" s="322"/>
      <c r="K210" s="325"/>
      <c r="L210" s="322"/>
      <c r="M210" s="322"/>
    </row>
    <row r="211" spans="2:13" ht="12" customHeight="1">
      <c r="B211" s="384">
        <v>41667</v>
      </c>
      <c r="C211" s="394">
        <v>12700</v>
      </c>
      <c r="D211" s="395">
        <v>7.5049000000000001</v>
      </c>
      <c r="E211" s="395">
        <v>1.0590999999999999</v>
      </c>
      <c r="F211" s="392">
        <v>556.52</v>
      </c>
      <c r="G211" s="396">
        <f t="shared" si="6"/>
        <v>0.41817361571738365</v>
      </c>
      <c r="H211" s="396">
        <f t="shared" si="7"/>
        <v>0.12011915304725873</v>
      </c>
      <c r="I211" s="390"/>
      <c r="J211" s="322"/>
      <c r="K211" s="325"/>
      <c r="L211" s="322"/>
      <c r="M211" s="322"/>
    </row>
    <row r="212" spans="2:13" ht="12" customHeight="1">
      <c r="B212" s="384">
        <v>41668</v>
      </c>
      <c r="C212" s="394">
        <v>12700</v>
      </c>
      <c r="D212" s="395">
        <v>7.5049000000000001</v>
      </c>
      <c r="E212" s="395">
        <v>1.0590999999999999</v>
      </c>
      <c r="F212" s="392">
        <v>556.52</v>
      </c>
      <c r="G212" s="396">
        <f t="shared" si="6"/>
        <v>0.41817361571738365</v>
      </c>
      <c r="H212" s="396">
        <f t="shared" si="7"/>
        <v>0.12011915304725873</v>
      </c>
      <c r="I212" s="390"/>
      <c r="J212" s="322"/>
      <c r="K212" s="325"/>
      <c r="L212" s="322"/>
      <c r="M212" s="322"/>
    </row>
    <row r="213" spans="2:13" ht="12" customHeight="1">
      <c r="B213" s="384">
        <v>41669</v>
      </c>
      <c r="C213" s="394">
        <v>12700</v>
      </c>
      <c r="D213" s="395">
        <v>7.5049000000000001</v>
      </c>
      <c r="E213" s="395">
        <v>1.0590999999999999</v>
      </c>
      <c r="F213" s="392">
        <v>556.52</v>
      </c>
      <c r="G213" s="396">
        <f t="shared" si="6"/>
        <v>0.41817361571738365</v>
      </c>
      <c r="H213" s="396">
        <f t="shared" si="7"/>
        <v>0.12011915304725873</v>
      </c>
      <c r="I213" s="390"/>
      <c r="J213" s="322"/>
      <c r="K213" s="325"/>
      <c r="L213" s="322"/>
      <c r="M213" s="322"/>
    </row>
    <row r="214" spans="2:13" ht="12" customHeight="1">
      <c r="B214" s="384">
        <v>41670</v>
      </c>
      <c r="C214" s="394">
        <v>12700</v>
      </c>
      <c r="D214" s="395">
        <v>7.5049000000000001</v>
      </c>
      <c r="E214" s="395">
        <v>1.0590999999999999</v>
      </c>
      <c r="F214" s="392">
        <v>556.52</v>
      </c>
      <c r="G214" s="396">
        <f t="shared" si="6"/>
        <v>0.41817361571738365</v>
      </c>
      <c r="H214" s="396">
        <f t="shared" si="7"/>
        <v>0.12011915304725873</v>
      </c>
      <c r="I214" s="390"/>
      <c r="J214" s="322"/>
      <c r="K214" s="325"/>
      <c r="L214" s="322"/>
      <c r="M214" s="322"/>
    </row>
    <row r="215" spans="2:13" ht="12" customHeight="1">
      <c r="B215" s="384">
        <v>41671</v>
      </c>
      <c r="C215" s="394">
        <v>12700</v>
      </c>
      <c r="D215" s="395">
        <v>7.5049000000000001</v>
      </c>
      <c r="E215" s="395">
        <v>1.0590999999999999</v>
      </c>
      <c r="F215" s="392">
        <v>556.52</v>
      </c>
      <c r="G215" s="396">
        <f t="shared" si="6"/>
        <v>0.41817361571738365</v>
      </c>
      <c r="H215" s="396">
        <f t="shared" si="7"/>
        <v>0.12011915304725873</v>
      </c>
      <c r="I215" s="390"/>
      <c r="J215" s="322"/>
      <c r="K215" s="325"/>
      <c r="L215" s="322"/>
      <c r="M215" s="322"/>
    </row>
    <row r="216" spans="2:13" ht="12" customHeight="1">
      <c r="B216" s="384">
        <v>41672</v>
      </c>
      <c r="C216" s="394">
        <v>12700</v>
      </c>
      <c r="D216" s="395">
        <v>7.5049000000000001</v>
      </c>
      <c r="E216" s="395">
        <v>1.0590999999999999</v>
      </c>
      <c r="F216" s="392">
        <v>556.52</v>
      </c>
      <c r="G216" s="396">
        <f t="shared" si="6"/>
        <v>0.41817361571738365</v>
      </c>
      <c r="H216" s="396">
        <f t="shared" si="7"/>
        <v>0.12011915304725873</v>
      </c>
      <c r="I216" s="390"/>
      <c r="J216" s="322"/>
      <c r="K216" s="325"/>
      <c r="L216" s="322"/>
      <c r="M216" s="322"/>
    </row>
    <row r="217" spans="2:13" ht="12" customHeight="1">
      <c r="B217" s="384">
        <v>41673</v>
      </c>
      <c r="C217" s="394">
        <v>12700</v>
      </c>
      <c r="D217" s="395">
        <v>7.5049000000000001</v>
      </c>
      <c r="E217" s="395">
        <v>1.0590999999999999</v>
      </c>
      <c r="F217" s="392">
        <v>556.52</v>
      </c>
      <c r="G217" s="396">
        <f t="shared" si="6"/>
        <v>0.41817361571738365</v>
      </c>
      <c r="H217" s="396">
        <f t="shared" si="7"/>
        <v>0.12011915304725873</v>
      </c>
      <c r="I217" s="390"/>
      <c r="J217" s="322"/>
      <c r="K217" s="325"/>
      <c r="L217" s="322"/>
      <c r="M217" s="322"/>
    </row>
    <row r="218" spans="2:13" ht="12" customHeight="1">
      <c r="B218" s="384">
        <v>41674</v>
      </c>
      <c r="C218" s="394">
        <v>12700</v>
      </c>
      <c r="D218" s="395">
        <v>7.5049000000000001</v>
      </c>
      <c r="E218" s="395">
        <v>1.0590999999999999</v>
      </c>
      <c r="F218" s="392">
        <v>556.52</v>
      </c>
      <c r="G218" s="396">
        <f t="shared" si="6"/>
        <v>0.41817361571738365</v>
      </c>
      <c r="H218" s="396">
        <f t="shared" si="7"/>
        <v>0.12011915304725873</v>
      </c>
      <c r="I218" s="390"/>
      <c r="J218" s="322"/>
      <c r="K218" s="325"/>
      <c r="L218" s="322"/>
      <c r="M218" s="322"/>
    </row>
    <row r="219" spans="2:13" ht="12" customHeight="1">
      <c r="B219" s="384">
        <v>41675</v>
      </c>
      <c r="C219" s="394">
        <v>12700</v>
      </c>
      <c r="D219" s="395">
        <v>7.5049000000000001</v>
      </c>
      <c r="E219" s="395">
        <v>1.0590999999999999</v>
      </c>
      <c r="F219" s="392">
        <v>556.52</v>
      </c>
      <c r="G219" s="396">
        <f t="shared" si="6"/>
        <v>0.41817361571738365</v>
      </c>
      <c r="H219" s="396">
        <f t="shared" si="7"/>
        <v>0.12011915304725873</v>
      </c>
      <c r="I219" s="390"/>
      <c r="J219" s="322"/>
      <c r="K219" s="325"/>
      <c r="L219" s="322"/>
      <c r="M219" s="322"/>
    </row>
    <row r="220" spans="2:13" ht="12" customHeight="1">
      <c r="B220" s="384">
        <v>41676</v>
      </c>
      <c r="C220" s="394">
        <v>13500</v>
      </c>
      <c r="D220" s="395">
        <v>7.9775999999999998</v>
      </c>
      <c r="E220" s="395">
        <v>1.1257999999999999</v>
      </c>
      <c r="F220" s="392">
        <v>554.67999999999995</v>
      </c>
      <c r="G220" s="396">
        <f t="shared" si="6"/>
        <v>0.50750738678619522</v>
      </c>
      <c r="H220" s="396">
        <f t="shared" si="7"/>
        <v>0.11641574752435391</v>
      </c>
      <c r="I220" s="390"/>
      <c r="J220" s="322"/>
      <c r="K220" s="325"/>
      <c r="L220" s="322"/>
      <c r="M220" s="322"/>
    </row>
    <row r="221" spans="2:13" ht="12" customHeight="1">
      <c r="B221" s="384">
        <v>41677</v>
      </c>
      <c r="C221" s="394">
        <v>13500</v>
      </c>
      <c r="D221" s="395">
        <v>7.9775999999999998</v>
      </c>
      <c r="E221" s="395">
        <v>1.1257999999999999</v>
      </c>
      <c r="F221" s="392">
        <v>549.76</v>
      </c>
      <c r="G221" s="396">
        <f t="shared" si="6"/>
        <v>0.50750738678619522</v>
      </c>
      <c r="H221" s="396">
        <f t="shared" si="7"/>
        <v>0.10651316319136939</v>
      </c>
      <c r="I221" s="390"/>
      <c r="J221" s="322"/>
      <c r="K221" s="325"/>
      <c r="L221" s="322"/>
      <c r="M221" s="322"/>
    </row>
    <row r="222" spans="2:13" ht="12" customHeight="1">
      <c r="B222" s="384">
        <v>41678</v>
      </c>
      <c r="C222" s="394">
        <v>13500</v>
      </c>
      <c r="D222" s="395">
        <v>7.9775999999999998</v>
      </c>
      <c r="E222" s="395">
        <v>1.1257999999999999</v>
      </c>
      <c r="F222" s="392">
        <v>549.76</v>
      </c>
      <c r="G222" s="396">
        <f t="shared" si="6"/>
        <v>0.50750738678619522</v>
      </c>
      <c r="H222" s="396">
        <f t="shared" si="7"/>
        <v>0.10651316319136939</v>
      </c>
      <c r="I222" s="390"/>
      <c r="J222" s="322"/>
      <c r="K222" s="325"/>
      <c r="L222" s="322"/>
      <c r="M222" s="322"/>
    </row>
    <row r="223" spans="2:13" ht="12" customHeight="1">
      <c r="B223" s="384">
        <v>41679</v>
      </c>
      <c r="C223" s="394">
        <v>13500</v>
      </c>
      <c r="D223" s="395">
        <v>7.9775999999999998</v>
      </c>
      <c r="E223" s="395">
        <v>1.1257999999999999</v>
      </c>
      <c r="F223" s="392">
        <v>549.76</v>
      </c>
      <c r="G223" s="396">
        <f t="shared" si="6"/>
        <v>0.50750738678619522</v>
      </c>
      <c r="H223" s="396">
        <f t="shared" si="7"/>
        <v>0.10651316319136939</v>
      </c>
      <c r="I223" s="390"/>
      <c r="J223" s="322"/>
      <c r="K223" s="325"/>
      <c r="L223" s="322"/>
      <c r="M223" s="322"/>
    </row>
    <row r="224" spans="2:13" ht="12" customHeight="1">
      <c r="B224" s="384">
        <v>41680</v>
      </c>
      <c r="C224" s="394">
        <v>13700</v>
      </c>
      <c r="D224" s="395">
        <v>8.0958000000000006</v>
      </c>
      <c r="E224" s="395">
        <v>1.1425000000000001</v>
      </c>
      <c r="F224" s="392">
        <v>555.9</v>
      </c>
      <c r="G224" s="396">
        <f t="shared" si="6"/>
        <v>0.52984082955339806</v>
      </c>
      <c r="H224" s="396">
        <f t="shared" si="7"/>
        <v>0.11887126640367129</v>
      </c>
      <c r="I224" s="390"/>
      <c r="J224" s="322"/>
      <c r="K224" s="325"/>
      <c r="L224" s="322"/>
      <c r="M224" s="322"/>
    </row>
    <row r="225" spans="2:13" ht="12" customHeight="1">
      <c r="B225" s="384">
        <v>41681</v>
      </c>
      <c r="C225" s="394">
        <v>13100</v>
      </c>
      <c r="D225" s="395">
        <v>7.7412999999999998</v>
      </c>
      <c r="E225" s="395">
        <v>1.0925</v>
      </c>
      <c r="F225" s="392">
        <v>553.9</v>
      </c>
      <c r="G225" s="396">
        <f t="shared" si="6"/>
        <v>0.46284050125178933</v>
      </c>
      <c r="H225" s="396">
        <f t="shared" si="7"/>
        <v>0.11484582561790524</v>
      </c>
      <c r="I225" s="390"/>
      <c r="J225" s="322"/>
      <c r="K225" s="325"/>
      <c r="L225" s="322"/>
      <c r="M225" s="322"/>
    </row>
    <row r="226" spans="2:13" ht="12" customHeight="1">
      <c r="B226" s="384">
        <v>41682</v>
      </c>
      <c r="C226" s="394">
        <v>13200</v>
      </c>
      <c r="D226" s="395">
        <v>7.8003</v>
      </c>
      <c r="E226" s="395">
        <v>1.1008</v>
      </c>
      <c r="F226" s="392">
        <v>564.25</v>
      </c>
      <c r="G226" s="396">
        <f t="shared" si="6"/>
        <v>0.47400722263539086</v>
      </c>
      <c r="H226" s="396">
        <f t="shared" si="7"/>
        <v>0.13567748168424454</v>
      </c>
      <c r="I226" s="390"/>
      <c r="J226" s="322"/>
      <c r="K226" s="325"/>
      <c r="L226" s="322"/>
      <c r="M226" s="322"/>
    </row>
    <row r="227" spans="2:13" ht="12" customHeight="1">
      <c r="B227" s="384">
        <v>41683</v>
      </c>
      <c r="C227" s="394">
        <v>13700</v>
      </c>
      <c r="D227" s="395">
        <v>8.0958000000000006</v>
      </c>
      <c r="E227" s="395">
        <v>1.1425000000000001</v>
      </c>
      <c r="F227" s="392">
        <v>570.17999999999995</v>
      </c>
      <c r="G227" s="396">
        <f t="shared" si="6"/>
        <v>0.52984082955339806</v>
      </c>
      <c r="H227" s="396">
        <f t="shared" si="7"/>
        <v>0.14761291361404072</v>
      </c>
      <c r="I227" s="390"/>
      <c r="J227" s="322"/>
      <c r="K227" s="325"/>
      <c r="L227" s="322"/>
      <c r="M227" s="322"/>
    </row>
    <row r="228" spans="2:13" ht="12" customHeight="1">
      <c r="B228" s="384">
        <v>41684</v>
      </c>
      <c r="C228" s="394">
        <v>13600</v>
      </c>
      <c r="D228" s="395">
        <v>8.0366999999999997</v>
      </c>
      <c r="E228" s="395">
        <v>1.1342000000000001</v>
      </c>
      <c r="F228" s="392">
        <v>572.22</v>
      </c>
      <c r="G228" s="396">
        <f t="shared" si="6"/>
        <v>0.51867410816979675</v>
      </c>
      <c r="H228" s="396">
        <f t="shared" si="7"/>
        <v>0.15171886321552219</v>
      </c>
      <c r="I228" s="390"/>
      <c r="J228" s="322"/>
      <c r="K228" s="325"/>
      <c r="L228" s="322"/>
      <c r="M228" s="322"/>
    </row>
    <row r="229" spans="2:13" ht="12" customHeight="1">
      <c r="B229" s="384">
        <v>41685</v>
      </c>
      <c r="C229" s="394">
        <v>13600</v>
      </c>
      <c r="D229" s="395">
        <v>8.0366999999999997</v>
      </c>
      <c r="E229" s="395">
        <v>1.1342000000000001</v>
      </c>
      <c r="F229" s="392">
        <v>572.22</v>
      </c>
      <c r="G229" s="396">
        <f t="shared" si="6"/>
        <v>0.51867410816979675</v>
      </c>
      <c r="H229" s="396">
        <f t="shared" si="7"/>
        <v>0.15171886321552219</v>
      </c>
      <c r="I229" s="390"/>
      <c r="J229" s="322"/>
      <c r="K229" s="325"/>
      <c r="L229" s="322"/>
      <c r="M229" s="322"/>
    </row>
    <row r="230" spans="2:13" ht="12" customHeight="1">
      <c r="B230" s="384">
        <v>41686</v>
      </c>
      <c r="C230" s="394">
        <v>13600</v>
      </c>
      <c r="D230" s="395">
        <v>8.0366999999999997</v>
      </c>
      <c r="E230" s="395">
        <v>1.1342000000000001</v>
      </c>
      <c r="F230" s="392">
        <v>572.22</v>
      </c>
      <c r="G230" s="396">
        <f t="shared" si="6"/>
        <v>0.51867410816979675</v>
      </c>
      <c r="H230" s="396">
        <f t="shared" si="7"/>
        <v>0.15171886321552219</v>
      </c>
      <c r="I230" s="390"/>
      <c r="J230" s="322"/>
      <c r="K230" s="325"/>
      <c r="L230" s="322"/>
      <c r="M230" s="322"/>
    </row>
    <row r="231" spans="2:13" ht="12" customHeight="1">
      <c r="B231" s="384">
        <v>41687</v>
      </c>
      <c r="C231" s="394">
        <v>13700</v>
      </c>
      <c r="D231" s="395">
        <v>8.0958000000000006</v>
      </c>
      <c r="E231" s="395">
        <v>1.1425000000000001</v>
      </c>
      <c r="F231" s="392">
        <v>570.20000000000005</v>
      </c>
      <c r="G231" s="396">
        <f t="shared" si="6"/>
        <v>0.52984082955339806</v>
      </c>
      <c r="H231" s="396">
        <f t="shared" si="7"/>
        <v>0.14765316802189865</v>
      </c>
      <c r="I231" s="390"/>
      <c r="J231" s="322"/>
      <c r="K231" s="325"/>
      <c r="L231" s="322"/>
      <c r="M231" s="322"/>
    </row>
    <row r="232" spans="2:13" ht="12" customHeight="1">
      <c r="B232" s="384">
        <v>41688</v>
      </c>
      <c r="C232" s="394">
        <v>14600</v>
      </c>
      <c r="D232" s="395">
        <v>8.6277000000000008</v>
      </c>
      <c r="E232" s="395">
        <v>1.2176</v>
      </c>
      <c r="F232" s="392">
        <v>574.55999999999995</v>
      </c>
      <c r="G232" s="396">
        <f t="shared" si="6"/>
        <v>0.63034132200581117</v>
      </c>
      <c r="H232" s="396">
        <f t="shared" si="7"/>
        <v>0.15642862893486842</v>
      </c>
      <c r="I232" s="390"/>
      <c r="J232" s="322"/>
      <c r="K232" s="325"/>
      <c r="L232" s="322"/>
      <c r="M232" s="322"/>
    </row>
    <row r="233" spans="2:13" ht="12" customHeight="1">
      <c r="B233" s="384">
        <v>41689</v>
      </c>
      <c r="C233" s="394">
        <v>15600</v>
      </c>
      <c r="D233" s="395">
        <v>9.2186000000000003</v>
      </c>
      <c r="E233" s="395">
        <v>1.3009999999999999</v>
      </c>
      <c r="F233" s="392">
        <v>578.12</v>
      </c>
      <c r="G233" s="396">
        <f t="shared" si="6"/>
        <v>0.74200853584182558</v>
      </c>
      <c r="H233" s="396">
        <f t="shared" si="7"/>
        <v>0.16359391353353203</v>
      </c>
      <c r="I233" s="390"/>
      <c r="J233" s="322"/>
      <c r="K233" s="325"/>
      <c r="L233" s="322"/>
      <c r="M233" s="322"/>
    </row>
    <row r="234" spans="2:13" ht="12" customHeight="1">
      <c r="B234" s="384">
        <v>41690</v>
      </c>
      <c r="C234" s="394">
        <v>14600</v>
      </c>
      <c r="D234" s="395">
        <v>8.6277000000000008</v>
      </c>
      <c r="E234" s="395">
        <v>1.2176</v>
      </c>
      <c r="F234" s="392">
        <v>571.04</v>
      </c>
      <c r="G234" s="396">
        <f t="shared" si="6"/>
        <v>0.63034132200581117</v>
      </c>
      <c r="H234" s="396">
        <f t="shared" si="7"/>
        <v>0.14934385315192023</v>
      </c>
      <c r="I234" s="390"/>
      <c r="J234" s="322"/>
      <c r="K234" s="325"/>
      <c r="L234" s="322"/>
      <c r="M234" s="322"/>
    </row>
    <row r="235" spans="2:13" ht="12" customHeight="1">
      <c r="B235" s="384">
        <v>41691</v>
      </c>
      <c r="C235" s="394">
        <v>14200</v>
      </c>
      <c r="D235" s="395">
        <v>8.3912999999999993</v>
      </c>
      <c r="E235" s="395">
        <v>1.1841999999999999</v>
      </c>
      <c r="F235" s="392">
        <v>570.57000000000005</v>
      </c>
      <c r="G235" s="396">
        <f t="shared" si="6"/>
        <v>0.58567443647140527</v>
      </c>
      <c r="H235" s="396">
        <f t="shared" si="7"/>
        <v>0.14839787456726516</v>
      </c>
      <c r="I235" s="390"/>
      <c r="J235" s="322"/>
      <c r="K235" s="325"/>
      <c r="L235" s="322"/>
      <c r="M235" s="322"/>
    </row>
    <row r="236" spans="2:13" ht="12" customHeight="1">
      <c r="B236" s="384">
        <v>41692</v>
      </c>
      <c r="C236" s="394">
        <v>14200</v>
      </c>
      <c r="D236" s="395">
        <v>8.3912999999999993</v>
      </c>
      <c r="E236" s="395">
        <v>1.1841999999999999</v>
      </c>
      <c r="F236" s="392">
        <v>570.57000000000005</v>
      </c>
      <c r="G236" s="396">
        <f t="shared" si="6"/>
        <v>0.58567443647140527</v>
      </c>
      <c r="H236" s="396">
        <f t="shared" si="7"/>
        <v>0.14839787456726516</v>
      </c>
      <c r="I236" s="390"/>
      <c r="J236" s="322"/>
      <c r="K236" s="325"/>
      <c r="L236" s="322"/>
      <c r="M236" s="322"/>
    </row>
    <row r="237" spans="2:13" ht="12" customHeight="1">
      <c r="B237" s="384">
        <v>41693</v>
      </c>
      <c r="C237" s="394">
        <v>14200</v>
      </c>
      <c r="D237" s="395">
        <v>8.3912999999999993</v>
      </c>
      <c r="E237" s="395">
        <v>1.1841999999999999</v>
      </c>
      <c r="F237" s="392">
        <v>570.57000000000005</v>
      </c>
      <c r="G237" s="396">
        <f t="shared" si="6"/>
        <v>0.58567443647140527</v>
      </c>
      <c r="H237" s="396">
        <f t="shared" si="7"/>
        <v>0.14839787456726516</v>
      </c>
      <c r="I237" s="390"/>
      <c r="J237" s="322"/>
      <c r="K237" s="325"/>
      <c r="L237" s="322"/>
      <c r="M237" s="322"/>
    </row>
    <row r="238" spans="2:13" ht="12" customHeight="1">
      <c r="B238" s="384">
        <v>41694</v>
      </c>
      <c r="C238" s="394">
        <v>15000</v>
      </c>
      <c r="D238" s="395">
        <v>8.8640000000000008</v>
      </c>
      <c r="E238" s="395">
        <v>1.2509000000000001</v>
      </c>
      <c r="F238" s="392">
        <v>576.58000000000004</v>
      </c>
      <c r="G238" s="396">
        <f t="shared" si="6"/>
        <v>0.67500820754021684</v>
      </c>
      <c r="H238" s="396">
        <f t="shared" si="7"/>
        <v>0.16049432412849218</v>
      </c>
      <c r="I238" s="390"/>
      <c r="J238" s="322"/>
      <c r="K238" s="325"/>
      <c r="L238" s="322"/>
      <c r="M238" s="322"/>
    </row>
    <row r="239" spans="2:13" ht="12" customHeight="1">
      <c r="B239" s="384">
        <v>41695</v>
      </c>
      <c r="C239" s="394">
        <v>16000</v>
      </c>
      <c r="D239" s="395">
        <v>9.4550000000000001</v>
      </c>
      <c r="E239" s="395">
        <v>1.3343</v>
      </c>
      <c r="F239" s="392">
        <v>586.20000000000005</v>
      </c>
      <c r="G239" s="396">
        <f t="shared" si="6"/>
        <v>0.78667542137623125</v>
      </c>
      <c r="H239" s="396">
        <f t="shared" si="7"/>
        <v>0.17985669430802687</v>
      </c>
      <c r="I239" s="390"/>
      <c r="J239" s="322"/>
      <c r="K239" s="325"/>
      <c r="L239" s="322"/>
      <c r="M239" s="322"/>
    </row>
    <row r="240" spans="2:13" ht="12" customHeight="1">
      <c r="B240" s="384">
        <v>41696</v>
      </c>
      <c r="C240" s="394">
        <v>16900</v>
      </c>
      <c r="D240" s="395">
        <v>9.9868000000000006</v>
      </c>
      <c r="E240" s="395">
        <v>1.4094</v>
      </c>
      <c r="F240" s="392">
        <v>589.80999999999995</v>
      </c>
      <c r="G240" s="396">
        <f t="shared" si="6"/>
        <v>0.88717591382864436</v>
      </c>
      <c r="H240" s="396">
        <f t="shared" si="7"/>
        <v>0.18712261492633431</v>
      </c>
      <c r="I240" s="390"/>
      <c r="J240" s="322"/>
      <c r="K240" s="325"/>
      <c r="L240" s="322"/>
      <c r="M240" s="322"/>
    </row>
    <row r="241" spans="1:13" ht="12" customHeight="1">
      <c r="B241" s="384">
        <v>41697</v>
      </c>
      <c r="C241" s="394">
        <v>15800</v>
      </c>
      <c r="D241" s="395">
        <v>9.3368000000000002</v>
      </c>
      <c r="E241" s="395">
        <v>1.3176000000000001</v>
      </c>
      <c r="F241" s="392">
        <v>584.79</v>
      </c>
      <c r="G241" s="396">
        <f t="shared" si="6"/>
        <v>0.76434197860902842</v>
      </c>
      <c r="H241" s="396">
        <f t="shared" si="7"/>
        <v>0.17701875855406168</v>
      </c>
      <c r="I241" s="390"/>
      <c r="J241" s="322"/>
      <c r="K241" s="325"/>
      <c r="L241" s="322"/>
      <c r="M241" s="322"/>
    </row>
    <row r="242" spans="1:13" ht="12" customHeight="1">
      <c r="B242" s="384">
        <v>41698</v>
      </c>
      <c r="C242" s="394">
        <v>16200</v>
      </c>
      <c r="D242" s="395">
        <v>9.5731999999999999</v>
      </c>
      <c r="E242" s="395">
        <v>1.351</v>
      </c>
      <c r="F242" s="392">
        <v>586.48</v>
      </c>
      <c r="G242" s="396">
        <f t="shared" si="6"/>
        <v>0.80900886414343431</v>
      </c>
      <c r="H242" s="396">
        <f t="shared" si="7"/>
        <v>0.18042025601803413</v>
      </c>
      <c r="I242" s="390"/>
      <c r="J242" s="322"/>
      <c r="K242" s="325"/>
      <c r="L242" s="322"/>
      <c r="M242" s="322"/>
    </row>
    <row r="243" spans="1:13" ht="12" customHeight="1">
      <c r="B243" s="384">
        <v>41699</v>
      </c>
      <c r="C243" s="394">
        <v>16200</v>
      </c>
      <c r="D243" s="395">
        <v>9.5731999999999999</v>
      </c>
      <c r="E243" s="395">
        <v>1.351</v>
      </c>
      <c r="F243" s="392">
        <v>586.48</v>
      </c>
      <c r="G243" s="396">
        <f t="shared" si="6"/>
        <v>0.80900886414343431</v>
      </c>
      <c r="H243" s="396">
        <f t="shared" si="7"/>
        <v>0.18042025601803413</v>
      </c>
      <c r="I243" s="390"/>
      <c r="J243" s="322"/>
      <c r="K243" s="325"/>
      <c r="L243" s="322"/>
      <c r="M243" s="322"/>
    </row>
    <row r="244" spans="1:13" ht="12" customHeight="1">
      <c r="B244" s="384">
        <v>41700</v>
      </c>
      <c r="C244" s="394">
        <v>16200</v>
      </c>
      <c r="D244" s="395">
        <v>9.5731999999999999</v>
      </c>
      <c r="E244" s="395">
        <v>1.351</v>
      </c>
      <c r="F244" s="392">
        <v>586.48</v>
      </c>
      <c r="G244" s="396">
        <f t="shared" si="6"/>
        <v>0.80900886414343431</v>
      </c>
      <c r="H244" s="396">
        <f t="shared" si="7"/>
        <v>0.18042025601803413</v>
      </c>
      <c r="I244" s="390"/>
      <c r="J244" s="322"/>
      <c r="K244" s="325"/>
      <c r="L244" s="322"/>
      <c r="M244" s="322"/>
    </row>
    <row r="245" spans="1:13" ht="12" customHeight="1">
      <c r="B245" s="384">
        <v>41701</v>
      </c>
      <c r="C245" s="394">
        <v>15300</v>
      </c>
      <c r="D245" s="395">
        <v>9.0412999999999997</v>
      </c>
      <c r="E245" s="395">
        <v>1.2759</v>
      </c>
      <c r="F245" s="392">
        <v>573.38</v>
      </c>
      <c r="G245" s="396">
        <f t="shared" si="6"/>
        <v>0.70850837169102121</v>
      </c>
      <c r="H245" s="396">
        <f t="shared" si="7"/>
        <v>0.15405361887126645</v>
      </c>
      <c r="I245" s="390"/>
      <c r="J245" s="322"/>
      <c r="K245" s="325"/>
      <c r="L245" s="322"/>
      <c r="M245" s="322"/>
    </row>
    <row r="246" spans="1:13" ht="12" customHeight="1">
      <c r="B246" s="384">
        <v>41702</v>
      </c>
      <c r="C246" s="394">
        <v>15600</v>
      </c>
      <c r="D246" s="395">
        <v>9.2186000000000003</v>
      </c>
      <c r="E246" s="395">
        <v>1.3009999999999999</v>
      </c>
      <c r="F246" s="392">
        <v>569.97</v>
      </c>
      <c r="G246" s="396">
        <f t="shared" si="6"/>
        <v>0.74200853584182558</v>
      </c>
      <c r="H246" s="396">
        <f t="shared" si="7"/>
        <v>0.14719024233153544</v>
      </c>
      <c r="I246" s="390"/>
      <c r="J246" s="322"/>
      <c r="K246" s="325"/>
      <c r="L246" s="322"/>
      <c r="M246" s="322"/>
    </row>
    <row r="247" spans="1:13" ht="12" customHeight="1">
      <c r="B247" s="384">
        <v>41703</v>
      </c>
      <c r="C247" s="394">
        <v>15800</v>
      </c>
      <c r="D247" s="395">
        <v>9.3368000000000002</v>
      </c>
      <c r="E247" s="395">
        <v>1.3176000000000001</v>
      </c>
      <c r="F247" s="392">
        <v>574.94000000000005</v>
      </c>
      <c r="G247" s="396">
        <f t="shared" si="6"/>
        <v>0.76434197860902842</v>
      </c>
      <c r="H247" s="396">
        <f t="shared" si="7"/>
        <v>0.15719346268416401</v>
      </c>
      <c r="I247" s="390"/>
      <c r="J247" s="322"/>
      <c r="K247" s="325"/>
      <c r="L247" s="322"/>
      <c r="M247" s="322"/>
    </row>
    <row r="248" spans="1:13" ht="12" customHeight="1">
      <c r="B248" s="384">
        <v>41704</v>
      </c>
      <c r="C248" s="394">
        <v>16600</v>
      </c>
      <c r="D248" s="395">
        <v>9.8094999999999999</v>
      </c>
      <c r="E248" s="395">
        <v>1.3843000000000001</v>
      </c>
      <c r="F248" s="392">
        <v>578.55999999999995</v>
      </c>
      <c r="G248" s="396">
        <f t="shared" si="6"/>
        <v>0.85367574967783999</v>
      </c>
      <c r="H248" s="396">
        <f t="shared" si="7"/>
        <v>0.16447951050640031</v>
      </c>
      <c r="I248" s="390"/>
      <c r="J248" s="322"/>
      <c r="K248" s="325"/>
      <c r="L248" s="322"/>
      <c r="M248" s="322"/>
    </row>
    <row r="249" spans="1:13" ht="12" customHeight="1">
      <c r="B249" s="384">
        <v>41705</v>
      </c>
      <c r="C249" s="394">
        <v>16300</v>
      </c>
      <c r="D249" s="395">
        <v>9.6321999999999992</v>
      </c>
      <c r="E249" s="395">
        <v>1.3593</v>
      </c>
      <c r="F249" s="392">
        <v>579.75</v>
      </c>
      <c r="G249" s="396">
        <f t="shared" si="6"/>
        <v>0.82017558552703562</v>
      </c>
      <c r="H249" s="396">
        <f t="shared" si="7"/>
        <v>0.16687464777393135</v>
      </c>
      <c r="I249" s="390"/>
      <c r="J249" s="322"/>
      <c r="K249" s="325"/>
      <c r="L249" s="322"/>
      <c r="M249" s="322"/>
    </row>
    <row r="250" spans="1:13" ht="12" customHeight="1">
      <c r="B250" s="384">
        <v>41706</v>
      </c>
      <c r="C250" s="394">
        <v>16300</v>
      </c>
      <c r="D250" s="395">
        <v>9.6321999999999992</v>
      </c>
      <c r="E250" s="395">
        <v>1.3593</v>
      </c>
      <c r="F250" s="392">
        <v>579.75</v>
      </c>
      <c r="G250" s="396">
        <f t="shared" si="6"/>
        <v>0.82017558552703562</v>
      </c>
      <c r="H250" s="396">
        <f t="shared" si="7"/>
        <v>0.16687464777393135</v>
      </c>
      <c r="I250" s="390"/>
      <c r="J250" s="322"/>
      <c r="K250" s="325"/>
      <c r="L250" s="322"/>
      <c r="M250" s="322"/>
    </row>
    <row r="251" spans="1:13" ht="12" customHeight="1">
      <c r="B251" s="384">
        <v>41707</v>
      </c>
      <c r="C251" s="394">
        <v>16300</v>
      </c>
      <c r="D251" s="395">
        <v>9.6321999999999992</v>
      </c>
      <c r="E251" s="395">
        <v>1.3593</v>
      </c>
      <c r="F251" s="392">
        <v>579.75</v>
      </c>
      <c r="G251" s="396">
        <f t="shared" si="6"/>
        <v>0.82017558552703562</v>
      </c>
      <c r="H251" s="396">
        <f t="shared" si="7"/>
        <v>0.16687464777393135</v>
      </c>
      <c r="I251" s="390"/>
      <c r="J251" s="322"/>
      <c r="K251" s="325"/>
      <c r="L251" s="322"/>
      <c r="M251" s="322"/>
    </row>
    <row r="252" spans="1:13" s="36" customFormat="1" ht="12" customHeight="1">
      <c r="A252" s="34"/>
      <c r="B252" s="384">
        <v>41708</v>
      </c>
      <c r="C252" s="394">
        <v>16400</v>
      </c>
      <c r="D252" s="395">
        <v>9.6913</v>
      </c>
      <c r="E252" s="395">
        <v>1.3677000000000001</v>
      </c>
      <c r="F252" s="392">
        <v>583.69000000000005</v>
      </c>
      <c r="G252" s="396">
        <f t="shared" si="6"/>
        <v>0.83134230691063715</v>
      </c>
      <c r="H252" s="396">
        <f t="shared" si="7"/>
        <v>0.17480476612189055</v>
      </c>
      <c r="I252" s="390"/>
      <c r="J252" s="326"/>
      <c r="K252" s="325"/>
      <c r="L252" s="326"/>
      <c r="M252" s="326"/>
    </row>
    <row r="253" spans="1:13" ht="12" customHeight="1">
      <c r="B253" s="384">
        <v>41709</v>
      </c>
      <c r="C253" s="394">
        <v>16400</v>
      </c>
      <c r="D253" s="395">
        <v>9.6913</v>
      </c>
      <c r="E253" s="395">
        <v>1.3677000000000001</v>
      </c>
      <c r="F253" s="392">
        <v>588.5</v>
      </c>
      <c r="G253" s="396">
        <f t="shared" si="6"/>
        <v>0.83134230691063715</v>
      </c>
      <c r="H253" s="396">
        <f t="shared" si="7"/>
        <v>0.18448595121165767</v>
      </c>
      <c r="I253" s="390"/>
      <c r="J253" s="322"/>
      <c r="K253" s="325"/>
      <c r="L253" s="322"/>
      <c r="M253" s="322"/>
    </row>
    <row r="254" spans="1:13" ht="12" customHeight="1">
      <c r="B254" s="384">
        <v>41710</v>
      </c>
      <c r="C254" s="394">
        <v>16100</v>
      </c>
      <c r="D254" s="395">
        <v>9.5140999999999991</v>
      </c>
      <c r="E254" s="395">
        <v>1.3426</v>
      </c>
      <c r="F254" s="392">
        <v>590.02</v>
      </c>
      <c r="G254" s="396">
        <f t="shared" si="6"/>
        <v>0.79784214275983278</v>
      </c>
      <c r="H254" s="396">
        <f t="shared" si="7"/>
        <v>0.18754528620883981</v>
      </c>
      <c r="I254" s="390"/>
      <c r="J254" s="322"/>
      <c r="K254" s="325"/>
      <c r="L254" s="322"/>
      <c r="M254" s="322"/>
    </row>
    <row r="255" spans="1:13" ht="12" customHeight="1">
      <c r="B255" s="384">
        <v>41711</v>
      </c>
      <c r="C255" s="394">
        <v>16200</v>
      </c>
      <c r="D255" s="395">
        <v>9.5731999999999999</v>
      </c>
      <c r="E255" s="395">
        <v>1.351</v>
      </c>
      <c r="F255" s="392">
        <v>595.22</v>
      </c>
      <c r="G255" s="396">
        <f t="shared" si="6"/>
        <v>0.80900886414343431</v>
      </c>
      <c r="H255" s="396">
        <f t="shared" si="7"/>
        <v>0.1980114322518316</v>
      </c>
      <c r="I255" s="390"/>
      <c r="J255" s="322"/>
      <c r="K255" s="325"/>
      <c r="L255" s="322"/>
      <c r="M255" s="322"/>
    </row>
    <row r="256" spans="1:13" ht="12" customHeight="1">
      <c r="B256" s="384">
        <v>41712</v>
      </c>
      <c r="C256" s="394">
        <v>16100</v>
      </c>
      <c r="D256" s="395">
        <v>9.5140999999999991</v>
      </c>
      <c r="E256" s="395">
        <v>1.3426</v>
      </c>
      <c r="F256" s="392">
        <v>596.83000000000004</v>
      </c>
      <c r="G256" s="396">
        <f t="shared" si="6"/>
        <v>0.79784214275983278</v>
      </c>
      <c r="H256" s="396">
        <f t="shared" si="7"/>
        <v>0.20125191208437343</v>
      </c>
      <c r="I256" s="390"/>
      <c r="J256" s="322"/>
      <c r="K256" s="325"/>
      <c r="L256" s="322"/>
      <c r="M256" s="322"/>
    </row>
    <row r="257" spans="2:13" ht="12" customHeight="1">
      <c r="B257" s="384">
        <v>41713</v>
      </c>
      <c r="C257" s="394">
        <v>16100</v>
      </c>
      <c r="D257" s="395">
        <v>9.5140999999999991</v>
      </c>
      <c r="E257" s="395">
        <v>1.3426</v>
      </c>
      <c r="F257" s="392">
        <v>596.83000000000004</v>
      </c>
      <c r="G257" s="396">
        <f t="shared" si="6"/>
        <v>0.79784214275983278</v>
      </c>
      <c r="H257" s="396">
        <f t="shared" si="7"/>
        <v>0.20125191208437343</v>
      </c>
      <c r="I257" s="390"/>
      <c r="J257" s="322"/>
      <c r="K257" s="325"/>
      <c r="L257" s="322"/>
      <c r="M257" s="322"/>
    </row>
    <row r="258" spans="2:13" ht="12" customHeight="1">
      <c r="B258" s="384">
        <v>41714</v>
      </c>
      <c r="C258" s="394">
        <v>16100</v>
      </c>
      <c r="D258" s="395">
        <v>9.5140999999999991</v>
      </c>
      <c r="E258" s="395">
        <v>1.3426</v>
      </c>
      <c r="F258" s="392">
        <v>596.83000000000004</v>
      </c>
      <c r="G258" s="396">
        <f t="shared" si="6"/>
        <v>0.79784214275983278</v>
      </c>
      <c r="H258" s="396">
        <f t="shared" si="7"/>
        <v>0.20125191208437343</v>
      </c>
      <c r="I258" s="390"/>
      <c r="J258" s="322"/>
      <c r="K258" s="325"/>
      <c r="L258" s="322"/>
      <c r="M258" s="322"/>
    </row>
    <row r="259" spans="2:13" ht="12" customHeight="1">
      <c r="B259" s="384">
        <v>41715</v>
      </c>
      <c r="C259" s="394">
        <v>16300</v>
      </c>
      <c r="D259" s="395">
        <v>9.6321999999999992</v>
      </c>
      <c r="E259" s="395">
        <v>1.3593</v>
      </c>
      <c r="F259" s="392">
        <v>600.36</v>
      </c>
      <c r="G259" s="396">
        <f t="shared" si="6"/>
        <v>0.82017558552703562</v>
      </c>
      <c r="H259" s="396">
        <f t="shared" si="7"/>
        <v>0.20835681507125048</v>
      </c>
      <c r="I259" s="390"/>
      <c r="J259" s="322"/>
      <c r="K259" s="325"/>
      <c r="L259" s="322"/>
      <c r="M259" s="322"/>
    </row>
    <row r="260" spans="2:13" ht="12" customHeight="1">
      <c r="B260" s="384">
        <v>41716</v>
      </c>
      <c r="C260" s="394">
        <v>16700</v>
      </c>
      <c r="D260" s="395">
        <v>9.8686000000000007</v>
      </c>
      <c r="E260" s="395">
        <v>1.3927</v>
      </c>
      <c r="F260" s="392">
        <v>599.85</v>
      </c>
      <c r="G260" s="396">
        <f t="shared" si="6"/>
        <v>0.86484247106144152</v>
      </c>
      <c r="H260" s="396">
        <f t="shared" si="7"/>
        <v>0.20733032767088</v>
      </c>
      <c r="I260" s="390"/>
      <c r="J260" s="322"/>
      <c r="K260" s="325"/>
      <c r="L260" s="322"/>
      <c r="M260" s="322"/>
    </row>
    <row r="261" spans="2:13" ht="12" customHeight="1">
      <c r="B261" s="384">
        <v>41717</v>
      </c>
      <c r="C261" s="394">
        <v>17500</v>
      </c>
      <c r="D261" s="395">
        <v>10.3414</v>
      </c>
      <c r="E261" s="395">
        <v>1.4594</v>
      </c>
      <c r="F261" s="392">
        <v>605.59</v>
      </c>
      <c r="G261" s="396">
        <f t="shared" si="6"/>
        <v>0.95417624213025309</v>
      </c>
      <c r="H261" s="396">
        <f t="shared" si="7"/>
        <v>0.21888334272602861</v>
      </c>
      <c r="I261" s="390"/>
      <c r="J261" s="322"/>
      <c r="K261" s="325"/>
      <c r="L261" s="322"/>
      <c r="M261" s="322"/>
    </row>
    <row r="262" spans="2:13" ht="12" customHeight="1">
      <c r="B262" s="384">
        <v>41718</v>
      </c>
      <c r="C262" s="394">
        <v>17000</v>
      </c>
      <c r="D262" s="395">
        <v>10.0459</v>
      </c>
      <c r="E262" s="395">
        <v>1.4177</v>
      </c>
      <c r="F262" s="392">
        <v>600.26</v>
      </c>
      <c r="G262" s="396">
        <f t="shared" si="6"/>
        <v>0.89834263521224589</v>
      </c>
      <c r="H262" s="396">
        <f t="shared" si="7"/>
        <v>0.20815554303196193</v>
      </c>
      <c r="I262" s="390"/>
      <c r="J262" s="322"/>
      <c r="K262" s="325"/>
      <c r="L262" s="322"/>
      <c r="M262" s="322"/>
    </row>
    <row r="263" spans="2:13" ht="12" customHeight="1">
      <c r="B263" s="384">
        <v>41719</v>
      </c>
      <c r="C263" s="394">
        <v>17200</v>
      </c>
      <c r="D263" s="395">
        <v>10.164099999999999</v>
      </c>
      <c r="E263" s="395">
        <v>1.4344000000000001</v>
      </c>
      <c r="F263" s="392">
        <v>601.75</v>
      </c>
      <c r="G263" s="396">
        <f t="shared" si="6"/>
        <v>0.92067607797944873</v>
      </c>
      <c r="H263" s="396">
        <f t="shared" si="7"/>
        <v>0.21115449641735773</v>
      </c>
      <c r="I263" s="390"/>
      <c r="J263" s="322"/>
      <c r="K263" s="325"/>
      <c r="L263" s="322"/>
      <c r="M263" s="322"/>
    </row>
    <row r="264" spans="2:13" ht="12" customHeight="1">
      <c r="B264" s="384">
        <v>41720</v>
      </c>
      <c r="C264" s="394">
        <v>17200</v>
      </c>
      <c r="D264" s="395">
        <v>10.164099999999999</v>
      </c>
      <c r="E264" s="395">
        <v>1.4344000000000001</v>
      </c>
      <c r="F264" s="392">
        <v>601.75</v>
      </c>
      <c r="G264" s="396">
        <f t="shared" si="6"/>
        <v>0.92067607797944873</v>
      </c>
      <c r="H264" s="396">
        <f t="shared" si="7"/>
        <v>0.21115449641735773</v>
      </c>
      <c r="I264" s="390"/>
      <c r="J264" s="322"/>
      <c r="K264" s="325"/>
      <c r="L264" s="322"/>
      <c r="M264" s="322"/>
    </row>
    <row r="265" spans="2:13" ht="12" customHeight="1">
      <c r="B265" s="384">
        <v>41721</v>
      </c>
      <c r="C265" s="394">
        <v>17200</v>
      </c>
      <c r="D265" s="395">
        <v>10.164099999999999</v>
      </c>
      <c r="E265" s="395">
        <v>1.4344000000000001</v>
      </c>
      <c r="F265" s="392">
        <v>601.75</v>
      </c>
      <c r="G265" s="396">
        <f t="shared" si="6"/>
        <v>0.92067607797944873</v>
      </c>
      <c r="H265" s="396">
        <f t="shared" si="7"/>
        <v>0.21115449641735773</v>
      </c>
      <c r="I265" s="390"/>
      <c r="J265" s="322"/>
      <c r="K265" s="325"/>
      <c r="L265" s="322"/>
      <c r="M265" s="322"/>
    </row>
    <row r="266" spans="2:13" ht="12" customHeight="1">
      <c r="B266" s="384">
        <v>41722</v>
      </c>
      <c r="C266" s="394">
        <v>17500</v>
      </c>
      <c r="D266" s="395">
        <v>10.3414</v>
      </c>
      <c r="E266" s="395">
        <v>1.4594</v>
      </c>
      <c r="F266" s="392">
        <v>607.54999999999995</v>
      </c>
      <c r="G266" s="396">
        <f t="shared" si="6"/>
        <v>0.95417624213025309</v>
      </c>
      <c r="H266" s="396">
        <f t="shared" si="7"/>
        <v>0.22282827469607924</v>
      </c>
      <c r="I266" s="390"/>
      <c r="J266" s="322"/>
      <c r="K266" s="325"/>
      <c r="L266" s="322"/>
      <c r="M266" s="322"/>
    </row>
    <row r="267" spans="2:13" ht="12" customHeight="1">
      <c r="B267" s="384">
        <v>41723</v>
      </c>
      <c r="C267" s="394">
        <v>16900</v>
      </c>
      <c r="D267" s="395">
        <v>9.9868000000000006</v>
      </c>
      <c r="E267" s="395">
        <v>1.4094</v>
      </c>
      <c r="F267" s="392">
        <v>601.85</v>
      </c>
      <c r="G267" s="396">
        <f t="shared" si="6"/>
        <v>0.88717591382864436</v>
      </c>
      <c r="H267" s="396">
        <f t="shared" si="7"/>
        <v>0.21135576845664605</v>
      </c>
      <c r="I267" s="390"/>
      <c r="J267" s="322"/>
      <c r="K267" s="325"/>
      <c r="L267" s="322"/>
      <c r="M267" s="322"/>
    </row>
    <row r="268" spans="2:13" ht="12" customHeight="1">
      <c r="B268" s="384">
        <v>41724</v>
      </c>
      <c r="C268" s="394">
        <v>16600</v>
      </c>
      <c r="D268" s="395">
        <v>9.8094999999999999</v>
      </c>
      <c r="E268" s="395">
        <v>1.3843000000000001</v>
      </c>
      <c r="F268" s="392">
        <v>588.05999999999995</v>
      </c>
      <c r="G268" s="396">
        <f t="shared" si="6"/>
        <v>0.85367574967783999</v>
      </c>
      <c r="H268" s="396">
        <f t="shared" si="7"/>
        <v>0.18360035423878918</v>
      </c>
      <c r="I268" s="390"/>
      <c r="J268" s="322"/>
      <c r="K268" s="325"/>
      <c r="L268" s="322"/>
      <c r="M268" s="322"/>
    </row>
    <row r="269" spans="2:13" ht="12" customHeight="1">
      <c r="B269" s="384">
        <v>41725</v>
      </c>
      <c r="C269" s="394">
        <v>16900</v>
      </c>
      <c r="D269" s="395">
        <v>9.9868000000000006</v>
      </c>
      <c r="E269" s="395">
        <v>1.4094</v>
      </c>
      <c r="F269" s="392">
        <v>590.14</v>
      </c>
      <c r="G269" s="396">
        <f t="shared" si="6"/>
        <v>0.88717591382864436</v>
      </c>
      <c r="H269" s="396">
        <f t="shared" si="7"/>
        <v>0.18778681265598585</v>
      </c>
      <c r="I269" s="390"/>
      <c r="J269" s="322"/>
      <c r="K269" s="325"/>
      <c r="L269" s="322"/>
      <c r="M269" s="322"/>
    </row>
    <row r="270" spans="2:13" ht="12" customHeight="1">
      <c r="B270" s="384">
        <v>41726</v>
      </c>
      <c r="C270" s="394">
        <v>16600</v>
      </c>
      <c r="D270" s="395">
        <v>9.8094999999999999</v>
      </c>
      <c r="E270" s="395">
        <v>1.3843000000000001</v>
      </c>
      <c r="F270" s="392">
        <v>594.29</v>
      </c>
      <c r="G270" s="396">
        <f t="shared" si="6"/>
        <v>0.85367574967783999</v>
      </c>
      <c r="H270" s="396">
        <f t="shared" si="7"/>
        <v>0.19613960228645033</v>
      </c>
      <c r="I270" s="390"/>
      <c r="J270" s="322"/>
      <c r="K270" s="325"/>
      <c r="L270" s="322"/>
      <c r="M270" s="322"/>
    </row>
    <row r="271" spans="2:13" ht="12" customHeight="1">
      <c r="B271" s="384">
        <v>41727</v>
      </c>
      <c r="C271" s="394">
        <v>16600</v>
      </c>
      <c r="D271" s="395">
        <v>9.8094999999999999</v>
      </c>
      <c r="E271" s="395">
        <v>1.3843000000000001</v>
      </c>
      <c r="F271" s="392">
        <v>594.29</v>
      </c>
      <c r="G271" s="396">
        <f t="shared" si="6"/>
        <v>0.85367574967783999</v>
      </c>
      <c r="H271" s="396">
        <f t="shared" si="7"/>
        <v>0.19613960228645033</v>
      </c>
      <c r="I271" s="390"/>
      <c r="J271" s="322"/>
      <c r="K271" s="325"/>
      <c r="L271" s="322"/>
      <c r="M271" s="322"/>
    </row>
    <row r="272" spans="2:13" ht="12" customHeight="1">
      <c r="B272" s="384">
        <v>41728</v>
      </c>
      <c r="C272" s="394">
        <v>16600</v>
      </c>
      <c r="D272" s="395">
        <v>9.8094999999999999</v>
      </c>
      <c r="E272" s="395">
        <v>1.3843000000000001</v>
      </c>
      <c r="F272" s="392">
        <v>594.29</v>
      </c>
      <c r="G272" s="396">
        <f t="shared" si="6"/>
        <v>0.85367574967783999</v>
      </c>
      <c r="H272" s="396">
        <f t="shared" si="7"/>
        <v>0.19613960228645033</v>
      </c>
      <c r="I272" s="390"/>
      <c r="J272" s="322"/>
      <c r="K272" s="325"/>
      <c r="L272" s="322"/>
      <c r="M272" s="322"/>
    </row>
    <row r="273" spans="2:13" ht="12" customHeight="1">
      <c r="B273" s="384">
        <v>41729</v>
      </c>
      <c r="C273" s="394">
        <v>16300</v>
      </c>
      <c r="D273" s="395">
        <v>8.0783000000000005</v>
      </c>
      <c r="E273" s="395">
        <v>1.4081999999999999</v>
      </c>
      <c r="F273" s="392">
        <v>591.57000000000005</v>
      </c>
      <c r="G273" s="396">
        <f t="shared" si="6"/>
        <v>0.82017558552703562</v>
      </c>
      <c r="H273" s="396">
        <f t="shared" si="7"/>
        <v>0.19066500281780874</v>
      </c>
      <c r="I273" s="390"/>
      <c r="J273" s="322"/>
      <c r="K273" s="325"/>
      <c r="L273" s="322"/>
      <c r="M273" s="322"/>
    </row>
    <row r="274" spans="2:13" ht="12" customHeight="1">
      <c r="B274" s="384">
        <v>41730</v>
      </c>
      <c r="C274" s="394">
        <v>15300</v>
      </c>
      <c r="D274" s="395">
        <v>7.5827</v>
      </c>
      <c r="E274" s="395">
        <v>1.3218000000000001</v>
      </c>
      <c r="F274" s="392">
        <v>583.85</v>
      </c>
      <c r="G274" s="396">
        <f t="shared" ref="G274:G337" si="8">C274/C$17-1</f>
        <v>0.70850837169102121</v>
      </c>
      <c r="H274" s="396">
        <f t="shared" ref="H274:H337" si="9">F274/F$17-1</f>
        <v>0.17512680138475178</v>
      </c>
      <c r="I274" s="390"/>
      <c r="J274" s="322"/>
      <c r="K274" s="325"/>
      <c r="L274" s="322"/>
      <c r="M274" s="322"/>
    </row>
    <row r="275" spans="2:13" ht="12" customHeight="1">
      <c r="B275" s="384">
        <v>41731</v>
      </c>
      <c r="C275" s="394">
        <v>14900</v>
      </c>
      <c r="D275" s="395">
        <v>7.3845000000000001</v>
      </c>
      <c r="E275" s="395">
        <v>1.2873000000000001</v>
      </c>
      <c r="F275" s="392">
        <v>581.66999999999996</v>
      </c>
      <c r="G275" s="396">
        <f t="shared" si="8"/>
        <v>0.66384148615661553</v>
      </c>
      <c r="H275" s="396">
        <f t="shared" si="9"/>
        <v>0.17073907092826657</v>
      </c>
      <c r="I275" s="390"/>
      <c r="J275" s="322"/>
      <c r="K275" s="325"/>
      <c r="L275" s="322"/>
      <c r="M275" s="322"/>
    </row>
    <row r="276" spans="2:13" ht="12" customHeight="1">
      <c r="B276" s="384">
        <v>41732</v>
      </c>
      <c r="C276" s="394">
        <v>15900</v>
      </c>
      <c r="D276" s="395">
        <v>7.8800999999999997</v>
      </c>
      <c r="E276" s="395">
        <v>1.3736999999999999</v>
      </c>
      <c r="F276" s="392">
        <v>589.44000000000005</v>
      </c>
      <c r="G276" s="396">
        <f t="shared" si="8"/>
        <v>0.77550869999262995</v>
      </c>
      <c r="H276" s="396">
        <f t="shared" si="9"/>
        <v>0.18637790838096779</v>
      </c>
      <c r="I276" s="390"/>
      <c r="J276" s="322"/>
      <c r="K276" s="325"/>
      <c r="L276" s="322"/>
      <c r="M276" s="322"/>
    </row>
    <row r="277" spans="2:13" ht="12" customHeight="1">
      <c r="B277" s="384">
        <v>41733</v>
      </c>
      <c r="C277" s="394">
        <v>15700</v>
      </c>
      <c r="D277" s="395">
        <v>7.7809999999999997</v>
      </c>
      <c r="E277" s="395">
        <v>1.3564000000000001</v>
      </c>
      <c r="F277" s="392">
        <v>593.04</v>
      </c>
      <c r="G277" s="396">
        <f t="shared" si="8"/>
        <v>0.75317525722542711</v>
      </c>
      <c r="H277" s="396">
        <f t="shared" si="9"/>
        <v>0.1936237017953466</v>
      </c>
      <c r="I277" s="390"/>
      <c r="J277" s="322"/>
      <c r="K277" s="325"/>
      <c r="L277" s="322"/>
      <c r="M277" s="322"/>
    </row>
    <row r="278" spans="2:13" ht="12" customHeight="1">
      <c r="B278" s="384">
        <v>41734</v>
      </c>
      <c r="C278" s="394">
        <v>15700</v>
      </c>
      <c r="D278" s="395">
        <v>7.7809999999999997</v>
      </c>
      <c r="E278" s="395">
        <v>1.3564000000000001</v>
      </c>
      <c r="F278" s="392">
        <v>593.04</v>
      </c>
      <c r="G278" s="396">
        <f t="shared" si="8"/>
        <v>0.75317525722542711</v>
      </c>
      <c r="H278" s="396">
        <f t="shared" si="9"/>
        <v>0.1936237017953466</v>
      </c>
      <c r="I278" s="390"/>
      <c r="J278" s="322"/>
      <c r="K278" s="325"/>
      <c r="L278" s="322"/>
      <c r="M278" s="322"/>
    </row>
    <row r="279" spans="2:13" ht="12" customHeight="1">
      <c r="B279" s="384">
        <v>41735</v>
      </c>
      <c r="C279" s="394">
        <v>15700</v>
      </c>
      <c r="D279" s="395">
        <v>7.7809999999999997</v>
      </c>
      <c r="E279" s="395">
        <v>1.3564000000000001</v>
      </c>
      <c r="F279" s="392">
        <v>593.04</v>
      </c>
      <c r="G279" s="396">
        <f t="shared" si="8"/>
        <v>0.75317525722542711</v>
      </c>
      <c r="H279" s="396">
        <f t="shared" si="9"/>
        <v>0.1936237017953466</v>
      </c>
      <c r="I279" s="390"/>
      <c r="J279" s="322"/>
      <c r="K279" s="325"/>
      <c r="L279" s="322"/>
      <c r="M279" s="322"/>
    </row>
    <row r="280" spans="2:13" ht="12" customHeight="1">
      <c r="B280" s="384">
        <v>41736</v>
      </c>
      <c r="C280" s="394">
        <v>15900</v>
      </c>
      <c r="D280" s="395">
        <v>7.8800999999999997</v>
      </c>
      <c r="E280" s="395">
        <v>1.3736999999999999</v>
      </c>
      <c r="F280" s="392">
        <v>600.57000000000005</v>
      </c>
      <c r="G280" s="396">
        <f t="shared" si="8"/>
        <v>0.77550869999262995</v>
      </c>
      <c r="H280" s="396">
        <f t="shared" si="9"/>
        <v>0.20877948635375598</v>
      </c>
      <c r="I280" s="390"/>
      <c r="J280" s="322"/>
      <c r="K280" s="325"/>
      <c r="L280" s="322"/>
      <c r="M280" s="322"/>
    </row>
    <row r="281" spans="2:13" ht="12" customHeight="1">
      <c r="B281" s="384">
        <v>41737</v>
      </c>
      <c r="C281" s="394">
        <v>16500</v>
      </c>
      <c r="D281" s="395">
        <v>8.1775000000000002</v>
      </c>
      <c r="E281" s="395">
        <v>1.4255</v>
      </c>
      <c r="F281" s="392">
        <v>603.25</v>
      </c>
      <c r="G281" s="396">
        <f t="shared" si="8"/>
        <v>0.84250902829423868</v>
      </c>
      <c r="H281" s="396">
        <f t="shared" si="9"/>
        <v>0.21417357700668238</v>
      </c>
      <c r="I281" s="390"/>
      <c r="J281" s="322"/>
      <c r="K281" s="325"/>
      <c r="L281" s="322"/>
      <c r="M281" s="322"/>
    </row>
    <row r="282" spans="2:13" ht="12" customHeight="1">
      <c r="B282" s="384">
        <v>41738</v>
      </c>
      <c r="C282" s="394">
        <v>16500</v>
      </c>
      <c r="D282" s="395">
        <v>8.1775000000000002</v>
      </c>
      <c r="E282" s="395">
        <v>1.4255</v>
      </c>
      <c r="F282" s="392">
        <v>603.25</v>
      </c>
      <c r="G282" s="396">
        <f t="shared" si="8"/>
        <v>0.84250902829423868</v>
      </c>
      <c r="H282" s="396">
        <f t="shared" si="9"/>
        <v>0.21417357700668238</v>
      </c>
      <c r="I282" s="390"/>
      <c r="J282" s="322"/>
      <c r="K282" s="325"/>
      <c r="L282" s="322"/>
      <c r="M282" s="322"/>
    </row>
    <row r="283" spans="2:13" ht="12" customHeight="1">
      <c r="B283" s="384">
        <v>41739</v>
      </c>
      <c r="C283" s="394">
        <v>16700</v>
      </c>
      <c r="D283" s="395">
        <v>8.2766000000000002</v>
      </c>
      <c r="E283" s="395">
        <v>1.4428000000000001</v>
      </c>
      <c r="F283" s="392">
        <v>601.33000000000004</v>
      </c>
      <c r="G283" s="396">
        <f t="shared" si="8"/>
        <v>0.86484247106144152</v>
      </c>
      <c r="H283" s="396">
        <f t="shared" si="9"/>
        <v>0.21030915385234694</v>
      </c>
      <c r="I283" s="390"/>
      <c r="J283" s="322"/>
      <c r="K283" s="325"/>
      <c r="L283" s="322"/>
      <c r="M283" s="322"/>
    </row>
    <row r="284" spans="2:13" ht="12" customHeight="1">
      <c r="B284" s="384">
        <v>41740</v>
      </c>
      <c r="C284" s="394">
        <v>16600</v>
      </c>
      <c r="D284" s="395">
        <v>8.2270000000000003</v>
      </c>
      <c r="E284" s="395">
        <v>1.4340999999999999</v>
      </c>
      <c r="F284" s="392">
        <v>600.57000000000005</v>
      </c>
      <c r="G284" s="396">
        <f t="shared" si="8"/>
        <v>0.85367574967783999</v>
      </c>
      <c r="H284" s="396">
        <f t="shared" si="9"/>
        <v>0.20877948635375598</v>
      </c>
      <c r="I284" s="390"/>
      <c r="J284" s="322"/>
      <c r="K284" s="325"/>
      <c r="L284" s="322"/>
      <c r="M284" s="322"/>
    </row>
    <row r="285" spans="2:13" ht="12" customHeight="1">
      <c r="B285" s="384">
        <v>41741</v>
      </c>
      <c r="C285" s="394">
        <v>16600</v>
      </c>
      <c r="D285" s="395">
        <v>8.2270000000000003</v>
      </c>
      <c r="E285" s="395">
        <v>1.4340999999999999</v>
      </c>
      <c r="F285" s="392">
        <v>600.57000000000005</v>
      </c>
      <c r="G285" s="396">
        <f t="shared" si="8"/>
        <v>0.85367574967783999</v>
      </c>
      <c r="H285" s="396">
        <f t="shared" si="9"/>
        <v>0.20877948635375598</v>
      </c>
      <c r="I285" s="390"/>
      <c r="J285" s="322"/>
      <c r="K285" s="325"/>
      <c r="L285" s="322"/>
      <c r="M285" s="322"/>
    </row>
    <row r="286" spans="2:13" ht="12" customHeight="1">
      <c r="B286" s="384">
        <v>41742</v>
      </c>
      <c r="C286" s="394">
        <v>16600</v>
      </c>
      <c r="D286" s="395">
        <v>8.2270000000000003</v>
      </c>
      <c r="E286" s="395">
        <v>1.4340999999999999</v>
      </c>
      <c r="F286" s="392">
        <v>600.57000000000005</v>
      </c>
      <c r="G286" s="396">
        <f t="shared" si="8"/>
        <v>0.85367574967783999</v>
      </c>
      <c r="H286" s="396">
        <f t="shared" si="9"/>
        <v>0.20877948635375598</v>
      </c>
      <c r="I286" s="390"/>
      <c r="J286" s="322"/>
      <c r="K286" s="325"/>
      <c r="L286" s="322"/>
      <c r="M286" s="322"/>
    </row>
    <row r="287" spans="2:13" ht="12" customHeight="1">
      <c r="B287" s="384">
        <v>41743</v>
      </c>
      <c r="C287" s="394">
        <v>16400</v>
      </c>
      <c r="D287" s="395">
        <v>8.1279000000000003</v>
      </c>
      <c r="E287" s="395">
        <v>1.4169</v>
      </c>
      <c r="F287" s="392">
        <v>596.11</v>
      </c>
      <c r="G287" s="396">
        <f t="shared" si="8"/>
        <v>0.83134230691063715</v>
      </c>
      <c r="H287" s="396">
        <f t="shared" si="9"/>
        <v>0.19980275340149745</v>
      </c>
      <c r="I287" s="390"/>
      <c r="J287" s="322"/>
      <c r="K287" s="325"/>
      <c r="L287" s="322"/>
      <c r="M287" s="322"/>
    </row>
    <row r="288" spans="2:13" ht="12" customHeight="1">
      <c r="B288" s="384">
        <v>41744</v>
      </c>
      <c r="C288" s="394">
        <v>15800</v>
      </c>
      <c r="D288" s="395">
        <v>7.8304999999999998</v>
      </c>
      <c r="E288" s="395">
        <v>1.365</v>
      </c>
      <c r="F288" s="392">
        <v>586.09</v>
      </c>
      <c r="G288" s="396">
        <f t="shared" si="8"/>
        <v>0.76434197860902842</v>
      </c>
      <c r="H288" s="396">
        <f t="shared" si="9"/>
        <v>0.17963529506480969</v>
      </c>
      <c r="I288" s="390"/>
      <c r="J288" s="322"/>
      <c r="K288" s="325"/>
      <c r="L288" s="322"/>
      <c r="M288" s="322"/>
    </row>
    <row r="289" spans="1:13" ht="12" customHeight="1">
      <c r="B289" s="384">
        <v>41745</v>
      </c>
      <c r="C289" s="394">
        <v>15600</v>
      </c>
      <c r="D289" s="395">
        <v>7.7313999999999998</v>
      </c>
      <c r="E289" s="395">
        <v>1.3477999999999999</v>
      </c>
      <c r="F289" s="392">
        <v>574.29</v>
      </c>
      <c r="G289" s="396">
        <f t="shared" si="8"/>
        <v>0.74200853584182558</v>
      </c>
      <c r="H289" s="396">
        <f t="shared" si="9"/>
        <v>0.15588519442879001</v>
      </c>
      <c r="I289" s="390"/>
      <c r="J289" s="322"/>
      <c r="K289" s="325"/>
      <c r="L289" s="322"/>
      <c r="M289" s="322"/>
    </row>
    <row r="290" spans="1:13" ht="12" customHeight="1">
      <c r="B290" s="384">
        <v>41746</v>
      </c>
      <c r="C290" s="394">
        <v>16000</v>
      </c>
      <c r="D290" s="395">
        <v>7.9297000000000004</v>
      </c>
      <c r="E290" s="395">
        <v>1.3822999999999999</v>
      </c>
      <c r="F290" s="392">
        <v>580.30999999999995</v>
      </c>
      <c r="G290" s="396">
        <f t="shared" si="8"/>
        <v>0.78667542137623125</v>
      </c>
      <c r="H290" s="396">
        <f t="shared" si="9"/>
        <v>0.16800177119394566</v>
      </c>
      <c r="I290" s="390"/>
      <c r="J290" s="322"/>
      <c r="K290" s="325"/>
      <c r="L290" s="322"/>
      <c r="M290" s="322"/>
    </row>
    <row r="291" spans="1:13" ht="12" customHeight="1">
      <c r="B291" s="384">
        <v>41747</v>
      </c>
      <c r="C291" s="394">
        <v>15200</v>
      </c>
      <c r="D291" s="395">
        <v>7.5331999999999999</v>
      </c>
      <c r="E291" s="395">
        <v>1.3131999999999999</v>
      </c>
      <c r="F291" s="392">
        <v>565.33000000000004</v>
      </c>
      <c r="G291" s="396">
        <f t="shared" si="8"/>
        <v>0.69734165030741968</v>
      </c>
      <c r="H291" s="396">
        <f t="shared" si="9"/>
        <v>0.13785121970855818</v>
      </c>
      <c r="I291" s="390"/>
      <c r="J291" s="322"/>
      <c r="K291" s="325"/>
      <c r="L291" s="322"/>
      <c r="M291" s="322"/>
    </row>
    <row r="292" spans="1:13" ht="12" customHeight="1">
      <c r="B292" s="384">
        <v>41748</v>
      </c>
      <c r="C292" s="394">
        <v>15200</v>
      </c>
      <c r="D292" s="395">
        <v>7.5331999999999999</v>
      </c>
      <c r="E292" s="395">
        <v>1.3131999999999999</v>
      </c>
      <c r="F292" s="392">
        <v>565.33000000000004</v>
      </c>
      <c r="G292" s="396">
        <f t="shared" si="8"/>
        <v>0.69734165030741968</v>
      </c>
      <c r="H292" s="396">
        <f t="shared" si="9"/>
        <v>0.13785121970855818</v>
      </c>
      <c r="I292" s="390"/>
      <c r="J292" s="322"/>
      <c r="K292" s="325"/>
      <c r="L292" s="322"/>
      <c r="M292" s="322"/>
    </row>
    <row r="293" spans="1:13" ht="12" customHeight="1">
      <c r="B293" s="384">
        <v>41749</v>
      </c>
      <c r="C293" s="394">
        <v>15200</v>
      </c>
      <c r="D293" s="395">
        <v>7.5331999999999999</v>
      </c>
      <c r="E293" s="395">
        <v>1.3131999999999999</v>
      </c>
      <c r="F293" s="392">
        <v>565.33000000000004</v>
      </c>
      <c r="G293" s="396">
        <f t="shared" si="8"/>
        <v>0.69734165030741968</v>
      </c>
      <c r="H293" s="396">
        <f t="shared" si="9"/>
        <v>0.13785121970855818</v>
      </c>
      <c r="I293" s="390"/>
      <c r="J293" s="322"/>
      <c r="K293" s="325"/>
      <c r="L293" s="322"/>
      <c r="M293" s="322"/>
    </row>
    <row r="294" spans="1:13" ht="12" customHeight="1">
      <c r="B294" s="384">
        <v>41750</v>
      </c>
      <c r="C294" s="394">
        <v>15300</v>
      </c>
      <c r="D294" s="395">
        <v>7.5827</v>
      </c>
      <c r="E294" s="395">
        <v>1.3218000000000001</v>
      </c>
      <c r="F294" s="392">
        <v>558.14</v>
      </c>
      <c r="G294" s="396">
        <f t="shared" si="8"/>
        <v>0.70850837169102121</v>
      </c>
      <c r="H294" s="396">
        <f t="shared" si="9"/>
        <v>0.1233797600837292</v>
      </c>
      <c r="I294" s="390"/>
      <c r="J294" s="322"/>
      <c r="K294" s="325"/>
      <c r="L294" s="322"/>
      <c r="M294" s="322"/>
    </row>
    <row r="295" spans="1:13" ht="12" customHeight="1">
      <c r="B295" s="384">
        <v>41751</v>
      </c>
      <c r="C295" s="394">
        <v>15900</v>
      </c>
      <c r="D295" s="395">
        <v>7.8800999999999997</v>
      </c>
      <c r="E295" s="395">
        <v>1.3736999999999999</v>
      </c>
      <c r="F295" s="392">
        <v>569.87</v>
      </c>
      <c r="G295" s="396">
        <f t="shared" si="8"/>
        <v>0.77550869999262995</v>
      </c>
      <c r="H295" s="396">
        <f t="shared" si="9"/>
        <v>0.14698897029224711</v>
      </c>
      <c r="I295" s="390"/>
      <c r="J295" s="322"/>
      <c r="K295" s="325"/>
      <c r="L295" s="322"/>
      <c r="M295" s="322"/>
    </row>
    <row r="296" spans="1:13" s="36" customFormat="1" ht="12" customHeight="1">
      <c r="A296" s="34"/>
      <c r="B296" s="384">
        <v>41752</v>
      </c>
      <c r="C296" s="394">
        <v>15600</v>
      </c>
      <c r="D296" s="395">
        <v>7.7313999999999998</v>
      </c>
      <c r="E296" s="395">
        <v>1.3477999999999999</v>
      </c>
      <c r="F296" s="392">
        <v>569.36</v>
      </c>
      <c r="G296" s="396">
        <f t="shared" si="8"/>
        <v>0.74200853584182558</v>
      </c>
      <c r="H296" s="396">
        <f t="shared" si="9"/>
        <v>0.14596248289187685</v>
      </c>
      <c r="I296" s="390"/>
      <c r="J296" s="326"/>
      <c r="K296" s="325"/>
      <c r="L296" s="326"/>
      <c r="M296" s="326"/>
    </row>
    <row r="297" spans="1:13" s="36" customFormat="1" ht="12" customHeight="1">
      <c r="A297" s="34"/>
      <c r="B297" s="384">
        <v>41753</v>
      </c>
      <c r="C297" s="394">
        <v>15800</v>
      </c>
      <c r="D297" s="395">
        <v>7.8304999999999998</v>
      </c>
      <c r="E297" s="395">
        <v>1.365</v>
      </c>
      <c r="F297" s="392">
        <v>570.46</v>
      </c>
      <c r="G297" s="396">
        <f t="shared" si="8"/>
        <v>0.76434197860902842</v>
      </c>
      <c r="H297" s="396">
        <f t="shared" si="9"/>
        <v>0.14817647532404821</v>
      </c>
      <c r="I297" s="390"/>
      <c r="J297" s="326"/>
      <c r="K297" s="325"/>
      <c r="L297" s="326"/>
      <c r="M297" s="326"/>
    </row>
    <row r="298" spans="1:13" s="36" customFormat="1" ht="12" customHeight="1">
      <c r="A298" s="34"/>
      <c r="B298" s="384">
        <v>41754</v>
      </c>
      <c r="C298" s="394">
        <v>15900</v>
      </c>
      <c r="D298" s="395">
        <v>7.8800999999999997</v>
      </c>
      <c r="E298" s="395">
        <v>1.3736999999999999</v>
      </c>
      <c r="F298" s="392">
        <v>578.91999999999996</v>
      </c>
      <c r="G298" s="396">
        <f t="shared" si="8"/>
        <v>0.77550869999262995</v>
      </c>
      <c r="H298" s="396">
        <f t="shared" si="9"/>
        <v>0.16520408984783841</v>
      </c>
      <c r="I298" s="390"/>
      <c r="J298" s="326"/>
      <c r="K298" s="325"/>
      <c r="L298" s="326"/>
      <c r="M298" s="326"/>
    </row>
    <row r="299" spans="1:13" s="36" customFormat="1" ht="12" customHeight="1">
      <c r="A299" s="34"/>
      <c r="B299" s="384">
        <v>41755</v>
      </c>
      <c r="C299" s="394">
        <v>15900</v>
      </c>
      <c r="D299" s="395">
        <v>7.8800999999999997</v>
      </c>
      <c r="E299" s="395">
        <v>1.3736999999999999</v>
      </c>
      <c r="F299" s="392">
        <v>578.91999999999996</v>
      </c>
      <c r="G299" s="396">
        <f t="shared" si="8"/>
        <v>0.77550869999262995</v>
      </c>
      <c r="H299" s="396">
        <f t="shared" si="9"/>
        <v>0.16520408984783841</v>
      </c>
      <c r="I299" s="390"/>
      <c r="J299" s="326"/>
      <c r="K299" s="325"/>
      <c r="L299" s="326"/>
      <c r="M299" s="326"/>
    </row>
    <row r="300" spans="1:13" s="36" customFormat="1" ht="12" customHeight="1">
      <c r="A300" s="34"/>
      <c r="B300" s="384">
        <v>41756</v>
      </c>
      <c r="C300" s="394">
        <v>15900</v>
      </c>
      <c r="D300" s="395">
        <v>7.8800999999999997</v>
      </c>
      <c r="E300" s="395">
        <v>1.3736999999999999</v>
      </c>
      <c r="F300" s="392">
        <v>578.91999999999996</v>
      </c>
      <c r="G300" s="396">
        <f t="shared" si="8"/>
        <v>0.77550869999262995</v>
      </c>
      <c r="H300" s="396">
        <f t="shared" si="9"/>
        <v>0.16520408984783841</v>
      </c>
      <c r="I300" s="390"/>
      <c r="J300" s="326"/>
      <c r="K300" s="325"/>
      <c r="L300" s="326"/>
      <c r="M300" s="326"/>
    </row>
    <row r="301" spans="1:13" s="36" customFormat="1" ht="12" customHeight="1">
      <c r="A301" s="34"/>
      <c r="B301" s="384">
        <v>41757</v>
      </c>
      <c r="C301" s="394">
        <v>15600</v>
      </c>
      <c r="D301" s="395">
        <v>7.7313999999999998</v>
      </c>
      <c r="E301" s="395">
        <v>1.3477999999999999</v>
      </c>
      <c r="F301" s="392">
        <v>573.1</v>
      </c>
      <c r="G301" s="396">
        <f t="shared" si="8"/>
        <v>0.74200853584182558</v>
      </c>
      <c r="H301" s="396">
        <f t="shared" si="9"/>
        <v>0.15349005716125919</v>
      </c>
      <c r="I301" s="390"/>
      <c r="J301" s="326"/>
      <c r="K301" s="325"/>
      <c r="L301" s="326"/>
      <c r="M301" s="326"/>
    </row>
    <row r="302" spans="1:13" s="36" customFormat="1" ht="12" customHeight="1">
      <c r="A302" s="34"/>
      <c r="B302" s="384">
        <v>41758</v>
      </c>
      <c r="C302" s="394">
        <v>15900</v>
      </c>
      <c r="D302" s="395">
        <v>7.8800999999999997</v>
      </c>
      <c r="E302" s="395">
        <v>1.3736999999999999</v>
      </c>
      <c r="F302" s="392">
        <v>578</v>
      </c>
      <c r="G302" s="396">
        <f t="shared" si="8"/>
        <v>0.77550869999262995</v>
      </c>
      <c r="H302" s="396">
        <f t="shared" si="9"/>
        <v>0.163352387086386</v>
      </c>
      <c r="I302" s="390"/>
      <c r="J302" s="326"/>
      <c r="K302" s="325"/>
      <c r="L302" s="326"/>
      <c r="M302" s="326"/>
    </row>
    <row r="303" spans="1:13" s="36" customFormat="1" ht="12" customHeight="1">
      <c r="A303" s="34"/>
      <c r="B303" s="384">
        <v>41759</v>
      </c>
      <c r="C303" s="394">
        <v>15900</v>
      </c>
      <c r="D303" s="395">
        <v>7.8800999999999997</v>
      </c>
      <c r="E303" s="395">
        <v>1.3736999999999999</v>
      </c>
      <c r="F303" s="392">
        <v>578</v>
      </c>
      <c r="G303" s="396">
        <f t="shared" si="8"/>
        <v>0.77550869999262995</v>
      </c>
      <c r="H303" s="396">
        <f t="shared" si="9"/>
        <v>0.163352387086386</v>
      </c>
      <c r="I303" s="390"/>
      <c r="J303" s="326"/>
      <c r="K303" s="325"/>
      <c r="L303" s="326"/>
      <c r="M303" s="326"/>
    </row>
    <row r="304" spans="1:13" s="36" customFormat="1" ht="12" customHeight="1">
      <c r="A304" s="34"/>
      <c r="B304" s="384">
        <v>41760</v>
      </c>
      <c r="C304" s="394">
        <v>15900</v>
      </c>
      <c r="D304" s="395">
        <v>7.8800999999999997</v>
      </c>
      <c r="E304" s="395">
        <v>1.3736999999999999</v>
      </c>
      <c r="F304" s="392">
        <v>578</v>
      </c>
      <c r="G304" s="396">
        <f t="shared" si="8"/>
        <v>0.77550869999262995</v>
      </c>
      <c r="H304" s="396">
        <f t="shared" si="9"/>
        <v>0.163352387086386</v>
      </c>
      <c r="I304" s="390"/>
      <c r="J304" s="326"/>
      <c r="K304" s="325"/>
      <c r="L304" s="326"/>
      <c r="M304" s="326"/>
    </row>
    <row r="305" spans="1:13" s="36" customFormat="1" ht="12" customHeight="1">
      <c r="A305" s="34"/>
      <c r="B305" s="384">
        <v>41761</v>
      </c>
      <c r="C305" s="394">
        <v>15900</v>
      </c>
      <c r="D305" s="395">
        <v>7.8800999999999997</v>
      </c>
      <c r="E305" s="395">
        <v>1.3736999999999999</v>
      </c>
      <c r="F305" s="392">
        <v>578</v>
      </c>
      <c r="G305" s="396">
        <f t="shared" si="8"/>
        <v>0.77550869999262995</v>
      </c>
      <c r="H305" s="396">
        <f t="shared" si="9"/>
        <v>0.163352387086386</v>
      </c>
      <c r="I305" s="390"/>
      <c r="J305" s="326"/>
      <c r="K305" s="325"/>
      <c r="L305" s="326"/>
      <c r="M305" s="326"/>
    </row>
    <row r="306" spans="1:13" s="36" customFormat="1" ht="12" customHeight="1">
      <c r="A306" s="34"/>
      <c r="B306" s="384">
        <v>41762</v>
      </c>
      <c r="C306" s="394">
        <v>15900</v>
      </c>
      <c r="D306" s="395">
        <v>7.8800999999999997</v>
      </c>
      <c r="E306" s="395">
        <v>1.3736999999999999</v>
      </c>
      <c r="F306" s="392">
        <v>578</v>
      </c>
      <c r="G306" s="396">
        <f t="shared" si="8"/>
        <v>0.77550869999262995</v>
      </c>
      <c r="H306" s="396">
        <f t="shared" si="9"/>
        <v>0.163352387086386</v>
      </c>
      <c r="I306" s="390"/>
      <c r="J306" s="326"/>
      <c r="K306" s="325"/>
      <c r="L306" s="326"/>
      <c r="M306" s="326"/>
    </row>
    <row r="307" spans="1:13" s="36" customFormat="1" ht="12" customHeight="1">
      <c r="A307" s="34"/>
      <c r="B307" s="384">
        <v>41763</v>
      </c>
      <c r="C307" s="394">
        <v>15900</v>
      </c>
      <c r="D307" s="395">
        <v>7.8800999999999997</v>
      </c>
      <c r="E307" s="395">
        <v>1.3736999999999999</v>
      </c>
      <c r="F307" s="392">
        <v>578</v>
      </c>
      <c r="G307" s="396">
        <f t="shared" si="8"/>
        <v>0.77550869999262995</v>
      </c>
      <c r="H307" s="396">
        <f t="shared" si="9"/>
        <v>0.163352387086386</v>
      </c>
      <c r="I307" s="390"/>
      <c r="J307" s="326"/>
      <c r="K307" s="325"/>
      <c r="L307" s="326"/>
      <c r="M307" s="326"/>
    </row>
    <row r="308" spans="1:13" s="36" customFormat="1" ht="12" customHeight="1">
      <c r="A308" s="34"/>
      <c r="B308" s="384">
        <v>41764</v>
      </c>
      <c r="C308" s="394">
        <v>15100</v>
      </c>
      <c r="D308" s="395">
        <v>7.4836</v>
      </c>
      <c r="E308" s="395">
        <v>1.3046</v>
      </c>
      <c r="F308" s="392">
        <v>564.85</v>
      </c>
      <c r="G308" s="396">
        <f t="shared" si="8"/>
        <v>0.68617492892381837</v>
      </c>
      <c r="H308" s="396">
        <f t="shared" si="9"/>
        <v>0.13688511391997427</v>
      </c>
      <c r="I308" s="390"/>
      <c r="J308" s="326"/>
      <c r="K308" s="325"/>
      <c r="L308" s="326"/>
      <c r="M308" s="326"/>
    </row>
    <row r="309" spans="1:13" s="36" customFormat="1" ht="12" customHeight="1">
      <c r="A309" s="34"/>
      <c r="B309" s="384">
        <v>41765</v>
      </c>
      <c r="C309" s="394">
        <v>14300</v>
      </c>
      <c r="D309" s="395">
        <v>7.0871000000000004</v>
      </c>
      <c r="E309" s="395">
        <v>1.2354000000000001</v>
      </c>
      <c r="F309" s="392">
        <v>555.11</v>
      </c>
      <c r="G309" s="396">
        <f t="shared" si="8"/>
        <v>0.5968411578550068</v>
      </c>
      <c r="H309" s="396">
        <f t="shared" si="9"/>
        <v>0.11728121729329377</v>
      </c>
      <c r="I309" s="390"/>
      <c r="J309" s="326"/>
      <c r="K309" s="325"/>
      <c r="L309" s="326"/>
      <c r="M309" s="326"/>
    </row>
    <row r="310" spans="1:13" s="36" customFormat="1" ht="12" customHeight="1">
      <c r="A310" s="34"/>
      <c r="B310" s="384">
        <v>41766</v>
      </c>
      <c r="C310" s="394">
        <v>14300</v>
      </c>
      <c r="D310" s="395">
        <v>7.0871000000000004</v>
      </c>
      <c r="E310" s="395">
        <v>1.2354000000000001</v>
      </c>
      <c r="F310" s="392">
        <v>559.97</v>
      </c>
      <c r="G310" s="396">
        <f t="shared" si="8"/>
        <v>0.5968411578550068</v>
      </c>
      <c r="H310" s="396">
        <f t="shared" si="9"/>
        <v>0.12706303840270516</v>
      </c>
      <c r="I310" s="390"/>
      <c r="J310" s="326"/>
      <c r="K310" s="325"/>
      <c r="L310" s="326"/>
      <c r="M310" s="326"/>
    </row>
    <row r="311" spans="1:13" s="36" customFormat="1" ht="12" customHeight="1">
      <c r="A311" s="34"/>
      <c r="B311" s="384">
        <v>41767</v>
      </c>
      <c r="C311" s="394">
        <v>13300</v>
      </c>
      <c r="D311" s="395">
        <v>6.5914999999999999</v>
      </c>
      <c r="E311" s="395">
        <v>1.149</v>
      </c>
      <c r="F311" s="392">
        <v>527.09</v>
      </c>
      <c r="G311" s="396">
        <f t="shared" si="8"/>
        <v>0.48517394401899239</v>
      </c>
      <c r="H311" s="396">
        <f t="shared" si="9"/>
        <v>6.088479188471152E-2</v>
      </c>
      <c r="I311" s="390"/>
      <c r="J311" s="326"/>
      <c r="K311" s="325"/>
      <c r="L311" s="326"/>
      <c r="M311" s="326"/>
    </row>
    <row r="312" spans="1:13" ht="12" customHeight="1">
      <c r="B312" s="384">
        <v>41768</v>
      </c>
      <c r="C312" s="394">
        <v>13600</v>
      </c>
      <c r="D312" s="395">
        <v>6.7401999999999997</v>
      </c>
      <c r="E312" s="395">
        <v>1.175</v>
      </c>
      <c r="F312" s="392">
        <v>542.46</v>
      </c>
      <c r="G312" s="396">
        <f t="shared" si="8"/>
        <v>0.51867410816979675</v>
      </c>
      <c r="H312" s="396">
        <f t="shared" si="9"/>
        <v>9.1820304323323443E-2</v>
      </c>
      <c r="I312" s="390"/>
      <c r="J312" s="322"/>
      <c r="K312" s="325"/>
      <c r="L312" s="322"/>
      <c r="M312" s="322"/>
    </row>
    <row r="313" spans="1:13" ht="12" customHeight="1">
      <c r="B313" s="384">
        <v>41769</v>
      </c>
      <c r="C313" s="394">
        <v>13600</v>
      </c>
      <c r="D313" s="395">
        <v>6.7401999999999997</v>
      </c>
      <c r="E313" s="395">
        <v>1.175</v>
      </c>
      <c r="F313" s="392">
        <v>542.46</v>
      </c>
      <c r="G313" s="396">
        <f t="shared" si="8"/>
        <v>0.51867410816979675</v>
      </c>
      <c r="H313" s="396">
        <f t="shared" si="9"/>
        <v>9.1820304323323443E-2</v>
      </c>
      <c r="I313" s="390"/>
      <c r="J313" s="322"/>
      <c r="K313" s="325"/>
      <c r="L313" s="322"/>
      <c r="M313" s="322"/>
    </row>
    <row r="314" spans="1:13" ht="12" customHeight="1">
      <c r="B314" s="384">
        <v>41770</v>
      </c>
      <c r="C314" s="394">
        <v>13600</v>
      </c>
      <c r="D314" s="395">
        <v>6.7401999999999997</v>
      </c>
      <c r="E314" s="395">
        <v>1.175</v>
      </c>
      <c r="F314" s="392">
        <v>542.46</v>
      </c>
      <c r="G314" s="396">
        <f t="shared" si="8"/>
        <v>0.51867410816979675</v>
      </c>
      <c r="H314" s="396">
        <f t="shared" si="9"/>
        <v>9.1820304323323443E-2</v>
      </c>
      <c r="I314" s="390"/>
      <c r="J314" s="322"/>
      <c r="K314" s="325"/>
      <c r="L314" s="322"/>
      <c r="M314" s="322"/>
    </row>
    <row r="315" spans="1:13" ht="12" customHeight="1">
      <c r="B315" s="384">
        <v>41771</v>
      </c>
      <c r="C315" s="394">
        <v>12700</v>
      </c>
      <c r="D315" s="395">
        <v>6.2942</v>
      </c>
      <c r="E315" s="395">
        <v>1.0972</v>
      </c>
      <c r="F315" s="392">
        <v>517.04999999999995</v>
      </c>
      <c r="G315" s="396">
        <f t="shared" si="8"/>
        <v>0.41817361571738365</v>
      </c>
      <c r="H315" s="396">
        <f t="shared" si="9"/>
        <v>4.0677079140165828E-2</v>
      </c>
      <c r="I315" s="390"/>
      <c r="J315" s="322"/>
      <c r="K315" s="325"/>
      <c r="L315" s="322"/>
      <c r="M315" s="322"/>
    </row>
    <row r="316" spans="1:13" ht="12" customHeight="1">
      <c r="B316" s="384">
        <v>41772</v>
      </c>
      <c r="C316" s="394">
        <v>12500</v>
      </c>
      <c r="D316" s="395">
        <v>6.1951000000000001</v>
      </c>
      <c r="E316" s="395">
        <v>1.0799000000000001</v>
      </c>
      <c r="F316" s="392">
        <v>513.91</v>
      </c>
      <c r="G316" s="396">
        <f t="shared" si="8"/>
        <v>0.39584017295018081</v>
      </c>
      <c r="H316" s="396">
        <f t="shared" si="9"/>
        <v>3.4357137106513225E-2</v>
      </c>
      <c r="I316" s="390"/>
      <c r="J316" s="322"/>
      <c r="K316" s="325"/>
      <c r="L316" s="322"/>
      <c r="M316" s="322"/>
    </row>
    <row r="317" spans="1:13" ht="12" customHeight="1">
      <c r="B317" s="384">
        <v>41773</v>
      </c>
      <c r="C317" s="394">
        <v>13200</v>
      </c>
      <c r="D317" s="395">
        <v>6.5419999999999998</v>
      </c>
      <c r="E317" s="395">
        <v>1.1404000000000001</v>
      </c>
      <c r="F317" s="392">
        <v>529.53</v>
      </c>
      <c r="G317" s="396">
        <f t="shared" si="8"/>
        <v>0.47400722263539086</v>
      </c>
      <c r="H317" s="396">
        <f t="shared" si="9"/>
        <v>6.5795829643345849E-2</v>
      </c>
      <c r="I317" s="390"/>
      <c r="J317" s="322"/>
      <c r="K317" s="325"/>
      <c r="L317" s="322"/>
      <c r="M317" s="322"/>
    </row>
    <row r="318" spans="1:13" ht="12" customHeight="1">
      <c r="B318" s="384">
        <v>41774</v>
      </c>
      <c r="C318" s="394">
        <v>13200</v>
      </c>
      <c r="D318" s="395">
        <v>6.5419999999999998</v>
      </c>
      <c r="E318" s="395">
        <v>1.1404000000000001</v>
      </c>
      <c r="F318" s="392">
        <v>524.04999999999995</v>
      </c>
      <c r="G318" s="396">
        <f t="shared" si="8"/>
        <v>0.47400722263539086</v>
      </c>
      <c r="H318" s="396">
        <f t="shared" si="9"/>
        <v>5.4766121890347019E-2</v>
      </c>
      <c r="I318" s="390"/>
      <c r="J318" s="322"/>
      <c r="K318" s="325"/>
      <c r="L318" s="322"/>
      <c r="M318" s="322"/>
    </row>
    <row r="319" spans="1:13" ht="12" customHeight="1">
      <c r="B319" s="384">
        <v>41775</v>
      </c>
      <c r="C319" s="394">
        <v>13800</v>
      </c>
      <c r="D319" s="395">
        <v>6.8392999999999997</v>
      </c>
      <c r="E319" s="395">
        <v>1.1921999999999999</v>
      </c>
      <c r="F319" s="392">
        <v>529.49</v>
      </c>
      <c r="G319" s="396">
        <f t="shared" si="8"/>
        <v>0.54100755093699959</v>
      </c>
      <c r="H319" s="396">
        <f t="shared" si="9"/>
        <v>6.5715320827630652E-2</v>
      </c>
      <c r="I319" s="390"/>
      <c r="J319" s="322"/>
      <c r="K319" s="325"/>
      <c r="L319" s="322"/>
      <c r="M319" s="322"/>
    </row>
    <row r="320" spans="1:13" ht="12" customHeight="1">
      <c r="B320" s="384">
        <v>41776</v>
      </c>
      <c r="C320" s="394">
        <v>13800</v>
      </c>
      <c r="D320" s="395">
        <v>6.8392999999999997</v>
      </c>
      <c r="E320" s="395">
        <v>1.1921999999999999</v>
      </c>
      <c r="F320" s="392">
        <v>529.49</v>
      </c>
      <c r="G320" s="396">
        <f t="shared" si="8"/>
        <v>0.54100755093699959</v>
      </c>
      <c r="H320" s="396">
        <f t="shared" si="9"/>
        <v>6.5715320827630652E-2</v>
      </c>
      <c r="I320" s="390"/>
      <c r="J320" s="322"/>
      <c r="K320" s="325"/>
      <c r="L320" s="322"/>
      <c r="M320" s="322"/>
    </row>
    <row r="321" spans="2:13" ht="12" customHeight="1">
      <c r="B321" s="384">
        <v>41777</v>
      </c>
      <c r="C321" s="394">
        <v>13800</v>
      </c>
      <c r="D321" s="395">
        <v>6.8392999999999997</v>
      </c>
      <c r="E321" s="395">
        <v>1.1921999999999999</v>
      </c>
      <c r="F321" s="392">
        <v>529.49</v>
      </c>
      <c r="G321" s="396">
        <f t="shared" si="8"/>
        <v>0.54100755093699959</v>
      </c>
      <c r="H321" s="396">
        <f t="shared" si="9"/>
        <v>6.5715320827630652E-2</v>
      </c>
      <c r="I321" s="390"/>
      <c r="J321" s="322"/>
      <c r="K321" s="325"/>
      <c r="L321" s="322"/>
      <c r="M321" s="322"/>
    </row>
    <row r="322" spans="2:13" ht="12" customHeight="1">
      <c r="B322" s="384">
        <v>41778</v>
      </c>
      <c r="C322" s="394">
        <v>14500</v>
      </c>
      <c r="D322" s="395">
        <v>7.1863000000000001</v>
      </c>
      <c r="E322" s="395">
        <v>1.2526999999999999</v>
      </c>
      <c r="F322" s="392">
        <v>533.04</v>
      </c>
      <c r="G322" s="396">
        <f t="shared" si="8"/>
        <v>0.61917460062220964</v>
      </c>
      <c r="H322" s="396">
        <f t="shared" si="9"/>
        <v>7.286047822236541E-2</v>
      </c>
      <c r="I322" s="390"/>
      <c r="J322" s="322"/>
      <c r="K322" s="325"/>
      <c r="L322" s="322"/>
      <c r="M322" s="322"/>
    </row>
    <row r="323" spans="2:13" ht="12" customHeight="1">
      <c r="B323" s="384">
        <v>41779</v>
      </c>
      <c r="C323" s="394">
        <v>15000</v>
      </c>
      <c r="D323" s="395">
        <v>7.4340999999999999</v>
      </c>
      <c r="E323" s="395">
        <v>1.2959000000000001</v>
      </c>
      <c r="F323" s="392">
        <v>537.52</v>
      </c>
      <c r="G323" s="396">
        <f t="shared" si="8"/>
        <v>0.67500820754021684</v>
      </c>
      <c r="H323" s="396">
        <f t="shared" si="9"/>
        <v>8.1877465582481213E-2</v>
      </c>
      <c r="I323" s="390"/>
      <c r="J323" s="322"/>
      <c r="K323" s="325"/>
      <c r="L323" s="322"/>
      <c r="M323" s="322"/>
    </row>
    <row r="324" spans="2:13" ht="12" customHeight="1">
      <c r="B324" s="384">
        <v>41780</v>
      </c>
      <c r="C324" s="394">
        <v>15200</v>
      </c>
      <c r="D324" s="395">
        <v>7.5331999999999999</v>
      </c>
      <c r="E324" s="395">
        <v>1.3131999999999999</v>
      </c>
      <c r="F324" s="392">
        <v>543.88</v>
      </c>
      <c r="G324" s="396">
        <f t="shared" si="8"/>
        <v>0.69734165030741968</v>
      </c>
      <c r="H324" s="396">
        <f t="shared" si="9"/>
        <v>9.4678367281217257E-2</v>
      </c>
      <c r="I324" s="390"/>
      <c r="J324" s="322"/>
      <c r="K324" s="325"/>
      <c r="L324" s="322"/>
      <c r="M324" s="322"/>
    </row>
    <row r="325" spans="2:13" ht="12" customHeight="1">
      <c r="B325" s="384">
        <v>41781</v>
      </c>
      <c r="C325" s="394">
        <v>14500</v>
      </c>
      <c r="D325" s="395">
        <v>7.1863000000000001</v>
      </c>
      <c r="E325" s="395">
        <v>1.2526999999999999</v>
      </c>
      <c r="F325" s="392">
        <v>541.73</v>
      </c>
      <c r="G325" s="396">
        <f t="shared" si="8"/>
        <v>0.61917460062220964</v>
      </c>
      <c r="H325" s="396">
        <f t="shared" si="9"/>
        <v>9.0351018436518826E-2</v>
      </c>
      <c r="I325" s="390"/>
      <c r="J325" s="322"/>
      <c r="K325" s="325"/>
      <c r="L325" s="322"/>
      <c r="M325" s="322"/>
    </row>
    <row r="326" spans="2:13" ht="12" customHeight="1">
      <c r="B326" s="384">
        <v>41782</v>
      </c>
      <c r="C326" s="394">
        <v>14300</v>
      </c>
      <c r="D326" s="395">
        <v>7.0871000000000004</v>
      </c>
      <c r="E326" s="395">
        <v>1.2354000000000001</v>
      </c>
      <c r="F326" s="392">
        <v>541.49</v>
      </c>
      <c r="G326" s="396">
        <f t="shared" si="8"/>
        <v>0.5968411578550068</v>
      </c>
      <c r="H326" s="396">
        <f t="shared" si="9"/>
        <v>8.986796554222698E-2</v>
      </c>
      <c r="I326" s="390"/>
      <c r="J326" s="322"/>
      <c r="K326" s="325"/>
      <c r="L326" s="322"/>
      <c r="M326" s="322"/>
    </row>
    <row r="327" spans="2:13" ht="12" customHeight="1">
      <c r="B327" s="384">
        <v>41783</v>
      </c>
      <c r="C327" s="394">
        <v>14300</v>
      </c>
      <c r="D327" s="395">
        <v>7.0871000000000004</v>
      </c>
      <c r="E327" s="395">
        <v>1.2354000000000001</v>
      </c>
      <c r="F327" s="392">
        <v>541.49</v>
      </c>
      <c r="G327" s="396">
        <f t="shared" si="8"/>
        <v>0.5968411578550068</v>
      </c>
      <c r="H327" s="396">
        <f t="shared" si="9"/>
        <v>8.986796554222698E-2</v>
      </c>
      <c r="I327" s="390"/>
      <c r="J327" s="322"/>
      <c r="K327" s="325"/>
      <c r="L327" s="322"/>
      <c r="M327" s="322"/>
    </row>
    <row r="328" spans="2:13" ht="12" customHeight="1">
      <c r="B328" s="384">
        <v>41784</v>
      </c>
      <c r="C328" s="394">
        <v>14300</v>
      </c>
      <c r="D328" s="395">
        <v>7.0871000000000004</v>
      </c>
      <c r="E328" s="395">
        <v>1.2354000000000001</v>
      </c>
      <c r="F328" s="392">
        <v>541.49</v>
      </c>
      <c r="G328" s="396">
        <f t="shared" si="8"/>
        <v>0.5968411578550068</v>
      </c>
      <c r="H328" s="396">
        <f t="shared" si="9"/>
        <v>8.986796554222698E-2</v>
      </c>
      <c r="I328" s="390"/>
      <c r="J328" s="322"/>
      <c r="K328" s="325"/>
      <c r="L328" s="322"/>
      <c r="M328" s="322"/>
    </row>
    <row r="329" spans="2:13" ht="12" customHeight="1">
      <c r="B329" s="384">
        <v>41785</v>
      </c>
      <c r="C329" s="394">
        <v>14500</v>
      </c>
      <c r="D329" s="395">
        <v>7.1863000000000001</v>
      </c>
      <c r="E329" s="395">
        <v>1.2526999999999999</v>
      </c>
      <c r="F329" s="392">
        <v>544.05999999999995</v>
      </c>
      <c r="G329" s="396">
        <f t="shared" si="8"/>
        <v>0.61917460062220964</v>
      </c>
      <c r="H329" s="396">
        <f t="shared" si="9"/>
        <v>9.5040656951936198E-2</v>
      </c>
      <c r="I329" s="390"/>
      <c r="J329" s="322"/>
      <c r="K329" s="325"/>
      <c r="L329" s="322"/>
      <c r="M329" s="322"/>
    </row>
    <row r="330" spans="2:13" ht="12" customHeight="1">
      <c r="B330" s="384">
        <v>41786</v>
      </c>
      <c r="C330" s="394">
        <v>15000</v>
      </c>
      <c r="D330" s="395">
        <v>7.4340999999999999</v>
      </c>
      <c r="E330" s="395">
        <v>1.2959000000000001</v>
      </c>
      <c r="F330" s="392">
        <v>552.75</v>
      </c>
      <c r="G330" s="396">
        <f t="shared" si="8"/>
        <v>0.67500820754021684</v>
      </c>
      <c r="H330" s="396">
        <f t="shared" si="9"/>
        <v>0.11253119716608984</v>
      </c>
      <c r="I330" s="390"/>
      <c r="J330" s="322"/>
      <c r="K330" s="325"/>
      <c r="L330" s="322"/>
      <c r="M330" s="322"/>
    </row>
    <row r="331" spans="2:13" ht="12" customHeight="1">
      <c r="B331" s="384">
        <v>41787</v>
      </c>
      <c r="C331" s="394">
        <v>14900</v>
      </c>
      <c r="D331" s="395">
        <v>7.3845000000000001</v>
      </c>
      <c r="E331" s="395">
        <v>1.2873000000000001</v>
      </c>
      <c r="F331" s="392">
        <v>557.34</v>
      </c>
      <c r="G331" s="396">
        <f t="shared" si="8"/>
        <v>0.66384148615661553</v>
      </c>
      <c r="H331" s="396">
        <f t="shared" si="9"/>
        <v>0.12176958376942282</v>
      </c>
      <c r="I331" s="390"/>
      <c r="J331" s="322"/>
      <c r="K331" s="325"/>
      <c r="L331" s="322"/>
      <c r="M331" s="322"/>
    </row>
    <row r="332" spans="2:13" ht="12" customHeight="1">
      <c r="B332" s="384">
        <v>41788</v>
      </c>
      <c r="C332" s="394">
        <v>14600</v>
      </c>
      <c r="D332" s="395">
        <v>7.2358000000000002</v>
      </c>
      <c r="E332" s="395">
        <v>1.2614000000000001</v>
      </c>
      <c r="F332" s="392">
        <v>558.45000000000005</v>
      </c>
      <c r="G332" s="396">
        <f t="shared" si="8"/>
        <v>0.63034132200581117</v>
      </c>
      <c r="H332" s="396">
        <f t="shared" si="9"/>
        <v>0.12400370340552302</v>
      </c>
      <c r="I332" s="390"/>
      <c r="J332" s="322"/>
      <c r="K332" s="325"/>
      <c r="L332" s="322"/>
      <c r="M332" s="322"/>
    </row>
    <row r="333" spans="2:13" ht="12" customHeight="1">
      <c r="B333" s="384">
        <v>41789</v>
      </c>
      <c r="C333" s="394">
        <v>14400</v>
      </c>
      <c r="D333" s="395">
        <v>7.1367000000000003</v>
      </c>
      <c r="E333" s="395">
        <v>1.2441</v>
      </c>
      <c r="F333" s="392">
        <v>562.02</v>
      </c>
      <c r="G333" s="396">
        <f t="shared" si="8"/>
        <v>0.60800787923860811</v>
      </c>
      <c r="H333" s="396">
        <f t="shared" si="9"/>
        <v>0.13118911520811527</v>
      </c>
      <c r="I333" s="390"/>
      <c r="J333" s="322"/>
      <c r="K333" s="325"/>
      <c r="L333" s="322"/>
      <c r="M333" s="322"/>
    </row>
    <row r="334" spans="2:13" ht="12" customHeight="1">
      <c r="B334" s="384">
        <v>41790</v>
      </c>
      <c r="C334" s="394">
        <v>14400</v>
      </c>
      <c r="D334" s="395">
        <v>7.1367000000000003</v>
      </c>
      <c r="E334" s="395">
        <v>1.2441</v>
      </c>
      <c r="F334" s="392">
        <v>562.02</v>
      </c>
      <c r="G334" s="396">
        <f t="shared" si="8"/>
        <v>0.60800787923860811</v>
      </c>
      <c r="H334" s="396">
        <f t="shared" si="9"/>
        <v>0.13118911520811527</v>
      </c>
      <c r="I334" s="390"/>
      <c r="J334" s="322"/>
      <c r="K334" s="325"/>
      <c r="L334" s="322"/>
      <c r="M334" s="322"/>
    </row>
    <row r="335" spans="2:13" ht="12" customHeight="1">
      <c r="B335" s="384">
        <v>41791</v>
      </c>
      <c r="C335" s="394">
        <v>14400</v>
      </c>
      <c r="D335" s="395">
        <v>7.1367000000000003</v>
      </c>
      <c r="E335" s="395">
        <v>1.2441</v>
      </c>
      <c r="F335" s="392">
        <v>562.02</v>
      </c>
      <c r="G335" s="396">
        <f t="shared" si="8"/>
        <v>0.60800787923860811</v>
      </c>
      <c r="H335" s="396">
        <f t="shared" si="9"/>
        <v>0.13118911520811527</v>
      </c>
      <c r="I335" s="390"/>
      <c r="J335" s="322"/>
      <c r="K335" s="325"/>
      <c r="L335" s="322"/>
      <c r="M335" s="322"/>
    </row>
    <row r="336" spans="2:13" ht="12" customHeight="1">
      <c r="B336" s="384">
        <v>41792</v>
      </c>
      <c r="C336" s="394">
        <v>14100</v>
      </c>
      <c r="D336" s="395">
        <v>6.9879999999999995</v>
      </c>
      <c r="E336" s="395">
        <v>1.2181999999999999</v>
      </c>
      <c r="F336" s="392">
        <v>556.79999999999995</v>
      </c>
      <c r="G336" s="396">
        <f t="shared" si="8"/>
        <v>0.57450771508780396</v>
      </c>
      <c r="H336" s="396">
        <f t="shared" si="9"/>
        <v>0.120682714757266</v>
      </c>
      <c r="I336" s="390"/>
      <c r="J336" s="322"/>
      <c r="K336" s="325"/>
      <c r="L336" s="322"/>
      <c r="M336" s="322"/>
    </row>
    <row r="337" spans="2:13" ht="12" customHeight="1">
      <c r="B337" s="384">
        <v>41793</v>
      </c>
      <c r="C337" s="394">
        <v>14400</v>
      </c>
      <c r="D337" s="395">
        <v>7.1367000000000003</v>
      </c>
      <c r="E337" s="395">
        <v>1.2441</v>
      </c>
      <c r="F337" s="392">
        <v>558.76</v>
      </c>
      <c r="G337" s="396">
        <f t="shared" si="8"/>
        <v>0.60800787923860811</v>
      </c>
      <c r="H337" s="396">
        <f t="shared" si="9"/>
        <v>0.12462764672731663</v>
      </c>
      <c r="I337" s="390"/>
      <c r="J337" s="322"/>
      <c r="K337" s="325"/>
      <c r="L337" s="322"/>
      <c r="M337" s="322"/>
    </row>
    <row r="338" spans="2:13" ht="12" customHeight="1">
      <c r="B338" s="384">
        <v>41794</v>
      </c>
      <c r="C338" s="394">
        <v>14200</v>
      </c>
      <c r="D338" s="395">
        <v>7.0376000000000003</v>
      </c>
      <c r="E338" s="395">
        <v>1.2267999999999999</v>
      </c>
      <c r="F338" s="392">
        <v>553.46</v>
      </c>
      <c r="G338" s="396">
        <f t="shared" ref="G338:G382" si="10">C338/C$17-1</f>
        <v>0.58567443647140527</v>
      </c>
      <c r="H338" s="396">
        <f t="shared" ref="H338:H382" si="11">F338/F$17-1</f>
        <v>0.11396022864503674</v>
      </c>
      <c r="I338" s="390"/>
      <c r="J338" s="322"/>
      <c r="K338" s="325"/>
      <c r="L338" s="322"/>
      <c r="M338" s="322"/>
    </row>
    <row r="339" spans="2:13" ht="12" customHeight="1">
      <c r="B339" s="384">
        <v>41795</v>
      </c>
      <c r="C339" s="394">
        <v>14300</v>
      </c>
      <c r="D339" s="395">
        <v>7.0871000000000004</v>
      </c>
      <c r="E339" s="395">
        <v>1.2354000000000001</v>
      </c>
      <c r="F339" s="392">
        <v>551.1</v>
      </c>
      <c r="G339" s="396">
        <f t="shared" si="10"/>
        <v>0.5968411578550068</v>
      </c>
      <c r="H339" s="396">
        <f t="shared" si="11"/>
        <v>0.10921020851783281</v>
      </c>
      <c r="I339" s="390"/>
      <c r="J339" s="322"/>
      <c r="K339" s="325"/>
      <c r="L339" s="322"/>
      <c r="M339" s="322"/>
    </row>
    <row r="340" spans="2:13" ht="12" customHeight="1">
      <c r="B340" s="384">
        <v>41796</v>
      </c>
      <c r="C340" s="394">
        <v>14600</v>
      </c>
      <c r="D340" s="395">
        <v>7.2358000000000002</v>
      </c>
      <c r="E340" s="395">
        <v>1.2614000000000001</v>
      </c>
      <c r="F340" s="392">
        <v>559.04</v>
      </c>
      <c r="G340" s="396">
        <f t="shared" si="10"/>
        <v>0.63034132200581117</v>
      </c>
      <c r="H340" s="396">
        <f t="shared" si="11"/>
        <v>0.1251912084373239</v>
      </c>
      <c r="I340" s="390"/>
      <c r="J340" s="322"/>
      <c r="K340" s="325"/>
      <c r="L340" s="322"/>
      <c r="M340" s="322"/>
    </row>
    <row r="341" spans="2:13" ht="12" customHeight="1">
      <c r="B341" s="384">
        <v>41797</v>
      </c>
      <c r="C341" s="394">
        <v>14600</v>
      </c>
      <c r="D341" s="395">
        <v>7.2358000000000002</v>
      </c>
      <c r="E341" s="395">
        <v>1.2614000000000001</v>
      </c>
      <c r="F341" s="392">
        <v>559.04</v>
      </c>
      <c r="G341" s="396">
        <f t="shared" si="10"/>
        <v>0.63034132200581117</v>
      </c>
      <c r="H341" s="396">
        <f t="shared" si="11"/>
        <v>0.1251912084373239</v>
      </c>
      <c r="I341" s="390"/>
      <c r="J341" s="322"/>
      <c r="K341" s="325"/>
      <c r="L341" s="322"/>
      <c r="M341" s="322"/>
    </row>
    <row r="342" spans="2:13" ht="12" customHeight="1">
      <c r="B342" s="384">
        <v>41798</v>
      </c>
      <c r="C342" s="394">
        <v>14600</v>
      </c>
      <c r="D342" s="395">
        <v>7.2358000000000002</v>
      </c>
      <c r="E342" s="395">
        <v>1.2614000000000001</v>
      </c>
      <c r="F342" s="392">
        <v>559.04</v>
      </c>
      <c r="G342" s="396">
        <f t="shared" si="10"/>
        <v>0.63034132200581117</v>
      </c>
      <c r="H342" s="396">
        <f t="shared" si="11"/>
        <v>0.1251912084373239</v>
      </c>
      <c r="I342" s="390"/>
      <c r="J342" s="322"/>
      <c r="K342" s="325"/>
      <c r="L342" s="322"/>
      <c r="M342" s="322"/>
    </row>
    <row r="343" spans="2:13" ht="12" customHeight="1">
      <c r="B343" s="384">
        <v>41799</v>
      </c>
      <c r="C343" s="394">
        <v>14800</v>
      </c>
      <c r="D343" s="395">
        <v>7.3349000000000002</v>
      </c>
      <c r="E343" s="395">
        <v>1.2786</v>
      </c>
      <c r="F343" s="392">
        <v>565.61</v>
      </c>
      <c r="G343" s="396">
        <f t="shared" si="10"/>
        <v>0.652674764773014</v>
      </c>
      <c r="H343" s="396">
        <f t="shared" si="11"/>
        <v>0.13841478141856545</v>
      </c>
      <c r="I343" s="390"/>
      <c r="J343" s="322"/>
      <c r="K343" s="325"/>
      <c r="L343" s="322"/>
      <c r="M343" s="322"/>
    </row>
    <row r="344" spans="2:13" ht="12" customHeight="1">
      <c r="B344" s="384">
        <v>41800</v>
      </c>
      <c r="C344" s="394">
        <v>14500</v>
      </c>
      <c r="D344" s="395">
        <v>7.1863000000000001</v>
      </c>
      <c r="E344" s="395">
        <v>1.2526999999999999</v>
      </c>
      <c r="F344" s="392">
        <v>566.89</v>
      </c>
      <c r="G344" s="396">
        <f t="shared" si="10"/>
        <v>0.61917460062220964</v>
      </c>
      <c r="H344" s="396">
        <f t="shared" si="11"/>
        <v>0.14099106352145574</v>
      </c>
      <c r="I344" s="390"/>
      <c r="J344" s="322"/>
      <c r="K344" s="325"/>
      <c r="L344" s="322"/>
      <c r="M344" s="322"/>
    </row>
    <row r="345" spans="2:13" ht="12" customHeight="1">
      <c r="B345" s="384">
        <v>41801</v>
      </c>
      <c r="C345" s="394">
        <v>14500</v>
      </c>
      <c r="D345" s="395">
        <v>7.1863000000000001</v>
      </c>
      <c r="E345" s="395">
        <v>1.2526999999999999</v>
      </c>
      <c r="F345" s="392">
        <v>570.36</v>
      </c>
      <c r="G345" s="396">
        <f t="shared" si="10"/>
        <v>0.61917460062220964</v>
      </c>
      <c r="H345" s="396">
        <f t="shared" si="11"/>
        <v>0.14797520328475966</v>
      </c>
      <c r="I345" s="390"/>
      <c r="J345" s="322"/>
      <c r="K345" s="325"/>
      <c r="L345" s="322"/>
      <c r="M345" s="322"/>
    </row>
    <row r="346" spans="2:13" ht="12" customHeight="1">
      <c r="B346" s="384">
        <v>41802</v>
      </c>
      <c r="C346" s="394">
        <v>14800</v>
      </c>
      <c r="D346" s="395">
        <v>7.3349000000000002</v>
      </c>
      <c r="E346" s="395">
        <v>1.2786</v>
      </c>
      <c r="F346" s="392">
        <v>573.77</v>
      </c>
      <c r="G346" s="396">
        <f t="shared" si="10"/>
        <v>0.652674764773014</v>
      </c>
      <c r="H346" s="396">
        <f t="shared" si="11"/>
        <v>0.1548385798244909</v>
      </c>
      <c r="I346" s="390"/>
      <c r="J346" s="322"/>
      <c r="K346" s="325"/>
      <c r="L346" s="322"/>
      <c r="M346" s="322"/>
    </row>
    <row r="347" spans="2:13" ht="12" customHeight="1">
      <c r="B347" s="384">
        <v>41803</v>
      </c>
      <c r="C347" s="394">
        <v>14800</v>
      </c>
      <c r="D347" s="395">
        <v>7.3349000000000002</v>
      </c>
      <c r="E347" s="395">
        <v>1.2786</v>
      </c>
      <c r="F347" s="392">
        <v>574.48</v>
      </c>
      <c r="G347" s="396">
        <f t="shared" si="10"/>
        <v>0.652674764773014</v>
      </c>
      <c r="H347" s="396">
        <f t="shared" si="11"/>
        <v>0.1562676113034378</v>
      </c>
      <c r="I347" s="390"/>
      <c r="J347" s="322"/>
      <c r="K347" s="325"/>
      <c r="L347" s="322"/>
      <c r="M347" s="322"/>
    </row>
    <row r="348" spans="2:13" ht="12" customHeight="1">
      <c r="B348" s="384">
        <v>41804</v>
      </c>
      <c r="C348" s="394">
        <v>14800</v>
      </c>
      <c r="D348" s="395">
        <v>7.3349000000000002</v>
      </c>
      <c r="E348" s="395">
        <v>1.2786</v>
      </c>
      <c r="F348" s="392">
        <v>574.48</v>
      </c>
      <c r="G348" s="396">
        <f t="shared" si="10"/>
        <v>0.652674764773014</v>
      </c>
      <c r="H348" s="396">
        <f t="shared" si="11"/>
        <v>0.1562676113034378</v>
      </c>
      <c r="I348" s="390"/>
      <c r="J348" s="322"/>
      <c r="K348" s="325"/>
      <c r="L348" s="322"/>
      <c r="M348" s="322"/>
    </row>
    <row r="349" spans="2:13" ht="12" customHeight="1">
      <c r="B349" s="384">
        <v>41805</v>
      </c>
      <c r="C349" s="394">
        <v>14800</v>
      </c>
      <c r="D349" s="395">
        <v>7.3349000000000002</v>
      </c>
      <c r="E349" s="395">
        <v>1.2786</v>
      </c>
      <c r="F349" s="392">
        <v>574.48</v>
      </c>
      <c r="G349" s="396">
        <f t="shared" si="10"/>
        <v>0.652674764773014</v>
      </c>
      <c r="H349" s="396">
        <f t="shared" si="11"/>
        <v>0.1562676113034378</v>
      </c>
      <c r="I349" s="390"/>
      <c r="J349" s="322"/>
      <c r="K349" s="325"/>
      <c r="L349" s="322"/>
      <c r="M349" s="322"/>
    </row>
    <row r="350" spans="2:13" ht="12" customHeight="1">
      <c r="B350" s="384">
        <v>41806</v>
      </c>
      <c r="C350" s="394">
        <v>14900</v>
      </c>
      <c r="D350" s="395">
        <v>7.3845000000000001</v>
      </c>
      <c r="E350" s="395">
        <v>1.2873000000000001</v>
      </c>
      <c r="F350" s="392">
        <v>572.37</v>
      </c>
      <c r="G350" s="396">
        <f t="shared" si="10"/>
        <v>0.66384148615661553</v>
      </c>
      <c r="H350" s="396">
        <f t="shared" si="11"/>
        <v>0.15202077127445457</v>
      </c>
      <c r="I350" s="390"/>
      <c r="J350" s="322"/>
      <c r="K350" s="325"/>
      <c r="L350" s="322"/>
      <c r="M350" s="322"/>
    </row>
    <row r="351" spans="2:13" ht="12" customHeight="1">
      <c r="B351" s="384">
        <v>41807</v>
      </c>
      <c r="C351" s="394">
        <v>14900</v>
      </c>
      <c r="D351" s="395">
        <v>7.3845000000000001</v>
      </c>
      <c r="E351" s="395">
        <v>1.2873000000000001</v>
      </c>
      <c r="F351" s="392">
        <v>572.25</v>
      </c>
      <c r="G351" s="396">
        <f t="shared" si="10"/>
        <v>0.66384148615661553</v>
      </c>
      <c r="H351" s="396">
        <f t="shared" si="11"/>
        <v>0.15177924482730876</v>
      </c>
      <c r="I351" s="390"/>
      <c r="J351" s="322"/>
      <c r="K351" s="325"/>
      <c r="L351" s="322"/>
      <c r="M351" s="322"/>
    </row>
    <row r="352" spans="2:13" ht="12" customHeight="1">
      <c r="B352" s="384">
        <v>41808</v>
      </c>
      <c r="C352" s="394">
        <v>15200</v>
      </c>
      <c r="D352" s="395">
        <v>7.5331999999999999</v>
      </c>
      <c r="E352" s="395">
        <v>1.3131999999999999</v>
      </c>
      <c r="F352" s="392">
        <v>570.03</v>
      </c>
      <c r="G352" s="396">
        <f t="shared" si="10"/>
        <v>0.69734165030741968</v>
      </c>
      <c r="H352" s="396">
        <f t="shared" si="11"/>
        <v>0.14731100555510834</v>
      </c>
      <c r="I352" s="390"/>
      <c r="J352" s="322"/>
      <c r="K352" s="325"/>
      <c r="L352" s="322"/>
      <c r="M352" s="322"/>
    </row>
    <row r="353" spans="2:13" ht="12" customHeight="1">
      <c r="B353" s="384">
        <v>41809</v>
      </c>
      <c r="C353" s="394">
        <v>15100</v>
      </c>
      <c r="D353" s="395">
        <v>7.4836</v>
      </c>
      <c r="E353" s="395">
        <v>1.3046</v>
      </c>
      <c r="F353" s="392">
        <v>567.35</v>
      </c>
      <c r="G353" s="396">
        <f t="shared" si="10"/>
        <v>0.68617492892381837</v>
      </c>
      <c r="H353" s="396">
        <f t="shared" si="11"/>
        <v>0.14191691490218195</v>
      </c>
      <c r="I353" s="390"/>
      <c r="J353" s="322"/>
      <c r="K353" s="325"/>
      <c r="L353" s="322"/>
      <c r="M353" s="322"/>
    </row>
    <row r="354" spans="2:13" ht="12" customHeight="1">
      <c r="B354" s="384">
        <v>41810</v>
      </c>
      <c r="C354" s="394">
        <v>15000</v>
      </c>
      <c r="D354" s="395">
        <v>7.4340999999999999</v>
      </c>
      <c r="E354" s="395">
        <v>1.2959000000000001</v>
      </c>
      <c r="F354" s="392">
        <v>560.78</v>
      </c>
      <c r="G354" s="396">
        <f t="shared" si="10"/>
        <v>0.67500820754021684</v>
      </c>
      <c r="H354" s="396">
        <f t="shared" si="11"/>
        <v>0.1286933419209404</v>
      </c>
      <c r="I354" s="390"/>
      <c r="J354" s="322"/>
      <c r="K354" s="325"/>
      <c r="L354" s="322"/>
      <c r="M354" s="322"/>
    </row>
    <row r="355" spans="2:13" ht="12" customHeight="1">
      <c r="B355" s="384">
        <v>41811</v>
      </c>
      <c r="C355" s="394">
        <v>15000</v>
      </c>
      <c r="D355" s="395">
        <v>7.4340999999999999</v>
      </c>
      <c r="E355" s="395">
        <v>1.2959000000000001</v>
      </c>
      <c r="F355" s="392">
        <v>560.78</v>
      </c>
      <c r="G355" s="396">
        <f t="shared" si="10"/>
        <v>0.67500820754021684</v>
      </c>
      <c r="H355" s="396">
        <f t="shared" si="11"/>
        <v>0.1286933419209404</v>
      </c>
      <c r="I355" s="390"/>
      <c r="J355" s="322"/>
      <c r="K355" s="325"/>
      <c r="L355" s="322"/>
      <c r="M355" s="322"/>
    </row>
    <row r="356" spans="2:13" ht="12" customHeight="1">
      <c r="B356" s="384">
        <v>41812</v>
      </c>
      <c r="C356" s="394">
        <v>15000</v>
      </c>
      <c r="D356" s="395">
        <v>7.4340999999999999</v>
      </c>
      <c r="E356" s="395">
        <v>1.2959000000000001</v>
      </c>
      <c r="F356" s="392">
        <v>560.78</v>
      </c>
      <c r="G356" s="396">
        <f t="shared" si="10"/>
        <v>0.67500820754021684</v>
      </c>
      <c r="H356" s="396">
        <f t="shared" si="11"/>
        <v>0.1286933419209404</v>
      </c>
      <c r="I356" s="390"/>
      <c r="J356" s="322"/>
      <c r="K356" s="325"/>
      <c r="L356" s="322"/>
      <c r="M356" s="322"/>
    </row>
    <row r="357" spans="2:13" ht="12" customHeight="1">
      <c r="B357" s="384">
        <v>41813</v>
      </c>
      <c r="C357" s="394">
        <v>14600</v>
      </c>
      <c r="D357" s="395">
        <v>7.2358000000000002</v>
      </c>
      <c r="E357" s="395">
        <v>1.2614000000000001</v>
      </c>
      <c r="F357" s="392">
        <v>565.91999999999996</v>
      </c>
      <c r="G357" s="396">
        <f t="shared" si="10"/>
        <v>0.63034132200581117</v>
      </c>
      <c r="H357" s="396">
        <f t="shared" si="11"/>
        <v>0.13903872474035905</v>
      </c>
      <c r="I357" s="390"/>
      <c r="J357" s="322"/>
      <c r="K357" s="325"/>
      <c r="L357" s="322"/>
      <c r="M357" s="322"/>
    </row>
    <row r="358" spans="2:13" ht="12" customHeight="1">
      <c r="B358" s="384">
        <v>41814</v>
      </c>
      <c r="C358" s="394">
        <v>14600</v>
      </c>
      <c r="D358" s="395">
        <v>7.2358000000000002</v>
      </c>
      <c r="E358" s="395">
        <v>1.2614000000000001</v>
      </c>
      <c r="F358" s="392">
        <v>569.74</v>
      </c>
      <c r="G358" s="396">
        <f t="shared" si="10"/>
        <v>0.63034132200581117</v>
      </c>
      <c r="H358" s="396">
        <f t="shared" si="11"/>
        <v>0.14672731664117222</v>
      </c>
      <c r="I358" s="390"/>
      <c r="J358" s="322"/>
      <c r="K358" s="325"/>
      <c r="L358" s="322"/>
      <c r="M358" s="322"/>
    </row>
    <row r="359" spans="2:13" ht="12" customHeight="1">
      <c r="B359" s="384">
        <v>41815</v>
      </c>
      <c r="C359" s="394">
        <v>14800</v>
      </c>
      <c r="D359" s="395">
        <v>7.3349000000000002</v>
      </c>
      <c r="E359" s="395">
        <v>1.2786</v>
      </c>
      <c r="F359" s="392">
        <v>572.27</v>
      </c>
      <c r="G359" s="396">
        <f t="shared" si="10"/>
        <v>0.652674764773014</v>
      </c>
      <c r="H359" s="396">
        <f t="shared" si="11"/>
        <v>0.15181949923516624</v>
      </c>
      <c r="I359" s="390"/>
      <c r="J359" s="322"/>
      <c r="K359" s="325"/>
      <c r="L359" s="322"/>
      <c r="M359" s="322"/>
    </row>
    <row r="360" spans="2:13" ht="12" customHeight="1">
      <c r="B360" s="384">
        <v>41816</v>
      </c>
      <c r="C360" s="394">
        <v>14900</v>
      </c>
      <c r="D360" s="395">
        <v>7.3845000000000001</v>
      </c>
      <c r="E360" s="395">
        <v>1.2873000000000001</v>
      </c>
      <c r="F360" s="392">
        <v>576.4</v>
      </c>
      <c r="G360" s="396">
        <f t="shared" si="10"/>
        <v>0.66384148615661553</v>
      </c>
      <c r="H360" s="396">
        <f t="shared" si="11"/>
        <v>0.16013203445777324</v>
      </c>
      <c r="I360" s="390"/>
      <c r="J360" s="322"/>
      <c r="K360" s="325"/>
      <c r="L360" s="322"/>
      <c r="M360" s="322"/>
    </row>
    <row r="361" spans="2:13" ht="12" customHeight="1">
      <c r="B361" s="384">
        <v>41817</v>
      </c>
      <c r="C361" s="394">
        <v>14900</v>
      </c>
      <c r="D361" s="395">
        <v>7.3845000000000001</v>
      </c>
      <c r="E361" s="395">
        <v>1.2873000000000001</v>
      </c>
      <c r="F361" s="392">
        <v>578.82000000000005</v>
      </c>
      <c r="G361" s="396">
        <f t="shared" si="10"/>
        <v>0.66384148615661553</v>
      </c>
      <c r="H361" s="396">
        <f t="shared" si="11"/>
        <v>0.16500281780855031</v>
      </c>
      <c r="I361" s="390"/>
      <c r="J361" s="322"/>
      <c r="K361" s="325"/>
      <c r="L361" s="322"/>
      <c r="M361" s="322"/>
    </row>
    <row r="362" spans="2:13" ht="12" customHeight="1">
      <c r="B362" s="384">
        <v>41818</v>
      </c>
      <c r="C362" s="394">
        <v>14900</v>
      </c>
      <c r="D362" s="395">
        <v>7.3845000000000001</v>
      </c>
      <c r="E362" s="395">
        <v>1.2873000000000001</v>
      </c>
      <c r="F362" s="392">
        <v>578.82000000000005</v>
      </c>
      <c r="G362" s="396">
        <f t="shared" si="10"/>
        <v>0.66384148615661553</v>
      </c>
      <c r="H362" s="396">
        <f t="shared" si="11"/>
        <v>0.16500281780855031</v>
      </c>
      <c r="I362" s="390"/>
      <c r="J362" s="322"/>
      <c r="K362" s="325"/>
      <c r="L362" s="322"/>
      <c r="M362" s="322"/>
    </row>
    <row r="363" spans="2:13" ht="12" customHeight="1">
      <c r="B363" s="384">
        <v>41819</v>
      </c>
      <c r="C363" s="394">
        <v>14900</v>
      </c>
      <c r="D363" s="395">
        <v>7.3845000000000001</v>
      </c>
      <c r="E363" s="395">
        <v>1.2873000000000001</v>
      </c>
      <c r="F363" s="392">
        <v>578.82000000000005</v>
      </c>
      <c r="G363" s="396">
        <f t="shared" si="10"/>
        <v>0.66384148615661553</v>
      </c>
      <c r="H363" s="396">
        <f t="shared" si="11"/>
        <v>0.16500281780855031</v>
      </c>
      <c r="I363" s="390"/>
      <c r="J363" s="322"/>
      <c r="K363" s="325"/>
      <c r="L363" s="322"/>
      <c r="M363" s="322"/>
    </row>
    <row r="364" spans="2:13" ht="12" customHeight="1">
      <c r="B364" s="384">
        <v>41820</v>
      </c>
      <c r="C364" s="394">
        <v>14900</v>
      </c>
      <c r="D364" s="395">
        <v>7.3845000000000001</v>
      </c>
      <c r="E364" s="395">
        <v>1.2873000000000001</v>
      </c>
      <c r="F364" s="392">
        <v>578.13</v>
      </c>
      <c r="G364" s="396">
        <f t="shared" si="10"/>
        <v>0.66384148615661553</v>
      </c>
      <c r="H364" s="396">
        <f t="shared" si="11"/>
        <v>0.16361404073746089</v>
      </c>
      <c r="I364" s="390"/>
      <c r="J364" s="322"/>
      <c r="K364" s="325"/>
      <c r="L364" s="322"/>
      <c r="M364" s="322"/>
    </row>
    <row r="365" spans="2:13" ht="12" customHeight="1">
      <c r="B365" s="384">
        <v>41821</v>
      </c>
      <c r="C365" s="394">
        <v>14800</v>
      </c>
      <c r="D365" s="395">
        <v>7.3349000000000002</v>
      </c>
      <c r="E365" s="395">
        <v>1.2786</v>
      </c>
      <c r="F365" s="392">
        <v>578.07000000000005</v>
      </c>
      <c r="G365" s="396">
        <f t="shared" si="10"/>
        <v>0.652674764773014</v>
      </c>
      <c r="H365" s="396">
        <f t="shared" si="11"/>
        <v>0.16349327751388798</v>
      </c>
      <c r="I365" s="390"/>
      <c r="J365" s="322"/>
      <c r="K365" s="325"/>
      <c r="L365" s="322"/>
      <c r="M365" s="322"/>
    </row>
    <row r="366" spans="2:13" ht="12" customHeight="1">
      <c r="B366" s="384">
        <v>41822</v>
      </c>
      <c r="C366" s="394">
        <v>14800</v>
      </c>
      <c r="D366" s="395">
        <v>7.3349000000000002</v>
      </c>
      <c r="E366" s="395">
        <v>1.2786</v>
      </c>
      <c r="F366" s="392">
        <v>578.79999999999995</v>
      </c>
      <c r="G366" s="396">
        <f t="shared" si="10"/>
        <v>0.652674764773014</v>
      </c>
      <c r="H366" s="396">
        <f t="shared" si="11"/>
        <v>0.16496256340069237</v>
      </c>
      <c r="I366" s="390"/>
      <c r="J366" s="322"/>
      <c r="K366" s="325"/>
      <c r="L366" s="322"/>
      <c r="M366" s="322"/>
    </row>
    <row r="367" spans="2:13" ht="12" customHeight="1">
      <c r="B367" s="384">
        <v>41823</v>
      </c>
      <c r="C367" s="394">
        <v>15600</v>
      </c>
      <c r="D367" s="395">
        <v>7.7313999999999998</v>
      </c>
      <c r="E367" s="395">
        <v>1.3477999999999999</v>
      </c>
      <c r="F367" s="392">
        <v>585.02</v>
      </c>
      <c r="G367" s="396">
        <f t="shared" si="10"/>
        <v>0.74200853584182558</v>
      </c>
      <c r="H367" s="396">
        <f t="shared" si="11"/>
        <v>0.1774816842444249</v>
      </c>
      <c r="I367" s="390"/>
      <c r="J367" s="322"/>
      <c r="K367" s="325"/>
      <c r="L367" s="322"/>
      <c r="M367" s="322"/>
    </row>
    <row r="368" spans="2:13" ht="12" customHeight="1">
      <c r="B368" s="384">
        <v>41824</v>
      </c>
      <c r="C368" s="394">
        <v>15700</v>
      </c>
      <c r="D368" s="395">
        <v>7.7809999999999997</v>
      </c>
      <c r="E368" s="395">
        <v>1.3564000000000001</v>
      </c>
      <c r="F368" s="392">
        <v>589.35</v>
      </c>
      <c r="G368" s="396">
        <f t="shared" si="10"/>
        <v>0.75317525722542711</v>
      </c>
      <c r="H368" s="396">
        <f t="shared" si="11"/>
        <v>0.18619676354560832</v>
      </c>
      <c r="I368" s="390"/>
      <c r="J368" s="322"/>
      <c r="K368" s="325"/>
      <c r="L368" s="322"/>
      <c r="M368" s="322"/>
    </row>
    <row r="369" spans="2:13" ht="12" customHeight="1">
      <c r="B369" s="384">
        <v>41825</v>
      </c>
      <c r="C369" s="394">
        <v>15700</v>
      </c>
      <c r="D369" s="395">
        <v>7.7809999999999997</v>
      </c>
      <c r="E369" s="395">
        <v>1.3564000000000001</v>
      </c>
      <c r="F369" s="392">
        <v>589.35</v>
      </c>
      <c r="G369" s="396">
        <f t="shared" si="10"/>
        <v>0.75317525722542711</v>
      </c>
      <c r="H369" s="396">
        <f t="shared" si="11"/>
        <v>0.18619676354560832</v>
      </c>
      <c r="I369" s="390"/>
      <c r="J369" s="322"/>
      <c r="K369" s="325"/>
      <c r="L369" s="322"/>
      <c r="M369" s="322"/>
    </row>
    <row r="370" spans="2:13" ht="12" customHeight="1">
      <c r="B370" s="384">
        <v>41826</v>
      </c>
      <c r="C370" s="394">
        <v>15700</v>
      </c>
      <c r="D370" s="395">
        <v>7.7809999999999997</v>
      </c>
      <c r="E370" s="395">
        <v>1.3564000000000001</v>
      </c>
      <c r="F370" s="392">
        <v>589.35</v>
      </c>
      <c r="G370" s="396">
        <f t="shared" si="10"/>
        <v>0.75317525722542711</v>
      </c>
      <c r="H370" s="396">
        <f t="shared" si="11"/>
        <v>0.18619676354560832</v>
      </c>
      <c r="I370" s="390"/>
      <c r="J370" s="322"/>
      <c r="K370" s="325"/>
      <c r="L370" s="322"/>
      <c r="M370" s="322"/>
    </row>
    <row r="371" spans="2:13" ht="12" customHeight="1">
      <c r="B371" s="384">
        <v>41827</v>
      </c>
      <c r="C371" s="394">
        <v>15400</v>
      </c>
      <c r="D371" s="395">
        <v>7.6322999999999999</v>
      </c>
      <c r="E371" s="395">
        <v>1.3305</v>
      </c>
      <c r="F371" s="392">
        <v>590.69000000000005</v>
      </c>
      <c r="G371" s="396">
        <f t="shared" si="10"/>
        <v>0.71967509307462274</v>
      </c>
      <c r="H371" s="396">
        <f t="shared" si="11"/>
        <v>0.18889380887207174</v>
      </c>
      <c r="I371" s="390"/>
      <c r="J371" s="322"/>
      <c r="K371" s="325"/>
      <c r="L371" s="322"/>
      <c r="M371" s="322"/>
    </row>
    <row r="372" spans="2:13" ht="12" customHeight="1">
      <c r="B372" s="384">
        <v>41828</v>
      </c>
      <c r="C372" s="394">
        <v>15400</v>
      </c>
      <c r="D372" s="395">
        <v>7.6322999999999999</v>
      </c>
      <c r="E372" s="395">
        <v>1.3305</v>
      </c>
      <c r="F372" s="392">
        <v>591.47</v>
      </c>
      <c r="G372" s="396">
        <f t="shared" si="10"/>
        <v>0.71967509307462274</v>
      </c>
      <c r="H372" s="396">
        <f t="shared" si="11"/>
        <v>0.19046373077852041</v>
      </c>
      <c r="I372" s="390"/>
      <c r="J372" s="322"/>
      <c r="K372" s="325"/>
      <c r="L372" s="322"/>
      <c r="M372" s="322"/>
    </row>
    <row r="373" spans="2:13" ht="12" customHeight="1">
      <c r="B373" s="384">
        <v>41829</v>
      </c>
      <c r="C373" s="394">
        <v>15500</v>
      </c>
      <c r="D373" s="395">
        <v>7.6818999999999997</v>
      </c>
      <c r="E373" s="395">
        <v>1.3391</v>
      </c>
      <c r="F373" s="392">
        <v>591.6</v>
      </c>
      <c r="G373" s="396">
        <f t="shared" si="10"/>
        <v>0.73084181445822405</v>
      </c>
      <c r="H373" s="396">
        <f t="shared" si="11"/>
        <v>0.19072538442959508</v>
      </c>
      <c r="I373" s="390"/>
      <c r="J373" s="322"/>
      <c r="K373" s="325"/>
      <c r="L373" s="322"/>
      <c r="M373" s="322"/>
    </row>
    <row r="374" spans="2:13" ht="12" customHeight="1">
      <c r="B374" s="384">
        <v>41830</v>
      </c>
      <c r="C374" s="394">
        <v>15100</v>
      </c>
      <c r="D374" s="395">
        <v>7.4836</v>
      </c>
      <c r="E374" s="395">
        <v>1.3046</v>
      </c>
      <c r="F374" s="392">
        <v>584.88</v>
      </c>
      <c r="G374" s="396">
        <f t="shared" si="10"/>
        <v>0.68617492892381837</v>
      </c>
      <c r="H374" s="396">
        <f t="shared" si="11"/>
        <v>0.17719990338942115</v>
      </c>
      <c r="I374" s="390"/>
      <c r="J374" s="322"/>
      <c r="K374" s="325"/>
      <c r="L374" s="322"/>
      <c r="M374" s="322"/>
    </row>
    <row r="375" spans="2:13" ht="12" customHeight="1">
      <c r="B375" s="384">
        <v>41831</v>
      </c>
      <c r="C375" s="394">
        <v>15200</v>
      </c>
      <c r="D375" s="395">
        <v>7.5331999999999999</v>
      </c>
      <c r="E375" s="395">
        <v>1.3131999999999999</v>
      </c>
      <c r="F375" s="392">
        <v>582.77</v>
      </c>
      <c r="G375" s="396">
        <f t="shared" si="10"/>
        <v>0.69734165030741968</v>
      </c>
      <c r="H375" s="396">
        <f t="shared" si="11"/>
        <v>0.17295306336043792</v>
      </c>
      <c r="I375" s="390"/>
      <c r="J375" s="322"/>
      <c r="K375" s="325"/>
      <c r="L375" s="322"/>
      <c r="M375" s="322"/>
    </row>
    <row r="376" spans="2:13" ht="12" customHeight="1">
      <c r="B376" s="384">
        <v>41832</v>
      </c>
      <c r="C376" s="394">
        <v>15200</v>
      </c>
      <c r="D376" s="395">
        <v>7.5331999999999999</v>
      </c>
      <c r="E376" s="395">
        <v>1.3131999999999999</v>
      </c>
      <c r="F376" s="392">
        <v>582.77</v>
      </c>
      <c r="G376" s="396">
        <f t="shared" si="10"/>
        <v>0.69734165030741968</v>
      </c>
      <c r="H376" s="396">
        <f t="shared" si="11"/>
        <v>0.17295306336043792</v>
      </c>
      <c r="I376" s="390"/>
      <c r="J376" s="322"/>
      <c r="K376" s="325"/>
      <c r="L376" s="322"/>
      <c r="M376" s="322"/>
    </row>
    <row r="377" spans="2:13" ht="12" customHeight="1">
      <c r="B377" s="384">
        <v>41833</v>
      </c>
      <c r="C377" s="394">
        <v>15200</v>
      </c>
      <c r="D377" s="395">
        <v>7.5331999999999999</v>
      </c>
      <c r="E377" s="395">
        <v>1.3131999999999999</v>
      </c>
      <c r="F377" s="392">
        <v>582.77</v>
      </c>
      <c r="G377" s="396">
        <f t="shared" si="10"/>
        <v>0.69734165030741968</v>
      </c>
      <c r="H377" s="396">
        <f t="shared" si="11"/>
        <v>0.17295306336043792</v>
      </c>
      <c r="I377" s="390"/>
      <c r="J377" s="322"/>
      <c r="K377" s="325"/>
      <c r="L377" s="322"/>
      <c r="M377" s="322"/>
    </row>
    <row r="378" spans="2:13" ht="12" customHeight="1">
      <c r="B378" s="384">
        <v>41834</v>
      </c>
      <c r="C378" s="394">
        <v>15200</v>
      </c>
      <c r="D378" s="395">
        <v>7.5331999999999999</v>
      </c>
      <c r="E378" s="395">
        <v>1.3131999999999999</v>
      </c>
      <c r="F378" s="392">
        <v>586.23</v>
      </c>
      <c r="G378" s="396">
        <f t="shared" si="10"/>
        <v>0.69734165030741968</v>
      </c>
      <c r="H378" s="396">
        <f t="shared" si="11"/>
        <v>0.17991707591981321</v>
      </c>
      <c r="I378" s="390"/>
      <c r="J378" s="322"/>
      <c r="K378" s="325"/>
      <c r="L378" s="322"/>
      <c r="M378" s="322"/>
    </row>
    <row r="379" spans="2:13" ht="12" customHeight="1">
      <c r="B379" s="384">
        <v>41835</v>
      </c>
      <c r="C379" s="394">
        <v>15300</v>
      </c>
      <c r="D379" s="395">
        <v>7.5827</v>
      </c>
      <c r="E379" s="395">
        <v>1.3218000000000001</v>
      </c>
      <c r="F379" s="392">
        <v>589.30999999999995</v>
      </c>
      <c r="G379" s="396">
        <f t="shared" si="10"/>
        <v>0.70850837169102121</v>
      </c>
      <c r="H379" s="396">
        <f t="shared" si="11"/>
        <v>0.1861162547298929</v>
      </c>
      <c r="I379" s="390"/>
      <c r="J379" s="322"/>
      <c r="K379" s="325"/>
      <c r="L379" s="322"/>
      <c r="M379" s="322"/>
    </row>
    <row r="380" spans="2:13" ht="12" customHeight="1">
      <c r="B380" s="384">
        <v>41836</v>
      </c>
      <c r="C380" s="394">
        <v>15300</v>
      </c>
      <c r="D380" s="395">
        <v>7.5827</v>
      </c>
      <c r="E380" s="395">
        <v>1.3218000000000001</v>
      </c>
      <c r="F380" s="392">
        <v>589.67999999999995</v>
      </c>
      <c r="G380" s="396">
        <f t="shared" si="10"/>
        <v>0.70850837169102121</v>
      </c>
      <c r="H380" s="396">
        <f t="shared" si="11"/>
        <v>0.18686096127525964</v>
      </c>
      <c r="I380" s="390"/>
      <c r="J380" s="322"/>
      <c r="K380" s="325"/>
      <c r="L380" s="322"/>
      <c r="M380" s="322"/>
    </row>
    <row r="381" spans="2:13" ht="12" customHeight="1">
      <c r="B381" s="384">
        <v>41837</v>
      </c>
      <c r="C381" s="394">
        <v>15400</v>
      </c>
      <c r="D381" s="395">
        <v>7.6322999999999999</v>
      </c>
      <c r="E381" s="395">
        <v>1.3305</v>
      </c>
      <c r="F381" s="392">
        <v>590.37</v>
      </c>
      <c r="G381" s="396">
        <f t="shared" si="10"/>
        <v>0.71967509307462274</v>
      </c>
      <c r="H381" s="396">
        <f t="shared" si="11"/>
        <v>0.18824973834634906</v>
      </c>
      <c r="I381" s="390"/>
      <c r="J381" s="322"/>
      <c r="K381" s="325"/>
      <c r="L381" s="322"/>
      <c r="M381" s="322"/>
    </row>
    <row r="382" spans="2:13" ht="12" customHeight="1">
      <c r="B382" s="384">
        <v>41838</v>
      </c>
      <c r="C382" s="394">
        <v>15700</v>
      </c>
      <c r="D382" s="395">
        <v>7.7809999999999997</v>
      </c>
      <c r="E382" s="395">
        <v>1.3564000000000001</v>
      </c>
      <c r="F382" s="392">
        <v>592.42999999999995</v>
      </c>
      <c r="G382" s="396">
        <f t="shared" si="10"/>
        <v>0.75317525722542711</v>
      </c>
      <c r="H382" s="396">
        <f t="shared" si="11"/>
        <v>0.1923959423556878</v>
      </c>
      <c r="I382" s="390"/>
      <c r="J382" s="322"/>
      <c r="K382" s="325"/>
      <c r="L382" s="322"/>
      <c r="M382" s="322"/>
    </row>
    <row r="383" spans="2:13" ht="12" customHeight="1">
      <c r="B383" s="384"/>
      <c r="C383" s="394"/>
      <c r="D383" s="395"/>
      <c r="E383" s="395"/>
      <c r="F383" s="392"/>
      <c r="G383" s="396"/>
      <c r="H383" s="396"/>
      <c r="I383" s="390"/>
      <c r="J383" s="322"/>
      <c r="K383" s="325"/>
      <c r="L383" s="322"/>
      <c r="M383" s="322"/>
    </row>
    <row r="384" spans="2:13" ht="12" customHeight="1">
      <c r="B384" s="37"/>
      <c r="J384" s="325"/>
      <c r="K384" s="322"/>
      <c r="L384" s="322"/>
      <c r="M384" s="322"/>
    </row>
    <row r="385" spans="2:13" ht="12" customHeight="1">
      <c r="B385" s="37"/>
      <c r="J385" s="325"/>
      <c r="K385" s="322"/>
      <c r="L385" s="322"/>
      <c r="M385" s="322"/>
    </row>
    <row r="386" spans="2:13" ht="12" customHeight="1">
      <c r="B386" s="37"/>
      <c r="J386" s="325"/>
      <c r="K386" s="322"/>
      <c r="L386" s="322"/>
      <c r="M386" s="322"/>
    </row>
    <row r="387" spans="2:13" ht="12" customHeight="1">
      <c r="B387" s="37"/>
      <c r="J387" s="325"/>
      <c r="K387" s="322"/>
      <c r="L387" s="322"/>
      <c r="M387" s="322"/>
    </row>
    <row r="388" spans="2:13" ht="12" customHeight="1">
      <c r="B388" s="37"/>
      <c r="J388" s="325"/>
      <c r="K388" s="322"/>
      <c r="L388" s="322"/>
      <c r="M388" s="322"/>
    </row>
    <row r="389" spans="2:13" ht="12" customHeight="1">
      <c r="B389" s="37"/>
      <c r="J389" s="325"/>
      <c r="K389" s="322"/>
      <c r="L389" s="322"/>
      <c r="M389" s="322"/>
    </row>
    <row r="390" spans="2:13" ht="12" customHeight="1">
      <c r="B390" s="37"/>
      <c r="J390" s="325"/>
      <c r="K390" s="322"/>
      <c r="L390" s="322"/>
      <c r="M390" s="322"/>
    </row>
    <row r="391" spans="2:13" ht="12" customHeight="1">
      <c r="B391" s="37"/>
      <c r="J391" s="325"/>
      <c r="K391" s="322"/>
      <c r="L391" s="322"/>
      <c r="M391" s="322"/>
    </row>
    <row r="392" spans="2:13" ht="12" customHeight="1">
      <c r="B392" s="37"/>
      <c r="J392" s="325"/>
      <c r="K392" s="322"/>
      <c r="L392" s="322"/>
      <c r="M392" s="322"/>
    </row>
    <row r="393" spans="2:13" ht="12" customHeight="1">
      <c r="B393" s="37"/>
      <c r="J393" s="325"/>
      <c r="K393" s="322"/>
      <c r="L393" s="322"/>
      <c r="M393" s="322"/>
    </row>
    <row r="394" spans="2:13" ht="12" customHeight="1">
      <c r="B394" s="37"/>
      <c r="J394" s="325"/>
      <c r="K394" s="322"/>
      <c r="L394" s="322"/>
      <c r="M394" s="322"/>
    </row>
    <row r="395" spans="2:13" ht="12" customHeight="1">
      <c r="B395" s="37"/>
      <c r="J395" s="325"/>
      <c r="K395" s="322"/>
      <c r="L395" s="322"/>
      <c r="M395" s="322"/>
    </row>
    <row r="396" spans="2:13" ht="12" customHeight="1">
      <c r="B396" s="37"/>
      <c r="J396" s="325"/>
      <c r="K396" s="322"/>
      <c r="L396" s="322"/>
      <c r="M396" s="322"/>
    </row>
    <row r="397" spans="2:13" ht="12" customHeight="1">
      <c r="B397" s="37"/>
      <c r="J397" s="325"/>
      <c r="K397" s="322"/>
      <c r="L397" s="322"/>
      <c r="M397" s="322"/>
    </row>
    <row r="398" spans="2:13" ht="12" customHeight="1">
      <c r="B398" s="37"/>
      <c r="J398" s="325"/>
      <c r="K398" s="322"/>
      <c r="L398" s="322"/>
      <c r="M398" s="322"/>
    </row>
    <row r="399" spans="2:13" ht="12" customHeight="1">
      <c r="B399" s="37"/>
      <c r="J399" s="325"/>
      <c r="K399" s="322"/>
      <c r="L399" s="322"/>
      <c r="M399" s="322"/>
    </row>
    <row r="400" spans="2:13" ht="12" customHeight="1">
      <c r="B400" s="37"/>
      <c r="J400" s="325"/>
      <c r="K400" s="322"/>
      <c r="L400" s="322"/>
      <c r="M400" s="322"/>
    </row>
    <row r="401" spans="2:13" ht="12" customHeight="1">
      <c r="B401" s="37"/>
      <c r="J401" s="325"/>
      <c r="K401" s="322"/>
      <c r="L401" s="322"/>
      <c r="M401" s="322"/>
    </row>
    <row r="402" spans="2:13" ht="12" customHeight="1">
      <c r="B402" s="37"/>
      <c r="J402" s="325"/>
      <c r="K402" s="322"/>
      <c r="L402" s="322"/>
      <c r="M402" s="322"/>
    </row>
    <row r="403" spans="2:13" ht="12" customHeight="1">
      <c r="B403" s="37"/>
      <c r="J403" s="325"/>
      <c r="K403" s="322"/>
      <c r="L403" s="322"/>
      <c r="M403" s="322"/>
    </row>
    <row r="404" spans="2:13" ht="12" customHeight="1">
      <c r="B404" s="37"/>
      <c r="J404" s="325"/>
      <c r="K404" s="322"/>
      <c r="L404" s="322"/>
      <c r="M404" s="322"/>
    </row>
    <row r="405" spans="2:13" ht="12" customHeight="1">
      <c r="B405" s="37"/>
      <c r="J405" s="325"/>
      <c r="K405" s="322"/>
      <c r="L405" s="322"/>
      <c r="M405" s="322"/>
    </row>
    <row r="406" spans="2:13" ht="12" customHeight="1">
      <c r="B406" s="37"/>
      <c r="J406" s="325"/>
      <c r="K406" s="322"/>
      <c r="L406" s="322"/>
      <c r="M406" s="322"/>
    </row>
    <row r="407" spans="2:13" ht="12" customHeight="1">
      <c r="B407" s="37"/>
      <c r="J407" s="325"/>
      <c r="K407" s="322"/>
      <c r="L407" s="322"/>
      <c r="M407" s="322"/>
    </row>
    <row r="408" spans="2:13" ht="12" customHeight="1">
      <c r="B408" s="37"/>
      <c r="J408" s="325"/>
      <c r="K408" s="322"/>
      <c r="L408" s="322"/>
      <c r="M408" s="322"/>
    </row>
    <row r="409" spans="2:13" ht="12" customHeight="1">
      <c r="B409" s="37"/>
      <c r="J409" s="325"/>
      <c r="K409" s="322"/>
      <c r="L409" s="322"/>
      <c r="M409" s="322"/>
    </row>
    <row r="410" spans="2:13" ht="12" customHeight="1">
      <c r="B410" s="37"/>
      <c r="J410" s="325"/>
      <c r="K410" s="322"/>
      <c r="L410" s="322"/>
      <c r="M410" s="322"/>
    </row>
    <row r="411" spans="2:13" ht="12" customHeight="1">
      <c r="B411" s="37"/>
      <c r="J411" s="325"/>
      <c r="K411" s="322"/>
      <c r="L411" s="322"/>
      <c r="M411" s="322"/>
    </row>
    <row r="412" spans="2:13" ht="12" customHeight="1">
      <c r="B412" s="37"/>
      <c r="J412" s="325"/>
      <c r="K412" s="322"/>
      <c r="L412" s="322"/>
      <c r="M412" s="322"/>
    </row>
    <row r="413" spans="2:13" ht="12" customHeight="1">
      <c r="B413" s="37"/>
      <c r="J413" s="325"/>
      <c r="K413" s="322"/>
      <c r="L413" s="322"/>
      <c r="M413" s="322"/>
    </row>
    <row r="414" spans="2:13" ht="12" customHeight="1">
      <c r="B414" s="37"/>
      <c r="J414" s="325"/>
      <c r="K414" s="322"/>
      <c r="L414" s="322"/>
      <c r="M414" s="322"/>
    </row>
    <row r="415" spans="2:13" ht="12" customHeight="1">
      <c r="B415" s="37"/>
      <c r="J415" s="325"/>
      <c r="K415" s="322"/>
      <c r="L415" s="322"/>
      <c r="M415" s="322"/>
    </row>
    <row r="416" spans="2:13" ht="12" customHeight="1">
      <c r="B416" s="37"/>
      <c r="J416" s="325"/>
      <c r="K416" s="322"/>
      <c r="L416" s="322"/>
      <c r="M416" s="322"/>
    </row>
    <row r="417" spans="2:13" ht="12" customHeight="1">
      <c r="B417" s="37"/>
      <c r="J417" s="325"/>
      <c r="K417" s="322"/>
      <c r="L417" s="322"/>
      <c r="M417" s="322"/>
    </row>
    <row r="418" spans="2:13" ht="12" customHeight="1">
      <c r="B418" s="37"/>
      <c r="J418" s="325"/>
      <c r="K418" s="322"/>
      <c r="L418" s="322"/>
      <c r="M418" s="322"/>
    </row>
    <row r="419" spans="2:13" ht="12" customHeight="1">
      <c r="B419" s="37"/>
      <c r="J419" s="325"/>
      <c r="K419" s="322"/>
      <c r="L419" s="322"/>
      <c r="M419" s="322"/>
    </row>
    <row r="420" spans="2:13" ht="12" customHeight="1">
      <c r="B420" s="37"/>
      <c r="J420" s="325"/>
      <c r="K420" s="322"/>
      <c r="L420" s="322"/>
      <c r="M420" s="322"/>
    </row>
    <row r="421" spans="2:13" ht="12" customHeight="1">
      <c r="B421" s="37"/>
      <c r="J421" s="325"/>
      <c r="K421" s="322"/>
      <c r="L421" s="322"/>
      <c r="M421" s="322"/>
    </row>
    <row r="422" spans="2:13" ht="12" customHeight="1">
      <c r="B422" s="37"/>
      <c r="J422" s="325"/>
      <c r="K422" s="322"/>
      <c r="L422" s="322"/>
      <c r="M422" s="322"/>
    </row>
    <row r="423" spans="2:13" ht="12" customHeight="1">
      <c r="B423" s="37"/>
      <c r="J423" s="325"/>
      <c r="K423" s="322"/>
      <c r="L423" s="322"/>
      <c r="M423" s="322"/>
    </row>
    <row r="424" spans="2:13" ht="12" customHeight="1">
      <c r="B424" s="37"/>
      <c r="J424" s="325"/>
      <c r="K424" s="322"/>
      <c r="L424" s="322"/>
      <c r="M424" s="322"/>
    </row>
    <row r="425" spans="2:13" ht="12" customHeight="1">
      <c r="B425" s="37"/>
      <c r="J425" s="325"/>
      <c r="K425" s="322"/>
      <c r="L425" s="322"/>
      <c r="M425" s="322"/>
    </row>
    <row r="426" spans="2:13" ht="12" customHeight="1">
      <c r="B426" s="37"/>
      <c r="J426" s="325"/>
      <c r="K426" s="322"/>
      <c r="L426" s="322"/>
      <c r="M426" s="322"/>
    </row>
    <row r="427" spans="2:13" ht="12" customHeight="1">
      <c r="B427" s="37"/>
      <c r="J427" s="325"/>
      <c r="K427" s="322"/>
      <c r="L427" s="322"/>
      <c r="M427" s="322"/>
    </row>
    <row r="428" spans="2:13" ht="12" customHeight="1">
      <c r="B428" s="37"/>
      <c r="J428" s="325"/>
      <c r="K428" s="322"/>
      <c r="L428" s="322"/>
      <c r="M428" s="322"/>
    </row>
    <row r="429" spans="2:13" ht="12" customHeight="1">
      <c r="B429" s="37"/>
      <c r="J429" s="325"/>
      <c r="K429" s="322"/>
      <c r="L429" s="322"/>
      <c r="M429" s="322"/>
    </row>
    <row r="430" spans="2:13" ht="12" customHeight="1">
      <c r="B430" s="37"/>
      <c r="J430" s="325"/>
      <c r="K430" s="322"/>
      <c r="L430" s="322"/>
      <c r="M430" s="322"/>
    </row>
    <row r="431" spans="2:13" ht="12" customHeight="1">
      <c r="B431" s="37"/>
      <c r="J431" s="325"/>
      <c r="K431" s="322"/>
      <c r="L431" s="322"/>
      <c r="M431" s="322"/>
    </row>
    <row r="432" spans="2:13" ht="12" customHeight="1">
      <c r="B432" s="37"/>
      <c r="J432" s="325"/>
      <c r="K432" s="322"/>
      <c r="L432" s="322"/>
      <c r="M432" s="322"/>
    </row>
    <row r="433" spans="2:13" ht="12" customHeight="1">
      <c r="B433" s="37"/>
      <c r="J433" s="325"/>
      <c r="K433" s="322"/>
      <c r="L433" s="322"/>
      <c r="M433" s="322"/>
    </row>
    <row r="434" spans="2:13" ht="12" customHeight="1">
      <c r="B434" s="37"/>
      <c r="J434" s="325"/>
      <c r="K434" s="322"/>
      <c r="L434" s="322"/>
      <c r="M434" s="322"/>
    </row>
    <row r="435" spans="2:13" ht="12" customHeight="1">
      <c r="B435" s="37"/>
      <c r="J435" s="325"/>
      <c r="K435" s="322"/>
      <c r="L435" s="322"/>
      <c r="M435" s="322"/>
    </row>
    <row r="436" spans="2:13" ht="12" customHeight="1">
      <c r="B436" s="37"/>
      <c r="J436" s="325"/>
      <c r="K436" s="322"/>
      <c r="L436" s="322"/>
      <c r="M436" s="322"/>
    </row>
    <row r="437" spans="2:13" ht="12" customHeight="1">
      <c r="B437" s="37"/>
      <c r="J437" s="325"/>
      <c r="K437" s="322"/>
      <c r="L437" s="322"/>
      <c r="M437" s="322"/>
    </row>
    <row r="438" spans="2:13" ht="12" customHeight="1">
      <c r="B438" s="37"/>
      <c r="J438" s="325"/>
      <c r="K438" s="322"/>
      <c r="L438" s="322"/>
      <c r="M438" s="322"/>
    </row>
    <row r="439" spans="2:13" ht="12" customHeight="1">
      <c r="B439" s="37"/>
      <c r="J439" s="325"/>
      <c r="K439" s="322"/>
      <c r="L439" s="322"/>
      <c r="M439" s="322"/>
    </row>
    <row r="440" spans="2:13" ht="12" customHeight="1">
      <c r="B440" s="37"/>
      <c r="J440" s="325"/>
      <c r="K440" s="322"/>
      <c r="L440" s="322"/>
      <c r="M440" s="322"/>
    </row>
    <row r="441" spans="2:13" ht="12" customHeight="1">
      <c r="B441" s="37"/>
      <c r="J441" s="325"/>
      <c r="K441" s="322"/>
      <c r="L441" s="322"/>
      <c r="M441" s="322"/>
    </row>
    <row r="442" spans="2:13" ht="12" customHeight="1">
      <c r="B442" s="37"/>
      <c r="J442" s="325"/>
      <c r="K442" s="322"/>
      <c r="L442" s="322"/>
      <c r="M442" s="322"/>
    </row>
    <row r="443" spans="2:13" ht="12" customHeight="1">
      <c r="B443" s="37"/>
      <c r="J443" s="325"/>
      <c r="K443" s="322"/>
      <c r="L443" s="322"/>
      <c r="M443" s="322"/>
    </row>
    <row r="444" spans="2:13" ht="12" customHeight="1">
      <c r="B444" s="37"/>
      <c r="J444" s="325"/>
      <c r="K444" s="322"/>
      <c r="L444" s="322"/>
      <c r="M444" s="322"/>
    </row>
    <row r="445" spans="2:13" ht="12" customHeight="1">
      <c r="B445" s="37"/>
      <c r="J445" s="325"/>
      <c r="K445" s="322"/>
      <c r="L445" s="322"/>
      <c r="M445" s="322"/>
    </row>
    <row r="446" spans="2:13" ht="12" customHeight="1">
      <c r="B446" s="37"/>
      <c r="J446" s="325"/>
      <c r="K446" s="322"/>
      <c r="L446" s="322"/>
      <c r="M446" s="322"/>
    </row>
    <row r="447" spans="2:13" ht="12" customHeight="1">
      <c r="B447" s="37"/>
      <c r="J447" s="325"/>
      <c r="K447" s="322"/>
      <c r="L447" s="322"/>
      <c r="M447" s="322"/>
    </row>
    <row r="448" spans="2:13" ht="12" customHeight="1">
      <c r="B448" s="37"/>
      <c r="J448" s="325"/>
      <c r="K448" s="322"/>
      <c r="L448" s="322"/>
      <c r="M448" s="322"/>
    </row>
    <row r="449" spans="2:13" ht="12" customHeight="1">
      <c r="B449" s="37"/>
      <c r="J449" s="325"/>
      <c r="K449" s="322"/>
      <c r="L449" s="322"/>
      <c r="M449" s="322"/>
    </row>
    <row r="450" spans="2:13" ht="12" customHeight="1">
      <c r="B450" s="37"/>
      <c r="J450" s="325"/>
      <c r="K450" s="322"/>
      <c r="L450" s="322"/>
      <c r="M450" s="322"/>
    </row>
    <row r="451" spans="2:13" ht="12" customHeight="1">
      <c r="B451" s="37"/>
      <c r="J451" s="325"/>
      <c r="K451" s="322"/>
      <c r="L451" s="322"/>
      <c r="M451" s="322"/>
    </row>
    <row r="452" spans="2:13" ht="12" customHeight="1">
      <c r="B452" s="37"/>
      <c r="J452" s="325"/>
      <c r="K452" s="322"/>
      <c r="L452" s="322"/>
      <c r="M452" s="322"/>
    </row>
    <row r="453" spans="2:13" ht="12" customHeight="1">
      <c r="B453" s="37"/>
      <c r="J453" s="325"/>
      <c r="K453" s="322"/>
      <c r="L453" s="322"/>
      <c r="M453" s="322"/>
    </row>
    <row r="454" spans="2:13" ht="12" customHeight="1">
      <c r="B454" s="37"/>
      <c r="J454" s="325"/>
      <c r="K454" s="322"/>
      <c r="L454" s="322"/>
      <c r="M454" s="322"/>
    </row>
    <row r="455" spans="2:13" ht="12" customHeight="1">
      <c r="B455" s="37"/>
      <c r="J455" s="325"/>
      <c r="K455" s="322"/>
      <c r="L455" s="322"/>
      <c r="M455" s="322"/>
    </row>
    <row r="456" spans="2:13" ht="12" customHeight="1">
      <c r="B456" s="37"/>
      <c r="J456" s="325"/>
      <c r="K456" s="322"/>
      <c r="L456" s="322"/>
      <c r="M456" s="322"/>
    </row>
    <row r="457" spans="2:13" ht="12" customHeight="1">
      <c r="B457" s="37"/>
      <c r="J457" s="325"/>
      <c r="K457" s="322"/>
      <c r="L457" s="322"/>
      <c r="M457" s="322"/>
    </row>
    <row r="458" spans="2:13" ht="12" customHeight="1">
      <c r="B458" s="37"/>
      <c r="J458" s="325"/>
      <c r="K458" s="322"/>
      <c r="L458" s="322"/>
      <c r="M458" s="322"/>
    </row>
    <row r="459" spans="2:13" ht="12" customHeight="1">
      <c r="B459" s="37"/>
      <c r="J459" s="325"/>
      <c r="K459" s="322"/>
      <c r="L459" s="322"/>
      <c r="M459" s="322"/>
    </row>
    <row r="460" spans="2:13" ht="12" customHeight="1">
      <c r="B460" s="37"/>
      <c r="J460" s="325"/>
      <c r="K460" s="322"/>
      <c r="L460" s="322"/>
      <c r="M460" s="322"/>
    </row>
    <row r="461" spans="2:13" ht="12" customHeight="1">
      <c r="B461" s="37"/>
      <c r="J461" s="325"/>
      <c r="K461" s="322"/>
      <c r="L461" s="322"/>
      <c r="M461" s="322"/>
    </row>
    <row r="462" spans="2:13" ht="12" customHeight="1">
      <c r="B462" s="37"/>
      <c r="J462" s="325"/>
      <c r="K462" s="322"/>
      <c r="L462" s="322"/>
      <c r="M462" s="322"/>
    </row>
    <row r="463" spans="2:13" ht="12" customHeight="1">
      <c r="B463" s="37"/>
      <c r="J463" s="325"/>
      <c r="K463" s="322"/>
      <c r="L463" s="322"/>
      <c r="M463" s="322"/>
    </row>
    <row r="464" spans="2:13" ht="12" customHeight="1">
      <c r="B464" s="37"/>
      <c r="J464" s="325"/>
      <c r="K464" s="322"/>
      <c r="L464" s="322"/>
      <c r="M464" s="322"/>
    </row>
    <row r="465" spans="2:13" ht="12" customHeight="1">
      <c r="B465" s="37"/>
      <c r="J465" s="325"/>
      <c r="K465" s="322"/>
      <c r="L465" s="322"/>
      <c r="M465" s="322"/>
    </row>
    <row r="466" spans="2:13" ht="12" customHeight="1">
      <c r="B466" s="37"/>
      <c r="J466" s="325"/>
      <c r="K466" s="322"/>
      <c r="L466" s="322"/>
      <c r="M466" s="322"/>
    </row>
    <row r="467" spans="2:13" ht="12" customHeight="1">
      <c r="B467" s="37"/>
      <c r="J467" s="325"/>
      <c r="K467" s="322"/>
      <c r="L467" s="322"/>
      <c r="M467" s="322"/>
    </row>
    <row r="468" spans="2:13" ht="12" customHeight="1">
      <c r="B468" s="37"/>
      <c r="J468" s="325"/>
      <c r="K468" s="322"/>
      <c r="L468" s="322"/>
      <c r="M468" s="322"/>
    </row>
    <row r="469" spans="2:13" ht="12" customHeight="1">
      <c r="B469" s="37"/>
      <c r="J469" s="325"/>
      <c r="K469" s="322"/>
      <c r="L469" s="322"/>
      <c r="M469" s="322"/>
    </row>
    <row r="470" spans="2:13" ht="12" customHeight="1">
      <c r="B470" s="37"/>
      <c r="J470" s="325"/>
      <c r="K470" s="322"/>
      <c r="L470" s="322"/>
      <c r="M470" s="322"/>
    </row>
    <row r="471" spans="2:13" ht="12" customHeight="1">
      <c r="B471" s="37"/>
      <c r="J471" s="325"/>
      <c r="K471" s="322"/>
      <c r="L471" s="322"/>
      <c r="M471" s="322"/>
    </row>
    <row r="472" spans="2:13" ht="12" customHeight="1">
      <c r="B472" s="37"/>
      <c r="J472" s="325"/>
      <c r="K472" s="322"/>
      <c r="L472" s="322"/>
      <c r="M472" s="322"/>
    </row>
    <row r="473" spans="2:13" ht="12" customHeight="1">
      <c r="B473" s="37"/>
      <c r="J473" s="325"/>
      <c r="K473" s="322"/>
      <c r="L473" s="322"/>
      <c r="M473" s="322"/>
    </row>
    <row r="474" spans="2:13" ht="12" customHeight="1">
      <c r="B474" s="37"/>
      <c r="J474" s="325"/>
      <c r="K474" s="322"/>
      <c r="L474" s="322"/>
      <c r="M474" s="322"/>
    </row>
    <row r="475" spans="2:13" ht="12" customHeight="1">
      <c r="B475" s="37"/>
      <c r="J475" s="325"/>
      <c r="K475" s="322"/>
      <c r="L475" s="322"/>
      <c r="M475" s="322"/>
    </row>
    <row r="476" spans="2:13" ht="12" customHeight="1">
      <c r="B476" s="37"/>
      <c r="J476" s="325"/>
      <c r="K476" s="322"/>
      <c r="L476" s="322"/>
      <c r="M476" s="322"/>
    </row>
    <row r="477" spans="2:13" ht="12" customHeight="1">
      <c r="B477" s="37"/>
      <c r="J477" s="325"/>
      <c r="K477" s="322"/>
      <c r="L477" s="322"/>
      <c r="M477" s="322"/>
    </row>
    <row r="478" spans="2:13" ht="12" customHeight="1">
      <c r="B478" s="37"/>
      <c r="J478" s="325"/>
      <c r="K478" s="322"/>
      <c r="L478" s="322"/>
      <c r="M478" s="322"/>
    </row>
    <row r="479" spans="2:13" ht="12" customHeight="1">
      <c r="B479" s="37"/>
      <c r="J479" s="325"/>
      <c r="K479" s="322"/>
      <c r="L479" s="322"/>
      <c r="M479" s="322"/>
    </row>
    <row r="480" spans="2:13" ht="12" customHeight="1">
      <c r="B480" s="37"/>
      <c r="J480" s="325"/>
      <c r="K480" s="322"/>
      <c r="L480" s="322"/>
      <c r="M480" s="322"/>
    </row>
    <row r="481" spans="2:2" ht="12" customHeight="1">
      <c r="B481" s="37"/>
    </row>
    <row r="482" spans="2:2" ht="12" customHeight="1">
      <c r="B482" s="37"/>
    </row>
    <row r="483" spans="2:2" ht="12" customHeight="1">
      <c r="B483" s="37"/>
    </row>
    <row r="484" spans="2:2" ht="12" customHeight="1">
      <c r="B484" s="37"/>
    </row>
    <row r="485" spans="2:2" ht="12" customHeight="1">
      <c r="B485" s="37"/>
    </row>
    <row r="486" spans="2:2" ht="12" customHeight="1">
      <c r="B486" s="37"/>
    </row>
    <row r="487" spans="2:2" ht="12" customHeight="1">
      <c r="B487" s="37"/>
    </row>
    <row r="488" spans="2:2" ht="12" customHeight="1">
      <c r="B488" s="37"/>
    </row>
    <row r="489" spans="2:2" ht="12" customHeight="1">
      <c r="B489" s="37"/>
    </row>
    <row r="490" spans="2:2" ht="12" customHeight="1">
      <c r="B490" s="37"/>
    </row>
    <row r="491" spans="2:2" ht="12" customHeight="1">
      <c r="B491" s="37"/>
    </row>
    <row r="492" spans="2:2" ht="12" customHeight="1">
      <c r="B492" s="37"/>
    </row>
    <row r="493" spans="2:2" ht="12" customHeight="1">
      <c r="B493" s="37"/>
    </row>
    <row r="494" spans="2:2" ht="12" customHeight="1">
      <c r="B494" s="37"/>
    </row>
    <row r="495" spans="2:2" ht="12" customHeight="1">
      <c r="B495" s="37"/>
    </row>
    <row r="496" spans="2:2" ht="12" customHeight="1">
      <c r="B496" s="37"/>
    </row>
    <row r="497" spans="2:2" ht="12" customHeight="1">
      <c r="B497" s="37"/>
    </row>
    <row r="498" spans="2:2" ht="12" customHeight="1">
      <c r="B498" s="37"/>
    </row>
    <row r="499" spans="2:2" ht="12" customHeight="1">
      <c r="B499" s="37"/>
    </row>
    <row r="500" spans="2:2" ht="12" customHeight="1">
      <c r="B500" s="37"/>
    </row>
    <row r="501" spans="2:2" ht="12" customHeight="1">
      <c r="B501" s="37"/>
    </row>
    <row r="502" spans="2:2" ht="12" customHeight="1">
      <c r="B502" s="37"/>
    </row>
    <row r="503" spans="2:2" ht="12" customHeight="1">
      <c r="B503" s="37"/>
    </row>
    <row r="504" spans="2:2" ht="12" customHeight="1">
      <c r="B504" s="37"/>
    </row>
    <row r="505" spans="2:2" ht="12" customHeight="1">
      <c r="B505" s="37"/>
    </row>
    <row r="506" spans="2:2" ht="12" customHeight="1">
      <c r="B506" s="37"/>
    </row>
    <row r="507" spans="2:2" ht="12" customHeight="1">
      <c r="B507" s="37"/>
    </row>
    <row r="508" spans="2:2" ht="12" customHeight="1">
      <c r="B508" s="37"/>
    </row>
    <row r="509" spans="2:2" ht="12" customHeight="1">
      <c r="B509" s="37"/>
    </row>
    <row r="510" spans="2:2" ht="12" customHeight="1">
      <c r="B510" s="37"/>
    </row>
    <row r="511" spans="2:2" ht="12" customHeight="1">
      <c r="B511" s="37"/>
    </row>
    <row r="512" spans="2:2" ht="12" customHeight="1">
      <c r="B512" s="37"/>
    </row>
    <row r="513" spans="2:2" ht="12" customHeight="1">
      <c r="B513" s="37"/>
    </row>
    <row r="514" spans="2:2" ht="12" customHeight="1">
      <c r="B514" s="37"/>
    </row>
    <row r="515" spans="2:2" ht="12" customHeight="1">
      <c r="B515" s="37"/>
    </row>
    <row r="516" spans="2:2" ht="12" customHeight="1">
      <c r="B516" s="37"/>
    </row>
    <row r="517" spans="2:2" ht="12" customHeight="1">
      <c r="B517" s="37"/>
    </row>
    <row r="518" spans="2:2" ht="12" customHeight="1">
      <c r="B518" s="37"/>
    </row>
    <row r="519" spans="2:2" ht="12" customHeight="1">
      <c r="B519" s="37"/>
    </row>
    <row r="520" spans="2:2" ht="12" customHeight="1">
      <c r="B520" s="37"/>
    </row>
    <row r="521" spans="2:2" ht="12" customHeight="1">
      <c r="B521" s="37"/>
    </row>
    <row r="522" spans="2:2" ht="12" customHeight="1">
      <c r="B522" s="37"/>
    </row>
    <row r="523" spans="2:2" ht="12" customHeight="1">
      <c r="B523" s="37"/>
    </row>
    <row r="524" spans="2:2" ht="12" customHeight="1">
      <c r="B524" s="37"/>
    </row>
    <row r="525" spans="2:2" ht="12" customHeight="1">
      <c r="B525" s="37"/>
    </row>
    <row r="526" spans="2:2" ht="12" customHeight="1">
      <c r="B526" s="37"/>
    </row>
    <row r="527" spans="2:2" ht="12" customHeight="1">
      <c r="B527" s="37"/>
    </row>
    <row r="528" spans="2:2" ht="12" customHeight="1">
      <c r="B528" s="37"/>
    </row>
    <row r="529" spans="2:2" ht="12" customHeight="1">
      <c r="B529" s="37"/>
    </row>
    <row r="530" spans="2:2" ht="12" customHeight="1">
      <c r="B530" s="37"/>
    </row>
    <row r="531" spans="2:2" ht="12" customHeight="1">
      <c r="B531" s="37"/>
    </row>
    <row r="532" spans="2:2" ht="12" customHeight="1">
      <c r="B532" s="37"/>
    </row>
    <row r="533" spans="2:2" ht="12" customHeight="1">
      <c r="B533" s="37"/>
    </row>
    <row r="534" spans="2:2" ht="12" customHeight="1">
      <c r="B534" s="37"/>
    </row>
    <row r="535" spans="2:2" ht="12" customHeight="1">
      <c r="B535" s="37"/>
    </row>
    <row r="536" spans="2:2" ht="12" customHeight="1">
      <c r="B536" s="37"/>
    </row>
    <row r="537" spans="2:2" ht="12" customHeight="1">
      <c r="B537" s="37"/>
    </row>
    <row r="538" spans="2:2" ht="12" customHeight="1">
      <c r="B538" s="37"/>
    </row>
    <row r="539" spans="2:2" ht="12" customHeight="1">
      <c r="B539" s="37"/>
    </row>
    <row r="540" spans="2:2" ht="12" customHeight="1">
      <c r="B540" s="37"/>
    </row>
    <row r="541" spans="2:2" ht="12" customHeight="1">
      <c r="B541" s="37"/>
    </row>
    <row r="542" spans="2:2" ht="12" customHeight="1">
      <c r="B542" s="37"/>
    </row>
    <row r="543" spans="2:2" ht="12" customHeight="1">
      <c r="B543" s="37"/>
    </row>
    <row r="544" spans="2:2" ht="12" customHeight="1">
      <c r="B544" s="37"/>
    </row>
    <row r="545" spans="2:2" ht="12" customHeight="1">
      <c r="B545" s="37"/>
    </row>
    <row r="546" spans="2:2" ht="12" customHeight="1">
      <c r="B546" s="37"/>
    </row>
    <row r="547" spans="2:2" ht="12" customHeight="1">
      <c r="B547" s="37"/>
    </row>
    <row r="548" spans="2:2" ht="12" customHeight="1">
      <c r="B548" s="37"/>
    </row>
    <row r="549" spans="2:2" ht="12" customHeight="1">
      <c r="B549" s="37"/>
    </row>
    <row r="550" spans="2:2" ht="12" customHeight="1">
      <c r="B550" s="37"/>
    </row>
    <row r="551" spans="2:2" ht="12" customHeight="1">
      <c r="B551" s="37"/>
    </row>
    <row r="552" spans="2:2" ht="12" customHeight="1">
      <c r="B552" s="37"/>
    </row>
    <row r="553" spans="2:2" ht="12" customHeight="1">
      <c r="B553" s="37"/>
    </row>
    <row r="554" spans="2:2" ht="12" customHeight="1">
      <c r="B554" s="37"/>
    </row>
    <row r="555" spans="2:2" ht="12" customHeight="1">
      <c r="B555" s="37"/>
    </row>
    <row r="556" spans="2:2" ht="12" customHeight="1">
      <c r="B556" s="37"/>
    </row>
    <row r="557" spans="2:2" ht="12" customHeight="1">
      <c r="B557" s="37"/>
    </row>
    <row r="558" spans="2:2" ht="12" customHeight="1">
      <c r="B558" s="37"/>
    </row>
    <row r="559" spans="2:2" ht="12" customHeight="1">
      <c r="B559" s="37"/>
    </row>
    <row r="560" spans="2:2" ht="12" customHeight="1">
      <c r="B560" s="37"/>
    </row>
    <row r="561" spans="2:2" ht="12" customHeight="1">
      <c r="B561" s="37"/>
    </row>
    <row r="562" spans="2:2" ht="12" customHeight="1">
      <c r="B562" s="37"/>
    </row>
    <row r="563" spans="2:2" ht="12" customHeight="1">
      <c r="B563" s="37"/>
    </row>
    <row r="564" spans="2:2" ht="12" customHeight="1">
      <c r="B564" s="37"/>
    </row>
    <row r="565" spans="2:2" ht="12" customHeight="1">
      <c r="B565" s="37"/>
    </row>
    <row r="566" spans="2:2" ht="12" customHeight="1">
      <c r="B566" s="37"/>
    </row>
    <row r="567" spans="2:2" ht="12" customHeight="1">
      <c r="B567" s="37"/>
    </row>
    <row r="568" spans="2:2" ht="12" customHeight="1">
      <c r="B568" s="37"/>
    </row>
    <row r="569" spans="2:2" ht="12" customHeight="1">
      <c r="B569" s="37"/>
    </row>
    <row r="570" spans="2:2" ht="12" customHeight="1">
      <c r="B570" s="37"/>
    </row>
    <row r="571" spans="2:2" ht="12" customHeight="1">
      <c r="B571" s="37"/>
    </row>
    <row r="572" spans="2:2" ht="12" customHeight="1">
      <c r="B572" s="37"/>
    </row>
    <row r="573" spans="2:2" ht="12" customHeight="1">
      <c r="B573" s="37"/>
    </row>
    <row r="574" spans="2:2" ht="12" customHeight="1">
      <c r="B574" s="37"/>
    </row>
    <row r="575" spans="2:2" ht="12" customHeight="1">
      <c r="B575" s="37"/>
    </row>
    <row r="576" spans="2:2" ht="12" customHeight="1">
      <c r="B576" s="37"/>
    </row>
    <row r="577" spans="2:2" ht="12" customHeight="1">
      <c r="B577" s="37"/>
    </row>
    <row r="578" spans="2:2" ht="12" customHeight="1">
      <c r="B578" s="37"/>
    </row>
    <row r="579" spans="2:2" ht="12" customHeight="1">
      <c r="B579" s="37"/>
    </row>
    <row r="580" spans="2:2" ht="12" customHeight="1">
      <c r="B580" s="37"/>
    </row>
    <row r="581" spans="2:2" ht="12" customHeight="1">
      <c r="B581" s="37"/>
    </row>
    <row r="582" spans="2:2" ht="12" customHeight="1">
      <c r="B582" s="37"/>
    </row>
    <row r="583" spans="2:2" ht="12" customHeight="1">
      <c r="B583" s="37"/>
    </row>
    <row r="584" spans="2:2" ht="12" customHeight="1">
      <c r="B584" s="37"/>
    </row>
    <row r="585" spans="2:2" ht="12" customHeight="1">
      <c r="B585" s="37"/>
    </row>
    <row r="586" spans="2:2" ht="12" customHeight="1">
      <c r="B586" s="37"/>
    </row>
    <row r="587" spans="2:2" ht="12" customHeight="1">
      <c r="B587" s="37"/>
    </row>
    <row r="588" spans="2:2" ht="12" customHeight="1">
      <c r="B588" s="37"/>
    </row>
    <row r="589" spans="2:2" ht="12" customHeight="1">
      <c r="B589" s="37"/>
    </row>
    <row r="590" spans="2:2" ht="12" customHeight="1">
      <c r="B590" s="37"/>
    </row>
    <row r="591" spans="2:2" ht="12" customHeight="1">
      <c r="B591" s="37"/>
    </row>
    <row r="592" spans="2:2" ht="12" customHeight="1">
      <c r="B592" s="37"/>
    </row>
    <row r="593" spans="2:2" ht="12" customHeight="1">
      <c r="B593" s="37"/>
    </row>
    <row r="594" spans="2:2" ht="12" customHeight="1">
      <c r="B594" s="37"/>
    </row>
    <row r="595" spans="2:2" ht="12" customHeight="1">
      <c r="B595" s="37"/>
    </row>
    <row r="596" spans="2:2" ht="12" customHeight="1">
      <c r="B596" s="37"/>
    </row>
    <row r="597" spans="2:2" ht="12" customHeight="1">
      <c r="B597" s="37"/>
    </row>
    <row r="598" spans="2:2" ht="12" customHeight="1">
      <c r="B598" s="37"/>
    </row>
    <row r="599" spans="2:2" ht="12" customHeight="1">
      <c r="B599" s="37"/>
    </row>
    <row r="600" spans="2:2" ht="12" customHeight="1">
      <c r="B600" s="37"/>
    </row>
    <row r="601" spans="2:2" ht="12" customHeight="1">
      <c r="B601" s="37"/>
    </row>
    <row r="602" spans="2:2" ht="12" customHeight="1">
      <c r="B602" s="37"/>
    </row>
    <row r="603" spans="2:2" ht="12" customHeight="1">
      <c r="B603" s="37"/>
    </row>
    <row r="604" spans="2:2" ht="12" customHeight="1">
      <c r="B604" s="37"/>
    </row>
    <row r="605" spans="2:2" ht="12" customHeight="1">
      <c r="B605" s="37"/>
    </row>
    <row r="606" spans="2:2" ht="12" customHeight="1">
      <c r="B606" s="37"/>
    </row>
    <row r="607" spans="2:2" ht="12" customHeight="1">
      <c r="B607" s="37"/>
    </row>
    <row r="608" spans="2:2" ht="12" customHeight="1">
      <c r="B608" s="37"/>
    </row>
    <row r="609" spans="2:2" ht="12" customHeight="1">
      <c r="B609" s="37"/>
    </row>
    <row r="610" spans="2:2" ht="12" customHeight="1">
      <c r="B610" s="37"/>
    </row>
    <row r="611" spans="2:2" ht="12" customHeight="1">
      <c r="B611" s="37"/>
    </row>
    <row r="612" spans="2:2" ht="12" customHeight="1">
      <c r="B612" s="37"/>
    </row>
    <row r="613" spans="2:2" ht="12" customHeight="1">
      <c r="B613" s="37"/>
    </row>
    <row r="614" spans="2:2" ht="12" customHeight="1">
      <c r="B614" s="37"/>
    </row>
    <row r="615" spans="2:2" ht="12" customHeight="1">
      <c r="B615" s="37"/>
    </row>
    <row r="616" spans="2:2" ht="12" customHeight="1">
      <c r="B616" s="37"/>
    </row>
    <row r="617" spans="2:2" ht="12" customHeight="1">
      <c r="B617" s="37"/>
    </row>
    <row r="618" spans="2:2" ht="12" customHeight="1">
      <c r="B618" s="37"/>
    </row>
    <row r="619" spans="2:2" ht="12" customHeight="1">
      <c r="B619" s="37"/>
    </row>
    <row r="620" spans="2:2" ht="12" customHeight="1">
      <c r="B620" s="37"/>
    </row>
    <row r="621" spans="2:2" ht="12" customHeight="1">
      <c r="B621" s="37"/>
    </row>
    <row r="622" spans="2:2" ht="12" customHeight="1">
      <c r="B622" s="37"/>
    </row>
    <row r="623" spans="2:2" ht="12" customHeight="1">
      <c r="B623" s="37"/>
    </row>
    <row r="624" spans="2:2" ht="12" customHeight="1">
      <c r="B624" s="37"/>
    </row>
    <row r="625" spans="2:2" ht="12" customHeight="1">
      <c r="B625" s="37"/>
    </row>
    <row r="626" spans="2:2" ht="12" customHeight="1">
      <c r="B626" s="37"/>
    </row>
    <row r="627" spans="2:2" ht="12" customHeight="1">
      <c r="B627" s="37"/>
    </row>
    <row r="628" spans="2:2" ht="12" customHeight="1">
      <c r="B628" s="37"/>
    </row>
    <row r="629" spans="2:2" ht="12" customHeight="1">
      <c r="B629" s="37"/>
    </row>
    <row r="630" spans="2:2" ht="12" customHeight="1">
      <c r="B630" s="37"/>
    </row>
    <row r="631" spans="2:2" ht="12" customHeight="1">
      <c r="B631" s="37"/>
    </row>
    <row r="632" spans="2:2" ht="12" customHeight="1">
      <c r="B632" s="37"/>
    </row>
    <row r="633" spans="2:2" ht="12" customHeight="1">
      <c r="B633" s="37"/>
    </row>
    <row r="634" spans="2:2" ht="12" customHeight="1">
      <c r="B634" s="37"/>
    </row>
    <row r="635" spans="2:2" ht="12" customHeight="1">
      <c r="B635" s="37"/>
    </row>
    <row r="636" spans="2:2" ht="12" customHeight="1">
      <c r="B636" s="37"/>
    </row>
    <row r="637" spans="2:2" ht="12" customHeight="1">
      <c r="B637" s="37"/>
    </row>
    <row r="638" spans="2:2" ht="12" customHeight="1">
      <c r="B638" s="37"/>
    </row>
    <row r="639" spans="2:2" ht="12" customHeight="1">
      <c r="B639" s="37"/>
    </row>
    <row r="640" spans="2:2" ht="12" customHeight="1">
      <c r="B640" s="37"/>
    </row>
    <row r="641" spans="2:2" ht="12" customHeight="1">
      <c r="B641" s="37"/>
    </row>
    <row r="642" spans="2:2" ht="12" customHeight="1">
      <c r="B642" s="37"/>
    </row>
    <row r="643" spans="2:2" ht="12" customHeight="1">
      <c r="B643" s="37"/>
    </row>
    <row r="644" spans="2:2" ht="12" customHeight="1">
      <c r="B644" s="37"/>
    </row>
    <row r="645" spans="2:2" ht="12" customHeight="1">
      <c r="B645" s="37"/>
    </row>
    <row r="646" spans="2:2" ht="12" customHeight="1">
      <c r="B646" s="37"/>
    </row>
    <row r="647" spans="2:2" ht="12" customHeight="1">
      <c r="B647" s="37"/>
    </row>
    <row r="648" spans="2:2" ht="12" customHeight="1">
      <c r="B648" s="37"/>
    </row>
    <row r="649" spans="2:2" ht="12" customHeight="1">
      <c r="B649" s="37"/>
    </row>
    <row r="650" spans="2:2" ht="12" customHeight="1">
      <c r="B650" s="37"/>
    </row>
    <row r="651" spans="2:2" ht="12" customHeight="1">
      <c r="B651" s="37"/>
    </row>
    <row r="652" spans="2:2" ht="12" customHeight="1">
      <c r="B652" s="37"/>
    </row>
    <row r="653" spans="2:2" ht="12" customHeight="1">
      <c r="B653" s="37"/>
    </row>
    <row r="654" spans="2:2" ht="12" customHeight="1">
      <c r="B654" s="37"/>
    </row>
    <row r="655" spans="2:2" ht="12" customHeight="1">
      <c r="B655" s="37"/>
    </row>
    <row r="656" spans="2:2" ht="12" customHeight="1">
      <c r="B656" s="37"/>
    </row>
    <row r="657" spans="2:2" ht="12" customHeight="1">
      <c r="B657" s="37"/>
    </row>
    <row r="658" spans="2:2" ht="12" customHeight="1">
      <c r="B658" s="37"/>
    </row>
    <row r="659" spans="2:2" ht="12" customHeight="1">
      <c r="B659" s="37"/>
    </row>
    <row r="660" spans="2:2" ht="12" customHeight="1">
      <c r="B660" s="37"/>
    </row>
    <row r="661" spans="2:2" ht="12" customHeight="1">
      <c r="B661" s="37"/>
    </row>
    <row r="662" spans="2:2" ht="12" customHeight="1">
      <c r="B662" s="37"/>
    </row>
    <row r="663" spans="2:2" ht="12" customHeight="1">
      <c r="B663" s="37"/>
    </row>
    <row r="664" spans="2:2" ht="12" customHeight="1">
      <c r="B664" s="37"/>
    </row>
    <row r="665" spans="2:2" ht="12" customHeight="1">
      <c r="B665" s="37"/>
    </row>
    <row r="666" spans="2:2" ht="12" customHeight="1">
      <c r="B666" s="37"/>
    </row>
    <row r="667" spans="2:2" ht="12" customHeight="1">
      <c r="B667" s="37"/>
    </row>
    <row r="668" spans="2:2" ht="12" customHeight="1">
      <c r="B668" s="37"/>
    </row>
    <row r="669" spans="2:2" ht="12" customHeight="1">
      <c r="B669" s="37"/>
    </row>
    <row r="670" spans="2:2" ht="12" customHeight="1">
      <c r="B670" s="37"/>
    </row>
    <row r="671" spans="2:2" ht="12" customHeight="1">
      <c r="B671" s="37"/>
    </row>
    <row r="672" spans="2:2" ht="12" customHeight="1">
      <c r="B672" s="37"/>
    </row>
    <row r="673" spans="2:2" ht="12" customHeight="1">
      <c r="B673" s="37"/>
    </row>
    <row r="674" spans="2:2" ht="12" customHeight="1">
      <c r="B674" s="37"/>
    </row>
    <row r="675" spans="2:2" ht="12" customHeight="1">
      <c r="B675" s="37"/>
    </row>
    <row r="676" spans="2:2" ht="12" customHeight="1">
      <c r="B676" s="37"/>
    </row>
    <row r="677" spans="2:2" ht="12" customHeight="1">
      <c r="B677" s="37"/>
    </row>
    <row r="678" spans="2:2" ht="12" customHeight="1">
      <c r="B678" s="37"/>
    </row>
    <row r="679" spans="2:2" ht="12" customHeight="1">
      <c r="B679" s="37"/>
    </row>
    <row r="680" spans="2:2" ht="12" customHeight="1">
      <c r="B680" s="37"/>
    </row>
    <row r="681" spans="2:2" ht="12" customHeight="1">
      <c r="B681" s="37"/>
    </row>
    <row r="682" spans="2:2" ht="12" customHeight="1">
      <c r="B682" s="37"/>
    </row>
    <row r="683" spans="2:2" ht="12" customHeight="1">
      <c r="B683" s="37"/>
    </row>
    <row r="684" spans="2:2" ht="12" customHeight="1">
      <c r="B684" s="37"/>
    </row>
    <row r="685" spans="2:2" ht="12" customHeight="1">
      <c r="B685" s="37"/>
    </row>
    <row r="686" spans="2:2" ht="12" customHeight="1">
      <c r="B686" s="37"/>
    </row>
    <row r="687" spans="2:2" ht="12" customHeight="1">
      <c r="B687" s="37"/>
    </row>
    <row r="688" spans="2:2" ht="12" customHeight="1">
      <c r="B688" s="37"/>
    </row>
    <row r="689" spans="2:2" ht="12" customHeight="1">
      <c r="B689" s="37"/>
    </row>
    <row r="690" spans="2:2" ht="12" customHeight="1">
      <c r="B690" s="37"/>
    </row>
    <row r="691" spans="2:2" ht="12" customHeight="1">
      <c r="B691" s="37"/>
    </row>
    <row r="692" spans="2:2" ht="12" customHeight="1">
      <c r="B692" s="37"/>
    </row>
    <row r="693" spans="2:2" ht="12" customHeight="1">
      <c r="B693" s="37"/>
    </row>
    <row r="694" spans="2:2" ht="12" customHeight="1">
      <c r="B694" s="37"/>
    </row>
    <row r="695" spans="2:2" ht="12" customHeight="1">
      <c r="B695" s="37"/>
    </row>
    <row r="696" spans="2:2" ht="12" customHeight="1">
      <c r="B696" s="37"/>
    </row>
    <row r="697" spans="2:2" ht="12" customHeight="1">
      <c r="B697" s="37"/>
    </row>
    <row r="698" spans="2:2" ht="12" customHeight="1">
      <c r="B698" s="37"/>
    </row>
    <row r="699" spans="2:2" ht="12" customHeight="1">
      <c r="B699" s="37"/>
    </row>
    <row r="700" spans="2:2" ht="12" customHeight="1">
      <c r="B700" s="37"/>
    </row>
    <row r="701" spans="2:2" ht="12" customHeight="1">
      <c r="B701" s="37"/>
    </row>
    <row r="702" spans="2:2" ht="12" customHeight="1">
      <c r="B702" s="37"/>
    </row>
    <row r="703" spans="2:2" ht="12" customHeight="1">
      <c r="B703" s="37"/>
    </row>
    <row r="704" spans="2:2" ht="12" customHeight="1">
      <c r="B704" s="37"/>
    </row>
    <row r="705" spans="2:2" ht="12" customHeight="1">
      <c r="B705" s="37"/>
    </row>
    <row r="706" spans="2:2" ht="12" customHeight="1">
      <c r="B706" s="37"/>
    </row>
    <row r="707" spans="2:2" ht="12" customHeight="1">
      <c r="B707" s="37"/>
    </row>
    <row r="708" spans="2:2" ht="12" customHeight="1">
      <c r="B708" s="37"/>
    </row>
    <row r="709" spans="2:2" ht="12" customHeight="1">
      <c r="B709" s="37"/>
    </row>
    <row r="710" spans="2:2" ht="12" customHeight="1">
      <c r="B710" s="37"/>
    </row>
    <row r="711" spans="2:2" ht="12" customHeight="1">
      <c r="B711" s="37"/>
    </row>
    <row r="712" spans="2:2" ht="12" customHeight="1">
      <c r="B712" s="37"/>
    </row>
    <row r="713" spans="2:2" ht="12" customHeight="1">
      <c r="B713" s="37"/>
    </row>
    <row r="714" spans="2:2" ht="12" customHeight="1">
      <c r="B714" s="37"/>
    </row>
    <row r="715" spans="2:2" ht="12" customHeight="1">
      <c r="B715" s="37"/>
    </row>
    <row r="716" spans="2:2" ht="12" customHeight="1">
      <c r="B716" s="37"/>
    </row>
    <row r="717" spans="2:2" ht="12" customHeight="1">
      <c r="B717" s="37"/>
    </row>
    <row r="718" spans="2:2" ht="12" customHeight="1">
      <c r="B718" s="37"/>
    </row>
    <row r="719" spans="2:2" ht="12" customHeight="1">
      <c r="B719" s="37"/>
    </row>
    <row r="720" spans="2:2" ht="12" customHeight="1">
      <c r="B720" s="37"/>
    </row>
    <row r="721" spans="2:2" ht="12" customHeight="1">
      <c r="B721" s="37"/>
    </row>
    <row r="722" spans="2:2" ht="12" customHeight="1">
      <c r="B722" s="37"/>
    </row>
    <row r="723" spans="2:2" ht="12" customHeight="1">
      <c r="B723" s="37"/>
    </row>
    <row r="724" spans="2:2" ht="12" customHeight="1">
      <c r="B724" s="37"/>
    </row>
    <row r="725" spans="2:2" ht="12" customHeight="1">
      <c r="B725" s="37"/>
    </row>
    <row r="726" spans="2:2" ht="12" customHeight="1">
      <c r="B726" s="37"/>
    </row>
    <row r="727" spans="2:2" ht="12" customHeight="1">
      <c r="B727" s="37"/>
    </row>
    <row r="728" spans="2:2" ht="12" customHeight="1">
      <c r="B728" s="37"/>
    </row>
    <row r="729" spans="2:2" ht="12" customHeight="1">
      <c r="B729" s="37"/>
    </row>
    <row r="730" spans="2:2" ht="12" customHeight="1">
      <c r="B730" s="37"/>
    </row>
    <row r="731" spans="2:2" ht="12" customHeight="1">
      <c r="B731" s="37"/>
    </row>
    <row r="732" spans="2:2" ht="12" customHeight="1">
      <c r="B732" s="37"/>
    </row>
    <row r="733" spans="2:2" ht="12" customHeight="1">
      <c r="B733" s="37"/>
    </row>
    <row r="734" spans="2:2" ht="12" customHeight="1">
      <c r="B734" s="37"/>
    </row>
    <row r="735" spans="2:2" ht="12" customHeight="1">
      <c r="B735" s="37"/>
    </row>
    <row r="736" spans="2:2" ht="12" customHeight="1">
      <c r="B736" s="37"/>
    </row>
    <row r="737" spans="2:2" ht="12" customHeight="1">
      <c r="B737" s="37"/>
    </row>
    <row r="738" spans="2:2" ht="12" customHeight="1">
      <c r="B738" s="37"/>
    </row>
    <row r="739" spans="2:2" ht="12" customHeight="1">
      <c r="B739" s="37"/>
    </row>
    <row r="740" spans="2:2" ht="12" customHeight="1">
      <c r="B740" s="37"/>
    </row>
    <row r="741" spans="2:2" ht="12" customHeight="1">
      <c r="B741" s="37"/>
    </row>
    <row r="742" spans="2:2" ht="12" customHeight="1">
      <c r="B742" s="37"/>
    </row>
    <row r="743" spans="2:2" ht="12" customHeight="1">
      <c r="B743" s="37"/>
    </row>
    <row r="744" spans="2:2" ht="12" customHeight="1">
      <c r="B744" s="37"/>
    </row>
    <row r="745" spans="2:2" ht="12" customHeight="1">
      <c r="B745" s="37"/>
    </row>
    <row r="746" spans="2:2" ht="12" customHeight="1">
      <c r="B746" s="37"/>
    </row>
    <row r="747" spans="2:2" ht="12" customHeight="1">
      <c r="B747" s="37"/>
    </row>
    <row r="748" spans="2:2" ht="12" customHeight="1">
      <c r="B748" s="37"/>
    </row>
    <row r="749" spans="2:2" ht="12" customHeight="1">
      <c r="B749" s="37"/>
    </row>
    <row r="750" spans="2:2" ht="12" customHeight="1">
      <c r="B750" s="37"/>
    </row>
    <row r="751" spans="2:2" ht="12" customHeight="1">
      <c r="B751" s="37"/>
    </row>
    <row r="752" spans="2:2" ht="12" customHeight="1">
      <c r="B752" s="37"/>
    </row>
    <row r="753" spans="2:2" ht="12" customHeight="1">
      <c r="B753" s="37"/>
    </row>
    <row r="754" spans="2:2" ht="12" customHeight="1">
      <c r="B754" s="37"/>
    </row>
    <row r="755" spans="2:2" ht="12" customHeight="1">
      <c r="B755" s="37"/>
    </row>
    <row r="756" spans="2:2" ht="12" customHeight="1">
      <c r="B756" s="37"/>
    </row>
    <row r="757" spans="2:2" ht="12" customHeight="1">
      <c r="B757" s="37"/>
    </row>
    <row r="758" spans="2:2" ht="12" customHeight="1">
      <c r="B758" s="37"/>
    </row>
    <row r="759" spans="2:2" ht="12" customHeight="1">
      <c r="B759" s="37"/>
    </row>
    <row r="760" spans="2:2" ht="12" customHeight="1">
      <c r="B760" s="37"/>
    </row>
    <row r="761" spans="2:2" ht="12" customHeight="1">
      <c r="B761" s="37"/>
    </row>
    <row r="762" spans="2:2" ht="12" customHeight="1">
      <c r="B762" s="37"/>
    </row>
    <row r="763" spans="2:2" ht="12" customHeight="1">
      <c r="B763" s="37"/>
    </row>
    <row r="764" spans="2:2" ht="12" customHeight="1">
      <c r="B764" s="37"/>
    </row>
    <row r="765" spans="2:2" ht="12" customHeight="1">
      <c r="B765" s="37"/>
    </row>
    <row r="766" spans="2:2" ht="12" customHeight="1">
      <c r="B766" s="37"/>
    </row>
    <row r="767" spans="2:2" ht="12" customHeight="1">
      <c r="B767" s="37"/>
    </row>
    <row r="768" spans="2:2" ht="12" customHeight="1">
      <c r="B768" s="37"/>
    </row>
    <row r="769" spans="2:2" ht="12" customHeight="1">
      <c r="B769" s="37"/>
    </row>
    <row r="770" spans="2:2" ht="12" customHeight="1">
      <c r="B770" s="37"/>
    </row>
    <row r="771" spans="2:2" ht="12" customHeight="1">
      <c r="B771" s="37"/>
    </row>
    <row r="772" spans="2:2" ht="12" customHeight="1">
      <c r="B772" s="37"/>
    </row>
    <row r="773" spans="2:2" ht="12" customHeight="1">
      <c r="B773" s="37"/>
    </row>
    <row r="774" spans="2:2" ht="12" customHeight="1">
      <c r="B774" s="37"/>
    </row>
    <row r="775" spans="2:2" ht="12" customHeight="1">
      <c r="B775" s="37"/>
    </row>
    <row r="776" spans="2:2" ht="12" customHeight="1">
      <c r="B776" s="37"/>
    </row>
    <row r="777" spans="2:2" ht="12" customHeight="1">
      <c r="B777" s="37"/>
    </row>
    <row r="778" spans="2:2" ht="12" customHeight="1">
      <c r="B778" s="37"/>
    </row>
    <row r="779" spans="2:2" ht="12" customHeight="1">
      <c r="B779" s="37"/>
    </row>
    <row r="780" spans="2:2" ht="12" customHeight="1">
      <c r="B780" s="37"/>
    </row>
    <row r="781" spans="2:2" ht="12" customHeight="1">
      <c r="B781" s="37"/>
    </row>
    <row r="782" spans="2:2" ht="12" customHeight="1">
      <c r="B782" s="37"/>
    </row>
    <row r="783" spans="2:2" ht="12" customHeight="1">
      <c r="B783" s="37"/>
    </row>
    <row r="784" spans="2:2" ht="12" customHeight="1">
      <c r="B784" s="37"/>
    </row>
    <row r="785" spans="2:2" ht="12" customHeight="1">
      <c r="B785" s="37"/>
    </row>
    <row r="786" spans="2:2" ht="12" customHeight="1">
      <c r="B786" s="37"/>
    </row>
    <row r="787" spans="2:2" ht="12" customHeight="1">
      <c r="B787" s="37"/>
    </row>
    <row r="788" spans="2:2" ht="12" customHeight="1">
      <c r="B788" s="37"/>
    </row>
    <row r="789" spans="2:2" ht="12" customHeight="1">
      <c r="B789" s="37"/>
    </row>
    <row r="790" spans="2:2" ht="12" customHeight="1">
      <c r="B790" s="37"/>
    </row>
    <row r="791" spans="2:2" ht="12" customHeight="1">
      <c r="B791" s="37"/>
    </row>
    <row r="792" spans="2:2" ht="12" customHeight="1">
      <c r="B792" s="37"/>
    </row>
    <row r="793" spans="2:2" ht="12" customHeight="1">
      <c r="B793" s="37"/>
    </row>
    <row r="794" spans="2:2" ht="12" customHeight="1">
      <c r="B794" s="37"/>
    </row>
    <row r="795" spans="2:2" ht="12" customHeight="1">
      <c r="B795" s="37"/>
    </row>
    <row r="796" spans="2:2" ht="12" customHeight="1">
      <c r="B796" s="37"/>
    </row>
    <row r="797" spans="2:2" ht="12" customHeight="1">
      <c r="B797" s="37"/>
    </row>
    <row r="798" spans="2:2" ht="12" customHeight="1">
      <c r="B798" s="37"/>
    </row>
    <row r="799" spans="2:2" ht="12" customHeight="1">
      <c r="B799" s="37"/>
    </row>
    <row r="800" spans="2:2" ht="12" customHeight="1">
      <c r="B800" s="37"/>
    </row>
    <row r="801" spans="2:2" ht="12" customHeight="1">
      <c r="B801" s="37"/>
    </row>
    <row r="802" spans="2:2" ht="12" customHeight="1">
      <c r="B802" s="37"/>
    </row>
    <row r="803" spans="2:2" ht="12" customHeight="1">
      <c r="B803" s="37"/>
    </row>
    <row r="804" spans="2:2" ht="12" customHeight="1">
      <c r="B804" s="37"/>
    </row>
    <row r="805" spans="2:2" ht="12" customHeight="1">
      <c r="B805" s="37"/>
    </row>
    <row r="806" spans="2:2" ht="12" customHeight="1">
      <c r="B806" s="37"/>
    </row>
    <row r="807" spans="2:2" ht="12" customHeight="1">
      <c r="B807" s="37"/>
    </row>
    <row r="808" spans="2:2" ht="12" customHeight="1">
      <c r="B808" s="37"/>
    </row>
    <row r="809" spans="2:2" ht="12" customHeight="1">
      <c r="B809" s="37"/>
    </row>
    <row r="810" spans="2:2" ht="12" customHeight="1">
      <c r="B810" s="37"/>
    </row>
    <row r="811" spans="2:2" ht="12" customHeight="1">
      <c r="B811" s="37"/>
    </row>
    <row r="812" spans="2:2" ht="12" customHeight="1">
      <c r="B812" s="37"/>
    </row>
    <row r="813" spans="2:2" ht="12" customHeight="1">
      <c r="B813" s="37"/>
    </row>
    <row r="814" spans="2:2" ht="12" customHeight="1">
      <c r="B814" s="37"/>
    </row>
    <row r="815" spans="2:2" ht="12" customHeight="1">
      <c r="B815" s="37"/>
    </row>
    <row r="816" spans="2:2" ht="12" customHeight="1">
      <c r="B816" s="37"/>
    </row>
    <row r="817" spans="2:2" ht="12" customHeight="1">
      <c r="B817" s="37"/>
    </row>
    <row r="818" spans="2:2" ht="12" customHeight="1">
      <c r="B818" s="37"/>
    </row>
    <row r="819" spans="2:2" ht="12" customHeight="1">
      <c r="B819" s="37"/>
    </row>
    <row r="820" spans="2:2" ht="12" customHeight="1">
      <c r="B820" s="37"/>
    </row>
    <row r="821" spans="2:2" ht="12" customHeight="1">
      <c r="B821" s="37"/>
    </row>
    <row r="822" spans="2:2" ht="12" customHeight="1">
      <c r="B822" s="37"/>
    </row>
    <row r="823" spans="2:2" ht="12" customHeight="1">
      <c r="B823" s="37"/>
    </row>
    <row r="824" spans="2:2" ht="12" customHeight="1">
      <c r="B824" s="37"/>
    </row>
    <row r="825" spans="2:2" ht="12" customHeight="1">
      <c r="B825" s="37"/>
    </row>
    <row r="826" spans="2:2" ht="12" customHeight="1">
      <c r="B826" s="37"/>
    </row>
    <row r="827" spans="2:2" ht="12" customHeight="1">
      <c r="B827" s="37"/>
    </row>
    <row r="828" spans="2:2" ht="12" customHeight="1">
      <c r="B828" s="37"/>
    </row>
    <row r="829" spans="2:2" ht="12" customHeight="1">
      <c r="B829" s="37"/>
    </row>
    <row r="830" spans="2:2" ht="12" customHeight="1">
      <c r="B830" s="37"/>
    </row>
    <row r="831" spans="2:2" ht="12" customHeight="1">
      <c r="B831" s="37"/>
    </row>
    <row r="832" spans="2:2" ht="12" customHeight="1">
      <c r="B832" s="37"/>
    </row>
    <row r="833" spans="2:2" ht="12" customHeight="1">
      <c r="B833" s="37"/>
    </row>
    <row r="834" spans="2:2" ht="12" customHeight="1">
      <c r="B834" s="37"/>
    </row>
    <row r="835" spans="2:2" ht="12" customHeight="1">
      <c r="B835" s="37"/>
    </row>
    <row r="836" spans="2:2" ht="12" customHeight="1">
      <c r="B836" s="37"/>
    </row>
    <row r="837" spans="2:2" ht="12" customHeight="1">
      <c r="B837" s="37"/>
    </row>
    <row r="838" spans="2:2" ht="12" customHeight="1">
      <c r="B838" s="37"/>
    </row>
    <row r="839" spans="2:2" ht="12" customHeight="1">
      <c r="B839" s="37"/>
    </row>
    <row r="840" spans="2:2" ht="12" customHeight="1">
      <c r="B840" s="37"/>
    </row>
    <row r="841" spans="2:2" ht="12" customHeight="1">
      <c r="B841" s="37"/>
    </row>
    <row r="842" spans="2:2" ht="12" customHeight="1">
      <c r="B842" s="37"/>
    </row>
    <row r="843" spans="2:2" ht="12" customHeight="1">
      <c r="B843" s="37"/>
    </row>
    <row r="844" spans="2:2" ht="12" customHeight="1">
      <c r="B844" s="37"/>
    </row>
    <row r="845" spans="2:2" ht="12" customHeight="1">
      <c r="B845" s="37"/>
    </row>
    <row r="846" spans="2:2" ht="12" customHeight="1">
      <c r="B846" s="37"/>
    </row>
    <row r="847" spans="2:2" ht="12" customHeight="1">
      <c r="B847" s="37"/>
    </row>
    <row r="848" spans="2:2" ht="12" customHeight="1">
      <c r="B848" s="37"/>
    </row>
    <row r="849" spans="2:2" ht="12" customHeight="1">
      <c r="B849" s="37"/>
    </row>
    <row r="850" spans="2:2" ht="12" customHeight="1">
      <c r="B850" s="37"/>
    </row>
    <row r="851" spans="2:2" ht="12" customHeight="1">
      <c r="B851" s="37"/>
    </row>
    <row r="852" spans="2:2" ht="12" customHeight="1">
      <c r="B852" s="37"/>
    </row>
    <row r="853" spans="2:2" ht="12" customHeight="1">
      <c r="B853" s="37"/>
    </row>
    <row r="854" spans="2:2" ht="12" customHeight="1">
      <c r="B854" s="37"/>
    </row>
    <row r="855" spans="2:2" ht="12" customHeight="1">
      <c r="B855" s="37"/>
    </row>
    <row r="856" spans="2:2" ht="12" customHeight="1">
      <c r="B856" s="37"/>
    </row>
    <row r="857" spans="2:2" ht="12" customHeight="1">
      <c r="B857" s="37"/>
    </row>
    <row r="858" spans="2:2" ht="12" customHeight="1">
      <c r="B858" s="37"/>
    </row>
    <row r="859" spans="2:2" ht="12" customHeight="1">
      <c r="B859" s="37"/>
    </row>
    <row r="860" spans="2:2" ht="12" customHeight="1">
      <c r="B860" s="37"/>
    </row>
    <row r="861" spans="2:2" ht="12" customHeight="1">
      <c r="B861" s="37"/>
    </row>
    <row r="862" spans="2:2" ht="12" customHeight="1">
      <c r="B862" s="37"/>
    </row>
    <row r="863" spans="2:2" ht="12" customHeight="1">
      <c r="B863" s="37"/>
    </row>
    <row r="864" spans="2:2" ht="12" customHeight="1">
      <c r="B864" s="37"/>
    </row>
    <row r="865" spans="2:2" ht="12" customHeight="1">
      <c r="B865" s="37"/>
    </row>
    <row r="866" spans="2:2" ht="12" customHeight="1">
      <c r="B866" s="37"/>
    </row>
    <row r="867" spans="2:2" ht="12" customHeight="1">
      <c r="B867" s="37"/>
    </row>
    <row r="868" spans="2:2" ht="12" customHeight="1">
      <c r="B868" s="37"/>
    </row>
    <row r="869" spans="2:2" ht="12" customHeight="1">
      <c r="B869" s="37"/>
    </row>
    <row r="870" spans="2:2" ht="12" customHeight="1">
      <c r="B870" s="37"/>
    </row>
    <row r="871" spans="2:2" ht="12" customHeight="1">
      <c r="B871" s="37"/>
    </row>
    <row r="872" spans="2:2" ht="12" customHeight="1">
      <c r="B872" s="37"/>
    </row>
    <row r="873" spans="2:2" ht="12" customHeight="1">
      <c r="B873" s="37"/>
    </row>
    <row r="874" spans="2:2" ht="12" customHeight="1">
      <c r="B874" s="37"/>
    </row>
    <row r="875" spans="2:2" ht="12" customHeight="1">
      <c r="B875" s="37"/>
    </row>
    <row r="876" spans="2:2" ht="12" customHeight="1">
      <c r="B876" s="37"/>
    </row>
    <row r="877" spans="2:2" ht="12" customHeight="1">
      <c r="B877" s="37"/>
    </row>
    <row r="878" spans="2:2" ht="12" customHeight="1">
      <c r="B878" s="37"/>
    </row>
  </sheetData>
  <conditionalFormatting sqref="B7">
    <cfRule type="cellIs" dxfId="9" priority="6" operator="equal">
      <formula>0</formula>
    </cfRule>
  </conditionalFormatting>
  <conditionalFormatting sqref="F10:F11 B14">
    <cfRule type="cellIs" dxfId="8" priority="5" operator="equal">
      <formula>0</formula>
    </cfRule>
  </conditionalFormatting>
  <dataValidations count="1">
    <dataValidation allowBlank="1" showInputMessage="1" showErrorMessage="1" sqref="B7" xr:uid="{00000000-0002-0000-0800-000000000000}"/>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rgb="FF92D050"/>
    <pageSetUpPr fitToPage="1"/>
  </sheetPr>
  <dimension ref="B7:R35"/>
  <sheetViews>
    <sheetView showGridLines="0" zoomScaleNormal="100" workbookViewId="0">
      <pane xSplit="1" ySplit="9" topLeftCell="B10" activePane="bottomRight" state="frozen"/>
      <selection pane="topRight" activeCell="B1" sqref="B1"/>
      <selection pane="bottomLeft" activeCell="A10" sqref="A10"/>
      <selection pane="bottomRight" activeCell="A14" sqref="A14"/>
    </sheetView>
  </sheetViews>
  <sheetFormatPr defaultRowHeight="12" customHeight="1"/>
  <cols>
    <col min="1" max="1" width="3.7109375" style="8" customWidth="1"/>
    <col min="2" max="2" width="35.7109375" style="8" customWidth="1"/>
    <col min="3" max="6" width="6" style="2" customWidth="1"/>
    <col min="7" max="16" width="10.7109375" style="2" customWidth="1"/>
    <col min="17" max="17" width="9.140625" style="2"/>
    <col min="18" max="239" width="9.140625" style="8"/>
    <col min="240" max="240" width="29" style="8" bestFit="1" customWidth="1"/>
    <col min="241" max="242" width="20" style="8" customWidth="1"/>
    <col min="243" max="243" width="0" style="8" hidden="1" customWidth="1"/>
    <col min="244" max="244" width="20" style="8" customWidth="1"/>
    <col min="245" max="250" width="0" style="8" hidden="1" customWidth="1"/>
    <col min="251" max="251" width="20" style="8" customWidth="1"/>
    <col min="252" max="252" width="20.140625" style="8" bestFit="1" customWidth="1"/>
    <col min="253" max="253" width="20.140625" style="8" customWidth="1"/>
    <col min="254" max="255" width="16.85546875" style="8" customWidth="1"/>
    <col min="256" max="256" width="17.42578125" style="8" customWidth="1"/>
    <col min="257" max="257" width="15.140625" style="8" customWidth="1"/>
    <col min="258" max="258" width="14.140625" style="8" customWidth="1"/>
    <col min="259" max="259" width="5.7109375" style="8" customWidth="1"/>
    <col min="260" max="260" width="9.5703125" style="8" customWidth="1"/>
    <col min="261" max="261" width="4.85546875" style="8" customWidth="1"/>
    <col min="262" max="262" width="5.85546875" style="8" customWidth="1"/>
    <col min="263" max="267" width="10" style="8" customWidth="1"/>
    <col min="268" max="495" width="9.140625" style="8"/>
    <col min="496" max="496" width="29" style="8" bestFit="1" customWidth="1"/>
    <col min="497" max="498" width="20" style="8" customWidth="1"/>
    <col min="499" max="499" width="0" style="8" hidden="1" customWidth="1"/>
    <col min="500" max="500" width="20" style="8" customWidth="1"/>
    <col min="501" max="506" width="0" style="8" hidden="1" customWidth="1"/>
    <col min="507" max="507" width="20" style="8" customWidth="1"/>
    <col min="508" max="508" width="20.140625" style="8" bestFit="1" customWidth="1"/>
    <col min="509" max="509" width="20.140625" style="8" customWidth="1"/>
    <col min="510" max="511" width="16.85546875" style="8" customWidth="1"/>
    <col min="512" max="512" width="17.42578125" style="8" customWidth="1"/>
    <col min="513" max="513" width="15.140625" style="8" customWidth="1"/>
    <col min="514" max="514" width="14.140625" style="8" customWidth="1"/>
    <col min="515" max="515" width="5.7109375" style="8" customWidth="1"/>
    <col min="516" max="516" width="9.5703125" style="8" customWidth="1"/>
    <col min="517" max="517" width="4.85546875" style="8" customWidth="1"/>
    <col min="518" max="518" width="5.85546875" style="8" customWidth="1"/>
    <col min="519" max="523" width="10" style="8" customWidth="1"/>
    <col min="524" max="751" width="9.140625" style="8"/>
    <col min="752" max="752" width="29" style="8" bestFit="1" customWidth="1"/>
    <col min="753" max="754" width="20" style="8" customWidth="1"/>
    <col min="755" max="755" width="0" style="8" hidden="1" customWidth="1"/>
    <col min="756" max="756" width="20" style="8" customWidth="1"/>
    <col min="757" max="762" width="0" style="8" hidden="1" customWidth="1"/>
    <col min="763" max="763" width="20" style="8" customWidth="1"/>
    <col min="764" max="764" width="20.140625" style="8" bestFit="1" customWidth="1"/>
    <col min="765" max="765" width="20.140625" style="8" customWidth="1"/>
    <col min="766" max="767" width="16.85546875" style="8" customWidth="1"/>
    <col min="768" max="768" width="17.42578125" style="8" customWidth="1"/>
    <col min="769" max="769" width="15.140625" style="8" customWidth="1"/>
    <col min="770" max="770" width="14.140625" style="8" customWidth="1"/>
    <col min="771" max="771" width="5.7109375" style="8" customWidth="1"/>
    <col min="772" max="772" width="9.5703125" style="8" customWidth="1"/>
    <col min="773" max="773" width="4.85546875" style="8" customWidth="1"/>
    <col min="774" max="774" width="5.85546875" style="8" customWidth="1"/>
    <col min="775" max="779" width="10" style="8" customWidth="1"/>
    <col min="780" max="1007" width="9.140625" style="8"/>
    <col min="1008" max="1008" width="29" style="8" bestFit="1" customWidth="1"/>
    <col min="1009" max="1010" width="20" style="8" customWidth="1"/>
    <col min="1011" max="1011" width="0" style="8" hidden="1" customWidth="1"/>
    <col min="1012" max="1012" width="20" style="8" customWidth="1"/>
    <col min="1013" max="1018" width="0" style="8" hidden="1" customWidth="1"/>
    <col min="1019" max="1019" width="20" style="8" customWidth="1"/>
    <col min="1020" max="1020" width="20.140625" style="8" bestFit="1" customWidth="1"/>
    <col min="1021" max="1021" width="20.140625" style="8" customWidth="1"/>
    <col min="1022" max="1023" width="16.85546875" style="8" customWidth="1"/>
    <col min="1024" max="1024" width="17.42578125" style="8" customWidth="1"/>
    <col min="1025" max="1025" width="15.140625" style="8" customWidth="1"/>
    <col min="1026" max="1026" width="14.140625" style="8" customWidth="1"/>
    <col min="1027" max="1027" width="5.7109375" style="8" customWidth="1"/>
    <col min="1028" max="1028" width="9.5703125" style="8" customWidth="1"/>
    <col min="1029" max="1029" width="4.85546875" style="8" customWidth="1"/>
    <col min="1030" max="1030" width="5.85546875" style="8" customWidth="1"/>
    <col min="1031" max="1035" width="10" style="8" customWidth="1"/>
    <col min="1036" max="1263" width="9.140625" style="8"/>
    <col min="1264" max="1264" width="29" style="8" bestFit="1" customWidth="1"/>
    <col min="1265" max="1266" width="20" style="8" customWidth="1"/>
    <col min="1267" max="1267" width="0" style="8" hidden="1" customWidth="1"/>
    <col min="1268" max="1268" width="20" style="8" customWidth="1"/>
    <col min="1269" max="1274" width="0" style="8" hidden="1" customWidth="1"/>
    <col min="1275" max="1275" width="20" style="8" customWidth="1"/>
    <col min="1276" max="1276" width="20.140625" style="8" bestFit="1" customWidth="1"/>
    <col min="1277" max="1277" width="20.140625" style="8" customWidth="1"/>
    <col min="1278" max="1279" width="16.85546875" style="8" customWidth="1"/>
    <col min="1280" max="1280" width="17.42578125" style="8" customWidth="1"/>
    <col min="1281" max="1281" width="15.140625" style="8" customWidth="1"/>
    <col min="1282" max="1282" width="14.140625" style="8" customWidth="1"/>
    <col min="1283" max="1283" width="5.7109375" style="8" customWidth="1"/>
    <col min="1284" max="1284" width="9.5703125" style="8" customWidth="1"/>
    <col min="1285" max="1285" width="4.85546875" style="8" customWidth="1"/>
    <col min="1286" max="1286" width="5.85546875" style="8" customWidth="1"/>
    <col min="1287" max="1291" width="10" style="8" customWidth="1"/>
    <col min="1292" max="1519" width="9.140625" style="8"/>
    <col min="1520" max="1520" width="29" style="8" bestFit="1" customWidth="1"/>
    <col min="1521" max="1522" width="20" style="8" customWidth="1"/>
    <col min="1523" max="1523" width="0" style="8" hidden="1" customWidth="1"/>
    <col min="1524" max="1524" width="20" style="8" customWidth="1"/>
    <col min="1525" max="1530" width="0" style="8" hidden="1" customWidth="1"/>
    <col min="1531" max="1531" width="20" style="8" customWidth="1"/>
    <col min="1532" max="1532" width="20.140625" style="8" bestFit="1" customWidth="1"/>
    <col min="1533" max="1533" width="20.140625" style="8" customWidth="1"/>
    <col min="1534" max="1535" width="16.85546875" style="8" customWidth="1"/>
    <col min="1536" max="1536" width="17.42578125" style="8" customWidth="1"/>
    <col min="1537" max="1537" width="15.140625" style="8" customWidth="1"/>
    <col min="1538" max="1538" width="14.140625" style="8" customWidth="1"/>
    <col min="1539" max="1539" width="5.7109375" style="8" customWidth="1"/>
    <col min="1540" max="1540" width="9.5703125" style="8" customWidth="1"/>
    <col min="1541" max="1541" width="4.85546875" style="8" customWidth="1"/>
    <col min="1542" max="1542" width="5.85546875" style="8" customWidth="1"/>
    <col min="1543" max="1547" width="10" style="8" customWidth="1"/>
    <col min="1548" max="1775" width="9.140625" style="8"/>
    <col min="1776" max="1776" width="29" style="8" bestFit="1" customWidth="1"/>
    <col min="1777" max="1778" width="20" style="8" customWidth="1"/>
    <col min="1779" max="1779" width="0" style="8" hidden="1" customWidth="1"/>
    <col min="1780" max="1780" width="20" style="8" customWidth="1"/>
    <col min="1781" max="1786" width="0" style="8" hidden="1" customWidth="1"/>
    <col min="1787" max="1787" width="20" style="8" customWidth="1"/>
    <col min="1788" max="1788" width="20.140625" style="8" bestFit="1" customWidth="1"/>
    <col min="1789" max="1789" width="20.140625" style="8" customWidth="1"/>
    <col min="1790" max="1791" width="16.85546875" style="8" customWidth="1"/>
    <col min="1792" max="1792" width="17.42578125" style="8" customWidth="1"/>
    <col min="1793" max="1793" width="15.140625" style="8" customWidth="1"/>
    <col min="1794" max="1794" width="14.140625" style="8" customWidth="1"/>
    <col min="1795" max="1795" width="5.7109375" style="8" customWidth="1"/>
    <col min="1796" max="1796" width="9.5703125" style="8" customWidth="1"/>
    <col min="1797" max="1797" width="4.85546875" style="8" customWidth="1"/>
    <col min="1798" max="1798" width="5.85546875" style="8" customWidth="1"/>
    <col min="1799" max="1803" width="10" style="8" customWidth="1"/>
    <col min="1804" max="2031" width="9.140625" style="8"/>
    <col min="2032" max="2032" width="29" style="8" bestFit="1" customWidth="1"/>
    <col min="2033" max="2034" width="20" style="8" customWidth="1"/>
    <col min="2035" max="2035" width="0" style="8" hidden="1" customWidth="1"/>
    <col min="2036" max="2036" width="20" style="8" customWidth="1"/>
    <col min="2037" max="2042" width="0" style="8" hidden="1" customWidth="1"/>
    <col min="2043" max="2043" width="20" style="8" customWidth="1"/>
    <col min="2044" max="2044" width="20.140625" style="8" bestFit="1" customWidth="1"/>
    <col min="2045" max="2045" width="20.140625" style="8" customWidth="1"/>
    <col min="2046" max="2047" width="16.85546875" style="8" customWidth="1"/>
    <col min="2048" max="2048" width="17.42578125" style="8" customWidth="1"/>
    <col min="2049" max="2049" width="15.140625" style="8" customWidth="1"/>
    <col min="2050" max="2050" width="14.140625" style="8" customWidth="1"/>
    <col min="2051" max="2051" width="5.7109375" style="8" customWidth="1"/>
    <col min="2052" max="2052" width="9.5703125" style="8" customWidth="1"/>
    <col min="2053" max="2053" width="4.85546875" style="8" customWidth="1"/>
    <col min="2054" max="2054" width="5.85546875" style="8" customWidth="1"/>
    <col min="2055" max="2059" width="10" style="8" customWidth="1"/>
    <col min="2060" max="2287" width="9.140625" style="8"/>
    <col min="2288" max="2288" width="29" style="8" bestFit="1" customWidth="1"/>
    <col min="2289" max="2290" width="20" style="8" customWidth="1"/>
    <col min="2291" max="2291" width="0" style="8" hidden="1" customWidth="1"/>
    <col min="2292" max="2292" width="20" style="8" customWidth="1"/>
    <col min="2293" max="2298" width="0" style="8" hidden="1" customWidth="1"/>
    <col min="2299" max="2299" width="20" style="8" customWidth="1"/>
    <col min="2300" max="2300" width="20.140625" style="8" bestFit="1" customWidth="1"/>
    <col min="2301" max="2301" width="20.140625" style="8" customWidth="1"/>
    <col min="2302" max="2303" width="16.85546875" style="8" customWidth="1"/>
    <col min="2304" max="2304" width="17.42578125" style="8" customWidth="1"/>
    <col min="2305" max="2305" width="15.140625" style="8" customWidth="1"/>
    <col min="2306" max="2306" width="14.140625" style="8" customWidth="1"/>
    <col min="2307" max="2307" width="5.7109375" style="8" customWidth="1"/>
    <col min="2308" max="2308" width="9.5703125" style="8" customWidth="1"/>
    <col min="2309" max="2309" width="4.85546875" style="8" customWidth="1"/>
    <col min="2310" max="2310" width="5.85546875" style="8" customWidth="1"/>
    <col min="2311" max="2315" width="10" style="8" customWidth="1"/>
    <col min="2316" max="2543" width="9.140625" style="8"/>
    <col min="2544" max="2544" width="29" style="8" bestFit="1" customWidth="1"/>
    <col min="2545" max="2546" width="20" style="8" customWidth="1"/>
    <col min="2547" max="2547" width="0" style="8" hidden="1" customWidth="1"/>
    <col min="2548" max="2548" width="20" style="8" customWidth="1"/>
    <col min="2549" max="2554" width="0" style="8" hidden="1" customWidth="1"/>
    <col min="2555" max="2555" width="20" style="8" customWidth="1"/>
    <col min="2556" max="2556" width="20.140625" style="8" bestFit="1" customWidth="1"/>
    <col min="2557" max="2557" width="20.140625" style="8" customWidth="1"/>
    <col min="2558" max="2559" width="16.85546875" style="8" customWidth="1"/>
    <col min="2560" max="2560" width="17.42578125" style="8" customWidth="1"/>
    <col min="2561" max="2561" width="15.140625" style="8" customWidth="1"/>
    <col min="2562" max="2562" width="14.140625" style="8" customWidth="1"/>
    <col min="2563" max="2563" width="5.7109375" style="8" customWidth="1"/>
    <col min="2564" max="2564" width="9.5703125" style="8" customWidth="1"/>
    <col min="2565" max="2565" width="4.85546875" style="8" customWidth="1"/>
    <col min="2566" max="2566" width="5.85546875" style="8" customWidth="1"/>
    <col min="2567" max="2571" width="10" style="8" customWidth="1"/>
    <col min="2572" max="2799" width="9.140625" style="8"/>
    <col min="2800" max="2800" width="29" style="8" bestFit="1" customWidth="1"/>
    <col min="2801" max="2802" width="20" style="8" customWidth="1"/>
    <col min="2803" max="2803" width="0" style="8" hidden="1" customWidth="1"/>
    <col min="2804" max="2804" width="20" style="8" customWidth="1"/>
    <col min="2805" max="2810" width="0" style="8" hidden="1" customWidth="1"/>
    <col min="2811" max="2811" width="20" style="8" customWidth="1"/>
    <col min="2812" max="2812" width="20.140625" style="8" bestFit="1" customWidth="1"/>
    <col min="2813" max="2813" width="20.140625" style="8" customWidth="1"/>
    <col min="2814" max="2815" width="16.85546875" style="8" customWidth="1"/>
    <col min="2816" max="2816" width="17.42578125" style="8" customWidth="1"/>
    <col min="2817" max="2817" width="15.140625" style="8" customWidth="1"/>
    <col min="2818" max="2818" width="14.140625" style="8" customWidth="1"/>
    <col min="2819" max="2819" width="5.7109375" style="8" customWidth="1"/>
    <col min="2820" max="2820" width="9.5703125" style="8" customWidth="1"/>
    <col min="2821" max="2821" width="4.85546875" style="8" customWidth="1"/>
    <col min="2822" max="2822" width="5.85546875" style="8" customWidth="1"/>
    <col min="2823" max="2827" width="10" style="8" customWidth="1"/>
    <col min="2828" max="3055" width="9.140625" style="8"/>
    <col min="3056" max="3056" width="29" style="8" bestFit="1" customWidth="1"/>
    <col min="3057" max="3058" width="20" style="8" customWidth="1"/>
    <col min="3059" max="3059" width="0" style="8" hidden="1" customWidth="1"/>
    <col min="3060" max="3060" width="20" style="8" customWidth="1"/>
    <col min="3061" max="3066" width="0" style="8" hidden="1" customWidth="1"/>
    <col min="3067" max="3067" width="20" style="8" customWidth="1"/>
    <col min="3068" max="3068" width="20.140625" style="8" bestFit="1" customWidth="1"/>
    <col min="3069" max="3069" width="20.140625" style="8" customWidth="1"/>
    <col min="3070" max="3071" width="16.85546875" style="8" customWidth="1"/>
    <col min="3072" max="3072" width="17.42578125" style="8" customWidth="1"/>
    <col min="3073" max="3073" width="15.140625" style="8" customWidth="1"/>
    <col min="3074" max="3074" width="14.140625" style="8" customWidth="1"/>
    <col min="3075" max="3075" width="5.7109375" style="8" customWidth="1"/>
    <col min="3076" max="3076" width="9.5703125" style="8" customWidth="1"/>
    <col min="3077" max="3077" width="4.85546875" style="8" customWidth="1"/>
    <col min="3078" max="3078" width="5.85546875" style="8" customWidth="1"/>
    <col min="3079" max="3083" width="10" style="8" customWidth="1"/>
    <col min="3084" max="3311" width="9.140625" style="8"/>
    <col min="3312" max="3312" width="29" style="8" bestFit="1" customWidth="1"/>
    <col min="3313" max="3314" width="20" style="8" customWidth="1"/>
    <col min="3315" max="3315" width="0" style="8" hidden="1" customWidth="1"/>
    <col min="3316" max="3316" width="20" style="8" customWidth="1"/>
    <col min="3317" max="3322" width="0" style="8" hidden="1" customWidth="1"/>
    <col min="3323" max="3323" width="20" style="8" customWidth="1"/>
    <col min="3324" max="3324" width="20.140625" style="8" bestFit="1" customWidth="1"/>
    <col min="3325" max="3325" width="20.140625" style="8" customWidth="1"/>
    <col min="3326" max="3327" width="16.85546875" style="8" customWidth="1"/>
    <col min="3328" max="3328" width="17.42578125" style="8" customWidth="1"/>
    <col min="3329" max="3329" width="15.140625" style="8" customWidth="1"/>
    <col min="3330" max="3330" width="14.140625" style="8" customWidth="1"/>
    <col min="3331" max="3331" width="5.7109375" style="8" customWidth="1"/>
    <col min="3332" max="3332" width="9.5703125" style="8" customWidth="1"/>
    <col min="3333" max="3333" width="4.85546875" style="8" customWidth="1"/>
    <col min="3334" max="3334" width="5.85546875" style="8" customWidth="1"/>
    <col min="3335" max="3339" width="10" style="8" customWidth="1"/>
    <col min="3340" max="3567" width="9.140625" style="8"/>
    <col min="3568" max="3568" width="29" style="8" bestFit="1" customWidth="1"/>
    <col min="3569" max="3570" width="20" style="8" customWidth="1"/>
    <col min="3571" max="3571" width="0" style="8" hidden="1" customWidth="1"/>
    <col min="3572" max="3572" width="20" style="8" customWidth="1"/>
    <col min="3573" max="3578" width="0" style="8" hidden="1" customWidth="1"/>
    <col min="3579" max="3579" width="20" style="8" customWidth="1"/>
    <col min="3580" max="3580" width="20.140625" style="8" bestFit="1" customWidth="1"/>
    <col min="3581" max="3581" width="20.140625" style="8" customWidth="1"/>
    <col min="3582" max="3583" width="16.85546875" style="8" customWidth="1"/>
    <col min="3584" max="3584" width="17.42578125" style="8" customWidth="1"/>
    <col min="3585" max="3585" width="15.140625" style="8" customWidth="1"/>
    <col min="3586" max="3586" width="14.140625" style="8" customWidth="1"/>
    <col min="3587" max="3587" width="5.7109375" style="8" customWidth="1"/>
    <col min="3588" max="3588" width="9.5703125" style="8" customWidth="1"/>
    <col min="3589" max="3589" width="4.85546875" style="8" customWidth="1"/>
    <col min="3590" max="3590" width="5.85546875" style="8" customWidth="1"/>
    <col min="3591" max="3595" width="10" style="8" customWidth="1"/>
    <col min="3596" max="3823" width="9.140625" style="8"/>
    <col min="3824" max="3824" width="29" style="8" bestFit="1" customWidth="1"/>
    <col min="3825" max="3826" width="20" style="8" customWidth="1"/>
    <col min="3827" max="3827" width="0" style="8" hidden="1" customWidth="1"/>
    <col min="3828" max="3828" width="20" style="8" customWidth="1"/>
    <col min="3829" max="3834" width="0" style="8" hidden="1" customWidth="1"/>
    <col min="3835" max="3835" width="20" style="8" customWidth="1"/>
    <col min="3836" max="3836" width="20.140625" style="8" bestFit="1" customWidth="1"/>
    <col min="3837" max="3837" width="20.140625" style="8" customWidth="1"/>
    <col min="3838" max="3839" width="16.85546875" style="8" customWidth="1"/>
    <col min="3840" max="3840" width="17.42578125" style="8" customWidth="1"/>
    <col min="3841" max="3841" width="15.140625" style="8" customWidth="1"/>
    <col min="3842" max="3842" width="14.140625" style="8" customWidth="1"/>
    <col min="3843" max="3843" width="5.7109375" style="8" customWidth="1"/>
    <col min="3844" max="3844" width="9.5703125" style="8" customWidth="1"/>
    <col min="3845" max="3845" width="4.85546875" style="8" customWidth="1"/>
    <col min="3846" max="3846" width="5.85546875" style="8" customWidth="1"/>
    <col min="3847" max="3851" width="10" style="8" customWidth="1"/>
    <col min="3852" max="4079" width="9.140625" style="8"/>
    <col min="4080" max="4080" width="29" style="8" bestFit="1" customWidth="1"/>
    <col min="4081" max="4082" width="20" style="8" customWidth="1"/>
    <col min="4083" max="4083" width="0" style="8" hidden="1" customWidth="1"/>
    <col min="4084" max="4084" width="20" style="8" customWidth="1"/>
    <col min="4085" max="4090" width="0" style="8" hidden="1" customWidth="1"/>
    <col min="4091" max="4091" width="20" style="8" customWidth="1"/>
    <col min="4092" max="4092" width="20.140625" style="8" bestFit="1" customWidth="1"/>
    <col min="4093" max="4093" width="20.140625" style="8" customWidth="1"/>
    <col min="4094" max="4095" width="16.85546875" style="8" customWidth="1"/>
    <col min="4096" max="4096" width="17.42578125" style="8" customWidth="1"/>
    <col min="4097" max="4097" width="15.140625" style="8" customWidth="1"/>
    <col min="4098" max="4098" width="14.140625" style="8" customWidth="1"/>
    <col min="4099" max="4099" width="5.7109375" style="8" customWidth="1"/>
    <col min="4100" max="4100" width="9.5703125" style="8" customWidth="1"/>
    <col min="4101" max="4101" width="4.85546875" style="8" customWidth="1"/>
    <col min="4102" max="4102" width="5.85546875" style="8" customWidth="1"/>
    <col min="4103" max="4107" width="10" style="8" customWidth="1"/>
    <col min="4108" max="4335" width="9.140625" style="8"/>
    <col min="4336" max="4336" width="29" style="8" bestFit="1" customWidth="1"/>
    <col min="4337" max="4338" width="20" style="8" customWidth="1"/>
    <col min="4339" max="4339" width="0" style="8" hidden="1" customWidth="1"/>
    <col min="4340" max="4340" width="20" style="8" customWidth="1"/>
    <col min="4341" max="4346" width="0" style="8" hidden="1" customWidth="1"/>
    <col min="4347" max="4347" width="20" style="8" customWidth="1"/>
    <col min="4348" max="4348" width="20.140625" style="8" bestFit="1" customWidth="1"/>
    <col min="4349" max="4349" width="20.140625" style="8" customWidth="1"/>
    <col min="4350" max="4351" width="16.85546875" style="8" customWidth="1"/>
    <col min="4352" max="4352" width="17.42578125" style="8" customWidth="1"/>
    <col min="4353" max="4353" width="15.140625" style="8" customWidth="1"/>
    <col min="4354" max="4354" width="14.140625" style="8" customWidth="1"/>
    <col min="4355" max="4355" width="5.7109375" style="8" customWidth="1"/>
    <col min="4356" max="4356" width="9.5703125" style="8" customWidth="1"/>
    <col min="4357" max="4357" width="4.85546875" style="8" customWidth="1"/>
    <col min="4358" max="4358" width="5.85546875" style="8" customWidth="1"/>
    <col min="4359" max="4363" width="10" style="8" customWidth="1"/>
    <col min="4364" max="4591" width="9.140625" style="8"/>
    <col min="4592" max="4592" width="29" style="8" bestFit="1" customWidth="1"/>
    <col min="4593" max="4594" width="20" style="8" customWidth="1"/>
    <col min="4595" max="4595" width="0" style="8" hidden="1" customWidth="1"/>
    <col min="4596" max="4596" width="20" style="8" customWidth="1"/>
    <col min="4597" max="4602" width="0" style="8" hidden="1" customWidth="1"/>
    <col min="4603" max="4603" width="20" style="8" customWidth="1"/>
    <col min="4604" max="4604" width="20.140625" style="8" bestFit="1" customWidth="1"/>
    <col min="4605" max="4605" width="20.140625" style="8" customWidth="1"/>
    <col min="4606" max="4607" width="16.85546875" style="8" customWidth="1"/>
    <col min="4608" max="4608" width="17.42578125" style="8" customWidth="1"/>
    <col min="4609" max="4609" width="15.140625" style="8" customWidth="1"/>
    <col min="4610" max="4610" width="14.140625" style="8" customWidth="1"/>
    <col min="4611" max="4611" width="5.7109375" style="8" customWidth="1"/>
    <col min="4612" max="4612" width="9.5703125" style="8" customWidth="1"/>
    <col min="4613" max="4613" width="4.85546875" style="8" customWidth="1"/>
    <col min="4614" max="4614" width="5.85546875" style="8" customWidth="1"/>
    <col min="4615" max="4619" width="10" style="8" customWidth="1"/>
    <col min="4620" max="4847" width="9.140625" style="8"/>
    <col min="4848" max="4848" width="29" style="8" bestFit="1" customWidth="1"/>
    <col min="4849" max="4850" width="20" style="8" customWidth="1"/>
    <col min="4851" max="4851" width="0" style="8" hidden="1" customWidth="1"/>
    <col min="4852" max="4852" width="20" style="8" customWidth="1"/>
    <col min="4853" max="4858" width="0" style="8" hidden="1" customWidth="1"/>
    <col min="4859" max="4859" width="20" style="8" customWidth="1"/>
    <col min="4860" max="4860" width="20.140625" style="8" bestFit="1" customWidth="1"/>
    <col min="4861" max="4861" width="20.140625" style="8" customWidth="1"/>
    <col min="4862" max="4863" width="16.85546875" style="8" customWidth="1"/>
    <col min="4864" max="4864" width="17.42578125" style="8" customWidth="1"/>
    <col min="4865" max="4865" width="15.140625" style="8" customWidth="1"/>
    <col min="4866" max="4866" width="14.140625" style="8" customWidth="1"/>
    <col min="4867" max="4867" width="5.7109375" style="8" customWidth="1"/>
    <col min="4868" max="4868" width="9.5703125" style="8" customWidth="1"/>
    <col min="4869" max="4869" width="4.85546875" style="8" customWidth="1"/>
    <col min="4870" max="4870" width="5.85546875" style="8" customWidth="1"/>
    <col min="4871" max="4875" width="10" style="8" customWidth="1"/>
    <col min="4876" max="5103" width="9.140625" style="8"/>
    <col min="5104" max="5104" width="29" style="8" bestFit="1" customWidth="1"/>
    <col min="5105" max="5106" width="20" style="8" customWidth="1"/>
    <col min="5107" max="5107" width="0" style="8" hidden="1" customWidth="1"/>
    <col min="5108" max="5108" width="20" style="8" customWidth="1"/>
    <col min="5109" max="5114" width="0" style="8" hidden="1" customWidth="1"/>
    <col min="5115" max="5115" width="20" style="8" customWidth="1"/>
    <col min="5116" max="5116" width="20.140625" style="8" bestFit="1" customWidth="1"/>
    <col min="5117" max="5117" width="20.140625" style="8" customWidth="1"/>
    <col min="5118" max="5119" width="16.85546875" style="8" customWidth="1"/>
    <col min="5120" max="5120" width="17.42578125" style="8" customWidth="1"/>
    <col min="5121" max="5121" width="15.140625" style="8" customWidth="1"/>
    <col min="5122" max="5122" width="14.140625" style="8" customWidth="1"/>
    <col min="5123" max="5123" width="5.7109375" style="8" customWidth="1"/>
    <col min="5124" max="5124" width="9.5703125" style="8" customWidth="1"/>
    <col min="5125" max="5125" width="4.85546875" style="8" customWidth="1"/>
    <col min="5126" max="5126" width="5.85546875" style="8" customWidth="1"/>
    <col min="5127" max="5131" width="10" style="8" customWidth="1"/>
    <col min="5132" max="5359" width="9.140625" style="8"/>
    <col min="5360" max="5360" width="29" style="8" bestFit="1" customWidth="1"/>
    <col min="5361" max="5362" width="20" style="8" customWidth="1"/>
    <col min="5363" max="5363" width="0" style="8" hidden="1" customWidth="1"/>
    <col min="5364" max="5364" width="20" style="8" customWidth="1"/>
    <col min="5365" max="5370" width="0" style="8" hidden="1" customWidth="1"/>
    <col min="5371" max="5371" width="20" style="8" customWidth="1"/>
    <col min="5372" max="5372" width="20.140625" style="8" bestFit="1" customWidth="1"/>
    <col min="5373" max="5373" width="20.140625" style="8" customWidth="1"/>
    <col min="5374" max="5375" width="16.85546875" style="8" customWidth="1"/>
    <col min="5376" max="5376" width="17.42578125" style="8" customWidth="1"/>
    <col min="5377" max="5377" width="15.140625" style="8" customWidth="1"/>
    <col min="5378" max="5378" width="14.140625" style="8" customWidth="1"/>
    <col min="5379" max="5379" width="5.7109375" style="8" customWidth="1"/>
    <col min="5380" max="5380" width="9.5703125" style="8" customWidth="1"/>
    <col min="5381" max="5381" width="4.85546875" style="8" customWidth="1"/>
    <col min="5382" max="5382" width="5.85546875" style="8" customWidth="1"/>
    <col min="5383" max="5387" width="10" style="8" customWidth="1"/>
    <col min="5388" max="5615" width="9.140625" style="8"/>
    <col min="5616" max="5616" width="29" style="8" bestFit="1" customWidth="1"/>
    <col min="5617" max="5618" width="20" style="8" customWidth="1"/>
    <col min="5619" max="5619" width="0" style="8" hidden="1" customWidth="1"/>
    <col min="5620" max="5620" width="20" style="8" customWidth="1"/>
    <col min="5621" max="5626" width="0" style="8" hidden="1" customWidth="1"/>
    <col min="5627" max="5627" width="20" style="8" customWidth="1"/>
    <col min="5628" max="5628" width="20.140625" style="8" bestFit="1" customWidth="1"/>
    <col min="5629" max="5629" width="20.140625" style="8" customWidth="1"/>
    <col min="5630" max="5631" width="16.85546875" style="8" customWidth="1"/>
    <col min="5632" max="5632" width="17.42578125" style="8" customWidth="1"/>
    <col min="5633" max="5633" width="15.140625" style="8" customWidth="1"/>
    <col min="5634" max="5634" width="14.140625" style="8" customWidth="1"/>
    <col min="5635" max="5635" width="5.7109375" style="8" customWidth="1"/>
    <col min="5636" max="5636" width="9.5703125" style="8" customWidth="1"/>
    <col min="5637" max="5637" width="4.85546875" style="8" customWidth="1"/>
    <col min="5638" max="5638" width="5.85546875" style="8" customWidth="1"/>
    <col min="5639" max="5643" width="10" style="8" customWidth="1"/>
    <col min="5644" max="5871" width="9.140625" style="8"/>
    <col min="5872" max="5872" width="29" style="8" bestFit="1" customWidth="1"/>
    <col min="5873" max="5874" width="20" style="8" customWidth="1"/>
    <col min="5875" max="5875" width="0" style="8" hidden="1" customWidth="1"/>
    <col min="5876" max="5876" width="20" style="8" customWidth="1"/>
    <col min="5877" max="5882" width="0" style="8" hidden="1" customWidth="1"/>
    <col min="5883" max="5883" width="20" style="8" customWidth="1"/>
    <col min="5884" max="5884" width="20.140625" style="8" bestFit="1" customWidth="1"/>
    <col min="5885" max="5885" width="20.140625" style="8" customWidth="1"/>
    <col min="5886" max="5887" width="16.85546875" style="8" customWidth="1"/>
    <col min="5888" max="5888" width="17.42578125" style="8" customWidth="1"/>
    <col min="5889" max="5889" width="15.140625" style="8" customWidth="1"/>
    <col min="5890" max="5890" width="14.140625" style="8" customWidth="1"/>
    <col min="5891" max="5891" width="5.7109375" style="8" customWidth="1"/>
    <col min="5892" max="5892" width="9.5703125" style="8" customWidth="1"/>
    <col min="5893" max="5893" width="4.85546875" style="8" customWidth="1"/>
    <col min="5894" max="5894" width="5.85546875" style="8" customWidth="1"/>
    <col min="5895" max="5899" width="10" style="8" customWidth="1"/>
    <col min="5900" max="6127" width="9.140625" style="8"/>
    <col min="6128" max="6128" width="29" style="8" bestFit="1" customWidth="1"/>
    <col min="6129" max="6130" width="20" style="8" customWidth="1"/>
    <col min="6131" max="6131" width="0" style="8" hidden="1" customWidth="1"/>
    <col min="6132" max="6132" width="20" style="8" customWidth="1"/>
    <col min="6133" max="6138" width="0" style="8" hidden="1" customWidth="1"/>
    <col min="6139" max="6139" width="20" style="8" customWidth="1"/>
    <col min="6140" max="6140" width="20.140625" style="8" bestFit="1" customWidth="1"/>
    <col min="6141" max="6141" width="20.140625" style="8" customWidth="1"/>
    <col min="6142" max="6143" width="16.85546875" style="8" customWidth="1"/>
    <col min="6144" max="6144" width="17.42578125" style="8" customWidth="1"/>
    <col min="6145" max="6145" width="15.140625" style="8" customWidth="1"/>
    <col min="6146" max="6146" width="14.140625" style="8" customWidth="1"/>
    <col min="6147" max="6147" width="5.7109375" style="8" customWidth="1"/>
    <col min="6148" max="6148" width="9.5703125" style="8" customWidth="1"/>
    <col min="6149" max="6149" width="4.85546875" style="8" customWidth="1"/>
    <col min="6150" max="6150" width="5.85546875" style="8" customWidth="1"/>
    <col min="6151" max="6155" width="10" style="8" customWidth="1"/>
    <col min="6156" max="6383" width="9.140625" style="8"/>
    <col min="6384" max="6384" width="29" style="8" bestFit="1" customWidth="1"/>
    <col min="6385" max="6386" width="20" style="8" customWidth="1"/>
    <col min="6387" max="6387" width="0" style="8" hidden="1" customWidth="1"/>
    <col min="6388" max="6388" width="20" style="8" customWidth="1"/>
    <col min="6389" max="6394" width="0" style="8" hidden="1" customWidth="1"/>
    <col min="6395" max="6395" width="20" style="8" customWidth="1"/>
    <col min="6396" max="6396" width="20.140625" style="8" bestFit="1" customWidth="1"/>
    <col min="6397" max="6397" width="20.140625" style="8" customWidth="1"/>
    <col min="6398" max="6399" width="16.85546875" style="8" customWidth="1"/>
    <col min="6400" max="6400" width="17.42578125" style="8" customWidth="1"/>
    <col min="6401" max="6401" width="15.140625" style="8" customWidth="1"/>
    <col min="6402" max="6402" width="14.140625" style="8" customWidth="1"/>
    <col min="6403" max="6403" width="5.7109375" style="8" customWidth="1"/>
    <col min="6404" max="6404" width="9.5703125" style="8" customWidth="1"/>
    <col min="6405" max="6405" width="4.85546875" style="8" customWidth="1"/>
    <col min="6406" max="6406" width="5.85546875" style="8" customWidth="1"/>
    <col min="6407" max="6411" width="10" style="8" customWidth="1"/>
    <col min="6412" max="6639" width="9.140625" style="8"/>
    <col min="6640" max="6640" width="29" style="8" bestFit="1" customWidth="1"/>
    <col min="6641" max="6642" width="20" style="8" customWidth="1"/>
    <col min="6643" max="6643" width="0" style="8" hidden="1" customWidth="1"/>
    <col min="6644" max="6644" width="20" style="8" customWidth="1"/>
    <col min="6645" max="6650" width="0" style="8" hidden="1" customWidth="1"/>
    <col min="6651" max="6651" width="20" style="8" customWidth="1"/>
    <col min="6652" max="6652" width="20.140625" style="8" bestFit="1" customWidth="1"/>
    <col min="6653" max="6653" width="20.140625" style="8" customWidth="1"/>
    <col min="6654" max="6655" width="16.85546875" style="8" customWidth="1"/>
    <col min="6656" max="6656" width="17.42578125" style="8" customWidth="1"/>
    <col min="6657" max="6657" width="15.140625" style="8" customWidth="1"/>
    <col min="6658" max="6658" width="14.140625" style="8" customWidth="1"/>
    <col min="6659" max="6659" width="5.7109375" style="8" customWidth="1"/>
    <col min="6660" max="6660" width="9.5703125" style="8" customWidth="1"/>
    <col min="6661" max="6661" width="4.85546875" style="8" customWidth="1"/>
    <col min="6662" max="6662" width="5.85546875" style="8" customWidth="1"/>
    <col min="6663" max="6667" width="10" style="8" customWidth="1"/>
    <col min="6668" max="6895" width="9.140625" style="8"/>
    <col min="6896" max="6896" width="29" style="8" bestFit="1" customWidth="1"/>
    <col min="6897" max="6898" width="20" style="8" customWidth="1"/>
    <col min="6899" max="6899" width="0" style="8" hidden="1" customWidth="1"/>
    <col min="6900" max="6900" width="20" style="8" customWidth="1"/>
    <col min="6901" max="6906" width="0" style="8" hidden="1" customWidth="1"/>
    <col min="6907" max="6907" width="20" style="8" customWidth="1"/>
    <col min="6908" max="6908" width="20.140625" style="8" bestFit="1" customWidth="1"/>
    <col min="6909" max="6909" width="20.140625" style="8" customWidth="1"/>
    <col min="6910" max="6911" width="16.85546875" style="8" customWidth="1"/>
    <col min="6912" max="6912" width="17.42578125" style="8" customWidth="1"/>
    <col min="6913" max="6913" width="15.140625" style="8" customWidth="1"/>
    <col min="6914" max="6914" width="14.140625" style="8" customWidth="1"/>
    <col min="6915" max="6915" width="5.7109375" style="8" customWidth="1"/>
    <col min="6916" max="6916" width="9.5703125" style="8" customWidth="1"/>
    <col min="6917" max="6917" width="4.85546875" style="8" customWidth="1"/>
    <col min="6918" max="6918" width="5.85546875" style="8" customWidth="1"/>
    <col min="6919" max="6923" width="10" style="8" customWidth="1"/>
    <col min="6924" max="7151" width="9.140625" style="8"/>
    <col min="7152" max="7152" width="29" style="8" bestFit="1" customWidth="1"/>
    <col min="7153" max="7154" width="20" style="8" customWidth="1"/>
    <col min="7155" max="7155" width="0" style="8" hidden="1" customWidth="1"/>
    <col min="7156" max="7156" width="20" style="8" customWidth="1"/>
    <col min="7157" max="7162" width="0" style="8" hidden="1" customWidth="1"/>
    <col min="7163" max="7163" width="20" style="8" customWidth="1"/>
    <col min="7164" max="7164" width="20.140625" style="8" bestFit="1" customWidth="1"/>
    <col min="7165" max="7165" width="20.140625" style="8" customWidth="1"/>
    <col min="7166" max="7167" width="16.85546875" style="8" customWidth="1"/>
    <col min="7168" max="7168" width="17.42578125" style="8" customWidth="1"/>
    <col min="7169" max="7169" width="15.140625" style="8" customWidth="1"/>
    <col min="7170" max="7170" width="14.140625" style="8" customWidth="1"/>
    <col min="7171" max="7171" width="5.7109375" style="8" customWidth="1"/>
    <col min="7172" max="7172" width="9.5703125" style="8" customWidth="1"/>
    <col min="7173" max="7173" width="4.85546875" style="8" customWidth="1"/>
    <col min="7174" max="7174" width="5.85546875" style="8" customWidth="1"/>
    <col min="7175" max="7179" width="10" style="8" customWidth="1"/>
    <col min="7180" max="7407" width="9.140625" style="8"/>
    <col min="7408" max="7408" width="29" style="8" bestFit="1" customWidth="1"/>
    <col min="7409" max="7410" width="20" style="8" customWidth="1"/>
    <col min="7411" max="7411" width="0" style="8" hidden="1" customWidth="1"/>
    <col min="7412" max="7412" width="20" style="8" customWidth="1"/>
    <col min="7413" max="7418" width="0" style="8" hidden="1" customWidth="1"/>
    <col min="7419" max="7419" width="20" style="8" customWidth="1"/>
    <col min="7420" max="7420" width="20.140625" style="8" bestFit="1" customWidth="1"/>
    <col min="7421" max="7421" width="20.140625" style="8" customWidth="1"/>
    <col min="7422" max="7423" width="16.85546875" style="8" customWidth="1"/>
    <col min="7424" max="7424" width="17.42578125" style="8" customWidth="1"/>
    <col min="7425" max="7425" width="15.140625" style="8" customWidth="1"/>
    <col min="7426" max="7426" width="14.140625" style="8" customWidth="1"/>
    <col min="7427" max="7427" width="5.7109375" style="8" customWidth="1"/>
    <col min="7428" max="7428" width="9.5703125" style="8" customWidth="1"/>
    <col min="7429" max="7429" width="4.85546875" style="8" customWidth="1"/>
    <col min="7430" max="7430" width="5.85546875" style="8" customWidth="1"/>
    <col min="7431" max="7435" width="10" style="8" customWidth="1"/>
    <col min="7436" max="7663" width="9.140625" style="8"/>
    <col min="7664" max="7664" width="29" style="8" bestFit="1" customWidth="1"/>
    <col min="7665" max="7666" width="20" style="8" customWidth="1"/>
    <col min="7667" max="7667" width="0" style="8" hidden="1" customWidth="1"/>
    <col min="7668" max="7668" width="20" style="8" customWidth="1"/>
    <col min="7669" max="7674" width="0" style="8" hidden="1" customWidth="1"/>
    <col min="7675" max="7675" width="20" style="8" customWidth="1"/>
    <col min="7676" max="7676" width="20.140625" style="8" bestFit="1" customWidth="1"/>
    <col min="7677" max="7677" width="20.140625" style="8" customWidth="1"/>
    <col min="7678" max="7679" width="16.85546875" style="8" customWidth="1"/>
    <col min="7680" max="7680" width="17.42578125" style="8" customWidth="1"/>
    <col min="7681" max="7681" width="15.140625" style="8" customWidth="1"/>
    <col min="7682" max="7682" width="14.140625" style="8" customWidth="1"/>
    <col min="7683" max="7683" width="5.7109375" style="8" customWidth="1"/>
    <col min="7684" max="7684" width="9.5703125" style="8" customWidth="1"/>
    <col min="7685" max="7685" width="4.85546875" style="8" customWidth="1"/>
    <col min="7686" max="7686" width="5.85546875" style="8" customWidth="1"/>
    <col min="7687" max="7691" width="10" style="8" customWidth="1"/>
    <col min="7692" max="7919" width="9.140625" style="8"/>
    <col min="7920" max="7920" width="29" style="8" bestFit="1" customWidth="1"/>
    <col min="7921" max="7922" width="20" style="8" customWidth="1"/>
    <col min="7923" max="7923" width="0" style="8" hidden="1" customWidth="1"/>
    <col min="7924" max="7924" width="20" style="8" customWidth="1"/>
    <col min="7925" max="7930" width="0" style="8" hidden="1" customWidth="1"/>
    <col min="7931" max="7931" width="20" style="8" customWidth="1"/>
    <col min="7932" max="7932" width="20.140625" style="8" bestFit="1" customWidth="1"/>
    <col min="7933" max="7933" width="20.140625" style="8" customWidth="1"/>
    <col min="7934" max="7935" width="16.85546875" style="8" customWidth="1"/>
    <col min="7936" max="7936" width="17.42578125" style="8" customWidth="1"/>
    <col min="7937" max="7937" width="15.140625" style="8" customWidth="1"/>
    <col min="7938" max="7938" width="14.140625" style="8" customWidth="1"/>
    <col min="7939" max="7939" width="5.7109375" style="8" customWidth="1"/>
    <col min="7940" max="7940" width="9.5703125" style="8" customWidth="1"/>
    <col min="7941" max="7941" width="4.85546875" style="8" customWidth="1"/>
    <col min="7942" max="7942" width="5.85546875" style="8" customWidth="1"/>
    <col min="7943" max="7947" width="10" style="8" customWidth="1"/>
    <col min="7948" max="8175" width="9.140625" style="8"/>
    <col min="8176" max="8176" width="29" style="8" bestFit="1" customWidth="1"/>
    <col min="8177" max="8178" width="20" style="8" customWidth="1"/>
    <col min="8179" max="8179" width="0" style="8" hidden="1" customWidth="1"/>
    <col min="8180" max="8180" width="20" style="8" customWidth="1"/>
    <col min="8181" max="8186" width="0" style="8" hidden="1" customWidth="1"/>
    <col min="8187" max="8187" width="20" style="8" customWidth="1"/>
    <col min="8188" max="8188" width="20.140625" style="8" bestFit="1" customWidth="1"/>
    <col min="8189" max="8189" width="20.140625" style="8" customWidth="1"/>
    <col min="8190" max="8191" width="16.85546875" style="8" customWidth="1"/>
    <col min="8192" max="8192" width="17.42578125" style="8" customWidth="1"/>
    <col min="8193" max="8193" width="15.140625" style="8" customWidth="1"/>
    <col min="8194" max="8194" width="14.140625" style="8" customWidth="1"/>
    <col min="8195" max="8195" width="5.7109375" style="8" customWidth="1"/>
    <col min="8196" max="8196" width="9.5703125" style="8" customWidth="1"/>
    <col min="8197" max="8197" width="4.85546875" style="8" customWidth="1"/>
    <col min="8198" max="8198" width="5.85546875" style="8" customWidth="1"/>
    <col min="8199" max="8203" width="10" style="8" customWidth="1"/>
    <col min="8204" max="8431" width="9.140625" style="8"/>
    <col min="8432" max="8432" width="29" style="8" bestFit="1" customWidth="1"/>
    <col min="8433" max="8434" width="20" style="8" customWidth="1"/>
    <col min="8435" max="8435" width="0" style="8" hidden="1" customWidth="1"/>
    <col min="8436" max="8436" width="20" style="8" customWidth="1"/>
    <col min="8437" max="8442" width="0" style="8" hidden="1" customWidth="1"/>
    <col min="8443" max="8443" width="20" style="8" customWidth="1"/>
    <col min="8444" max="8444" width="20.140625" style="8" bestFit="1" customWidth="1"/>
    <col min="8445" max="8445" width="20.140625" style="8" customWidth="1"/>
    <col min="8446" max="8447" width="16.85546875" style="8" customWidth="1"/>
    <col min="8448" max="8448" width="17.42578125" style="8" customWidth="1"/>
    <col min="8449" max="8449" width="15.140625" style="8" customWidth="1"/>
    <col min="8450" max="8450" width="14.140625" style="8" customWidth="1"/>
    <col min="8451" max="8451" width="5.7109375" style="8" customWidth="1"/>
    <col min="8452" max="8452" width="9.5703125" style="8" customWidth="1"/>
    <col min="8453" max="8453" width="4.85546875" style="8" customWidth="1"/>
    <col min="8454" max="8454" width="5.85546875" style="8" customWidth="1"/>
    <col min="8455" max="8459" width="10" style="8" customWidth="1"/>
    <col min="8460" max="8687" width="9.140625" style="8"/>
    <col min="8688" max="8688" width="29" style="8" bestFit="1" customWidth="1"/>
    <col min="8689" max="8690" width="20" style="8" customWidth="1"/>
    <col min="8691" max="8691" width="0" style="8" hidden="1" customWidth="1"/>
    <col min="8692" max="8692" width="20" style="8" customWidth="1"/>
    <col min="8693" max="8698" width="0" style="8" hidden="1" customWidth="1"/>
    <col min="8699" max="8699" width="20" style="8" customWidth="1"/>
    <col min="8700" max="8700" width="20.140625" style="8" bestFit="1" customWidth="1"/>
    <col min="8701" max="8701" width="20.140625" style="8" customWidth="1"/>
    <col min="8702" max="8703" width="16.85546875" style="8" customWidth="1"/>
    <col min="8704" max="8704" width="17.42578125" style="8" customWidth="1"/>
    <col min="8705" max="8705" width="15.140625" style="8" customWidth="1"/>
    <col min="8706" max="8706" width="14.140625" style="8" customWidth="1"/>
    <col min="8707" max="8707" width="5.7109375" style="8" customWidth="1"/>
    <col min="8708" max="8708" width="9.5703125" style="8" customWidth="1"/>
    <col min="8709" max="8709" width="4.85546875" style="8" customWidth="1"/>
    <col min="8710" max="8710" width="5.85546875" style="8" customWidth="1"/>
    <col min="8711" max="8715" width="10" style="8" customWidth="1"/>
    <col min="8716" max="8943" width="9.140625" style="8"/>
    <col min="8944" max="8944" width="29" style="8" bestFit="1" customWidth="1"/>
    <col min="8945" max="8946" width="20" style="8" customWidth="1"/>
    <col min="8947" max="8947" width="0" style="8" hidden="1" customWidth="1"/>
    <col min="8948" max="8948" width="20" style="8" customWidth="1"/>
    <col min="8949" max="8954" width="0" style="8" hidden="1" customWidth="1"/>
    <col min="8955" max="8955" width="20" style="8" customWidth="1"/>
    <col min="8956" max="8956" width="20.140625" style="8" bestFit="1" customWidth="1"/>
    <col min="8957" max="8957" width="20.140625" style="8" customWidth="1"/>
    <col min="8958" max="8959" width="16.85546875" style="8" customWidth="1"/>
    <col min="8960" max="8960" width="17.42578125" style="8" customWidth="1"/>
    <col min="8961" max="8961" width="15.140625" style="8" customWidth="1"/>
    <col min="8962" max="8962" width="14.140625" style="8" customWidth="1"/>
    <col min="8963" max="8963" width="5.7109375" style="8" customWidth="1"/>
    <col min="8964" max="8964" width="9.5703125" style="8" customWidth="1"/>
    <col min="8965" max="8965" width="4.85546875" style="8" customWidth="1"/>
    <col min="8966" max="8966" width="5.85546875" style="8" customWidth="1"/>
    <col min="8967" max="8971" width="10" style="8" customWidth="1"/>
    <col min="8972" max="9199" width="9.140625" style="8"/>
    <col min="9200" max="9200" width="29" style="8" bestFit="1" customWidth="1"/>
    <col min="9201" max="9202" width="20" style="8" customWidth="1"/>
    <col min="9203" max="9203" width="0" style="8" hidden="1" customWidth="1"/>
    <col min="9204" max="9204" width="20" style="8" customWidth="1"/>
    <col min="9205" max="9210" width="0" style="8" hidden="1" customWidth="1"/>
    <col min="9211" max="9211" width="20" style="8" customWidth="1"/>
    <col min="9212" max="9212" width="20.140625" style="8" bestFit="1" customWidth="1"/>
    <col min="9213" max="9213" width="20.140625" style="8" customWidth="1"/>
    <col min="9214" max="9215" width="16.85546875" style="8" customWidth="1"/>
    <col min="9216" max="9216" width="17.42578125" style="8" customWidth="1"/>
    <col min="9217" max="9217" width="15.140625" style="8" customWidth="1"/>
    <col min="9218" max="9218" width="14.140625" style="8" customWidth="1"/>
    <col min="9219" max="9219" width="5.7109375" style="8" customWidth="1"/>
    <col min="9220" max="9220" width="9.5703125" style="8" customWidth="1"/>
    <col min="9221" max="9221" width="4.85546875" style="8" customWidth="1"/>
    <col min="9222" max="9222" width="5.85546875" style="8" customWidth="1"/>
    <col min="9223" max="9227" width="10" style="8" customWidth="1"/>
    <col min="9228" max="9455" width="9.140625" style="8"/>
    <col min="9456" max="9456" width="29" style="8" bestFit="1" customWidth="1"/>
    <col min="9457" max="9458" width="20" style="8" customWidth="1"/>
    <col min="9459" max="9459" width="0" style="8" hidden="1" customWidth="1"/>
    <col min="9460" max="9460" width="20" style="8" customWidth="1"/>
    <col min="9461" max="9466" width="0" style="8" hidden="1" customWidth="1"/>
    <col min="9467" max="9467" width="20" style="8" customWidth="1"/>
    <col min="9468" max="9468" width="20.140625" style="8" bestFit="1" customWidth="1"/>
    <col min="9469" max="9469" width="20.140625" style="8" customWidth="1"/>
    <col min="9470" max="9471" width="16.85546875" style="8" customWidth="1"/>
    <col min="9472" max="9472" width="17.42578125" style="8" customWidth="1"/>
    <col min="9473" max="9473" width="15.140625" style="8" customWidth="1"/>
    <col min="9474" max="9474" width="14.140625" style="8" customWidth="1"/>
    <col min="9475" max="9475" width="5.7109375" style="8" customWidth="1"/>
    <col min="9476" max="9476" width="9.5703125" style="8" customWidth="1"/>
    <col min="9477" max="9477" width="4.85546875" style="8" customWidth="1"/>
    <col min="9478" max="9478" width="5.85546875" style="8" customWidth="1"/>
    <col min="9479" max="9483" width="10" style="8" customWidth="1"/>
    <col min="9484" max="9711" width="9.140625" style="8"/>
    <col min="9712" max="9712" width="29" style="8" bestFit="1" customWidth="1"/>
    <col min="9713" max="9714" width="20" style="8" customWidth="1"/>
    <col min="9715" max="9715" width="0" style="8" hidden="1" customWidth="1"/>
    <col min="9716" max="9716" width="20" style="8" customWidth="1"/>
    <col min="9717" max="9722" width="0" style="8" hidden="1" customWidth="1"/>
    <col min="9723" max="9723" width="20" style="8" customWidth="1"/>
    <col min="9724" max="9724" width="20.140625" style="8" bestFit="1" customWidth="1"/>
    <col min="9725" max="9725" width="20.140625" style="8" customWidth="1"/>
    <col min="9726" max="9727" width="16.85546875" style="8" customWidth="1"/>
    <col min="9728" max="9728" width="17.42578125" style="8" customWidth="1"/>
    <col min="9729" max="9729" width="15.140625" style="8" customWidth="1"/>
    <col min="9730" max="9730" width="14.140625" style="8" customWidth="1"/>
    <col min="9731" max="9731" width="5.7109375" style="8" customWidth="1"/>
    <col min="9732" max="9732" width="9.5703125" style="8" customWidth="1"/>
    <col min="9733" max="9733" width="4.85546875" style="8" customWidth="1"/>
    <col min="9734" max="9734" width="5.85546875" style="8" customWidth="1"/>
    <col min="9735" max="9739" width="10" style="8" customWidth="1"/>
    <col min="9740" max="9967" width="9.140625" style="8"/>
    <col min="9968" max="9968" width="29" style="8" bestFit="1" customWidth="1"/>
    <col min="9969" max="9970" width="20" style="8" customWidth="1"/>
    <col min="9971" max="9971" width="0" style="8" hidden="1" customWidth="1"/>
    <col min="9972" max="9972" width="20" style="8" customWidth="1"/>
    <col min="9973" max="9978" width="0" style="8" hidden="1" customWidth="1"/>
    <col min="9979" max="9979" width="20" style="8" customWidth="1"/>
    <col min="9980" max="9980" width="20.140625" style="8" bestFit="1" customWidth="1"/>
    <col min="9981" max="9981" width="20.140625" style="8" customWidth="1"/>
    <col min="9982" max="9983" width="16.85546875" style="8" customWidth="1"/>
    <col min="9984" max="9984" width="17.42578125" style="8" customWidth="1"/>
    <col min="9985" max="9985" width="15.140625" style="8" customWidth="1"/>
    <col min="9986" max="9986" width="14.140625" style="8" customWidth="1"/>
    <col min="9987" max="9987" width="5.7109375" style="8" customWidth="1"/>
    <col min="9988" max="9988" width="9.5703125" style="8" customWidth="1"/>
    <col min="9989" max="9989" width="4.85546875" style="8" customWidth="1"/>
    <col min="9990" max="9990" width="5.85546875" style="8" customWidth="1"/>
    <col min="9991" max="9995" width="10" style="8" customWidth="1"/>
    <col min="9996" max="10223" width="9.140625" style="8"/>
    <col min="10224" max="10224" width="29" style="8" bestFit="1" customWidth="1"/>
    <col min="10225" max="10226" width="20" style="8" customWidth="1"/>
    <col min="10227" max="10227" width="0" style="8" hidden="1" customWidth="1"/>
    <col min="10228" max="10228" width="20" style="8" customWidth="1"/>
    <col min="10229" max="10234" width="0" style="8" hidden="1" customWidth="1"/>
    <col min="10235" max="10235" width="20" style="8" customWidth="1"/>
    <col min="10236" max="10236" width="20.140625" style="8" bestFit="1" customWidth="1"/>
    <col min="10237" max="10237" width="20.140625" style="8" customWidth="1"/>
    <col min="10238" max="10239" width="16.85546875" style="8" customWidth="1"/>
    <col min="10240" max="10240" width="17.42578125" style="8" customWidth="1"/>
    <col min="10241" max="10241" width="15.140625" style="8" customWidth="1"/>
    <col min="10242" max="10242" width="14.140625" style="8" customWidth="1"/>
    <col min="10243" max="10243" width="5.7109375" style="8" customWidth="1"/>
    <col min="10244" max="10244" width="9.5703125" style="8" customWidth="1"/>
    <col min="10245" max="10245" width="4.85546875" style="8" customWidth="1"/>
    <col min="10246" max="10246" width="5.85546875" style="8" customWidth="1"/>
    <col min="10247" max="10251" width="10" style="8" customWidth="1"/>
    <col min="10252" max="10479" width="9.140625" style="8"/>
    <col min="10480" max="10480" width="29" style="8" bestFit="1" customWidth="1"/>
    <col min="10481" max="10482" width="20" style="8" customWidth="1"/>
    <col min="10483" max="10483" width="0" style="8" hidden="1" customWidth="1"/>
    <col min="10484" max="10484" width="20" style="8" customWidth="1"/>
    <col min="10485" max="10490" width="0" style="8" hidden="1" customWidth="1"/>
    <col min="10491" max="10491" width="20" style="8" customWidth="1"/>
    <col min="10492" max="10492" width="20.140625" style="8" bestFit="1" customWidth="1"/>
    <col min="10493" max="10493" width="20.140625" style="8" customWidth="1"/>
    <col min="10494" max="10495" width="16.85546875" style="8" customWidth="1"/>
    <col min="10496" max="10496" width="17.42578125" style="8" customWidth="1"/>
    <col min="10497" max="10497" width="15.140625" style="8" customWidth="1"/>
    <col min="10498" max="10498" width="14.140625" style="8" customWidth="1"/>
    <col min="10499" max="10499" width="5.7109375" style="8" customWidth="1"/>
    <col min="10500" max="10500" width="9.5703125" style="8" customWidth="1"/>
    <col min="10501" max="10501" width="4.85546875" style="8" customWidth="1"/>
    <col min="10502" max="10502" width="5.85546875" style="8" customWidth="1"/>
    <col min="10503" max="10507" width="10" style="8" customWidth="1"/>
    <col min="10508" max="10735" width="9.140625" style="8"/>
    <col min="10736" max="10736" width="29" style="8" bestFit="1" customWidth="1"/>
    <col min="10737" max="10738" width="20" style="8" customWidth="1"/>
    <col min="10739" max="10739" width="0" style="8" hidden="1" customWidth="1"/>
    <col min="10740" max="10740" width="20" style="8" customWidth="1"/>
    <col min="10741" max="10746" width="0" style="8" hidden="1" customWidth="1"/>
    <col min="10747" max="10747" width="20" style="8" customWidth="1"/>
    <col min="10748" max="10748" width="20.140625" style="8" bestFit="1" customWidth="1"/>
    <col min="10749" max="10749" width="20.140625" style="8" customWidth="1"/>
    <col min="10750" max="10751" width="16.85546875" style="8" customWidth="1"/>
    <col min="10752" max="10752" width="17.42578125" style="8" customWidth="1"/>
    <col min="10753" max="10753" width="15.140625" style="8" customWidth="1"/>
    <col min="10754" max="10754" width="14.140625" style="8" customWidth="1"/>
    <col min="10755" max="10755" width="5.7109375" style="8" customWidth="1"/>
    <col min="10756" max="10756" width="9.5703125" style="8" customWidth="1"/>
    <col min="10757" max="10757" width="4.85546875" style="8" customWidth="1"/>
    <col min="10758" max="10758" width="5.85546875" style="8" customWidth="1"/>
    <col min="10759" max="10763" width="10" style="8" customWidth="1"/>
    <col min="10764" max="10991" width="9.140625" style="8"/>
    <col min="10992" max="10992" width="29" style="8" bestFit="1" customWidth="1"/>
    <col min="10993" max="10994" width="20" style="8" customWidth="1"/>
    <col min="10995" max="10995" width="0" style="8" hidden="1" customWidth="1"/>
    <col min="10996" max="10996" width="20" style="8" customWidth="1"/>
    <col min="10997" max="11002" width="0" style="8" hidden="1" customWidth="1"/>
    <col min="11003" max="11003" width="20" style="8" customWidth="1"/>
    <col min="11004" max="11004" width="20.140625" style="8" bestFit="1" customWidth="1"/>
    <col min="11005" max="11005" width="20.140625" style="8" customWidth="1"/>
    <col min="11006" max="11007" width="16.85546875" style="8" customWidth="1"/>
    <col min="11008" max="11008" width="17.42578125" style="8" customWidth="1"/>
    <col min="11009" max="11009" width="15.140625" style="8" customWidth="1"/>
    <col min="11010" max="11010" width="14.140625" style="8" customWidth="1"/>
    <col min="11011" max="11011" width="5.7109375" style="8" customWidth="1"/>
    <col min="11012" max="11012" width="9.5703125" style="8" customWidth="1"/>
    <col min="11013" max="11013" width="4.85546875" style="8" customWidth="1"/>
    <col min="11014" max="11014" width="5.85546875" style="8" customWidth="1"/>
    <col min="11015" max="11019" width="10" style="8" customWidth="1"/>
    <col min="11020" max="11247" width="9.140625" style="8"/>
    <col min="11248" max="11248" width="29" style="8" bestFit="1" customWidth="1"/>
    <col min="11249" max="11250" width="20" style="8" customWidth="1"/>
    <col min="11251" max="11251" width="0" style="8" hidden="1" customWidth="1"/>
    <col min="11252" max="11252" width="20" style="8" customWidth="1"/>
    <col min="11253" max="11258" width="0" style="8" hidden="1" customWidth="1"/>
    <col min="11259" max="11259" width="20" style="8" customWidth="1"/>
    <col min="11260" max="11260" width="20.140625" style="8" bestFit="1" customWidth="1"/>
    <col min="11261" max="11261" width="20.140625" style="8" customWidth="1"/>
    <col min="11262" max="11263" width="16.85546875" style="8" customWidth="1"/>
    <col min="11264" max="11264" width="17.42578125" style="8" customWidth="1"/>
    <col min="11265" max="11265" width="15.140625" style="8" customWidth="1"/>
    <col min="11266" max="11266" width="14.140625" style="8" customWidth="1"/>
    <col min="11267" max="11267" width="5.7109375" style="8" customWidth="1"/>
    <col min="11268" max="11268" width="9.5703125" style="8" customWidth="1"/>
    <col min="11269" max="11269" width="4.85546875" style="8" customWidth="1"/>
    <col min="11270" max="11270" width="5.85546875" style="8" customWidth="1"/>
    <col min="11271" max="11275" width="10" style="8" customWidth="1"/>
    <col min="11276" max="11503" width="9.140625" style="8"/>
    <col min="11504" max="11504" width="29" style="8" bestFit="1" customWidth="1"/>
    <col min="11505" max="11506" width="20" style="8" customWidth="1"/>
    <col min="11507" max="11507" width="0" style="8" hidden="1" customWidth="1"/>
    <col min="11508" max="11508" width="20" style="8" customWidth="1"/>
    <col min="11509" max="11514" width="0" style="8" hidden="1" customWidth="1"/>
    <col min="11515" max="11515" width="20" style="8" customWidth="1"/>
    <col min="11516" max="11516" width="20.140625" style="8" bestFit="1" customWidth="1"/>
    <col min="11517" max="11517" width="20.140625" style="8" customWidth="1"/>
    <col min="11518" max="11519" width="16.85546875" style="8" customWidth="1"/>
    <col min="11520" max="11520" width="17.42578125" style="8" customWidth="1"/>
    <col min="11521" max="11521" width="15.140625" style="8" customWidth="1"/>
    <col min="11522" max="11522" width="14.140625" style="8" customWidth="1"/>
    <col min="11523" max="11523" width="5.7109375" style="8" customWidth="1"/>
    <col min="11524" max="11524" width="9.5703125" style="8" customWidth="1"/>
    <col min="11525" max="11525" width="4.85546875" style="8" customWidth="1"/>
    <col min="11526" max="11526" width="5.85546875" style="8" customWidth="1"/>
    <col min="11527" max="11531" width="10" style="8" customWidth="1"/>
    <col min="11532" max="11759" width="9.140625" style="8"/>
    <col min="11760" max="11760" width="29" style="8" bestFit="1" customWidth="1"/>
    <col min="11761" max="11762" width="20" style="8" customWidth="1"/>
    <col min="11763" max="11763" width="0" style="8" hidden="1" customWidth="1"/>
    <col min="11764" max="11764" width="20" style="8" customWidth="1"/>
    <col min="11765" max="11770" width="0" style="8" hidden="1" customWidth="1"/>
    <col min="11771" max="11771" width="20" style="8" customWidth="1"/>
    <col min="11772" max="11772" width="20.140625" style="8" bestFit="1" customWidth="1"/>
    <col min="11773" max="11773" width="20.140625" style="8" customWidth="1"/>
    <col min="11774" max="11775" width="16.85546875" style="8" customWidth="1"/>
    <col min="11776" max="11776" width="17.42578125" style="8" customWidth="1"/>
    <col min="11777" max="11777" width="15.140625" style="8" customWidth="1"/>
    <col min="11778" max="11778" width="14.140625" style="8" customWidth="1"/>
    <col min="11779" max="11779" width="5.7109375" style="8" customWidth="1"/>
    <col min="11780" max="11780" width="9.5703125" style="8" customWidth="1"/>
    <col min="11781" max="11781" width="4.85546875" style="8" customWidth="1"/>
    <col min="11782" max="11782" width="5.85546875" style="8" customWidth="1"/>
    <col min="11783" max="11787" width="10" style="8" customWidth="1"/>
    <col min="11788" max="12015" width="9.140625" style="8"/>
    <col min="12016" max="12016" width="29" style="8" bestFit="1" customWidth="1"/>
    <col min="12017" max="12018" width="20" style="8" customWidth="1"/>
    <col min="12019" max="12019" width="0" style="8" hidden="1" customWidth="1"/>
    <col min="12020" max="12020" width="20" style="8" customWidth="1"/>
    <col min="12021" max="12026" width="0" style="8" hidden="1" customWidth="1"/>
    <col min="12027" max="12027" width="20" style="8" customWidth="1"/>
    <col min="12028" max="12028" width="20.140625" style="8" bestFit="1" customWidth="1"/>
    <col min="12029" max="12029" width="20.140625" style="8" customWidth="1"/>
    <col min="12030" max="12031" width="16.85546875" style="8" customWidth="1"/>
    <col min="12032" max="12032" width="17.42578125" style="8" customWidth="1"/>
    <col min="12033" max="12033" width="15.140625" style="8" customWidth="1"/>
    <col min="12034" max="12034" width="14.140625" style="8" customWidth="1"/>
    <col min="12035" max="12035" width="5.7109375" style="8" customWidth="1"/>
    <col min="12036" max="12036" width="9.5703125" style="8" customWidth="1"/>
    <col min="12037" max="12037" width="4.85546875" style="8" customWidth="1"/>
    <col min="12038" max="12038" width="5.85546875" style="8" customWidth="1"/>
    <col min="12039" max="12043" width="10" style="8" customWidth="1"/>
    <col min="12044" max="12271" width="9.140625" style="8"/>
    <col min="12272" max="12272" width="29" style="8" bestFit="1" customWidth="1"/>
    <col min="12273" max="12274" width="20" style="8" customWidth="1"/>
    <col min="12275" max="12275" width="0" style="8" hidden="1" customWidth="1"/>
    <col min="12276" max="12276" width="20" style="8" customWidth="1"/>
    <col min="12277" max="12282" width="0" style="8" hidden="1" customWidth="1"/>
    <col min="12283" max="12283" width="20" style="8" customWidth="1"/>
    <col min="12284" max="12284" width="20.140625" style="8" bestFit="1" customWidth="1"/>
    <col min="12285" max="12285" width="20.140625" style="8" customWidth="1"/>
    <col min="12286" max="12287" width="16.85546875" style="8" customWidth="1"/>
    <col min="12288" max="12288" width="17.42578125" style="8" customWidth="1"/>
    <col min="12289" max="12289" width="15.140625" style="8" customWidth="1"/>
    <col min="12290" max="12290" width="14.140625" style="8" customWidth="1"/>
    <col min="12291" max="12291" width="5.7109375" style="8" customWidth="1"/>
    <col min="12292" max="12292" width="9.5703125" style="8" customWidth="1"/>
    <col min="12293" max="12293" width="4.85546875" style="8" customWidth="1"/>
    <col min="12294" max="12294" width="5.85546875" style="8" customWidth="1"/>
    <col min="12295" max="12299" width="10" style="8" customWidth="1"/>
    <col min="12300" max="12527" width="9.140625" style="8"/>
    <col min="12528" max="12528" width="29" style="8" bestFit="1" customWidth="1"/>
    <col min="12529" max="12530" width="20" style="8" customWidth="1"/>
    <col min="12531" max="12531" width="0" style="8" hidden="1" customWidth="1"/>
    <col min="12532" max="12532" width="20" style="8" customWidth="1"/>
    <col min="12533" max="12538" width="0" style="8" hidden="1" customWidth="1"/>
    <col min="12539" max="12539" width="20" style="8" customWidth="1"/>
    <col min="12540" max="12540" width="20.140625" style="8" bestFit="1" customWidth="1"/>
    <col min="12541" max="12541" width="20.140625" style="8" customWidth="1"/>
    <col min="12542" max="12543" width="16.85546875" style="8" customWidth="1"/>
    <col min="12544" max="12544" width="17.42578125" style="8" customWidth="1"/>
    <col min="12545" max="12545" width="15.140625" style="8" customWidth="1"/>
    <col min="12546" max="12546" width="14.140625" style="8" customWidth="1"/>
    <col min="12547" max="12547" width="5.7109375" style="8" customWidth="1"/>
    <col min="12548" max="12548" width="9.5703125" style="8" customWidth="1"/>
    <col min="12549" max="12549" width="4.85546875" style="8" customWidth="1"/>
    <col min="12550" max="12550" width="5.85546875" style="8" customWidth="1"/>
    <col min="12551" max="12555" width="10" style="8" customWidth="1"/>
    <col min="12556" max="12783" width="9.140625" style="8"/>
    <col min="12784" max="12784" width="29" style="8" bestFit="1" customWidth="1"/>
    <col min="12785" max="12786" width="20" style="8" customWidth="1"/>
    <col min="12787" max="12787" width="0" style="8" hidden="1" customWidth="1"/>
    <col min="12788" max="12788" width="20" style="8" customWidth="1"/>
    <col min="12789" max="12794" width="0" style="8" hidden="1" customWidth="1"/>
    <col min="12795" max="12795" width="20" style="8" customWidth="1"/>
    <col min="12796" max="12796" width="20.140625" style="8" bestFit="1" customWidth="1"/>
    <col min="12797" max="12797" width="20.140625" style="8" customWidth="1"/>
    <col min="12798" max="12799" width="16.85546875" style="8" customWidth="1"/>
    <col min="12800" max="12800" width="17.42578125" style="8" customWidth="1"/>
    <col min="12801" max="12801" width="15.140625" style="8" customWidth="1"/>
    <col min="12802" max="12802" width="14.140625" style="8" customWidth="1"/>
    <col min="12803" max="12803" width="5.7109375" style="8" customWidth="1"/>
    <col min="12804" max="12804" width="9.5703125" style="8" customWidth="1"/>
    <col min="12805" max="12805" width="4.85546875" style="8" customWidth="1"/>
    <col min="12806" max="12806" width="5.85546875" style="8" customWidth="1"/>
    <col min="12807" max="12811" width="10" style="8" customWidth="1"/>
    <col min="12812" max="13039" width="9.140625" style="8"/>
    <col min="13040" max="13040" width="29" style="8" bestFit="1" customWidth="1"/>
    <col min="13041" max="13042" width="20" style="8" customWidth="1"/>
    <col min="13043" max="13043" width="0" style="8" hidden="1" customWidth="1"/>
    <col min="13044" max="13044" width="20" style="8" customWidth="1"/>
    <col min="13045" max="13050" width="0" style="8" hidden="1" customWidth="1"/>
    <col min="13051" max="13051" width="20" style="8" customWidth="1"/>
    <col min="13052" max="13052" width="20.140625" style="8" bestFit="1" customWidth="1"/>
    <col min="13053" max="13053" width="20.140625" style="8" customWidth="1"/>
    <col min="13054" max="13055" width="16.85546875" style="8" customWidth="1"/>
    <col min="13056" max="13056" width="17.42578125" style="8" customWidth="1"/>
    <col min="13057" max="13057" width="15.140625" style="8" customWidth="1"/>
    <col min="13058" max="13058" width="14.140625" style="8" customWidth="1"/>
    <col min="13059" max="13059" width="5.7109375" style="8" customWidth="1"/>
    <col min="13060" max="13060" width="9.5703125" style="8" customWidth="1"/>
    <col min="13061" max="13061" width="4.85546875" style="8" customWidth="1"/>
    <col min="13062" max="13062" width="5.85546875" style="8" customWidth="1"/>
    <col min="13063" max="13067" width="10" style="8" customWidth="1"/>
    <col min="13068" max="13295" width="9.140625" style="8"/>
    <col min="13296" max="13296" width="29" style="8" bestFit="1" customWidth="1"/>
    <col min="13297" max="13298" width="20" style="8" customWidth="1"/>
    <col min="13299" max="13299" width="0" style="8" hidden="1" customWidth="1"/>
    <col min="13300" max="13300" width="20" style="8" customWidth="1"/>
    <col min="13301" max="13306" width="0" style="8" hidden="1" customWidth="1"/>
    <col min="13307" max="13307" width="20" style="8" customWidth="1"/>
    <col min="13308" max="13308" width="20.140625" style="8" bestFit="1" customWidth="1"/>
    <col min="13309" max="13309" width="20.140625" style="8" customWidth="1"/>
    <col min="13310" max="13311" width="16.85546875" style="8" customWidth="1"/>
    <col min="13312" max="13312" width="17.42578125" style="8" customWidth="1"/>
    <col min="13313" max="13313" width="15.140625" style="8" customWidth="1"/>
    <col min="13314" max="13314" width="14.140625" style="8" customWidth="1"/>
    <col min="13315" max="13315" width="5.7109375" style="8" customWidth="1"/>
    <col min="13316" max="13316" width="9.5703125" style="8" customWidth="1"/>
    <col min="13317" max="13317" width="4.85546875" style="8" customWidth="1"/>
    <col min="13318" max="13318" width="5.85546875" style="8" customWidth="1"/>
    <col min="13319" max="13323" width="10" style="8" customWidth="1"/>
    <col min="13324" max="13551" width="9.140625" style="8"/>
    <col min="13552" max="13552" width="29" style="8" bestFit="1" customWidth="1"/>
    <col min="13553" max="13554" width="20" style="8" customWidth="1"/>
    <col min="13555" max="13555" width="0" style="8" hidden="1" customWidth="1"/>
    <col min="13556" max="13556" width="20" style="8" customWidth="1"/>
    <col min="13557" max="13562" width="0" style="8" hidden="1" customWidth="1"/>
    <col min="13563" max="13563" width="20" style="8" customWidth="1"/>
    <col min="13564" max="13564" width="20.140625" style="8" bestFit="1" customWidth="1"/>
    <col min="13565" max="13565" width="20.140625" style="8" customWidth="1"/>
    <col min="13566" max="13567" width="16.85546875" style="8" customWidth="1"/>
    <col min="13568" max="13568" width="17.42578125" style="8" customWidth="1"/>
    <col min="13569" max="13569" width="15.140625" style="8" customWidth="1"/>
    <col min="13570" max="13570" width="14.140625" style="8" customWidth="1"/>
    <col min="13571" max="13571" width="5.7109375" style="8" customWidth="1"/>
    <col min="13572" max="13572" width="9.5703125" style="8" customWidth="1"/>
    <col min="13573" max="13573" width="4.85546875" style="8" customWidth="1"/>
    <col min="13574" max="13574" width="5.85546875" style="8" customWidth="1"/>
    <col min="13575" max="13579" width="10" style="8" customWidth="1"/>
    <col min="13580" max="13807" width="9.140625" style="8"/>
    <col min="13808" max="13808" width="29" style="8" bestFit="1" customWidth="1"/>
    <col min="13809" max="13810" width="20" style="8" customWidth="1"/>
    <col min="13811" max="13811" width="0" style="8" hidden="1" customWidth="1"/>
    <col min="13812" max="13812" width="20" style="8" customWidth="1"/>
    <col min="13813" max="13818" width="0" style="8" hidden="1" customWidth="1"/>
    <col min="13819" max="13819" width="20" style="8" customWidth="1"/>
    <col min="13820" max="13820" width="20.140625" style="8" bestFit="1" customWidth="1"/>
    <col min="13821" max="13821" width="20.140625" style="8" customWidth="1"/>
    <col min="13822" max="13823" width="16.85546875" style="8" customWidth="1"/>
    <col min="13824" max="13824" width="17.42578125" style="8" customWidth="1"/>
    <col min="13825" max="13825" width="15.140625" style="8" customWidth="1"/>
    <col min="13826" max="13826" width="14.140625" style="8" customWidth="1"/>
    <col min="13827" max="13827" width="5.7109375" style="8" customWidth="1"/>
    <col min="13828" max="13828" width="9.5703125" style="8" customWidth="1"/>
    <col min="13829" max="13829" width="4.85546875" style="8" customWidth="1"/>
    <col min="13830" max="13830" width="5.85546875" style="8" customWidth="1"/>
    <col min="13831" max="13835" width="10" style="8" customWidth="1"/>
    <col min="13836" max="14063" width="9.140625" style="8"/>
    <col min="14064" max="14064" width="29" style="8" bestFit="1" customWidth="1"/>
    <col min="14065" max="14066" width="20" style="8" customWidth="1"/>
    <col min="14067" max="14067" width="0" style="8" hidden="1" customWidth="1"/>
    <col min="14068" max="14068" width="20" style="8" customWidth="1"/>
    <col min="14069" max="14074" width="0" style="8" hidden="1" customWidth="1"/>
    <col min="14075" max="14075" width="20" style="8" customWidth="1"/>
    <col min="14076" max="14076" width="20.140625" style="8" bestFit="1" customWidth="1"/>
    <col min="14077" max="14077" width="20.140625" style="8" customWidth="1"/>
    <col min="14078" max="14079" width="16.85546875" style="8" customWidth="1"/>
    <col min="14080" max="14080" width="17.42578125" style="8" customWidth="1"/>
    <col min="14081" max="14081" width="15.140625" style="8" customWidth="1"/>
    <col min="14082" max="14082" width="14.140625" style="8" customWidth="1"/>
    <col min="14083" max="14083" width="5.7109375" style="8" customWidth="1"/>
    <col min="14084" max="14084" width="9.5703125" style="8" customWidth="1"/>
    <col min="14085" max="14085" width="4.85546875" style="8" customWidth="1"/>
    <col min="14086" max="14086" width="5.85546875" style="8" customWidth="1"/>
    <col min="14087" max="14091" width="10" style="8" customWidth="1"/>
    <col min="14092" max="14319" width="9.140625" style="8"/>
    <col min="14320" max="14320" width="29" style="8" bestFit="1" customWidth="1"/>
    <col min="14321" max="14322" width="20" style="8" customWidth="1"/>
    <col min="14323" max="14323" width="0" style="8" hidden="1" customWidth="1"/>
    <col min="14324" max="14324" width="20" style="8" customWidth="1"/>
    <col min="14325" max="14330" width="0" style="8" hidden="1" customWidth="1"/>
    <col min="14331" max="14331" width="20" style="8" customWidth="1"/>
    <col min="14332" max="14332" width="20.140625" style="8" bestFit="1" customWidth="1"/>
    <col min="14333" max="14333" width="20.140625" style="8" customWidth="1"/>
    <col min="14334" max="14335" width="16.85546875" style="8" customWidth="1"/>
    <col min="14336" max="14336" width="17.42578125" style="8" customWidth="1"/>
    <col min="14337" max="14337" width="15.140625" style="8" customWidth="1"/>
    <col min="14338" max="14338" width="14.140625" style="8" customWidth="1"/>
    <col min="14339" max="14339" width="5.7109375" style="8" customWidth="1"/>
    <col min="14340" max="14340" width="9.5703125" style="8" customWidth="1"/>
    <col min="14341" max="14341" width="4.85546875" style="8" customWidth="1"/>
    <col min="14342" max="14342" width="5.85546875" style="8" customWidth="1"/>
    <col min="14343" max="14347" width="10" style="8" customWidth="1"/>
    <col min="14348" max="14575" width="9.140625" style="8"/>
    <col min="14576" max="14576" width="29" style="8" bestFit="1" customWidth="1"/>
    <col min="14577" max="14578" width="20" style="8" customWidth="1"/>
    <col min="14579" max="14579" width="0" style="8" hidden="1" customWidth="1"/>
    <col min="14580" max="14580" width="20" style="8" customWidth="1"/>
    <col min="14581" max="14586" width="0" style="8" hidden="1" customWidth="1"/>
    <col min="14587" max="14587" width="20" style="8" customWidth="1"/>
    <col min="14588" max="14588" width="20.140625" style="8" bestFit="1" customWidth="1"/>
    <col min="14589" max="14589" width="20.140625" style="8" customWidth="1"/>
    <col min="14590" max="14591" width="16.85546875" style="8" customWidth="1"/>
    <col min="14592" max="14592" width="17.42578125" style="8" customWidth="1"/>
    <col min="14593" max="14593" width="15.140625" style="8" customWidth="1"/>
    <col min="14594" max="14594" width="14.140625" style="8" customWidth="1"/>
    <col min="14595" max="14595" width="5.7109375" style="8" customWidth="1"/>
    <col min="14596" max="14596" width="9.5703125" style="8" customWidth="1"/>
    <col min="14597" max="14597" width="4.85546875" style="8" customWidth="1"/>
    <col min="14598" max="14598" width="5.85546875" style="8" customWidth="1"/>
    <col min="14599" max="14603" width="10" style="8" customWidth="1"/>
    <col min="14604" max="14831" width="9.140625" style="8"/>
    <col min="14832" max="14832" width="29" style="8" bestFit="1" customWidth="1"/>
    <col min="14833" max="14834" width="20" style="8" customWidth="1"/>
    <col min="14835" max="14835" width="0" style="8" hidden="1" customWidth="1"/>
    <col min="14836" max="14836" width="20" style="8" customWidth="1"/>
    <col min="14837" max="14842" width="0" style="8" hidden="1" customWidth="1"/>
    <col min="14843" max="14843" width="20" style="8" customWidth="1"/>
    <col min="14844" max="14844" width="20.140625" style="8" bestFit="1" customWidth="1"/>
    <col min="14845" max="14845" width="20.140625" style="8" customWidth="1"/>
    <col min="14846" max="14847" width="16.85546875" style="8" customWidth="1"/>
    <col min="14848" max="14848" width="17.42578125" style="8" customWidth="1"/>
    <col min="14849" max="14849" width="15.140625" style="8" customWidth="1"/>
    <col min="14850" max="14850" width="14.140625" style="8" customWidth="1"/>
    <col min="14851" max="14851" width="5.7109375" style="8" customWidth="1"/>
    <col min="14852" max="14852" width="9.5703125" style="8" customWidth="1"/>
    <col min="14853" max="14853" width="4.85546875" style="8" customWidth="1"/>
    <col min="14854" max="14854" width="5.85546875" style="8" customWidth="1"/>
    <col min="14855" max="14859" width="10" style="8" customWidth="1"/>
    <col min="14860" max="15087" width="9.140625" style="8"/>
    <col min="15088" max="15088" width="29" style="8" bestFit="1" customWidth="1"/>
    <col min="15089" max="15090" width="20" style="8" customWidth="1"/>
    <col min="15091" max="15091" width="0" style="8" hidden="1" customWidth="1"/>
    <col min="15092" max="15092" width="20" style="8" customWidth="1"/>
    <col min="15093" max="15098" width="0" style="8" hidden="1" customWidth="1"/>
    <col min="15099" max="15099" width="20" style="8" customWidth="1"/>
    <col min="15100" max="15100" width="20.140625" style="8" bestFit="1" customWidth="1"/>
    <col min="15101" max="15101" width="20.140625" style="8" customWidth="1"/>
    <col min="15102" max="15103" width="16.85546875" style="8" customWidth="1"/>
    <col min="15104" max="15104" width="17.42578125" style="8" customWidth="1"/>
    <col min="15105" max="15105" width="15.140625" style="8" customWidth="1"/>
    <col min="15106" max="15106" width="14.140625" style="8" customWidth="1"/>
    <col min="15107" max="15107" width="5.7109375" style="8" customWidth="1"/>
    <col min="15108" max="15108" width="9.5703125" style="8" customWidth="1"/>
    <col min="15109" max="15109" width="4.85546875" style="8" customWidth="1"/>
    <col min="15110" max="15110" width="5.85546875" style="8" customWidth="1"/>
    <col min="15111" max="15115" width="10" style="8" customWidth="1"/>
    <col min="15116" max="15343" width="9.140625" style="8"/>
    <col min="15344" max="15344" width="29" style="8" bestFit="1" customWidth="1"/>
    <col min="15345" max="15346" width="20" style="8" customWidth="1"/>
    <col min="15347" max="15347" width="0" style="8" hidden="1" customWidth="1"/>
    <col min="15348" max="15348" width="20" style="8" customWidth="1"/>
    <col min="15349" max="15354" width="0" style="8" hidden="1" customWidth="1"/>
    <col min="15355" max="15355" width="20" style="8" customWidth="1"/>
    <col min="15356" max="15356" width="20.140625" style="8" bestFit="1" customWidth="1"/>
    <col min="15357" max="15357" width="20.140625" style="8" customWidth="1"/>
    <col min="15358" max="15359" width="16.85546875" style="8" customWidth="1"/>
    <col min="15360" max="15360" width="17.42578125" style="8" customWidth="1"/>
    <col min="15361" max="15361" width="15.140625" style="8" customWidth="1"/>
    <col min="15362" max="15362" width="14.140625" style="8" customWidth="1"/>
    <col min="15363" max="15363" width="5.7109375" style="8" customWidth="1"/>
    <col min="15364" max="15364" width="9.5703125" style="8" customWidth="1"/>
    <col min="15365" max="15365" width="4.85546875" style="8" customWidth="1"/>
    <col min="15366" max="15366" width="5.85546875" style="8" customWidth="1"/>
    <col min="15367" max="15371" width="10" style="8" customWidth="1"/>
    <col min="15372" max="15599" width="9.140625" style="8"/>
    <col min="15600" max="15600" width="29" style="8" bestFit="1" customWidth="1"/>
    <col min="15601" max="15602" width="20" style="8" customWidth="1"/>
    <col min="15603" max="15603" width="0" style="8" hidden="1" customWidth="1"/>
    <col min="15604" max="15604" width="20" style="8" customWidth="1"/>
    <col min="15605" max="15610" width="0" style="8" hidden="1" customWidth="1"/>
    <col min="15611" max="15611" width="20" style="8" customWidth="1"/>
    <col min="15612" max="15612" width="20.140625" style="8" bestFit="1" customWidth="1"/>
    <col min="15613" max="15613" width="20.140625" style="8" customWidth="1"/>
    <col min="15614" max="15615" width="16.85546875" style="8" customWidth="1"/>
    <col min="15616" max="15616" width="17.42578125" style="8" customWidth="1"/>
    <col min="15617" max="15617" width="15.140625" style="8" customWidth="1"/>
    <col min="15618" max="15618" width="14.140625" style="8" customWidth="1"/>
    <col min="15619" max="15619" width="5.7109375" style="8" customWidth="1"/>
    <col min="15620" max="15620" width="9.5703125" style="8" customWidth="1"/>
    <col min="15621" max="15621" width="4.85546875" style="8" customWidth="1"/>
    <col min="15622" max="15622" width="5.85546875" style="8" customWidth="1"/>
    <col min="15623" max="15627" width="10" style="8" customWidth="1"/>
    <col min="15628" max="15855" width="9.140625" style="8"/>
    <col min="15856" max="15856" width="29" style="8" bestFit="1" customWidth="1"/>
    <col min="15857" max="15858" width="20" style="8" customWidth="1"/>
    <col min="15859" max="15859" width="0" style="8" hidden="1" customWidth="1"/>
    <col min="15860" max="15860" width="20" style="8" customWidth="1"/>
    <col min="15861" max="15866" width="0" style="8" hidden="1" customWidth="1"/>
    <col min="15867" max="15867" width="20" style="8" customWidth="1"/>
    <col min="15868" max="15868" width="20.140625" style="8" bestFit="1" customWidth="1"/>
    <col min="15869" max="15869" width="20.140625" style="8" customWidth="1"/>
    <col min="15870" max="15871" width="16.85546875" style="8" customWidth="1"/>
    <col min="15872" max="15872" width="17.42578125" style="8" customWidth="1"/>
    <col min="15873" max="15873" width="15.140625" style="8" customWidth="1"/>
    <col min="15874" max="15874" width="14.140625" style="8" customWidth="1"/>
    <col min="15875" max="15875" width="5.7109375" style="8" customWidth="1"/>
    <col min="15876" max="15876" width="9.5703125" style="8" customWidth="1"/>
    <col min="15877" max="15877" width="4.85546875" style="8" customWidth="1"/>
    <col min="15878" max="15878" width="5.85546875" style="8" customWidth="1"/>
    <col min="15879" max="15883" width="10" style="8" customWidth="1"/>
    <col min="15884" max="16111" width="9.140625" style="8"/>
    <col min="16112" max="16112" width="29" style="8" bestFit="1" customWidth="1"/>
    <col min="16113" max="16114" width="20" style="8" customWidth="1"/>
    <col min="16115" max="16115" width="0" style="8" hidden="1" customWidth="1"/>
    <col min="16116" max="16116" width="20" style="8" customWidth="1"/>
    <col min="16117" max="16122" width="0" style="8" hidden="1" customWidth="1"/>
    <col min="16123" max="16123" width="20" style="8" customWidth="1"/>
    <col min="16124" max="16124" width="20.140625" style="8" bestFit="1" customWidth="1"/>
    <col min="16125" max="16125" width="20.140625" style="8" customWidth="1"/>
    <col min="16126" max="16127" width="16.85546875" style="8" customWidth="1"/>
    <col min="16128" max="16128" width="17.42578125" style="8" customWidth="1"/>
    <col min="16129" max="16129" width="15.140625" style="8" customWidth="1"/>
    <col min="16130" max="16130" width="14.140625" style="8" customWidth="1"/>
    <col min="16131" max="16131" width="5.7109375" style="8" customWidth="1"/>
    <col min="16132" max="16132" width="9.5703125" style="8" customWidth="1"/>
    <col min="16133" max="16133" width="4.85546875" style="8" customWidth="1"/>
    <col min="16134" max="16134" width="5.85546875" style="8" customWidth="1"/>
    <col min="16135" max="16139" width="10" style="8" customWidth="1"/>
    <col min="16140" max="16384" width="9.140625" style="8"/>
  </cols>
  <sheetData>
    <row r="7" spans="2:17" ht="12" customHeight="1">
      <c r="B7" s="38" t="str">
        <f>ticker</f>
        <v>DXG VN EQUITY</v>
      </c>
    </row>
    <row r="8" spans="2:17" ht="12" customHeight="1">
      <c r="C8" s="2266" t="s">
        <v>215</v>
      </c>
      <c r="D8" s="2266"/>
      <c r="E8" s="2266"/>
      <c r="F8" s="2266"/>
      <c r="G8" s="7" t="s">
        <v>274</v>
      </c>
      <c r="H8" s="7" t="s">
        <v>275</v>
      </c>
      <c r="I8" s="7" t="s">
        <v>277</v>
      </c>
      <c r="J8" s="7" t="s">
        <v>278</v>
      </c>
      <c r="K8" s="7" t="s">
        <v>279</v>
      </c>
      <c r="L8" s="7" t="s">
        <v>280</v>
      </c>
      <c r="M8" s="7" t="s">
        <v>281</v>
      </c>
      <c r="N8" s="7" t="s">
        <v>282</v>
      </c>
      <c r="O8" s="7" t="s">
        <v>283</v>
      </c>
      <c r="P8" s="7" t="s">
        <v>276</v>
      </c>
    </row>
    <row r="9" spans="2:17" ht="12" customHeight="1">
      <c r="B9" s="19" t="s">
        <v>439</v>
      </c>
      <c r="C9" s="109">
        <f ca="1">'FS Year'!K9</f>
        <v>2020</v>
      </c>
      <c r="D9" s="109">
        <f ca="1">'FS Year'!L9</f>
        <v>2021</v>
      </c>
      <c r="E9" s="109">
        <f ca="1">D9+1</f>
        <v>2022</v>
      </c>
      <c r="F9" s="109">
        <f ca="1">E9+1</f>
        <v>2023</v>
      </c>
      <c r="G9" s="50">
        <f ca="1">F9+1</f>
        <v>2024</v>
      </c>
      <c r="H9" s="50">
        <f t="shared" ref="H9:P9" ca="1" si="0">G9+1</f>
        <v>2025</v>
      </c>
      <c r="I9" s="50">
        <f t="shared" ca="1" si="0"/>
        <v>2026</v>
      </c>
      <c r="J9" s="50">
        <f t="shared" ca="1" si="0"/>
        <v>2027</v>
      </c>
      <c r="K9" s="50">
        <f t="shared" ca="1" si="0"/>
        <v>2028</v>
      </c>
      <c r="L9" s="50">
        <f t="shared" ca="1" si="0"/>
        <v>2029</v>
      </c>
      <c r="M9" s="50">
        <f t="shared" ca="1" si="0"/>
        <v>2030</v>
      </c>
      <c r="N9" s="50">
        <f t="shared" ca="1" si="0"/>
        <v>2031</v>
      </c>
      <c r="O9" s="50">
        <f t="shared" ca="1" si="0"/>
        <v>2032</v>
      </c>
      <c r="P9" s="50">
        <f t="shared" ca="1" si="0"/>
        <v>2033</v>
      </c>
      <c r="Q9" s="8"/>
    </row>
    <row r="10" spans="2:17" ht="12" customHeight="1">
      <c r="C10" s="234"/>
      <c r="D10" s="234"/>
      <c r="E10" s="234"/>
      <c r="F10" s="234"/>
      <c r="G10" s="235"/>
      <c r="H10" s="235"/>
      <c r="I10" s="235"/>
      <c r="J10" s="235"/>
      <c r="K10" s="235"/>
      <c r="L10" s="235"/>
      <c r="M10" s="235"/>
      <c r="N10" s="235"/>
      <c r="O10" s="235"/>
      <c r="P10" s="235"/>
    </row>
    <row r="11" spans="2:17" ht="12" customHeight="1">
      <c r="B11" s="4" t="s">
        <v>444</v>
      </c>
      <c r="C11" s="348">
        <f>'FS Year'!K10</f>
        <v>374.25504119999999</v>
      </c>
      <c r="D11" s="348">
        <f>'FS Year'!L10</f>
        <v>286.38626400000004</v>
      </c>
      <c r="E11" s="348">
        <f>'FS Year'!M10</f>
        <v>403.5029839</v>
      </c>
      <c r="F11" s="348">
        <f>'FS Year'!N10</f>
        <v>342.59114049999999</v>
      </c>
      <c r="G11" s="361">
        <f>G12*G13</f>
        <v>359.72069752499999</v>
      </c>
      <c r="H11" s="361">
        <f t="shared" ref="H11:P11" si="1">H12*H13</f>
        <v>377.70673240125001</v>
      </c>
      <c r="I11" s="361">
        <f t="shared" si="1"/>
        <v>396.59206902131251</v>
      </c>
      <c r="J11" s="361">
        <f t="shared" si="1"/>
        <v>416.42167247237819</v>
      </c>
      <c r="K11" s="361">
        <f t="shared" si="1"/>
        <v>437.24275609599715</v>
      </c>
      <c r="L11" s="361">
        <f t="shared" si="1"/>
        <v>459.10489390079704</v>
      </c>
      <c r="M11" s="361">
        <f t="shared" si="1"/>
        <v>482.06013859583686</v>
      </c>
      <c r="N11" s="361">
        <f t="shared" si="1"/>
        <v>506.16314552562875</v>
      </c>
      <c r="O11" s="361">
        <f t="shared" si="1"/>
        <v>531.47130280191016</v>
      </c>
      <c r="P11" s="361">
        <f t="shared" si="1"/>
        <v>558.04486794200568</v>
      </c>
    </row>
    <row r="12" spans="2:17" ht="12" customHeight="1">
      <c r="B12" s="45" t="s">
        <v>471</v>
      </c>
      <c r="C12" s="348">
        <f>IF(C11&lt;&gt;0,1,0)</f>
        <v>1</v>
      </c>
      <c r="D12" s="348">
        <f>IF(D11&lt;&gt;0,1,0)</f>
        <v>1</v>
      </c>
      <c r="E12" s="348">
        <f>IF(E11&lt;&gt;0,1,0)</f>
        <v>1</v>
      </c>
      <c r="F12" s="348">
        <f>IF(F11&lt;&gt;0,1,0)</f>
        <v>1</v>
      </c>
      <c r="G12" s="361">
        <f t="shared" ref="G12:P12" si="2">F12*(1+G21)</f>
        <v>1.05</v>
      </c>
      <c r="H12" s="361">
        <f t="shared" si="2"/>
        <v>1.1025</v>
      </c>
      <c r="I12" s="361">
        <f t="shared" si="2"/>
        <v>1.1576250000000001</v>
      </c>
      <c r="J12" s="361">
        <f t="shared" si="2"/>
        <v>1.2155062500000002</v>
      </c>
      <c r="K12" s="361">
        <f t="shared" si="2"/>
        <v>1.2762815625000004</v>
      </c>
      <c r="L12" s="361">
        <f t="shared" si="2"/>
        <v>1.3400956406250004</v>
      </c>
      <c r="M12" s="361">
        <f t="shared" si="2"/>
        <v>1.4071004226562505</v>
      </c>
      <c r="N12" s="361">
        <f t="shared" si="2"/>
        <v>1.477455443789063</v>
      </c>
      <c r="O12" s="361">
        <f t="shared" si="2"/>
        <v>1.5513282159785162</v>
      </c>
      <c r="P12" s="361">
        <f t="shared" si="2"/>
        <v>1.628894626777442</v>
      </c>
    </row>
    <row r="13" spans="2:17" ht="12" customHeight="1">
      <c r="B13" s="45" t="s">
        <v>472</v>
      </c>
      <c r="C13" s="348">
        <f>IFERROR(C11/C12,0)</f>
        <v>374.25504119999999</v>
      </c>
      <c r="D13" s="348">
        <f>IFERROR(D11/D12,0)</f>
        <v>286.38626400000004</v>
      </c>
      <c r="E13" s="348">
        <f>IFERROR(E11/E12,0)</f>
        <v>403.5029839</v>
      </c>
      <c r="F13" s="348">
        <f>IFERROR(F11/F12,0)</f>
        <v>342.59114049999999</v>
      </c>
      <c r="G13" s="361">
        <f t="shared" ref="G13:P13" si="3">F13*(1+G22)</f>
        <v>342.59114049999999</v>
      </c>
      <c r="H13" s="361">
        <f t="shared" si="3"/>
        <v>342.59114049999999</v>
      </c>
      <c r="I13" s="361">
        <f t="shared" si="3"/>
        <v>342.59114049999999</v>
      </c>
      <c r="J13" s="361">
        <f t="shared" si="3"/>
        <v>342.59114049999999</v>
      </c>
      <c r="K13" s="361">
        <f t="shared" si="3"/>
        <v>342.59114049999999</v>
      </c>
      <c r="L13" s="361">
        <f t="shared" si="3"/>
        <v>342.59114049999999</v>
      </c>
      <c r="M13" s="361">
        <f t="shared" si="3"/>
        <v>342.59114049999999</v>
      </c>
      <c r="N13" s="361">
        <f t="shared" si="3"/>
        <v>342.59114049999999</v>
      </c>
      <c r="O13" s="361">
        <f t="shared" si="3"/>
        <v>342.59114049999999</v>
      </c>
      <c r="P13" s="361">
        <f t="shared" si="3"/>
        <v>342.59114049999999</v>
      </c>
    </row>
    <row r="14" spans="2:17" ht="12" customHeight="1">
      <c r="C14" s="348"/>
      <c r="D14" s="348"/>
      <c r="E14" s="348"/>
      <c r="F14" s="348"/>
      <c r="G14" s="361"/>
      <c r="H14" s="361"/>
      <c r="I14" s="361"/>
      <c r="J14" s="361"/>
      <c r="K14" s="361"/>
      <c r="L14" s="361"/>
      <c r="M14" s="361"/>
      <c r="N14" s="361"/>
      <c r="O14" s="361"/>
      <c r="P14" s="361"/>
    </row>
    <row r="15" spans="2:17" ht="12" customHeight="1">
      <c r="B15" s="4" t="s">
        <v>432</v>
      </c>
      <c r="C15" s="348">
        <f>-'FS Year'!K11</f>
        <v>204.97794870000001</v>
      </c>
      <c r="D15" s="348">
        <f>-'FS Year'!L11</f>
        <v>80.303294599999987</v>
      </c>
      <c r="E15" s="348">
        <f>-'FS Year'!M11</f>
        <v>210.6181958</v>
      </c>
      <c r="F15" s="348">
        <f>-'FS Year'!N11</f>
        <v>136.66021280000001</v>
      </c>
      <c r="G15" s="361">
        <f t="shared" ref="G15:P15" si="4">SUM(G16:G18)</f>
        <v>136.66021280000001</v>
      </c>
      <c r="H15" s="361">
        <f t="shared" si="4"/>
        <v>136.66021280000001</v>
      </c>
      <c r="I15" s="361">
        <f t="shared" si="4"/>
        <v>136.66021280000001</v>
      </c>
      <c r="J15" s="361">
        <f t="shared" si="4"/>
        <v>136.66021280000001</v>
      </c>
      <c r="K15" s="361">
        <f t="shared" si="4"/>
        <v>136.66021280000001</v>
      </c>
      <c r="L15" s="361">
        <f t="shared" si="4"/>
        <v>136.66021280000001</v>
      </c>
      <c r="M15" s="361">
        <f t="shared" si="4"/>
        <v>136.66021280000001</v>
      </c>
      <c r="N15" s="361">
        <f t="shared" si="4"/>
        <v>136.66021280000001</v>
      </c>
      <c r="O15" s="361">
        <f t="shared" si="4"/>
        <v>136.66021280000001</v>
      </c>
      <c r="P15" s="361">
        <f t="shared" si="4"/>
        <v>136.66021280000001</v>
      </c>
    </row>
    <row r="16" spans="2:17" ht="12" customHeight="1">
      <c r="B16" s="45" t="s">
        <v>498</v>
      </c>
      <c r="C16" s="348">
        <v>0</v>
      </c>
      <c r="D16" s="348">
        <v>0</v>
      </c>
      <c r="E16" s="348">
        <v>0</v>
      </c>
      <c r="F16" s="348">
        <f>F15</f>
        <v>136.66021280000001</v>
      </c>
      <c r="G16" s="361">
        <f t="shared" ref="G16:P16" si="5">F16*(1+G26)</f>
        <v>136.66021280000001</v>
      </c>
      <c r="H16" s="361">
        <f t="shared" si="5"/>
        <v>136.66021280000001</v>
      </c>
      <c r="I16" s="361">
        <f t="shared" si="5"/>
        <v>136.66021280000001</v>
      </c>
      <c r="J16" s="361">
        <f t="shared" si="5"/>
        <v>136.66021280000001</v>
      </c>
      <c r="K16" s="361">
        <f t="shared" si="5"/>
        <v>136.66021280000001</v>
      </c>
      <c r="L16" s="361">
        <f t="shared" si="5"/>
        <v>136.66021280000001</v>
      </c>
      <c r="M16" s="361">
        <f t="shared" si="5"/>
        <v>136.66021280000001</v>
      </c>
      <c r="N16" s="361">
        <f t="shared" si="5"/>
        <v>136.66021280000001</v>
      </c>
      <c r="O16" s="361">
        <f t="shared" si="5"/>
        <v>136.66021280000001</v>
      </c>
      <c r="P16" s="361">
        <f t="shared" si="5"/>
        <v>136.66021280000001</v>
      </c>
    </row>
    <row r="17" spans="2:16" ht="12" customHeight="1">
      <c r="B17" s="45" t="s">
        <v>433</v>
      </c>
      <c r="C17" s="348">
        <v>0</v>
      </c>
      <c r="D17" s="348">
        <v>0</v>
      </c>
      <c r="E17" s="348">
        <v>0</v>
      </c>
      <c r="F17" s="348">
        <v>0</v>
      </c>
      <c r="G17" s="361">
        <f t="shared" ref="G17:P17" si="6">F17*(1+G27)</f>
        <v>0</v>
      </c>
      <c r="H17" s="361">
        <f t="shared" si="6"/>
        <v>0</v>
      </c>
      <c r="I17" s="361">
        <f t="shared" si="6"/>
        <v>0</v>
      </c>
      <c r="J17" s="361">
        <f t="shared" si="6"/>
        <v>0</v>
      </c>
      <c r="K17" s="361">
        <f t="shared" si="6"/>
        <v>0</v>
      </c>
      <c r="L17" s="361">
        <f t="shared" si="6"/>
        <v>0</v>
      </c>
      <c r="M17" s="361">
        <f t="shared" si="6"/>
        <v>0</v>
      </c>
      <c r="N17" s="361">
        <f t="shared" si="6"/>
        <v>0</v>
      </c>
      <c r="O17" s="361">
        <f t="shared" si="6"/>
        <v>0</v>
      </c>
      <c r="P17" s="361">
        <f t="shared" si="6"/>
        <v>0</v>
      </c>
    </row>
    <row r="18" spans="2:16" ht="12" customHeight="1">
      <c r="B18" s="45" t="s">
        <v>243</v>
      </c>
      <c r="C18" s="348">
        <v>0</v>
      </c>
      <c r="D18" s="348">
        <v>0</v>
      </c>
      <c r="E18" s="348">
        <v>0</v>
      </c>
      <c r="F18" s="348">
        <v>0</v>
      </c>
      <c r="G18" s="361">
        <f t="shared" ref="G18:M18" si="7">F18*(1+G28)</f>
        <v>0</v>
      </c>
      <c r="H18" s="361">
        <f t="shared" si="7"/>
        <v>0</v>
      </c>
      <c r="I18" s="361">
        <f t="shared" si="7"/>
        <v>0</v>
      </c>
      <c r="J18" s="361">
        <f t="shared" si="7"/>
        <v>0</v>
      </c>
      <c r="K18" s="361">
        <f t="shared" si="7"/>
        <v>0</v>
      </c>
      <c r="L18" s="361">
        <f t="shared" si="7"/>
        <v>0</v>
      </c>
      <c r="M18" s="361">
        <f t="shared" si="7"/>
        <v>0</v>
      </c>
      <c r="N18" s="361">
        <f>M18*(1+M28)</f>
        <v>0</v>
      </c>
      <c r="O18" s="361">
        <f>N18*(1+O28)</f>
        <v>0</v>
      </c>
      <c r="P18" s="361">
        <f>O18*(1+P28)</f>
        <v>0</v>
      </c>
    </row>
    <row r="19" spans="2:16" ht="12" customHeight="1">
      <c r="B19" s="45"/>
      <c r="C19" s="52"/>
      <c r="D19" s="52"/>
      <c r="E19" s="52"/>
      <c r="F19" s="52"/>
      <c r="G19" s="52"/>
      <c r="H19" s="52"/>
      <c r="I19" s="52"/>
      <c r="J19" s="52"/>
      <c r="K19" s="52"/>
      <c r="L19" s="52"/>
      <c r="M19" s="52"/>
      <c r="N19" s="52"/>
      <c r="O19" s="52"/>
      <c r="P19" s="52"/>
    </row>
    <row r="20" spans="2:16" ht="12" customHeight="1">
      <c r="B20" s="4" t="s">
        <v>446</v>
      </c>
      <c r="C20" s="53"/>
      <c r="D20" s="49"/>
      <c r="E20" s="49"/>
      <c r="F20" s="49"/>
      <c r="G20" s="49"/>
      <c r="H20" s="49"/>
      <c r="I20" s="49"/>
      <c r="J20" s="49"/>
    </row>
    <row r="21" spans="2:16" ht="12" customHeight="1">
      <c r="B21" s="45" t="s">
        <v>435</v>
      </c>
      <c r="C21" s="242"/>
      <c r="D21" s="242">
        <f t="shared" ref="D21:F22" si="8">IFERROR(D12/C12-1,0)</f>
        <v>0</v>
      </c>
      <c r="E21" s="242">
        <f t="shared" si="8"/>
        <v>0</v>
      </c>
      <c r="F21" s="242">
        <f t="shared" si="8"/>
        <v>0</v>
      </c>
      <c r="G21" s="243">
        <v>0.05</v>
      </c>
      <c r="H21" s="243">
        <v>0.05</v>
      </c>
      <c r="I21" s="243">
        <v>0.05</v>
      </c>
      <c r="J21" s="243">
        <v>0.05</v>
      </c>
      <c r="K21" s="243">
        <v>0.05</v>
      </c>
      <c r="L21" s="243">
        <v>0.05</v>
      </c>
      <c r="M21" s="243">
        <v>0.05</v>
      </c>
      <c r="N21" s="243">
        <v>0.05</v>
      </c>
      <c r="O21" s="243">
        <v>0.05</v>
      </c>
      <c r="P21" s="243">
        <v>0.05</v>
      </c>
    </row>
    <row r="22" spans="2:16" ht="12" customHeight="1" thickBot="1">
      <c r="B22" s="45" t="s">
        <v>434</v>
      </c>
      <c r="C22" s="242"/>
      <c r="D22" s="242">
        <f t="shared" si="8"/>
        <v>-0.23478314926169108</v>
      </c>
      <c r="E22" s="242">
        <f t="shared" si="8"/>
        <v>0.40894670807256306</v>
      </c>
      <c r="F22" s="242">
        <f t="shared" si="8"/>
        <v>-0.15095760336457831</v>
      </c>
      <c r="G22" s="243">
        <v>0</v>
      </c>
      <c r="H22" s="243">
        <v>0</v>
      </c>
      <c r="I22" s="243">
        <v>0</v>
      </c>
      <c r="J22" s="243">
        <v>0</v>
      </c>
      <c r="K22" s="243">
        <v>0</v>
      </c>
      <c r="L22" s="243">
        <v>0</v>
      </c>
      <c r="M22" s="243">
        <v>0</v>
      </c>
      <c r="N22" s="243">
        <v>0</v>
      </c>
      <c r="O22" s="243">
        <v>0</v>
      </c>
      <c r="P22" s="243">
        <v>0</v>
      </c>
    </row>
    <row r="23" spans="2:16" ht="12" customHeight="1" thickBot="1">
      <c r="B23" s="4" t="s">
        <v>436</v>
      </c>
      <c r="C23" s="242"/>
      <c r="D23" s="242">
        <f>IFERROR(D11/C11-1,0)</f>
        <v>-0.23478314926169108</v>
      </c>
      <c r="E23" s="242">
        <f>IFERROR(E11/D11-1,0)</f>
        <v>0.40894670807256306</v>
      </c>
      <c r="F23" s="242">
        <f>IFERROR(F11/E11-1,0)</f>
        <v>-0.15095760336457831</v>
      </c>
      <c r="G23" s="277">
        <f t="shared" ref="G23:P23" si="9">IF(G11&lt;&gt;0,G11/F11-1,0)</f>
        <v>5.0000000000000044E-2</v>
      </c>
      <c r="H23" s="278">
        <f t="shared" si="9"/>
        <v>5.0000000000000044E-2</v>
      </c>
      <c r="I23" s="278">
        <f t="shared" si="9"/>
        <v>5.0000000000000044E-2</v>
      </c>
      <c r="J23" s="278">
        <f t="shared" si="9"/>
        <v>5.0000000000000044E-2</v>
      </c>
      <c r="K23" s="278">
        <f t="shared" si="9"/>
        <v>5.0000000000000044E-2</v>
      </c>
      <c r="L23" s="278">
        <f t="shared" si="9"/>
        <v>5.0000000000000044E-2</v>
      </c>
      <c r="M23" s="278">
        <f t="shared" si="9"/>
        <v>5.0000000000000044E-2</v>
      </c>
      <c r="N23" s="278">
        <f t="shared" si="9"/>
        <v>5.0000000000000044E-2</v>
      </c>
      <c r="O23" s="278">
        <f t="shared" si="9"/>
        <v>5.0000000000000044E-2</v>
      </c>
      <c r="P23" s="279">
        <f t="shared" si="9"/>
        <v>5.0000000000000044E-2</v>
      </c>
    </row>
    <row r="24" spans="2:16" ht="12" customHeight="1">
      <c r="B24" s="4"/>
      <c r="C24" s="242"/>
      <c r="D24" s="242"/>
      <c r="E24" s="242"/>
      <c r="F24" s="242"/>
      <c r="G24" s="242"/>
      <c r="H24" s="242"/>
      <c r="I24" s="242"/>
      <c r="J24" s="242"/>
      <c r="K24" s="242"/>
      <c r="L24" s="242"/>
      <c r="M24" s="242"/>
      <c r="N24" s="242"/>
      <c r="O24" s="242"/>
      <c r="P24" s="242"/>
    </row>
    <row r="25" spans="2:16" ht="12" customHeight="1">
      <c r="B25" s="4" t="s">
        <v>445</v>
      </c>
      <c r="C25" s="48"/>
      <c r="D25" s="48"/>
      <c r="E25" s="48"/>
      <c r="F25" s="48"/>
      <c r="G25" s="48"/>
      <c r="H25" s="48"/>
      <c r="I25" s="48"/>
      <c r="J25" s="48"/>
      <c r="K25" s="48"/>
      <c r="L25" s="48"/>
      <c r="M25" s="48"/>
      <c r="N25" s="48"/>
      <c r="O25" s="48"/>
      <c r="P25" s="48"/>
    </row>
    <row r="26" spans="2:16" ht="12" customHeight="1">
      <c r="B26" s="332" t="s">
        <v>442</v>
      </c>
      <c r="C26" s="333">
        <v>0</v>
      </c>
      <c r="D26" s="333">
        <v>0</v>
      </c>
      <c r="E26" s="333">
        <v>0</v>
      </c>
      <c r="F26" s="333">
        <v>0</v>
      </c>
      <c r="G26" s="334">
        <v>0</v>
      </c>
      <c r="H26" s="334">
        <v>0</v>
      </c>
      <c r="I26" s="334">
        <v>0</v>
      </c>
      <c r="J26" s="334">
        <v>0</v>
      </c>
      <c r="K26" s="334">
        <v>0</v>
      </c>
      <c r="L26" s="334">
        <v>0</v>
      </c>
      <c r="M26" s="334">
        <v>0</v>
      </c>
      <c r="N26" s="334">
        <v>0</v>
      </c>
      <c r="O26" s="334">
        <v>0</v>
      </c>
      <c r="P26" s="334">
        <v>0</v>
      </c>
    </row>
    <row r="27" spans="2:16" ht="12" customHeight="1">
      <c r="B27" s="332" t="s">
        <v>441</v>
      </c>
      <c r="C27" s="333">
        <v>0</v>
      </c>
      <c r="D27" s="333">
        <v>0</v>
      </c>
      <c r="E27" s="333">
        <v>0</v>
      </c>
      <c r="F27" s="333">
        <v>0</v>
      </c>
      <c r="G27" s="334">
        <v>0</v>
      </c>
      <c r="H27" s="334">
        <v>0</v>
      </c>
      <c r="I27" s="334">
        <v>0</v>
      </c>
      <c r="J27" s="334">
        <v>0</v>
      </c>
      <c r="K27" s="334">
        <v>0</v>
      </c>
      <c r="L27" s="334">
        <v>0</v>
      </c>
      <c r="M27" s="334">
        <v>0</v>
      </c>
      <c r="N27" s="334">
        <v>0</v>
      </c>
      <c r="O27" s="334">
        <v>0</v>
      </c>
      <c r="P27" s="334">
        <v>0</v>
      </c>
    </row>
    <row r="28" spans="2:16" ht="12" customHeight="1">
      <c r="B28" s="332" t="s">
        <v>440</v>
      </c>
      <c r="C28" s="333">
        <v>0</v>
      </c>
      <c r="D28" s="333">
        <v>0</v>
      </c>
      <c r="E28" s="333">
        <v>0</v>
      </c>
      <c r="F28" s="333">
        <v>0</v>
      </c>
      <c r="G28" s="334">
        <v>0</v>
      </c>
      <c r="H28" s="334">
        <v>0</v>
      </c>
      <c r="I28" s="334">
        <v>0</v>
      </c>
      <c r="J28" s="334">
        <v>0</v>
      </c>
      <c r="K28" s="334">
        <v>0</v>
      </c>
      <c r="L28" s="334">
        <v>0</v>
      </c>
      <c r="M28" s="334">
        <v>0</v>
      </c>
      <c r="N28" s="334">
        <v>0</v>
      </c>
      <c r="O28" s="334">
        <v>0</v>
      </c>
      <c r="P28" s="334">
        <v>0</v>
      </c>
    </row>
    <row r="29" spans="2:16" ht="12" customHeight="1">
      <c r="B29" s="45" t="s">
        <v>473</v>
      </c>
      <c r="C29" s="242">
        <v>0</v>
      </c>
      <c r="D29" s="242">
        <v>0</v>
      </c>
      <c r="E29" s="242">
        <v>0</v>
      </c>
      <c r="F29" s="242">
        <v>0</v>
      </c>
      <c r="G29" s="243">
        <f>G16/G11</f>
        <v>0.37990644892070008</v>
      </c>
      <c r="H29" s="243">
        <f t="shared" ref="H29:P29" si="10">H16/H11</f>
        <v>0.36181566563876194</v>
      </c>
      <c r="I29" s="243">
        <f t="shared" si="10"/>
        <v>0.34458634822739231</v>
      </c>
      <c r="J29" s="243">
        <f t="shared" si="10"/>
        <v>0.32817747450227835</v>
      </c>
      <c r="K29" s="243">
        <f t="shared" si="10"/>
        <v>0.31254997571645554</v>
      </c>
      <c r="L29" s="243">
        <f t="shared" si="10"/>
        <v>0.29766664353948147</v>
      </c>
      <c r="M29" s="243">
        <f t="shared" si="10"/>
        <v>0.28349204146617285</v>
      </c>
      <c r="N29" s="243">
        <f t="shared" si="10"/>
        <v>0.26999242044397409</v>
      </c>
      <c r="O29" s="243">
        <f t="shared" si="10"/>
        <v>0.25713563851807059</v>
      </c>
      <c r="P29" s="243">
        <f t="shared" si="10"/>
        <v>0.24489108430292436</v>
      </c>
    </row>
    <row r="30" spans="2:16" ht="12" customHeight="1">
      <c r="B30" s="45" t="s">
        <v>437</v>
      </c>
      <c r="C30" s="242">
        <v>0</v>
      </c>
      <c r="D30" s="242">
        <v>0</v>
      </c>
      <c r="E30" s="242">
        <v>0</v>
      </c>
      <c r="F30" s="242">
        <v>0</v>
      </c>
      <c r="G30" s="243">
        <f>G17/G11</f>
        <v>0</v>
      </c>
      <c r="H30" s="243">
        <f t="shared" ref="H30:P30" si="11">H17/H11</f>
        <v>0</v>
      </c>
      <c r="I30" s="243">
        <f t="shared" si="11"/>
        <v>0</v>
      </c>
      <c r="J30" s="243">
        <f t="shared" si="11"/>
        <v>0</v>
      </c>
      <c r="K30" s="243">
        <f t="shared" si="11"/>
        <v>0</v>
      </c>
      <c r="L30" s="243">
        <f t="shared" si="11"/>
        <v>0</v>
      </c>
      <c r="M30" s="243">
        <f t="shared" si="11"/>
        <v>0</v>
      </c>
      <c r="N30" s="243">
        <f t="shared" si="11"/>
        <v>0</v>
      </c>
      <c r="O30" s="243">
        <f t="shared" si="11"/>
        <v>0</v>
      </c>
      <c r="P30" s="243">
        <f t="shared" si="11"/>
        <v>0</v>
      </c>
    </row>
    <row r="31" spans="2:16" ht="12" customHeight="1" thickBot="1">
      <c r="B31" s="45" t="s">
        <v>438</v>
      </c>
      <c r="C31" s="242">
        <v>0</v>
      </c>
      <c r="D31" s="242">
        <v>0</v>
      </c>
      <c r="E31" s="242">
        <v>0</v>
      </c>
      <c r="F31" s="242">
        <v>0</v>
      </c>
      <c r="G31" s="243">
        <f>G18/G11</f>
        <v>0</v>
      </c>
      <c r="H31" s="243">
        <f t="shared" ref="H31:P31" si="12">H18/H11</f>
        <v>0</v>
      </c>
      <c r="I31" s="243">
        <f t="shared" si="12"/>
        <v>0</v>
      </c>
      <c r="J31" s="243">
        <f t="shared" si="12"/>
        <v>0</v>
      </c>
      <c r="K31" s="243">
        <f t="shared" si="12"/>
        <v>0</v>
      </c>
      <c r="L31" s="243">
        <f t="shared" si="12"/>
        <v>0</v>
      </c>
      <c r="M31" s="243">
        <f t="shared" si="12"/>
        <v>0</v>
      </c>
      <c r="N31" s="243">
        <f t="shared" si="12"/>
        <v>0</v>
      </c>
      <c r="O31" s="243">
        <f t="shared" si="12"/>
        <v>0</v>
      </c>
      <c r="P31" s="243">
        <f t="shared" si="12"/>
        <v>0</v>
      </c>
    </row>
    <row r="32" spans="2:16" ht="12" customHeight="1">
      <c r="B32" s="15" t="s">
        <v>430</v>
      </c>
      <c r="C32" s="242">
        <f>-'FS Year'!K156</f>
        <v>0.54769589219897996</v>
      </c>
      <c r="D32" s="242">
        <f>-'FS Year'!L156</f>
        <v>0.28040204679649011</v>
      </c>
      <c r="E32" s="242">
        <f>-'FS Year'!M156</f>
        <v>0.52197432039857583</v>
      </c>
      <c r="F32" s="242">
        <f>-'FS Year'!N156</f>
        <v>0.39890177136673505</v>
      </c>
      <c r="G32" s="280">
        <f t="shared" ref="G32:P32" si="13">SUM(G29:G31)</f>
        <v>0.37990644892070008</v>
      </c>
      <c r="H32" s="281">
        <f t="shared" si="13"/>
        <v>0.36181566563876194</v>
      </c>
      <c r="I32" s="281">
        <f t="shared" si="13"/>
        <v>0.34458634822739231</v>
      </c>
      <c r="J32" s="281">
        <f t="shared" si="13"/>
        <v>0.32817747450227835</v>
      </c>
      <c r="K32" s="281">
        <f t="shared" si="13"/>
        <v>0.31254997571645554</v>
      </c>
      <c r="L32" s="281">
        <f t="shared" si="13"/>
        <v>0.29766664353948147</v>
      </c>
      <c r="M32" s="281">
        <f t="shared" si="13"/>
        <v>0.28349204146617285</v>
      </c>
      <c r="N32" s="281">
        <f t="shared" si="13"/>
        <v>0.26999242044397409</v>
      </c>
      <c r="O32" s="281">
        <f t="shared" si="13"/>
        <v>0.25713563851807059</v>
      </c>
      <c r="P32" s="282">
        <f t="shared" si="13"/>
        <v>0.24489108430292436</v>
      </c>
    </row>
    <row r="33" spans="2:18" ht="12" customHeight="1" thickBot="1">
      <c r="B33" s="4" t="s">
        <v>443</v>
      </c>
      <c r="C33" s="242">
        <f>'FS Year'!K108</f>
        <v>0.45230410780101998</v>
      </c>
      <c r="D33" s="242">
        <f>'FS Year'!L108</f>
        <v>0.71959795320350983</v>
      </c>
      <c r="E33" s="242">
        <f>'FS Year'!M108</f>
        <v>0.47802567960142417</v>
      </c>
      <c r="F33" s="242">
        <f>'FS Year'!N108</f>
        <v>0.6010982286332649</v>
      </c>
      <c r="G33" s="283">
        <f>IF(G32&lt;&gt;0,1-G32,0)</f>
        <v>0.62009355107929998</v>
      </c>
      <c r="H33" s="284">
        <f t="shared" ref="H33:P33" si="14">IF(H32&lt;&gt;0,1-H32,0)</f>
        <v>0.63818433436123811</v>
      </c>
      <c r="I33" s="284">
        <f t="shared" si="14"/>
        <v>0.65541365177260769</v>
      </c>
      <c r="J33" s="284">
        <f t="shared" si="14"/>
        <v>0.6718225254977217</v>
      </c>
      <c r="K33" s="284">
        <f t="shared" si="14"/>
        <v>0.6874500242835444</v>
      </c>
      <c r="L33" s="284">
        <f t="shared" si="14"/>
        <v>0.70233335646051853</v>
      </c>
      <c r="M33" s="284">
        <f t="shared" si="14"/>
        <v>0.71650795853382721</v>
      </c>
      <c r="N33" s="284">
        <f t="shared" si="14"/>
        <v>0.73000757955602591</v>
      </c>
      <c r="O33" s="284">
        <f t="shared" si="14"/>
        <v>0.74286436148192947</v>
      </c>
      <c r="P33" s="285">
        <f t="shared" si="14"/>
        <v>0.75510891569707561</v>
      </c>
    </row>
    <row r="35" spans="2:18" ht="12" customHeight="1">
      <c r="B35" s="32" t="s">
        <v>75</v>
      </c>
      <c r="C35" s="244">
        <f>SUM(C29:C31)-C32</f>
        <v>-0.54769589219897996</v>
      </c>
      <c r="D35" s="244">
        <f t="shared" ref="D35:P35" si="15">SUM(D29:D31)-D32</f>
        <v>-0.28040204679649011</v>
      </c>
      <c r="E35" s="244">
        <f t="shared" si="15"/>
        <v>-0.52197432039857583</v>
      </c>
      <c r="F35" s="244">
        <f t="shared" si="15"/>
        <v>-0.39890177136673505</v>
      </c>
      <c r="G35" s="244">
        <f t="shared" si="15"/>
        <v>0</v>
      </c>
      <c r="H35" s="244">
        <f t="shared" si="15"/>
        <v>0</v>
      </c>
      <c r="I35" s="244">
        <f t="shared" si="15"/>
        <v>0</v>
      </c>
      <c r="J35" s="244">
        <f t="shared" si="15"/>
        <v>0</v>
      </c>
      <c r="K35" s="244">
        <f t="shared" si="15"/>
        <v>0</v>
      </c>
      <c r="L35" s="244">
        <f t="shared" si="15"/>
        <v>0</v>
      </c>
      <c r="M35" s="244">
        <f t="shared" si="15"/>
        <v>0</v>
      </c>
      <c r="N35" s="244">
        <f t="shared" si="15"/>
        <v>0</v>
      </c>
      <c r="O35" s="244">
        <f t="shared" si="15"/>
        <v>0</v>
      </c>
      <c r="P35" s="244">
        <f t="shared" si="15"/>
        <v>0</v>
      </c>
      <c r="R35" s="51"/>
    </row>
  </sheetData>
  <sheetProtection selectLockedCells="1"/>
  <mergeCells count="1">
    <mergeCell ref="C8:F8"/>
  </mergeCells>
  <conditionalFormatting sqref="B7">
    <cfRule type="cellIs" dxfId="7" priority="1" operator="equal">
      <formula>0</formula>
    </cfRule>
  </conditionalFormatting>
  <dataValidations count="1">
    <dataValidation allowBlank="1" showInputMessage="1" showErrorMessage="1" sqref="B7" xr:uid="{00000000-0002-0000-0900-000000000000}"/>
  </dataValidations>
  <pageMargins left="0.7" right="0.7" top="0.75" bottom="0.75" header="0.3" footer="0.3"/>
  <pageSetup paperSize="9" scale="86"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92D050"/>
    <pageSetUpPr fitToPage="1"/>
  </sheetPr>
  <dimension ref="B7:X114"/>
  <sheetViews>
    <sheetView showGridLines="0" zoomScale="115" zoomScaleNormal="115" workbookViewId="0">
      <pane xSplit="1" ySplit="9" topLeftCell="B10" activePane="bottomRight" state="frozen"/>
      <selection pane="topRight" activeCell="B1" sqref="B1"/>
      <selection pane="bottomLeft" activeCell="A10" sqref="A10"/>
      <selection pane="bottomRight" activeCell="I13" sqref="I13"/>
    </sheetView>
  </sheetViews>
  <sheetFormatPr defaultColWidth="9.140625" defaultRowHeight="12" customHeight="1"/>
  <cols>
    <col min="1" max="1" width="3.7109375" style="5" customWidth="1"/>
    <col min="2" max="2" width="35.7109375" style="5" customWidth="1"/>
    <col min="3" max="16" width="9.7109375" style="1" customWidth="1"/>
    <col min="17" max="17" width="9.7109375" style="5" customWidth="1"/>
    <col min="18" max="18" width="77.140625" style="5" customWidth="1"/>
    <col min="19" max="16384" width="9.140625" style="5"/>
  </cols>
  <sheetData>
    <row r="7" spans="2:24" ht="12" customHeight="1">
      <c r="B7" s="38" t="str">
        <f>ticker</f>
        <v>DXG VN EQUITY</v>
      </c>
      <c r="C7" s="2"/>
      <c r="D7" s="129"/>
      <c r="E7" s="2"/>
      <c r="F7" s="2"/>
      <c r="G7" s="54">
        <v>1</v>
      </c>
      <c r="H7" s="54">
        <v>2</v>
      </c>
      <c r="I7" s="54">
        <v>3</v>
      </c>
      <c r="J7" s="54">
        <v>4</v>
      </c>
      <c r="K7" s="54">
        <v>5</v>
      </c>
      <c r="L7" s="54">
        <v>6</v>
      </c>
      <c r="M7" s="54">
        <v>7</v>
      </c>
      <c r="N7" s="54">
        <v>8</v>
      </c>
      <c r="O7" s="54">
        <v>9</v>
      </c>
      <c r="P7" s="54">
        <v>10</v>
      </c>
    </row>
    <row r="8" spans="2:24" ht="12" customHeight="1">
      <c r="B8" s="15"/>
      <c r="C8" s="2266" t="s">
        <v>215</v>
      </c>
      <c r="D8" s="2266"/>
      <c r="E8" s="2266"/>
      <c r="F8" s="2266"/>
      <c r="G8" s="7" t="s">
        <v>274</v>
      </c>
      <c r="H8" s="7" t="s">
        <v>275</v>
      </c>
      <c r="I8" s="7" t="s">
        <v>277</v>
      </c>
      <c r="J8" s="7" t="s">
        <v>278</v>
      </c>
      <c r="K8" s="7" t="s">
        <v>279</v>
      </c>
      <c r="L8" s="7" t="s">
        <v>280</v>
      </c>
      <c r="M8" s="7" t="s">
        <v>281</v>
      </c>
      <c r="N8" s="7" t="s">
        <v>282</v>
      </c>
      <c r="O8" s="7" t="s">
        <v>283</v>
      </c>
      <c r="P8" s="7" t="s">
        <v>276</v>
      </c>
      <c r="Q8" s="55"/>
      <c r="R8" s="56" t="s">
        <v>42</v>
      </c>
      <c r="U8" s="57"/>
      <c r="W8" s="58"/>
    </row>
    <row r="9" spans="2:24" ht="12" customHeight="1">
      <c r="B9" s="59" t="s">
        <v>15</v>
      </c>
      <c r="C9" s="109">
        <f ca="1">'FS Year'!K9</f>
        <v>2020</v>
      </c>
      <c r="D9" s="109">
        <f ca="1">'FS Year'!L9</f>
        <v>2021</v>
      </c>
      <c r="E9" s="109">
        <f ca="1">D9+1</f>
        <v>2022</v>
      </c>
      <c r="F9" s="109">
        <f ca="1">E9+1</f>
        <v>2023</v>
      </c>
      <c r="G9" s="50">
        <f ca="1">F9+1</f>
        <v>2024</v>
      </c>
      <c r="H9" s="50">
        <f t="shared" ref="H9:P9" ca="1" si="0">G9+1</f>
        <v>2025</v>
      </c>
      <c r="I9" s="50">
        <f t="shared" ca="1" si="0"/>
        <v>2026</v>
      </c>
      <c r="J9" s="50">
        <f t="shared" ca="1" si="0"/>
        <v>2027</v>
      </c>
      <c r="K9" s="50">
        <f t="shared" ca="1" si="0"/>
        <v>2028</v>
      </c>
      <c r="L9" s="50">
        <f t="shared" ca="1" si="0"/>
        <v>2029</v>
      </c>
      <c r="M9" s="50">
        <f t="shared" ca="1" si="0"/>
        <v>2030</v>
      </c>
      <c r="N9" s="50">
        <f t="shared" ca="1" si="0"/>
        <v>2031</v>
      </c>
      <c r="O9" s="50">
        <f t="shared" ca="1" si="0"/>
        <v>2032</v>
      </c>
      <c r="P9" s="50">
        <f t="shared" ca="1" si="0"/>
        <v>2033</v>
      </c>
      <c r="Q9" s="61"/>
      <c r="R9" s="8"/>
    </row>
    <row r="10" spans="2:24" ht="12" customHeight="1">
      <c r="B10" s="6" t="s">
        <v>353</v>
      </c>
      <c r="C10" s="242">
        <f>((1+C11))^(1)-1</f>
        <v>3.4076980121972529</v>
      </c>
      <c r="D10" s="242">
        <f>((1+C11)*(1+D11))^(1/2)-1</f>
        <v>0.83653064006541578</v>
      </c>
      <c r="E10" s="242">
        <f>((1+C11)*(1+D11)*(1+E11))^(1/3)-1</f>
        <v>0.68124229806949343</v>
      </c>
      <c r="F10" s="242">
        <f>((1+D11)*(1+E11)*(1+F11))^(1/3)-1</f>
        <v>-2.9036682173710915E-2</v>
      </c>
      <c r="G10" s="268">
        <f>((1+G11))^(1/G7)-1</f>
        <v>5.0000000000000044E-2</v>
      </c>
      <c r="H10" s="252">
        <f>((1+G11)*(1+H11))^(1/H7)-1</f>
        <v>5.0000000000000044E-2</v>
      </c>
      <c r="I10" s="252">
        <f>((1+G11)*(1+H11)*(1+I11))^(1/I7)-1</f>
        <v>5.0000000000000044E-2</v>
      </c>
      <c r="J10" s="252">
        <f>((1+G11)*(1+H11)*(1+I11)*(1+J11))^(1/J7)-1</f>
        <v>5.0000000000000044E-2</v>
      </c>
      <c r="K10" s="252">
        <f>((1+G11)*(1+H11)*(1+I11)*(1+J11)*(1+K11))^(1/K7)-1</f>
        <v>5.0000000000000044E-2</v>
      </c>
      <c r="L10" s="252">
        <f>((1+G11)*(1+H11)*(1+I11)*(1+J11)*(1+K11)*(1+L11))^(1/L7)-1</f>
        <v>5.0000000000000044E-2</v>
      </c>
      <c r="M10" s="252">
        <f>((1+G11)*(1+H11)*(1+I11)*(1+J11)*(1+K11)*(1+L11)*(1+M11))^(1/M7)-1</f>
        <v>5.0000000000000044E-2</v>
      </c>
      <c r="N10" s="252">
        <f>((1+G11)*(1+H11)*(1+I11)*(1+J11)*(1+K11)*(1+L11)*(1+M11)*(1+N11))^(1/N7)-1</f>
        <v>5.0000000000000044E-2</v>
      </c>
      <c r="O10" s="252">
        <f>((1+G11)*(1+H11)*(1+I11)*(1+J11)*(1+K11)*(1+L11)*(1+M11)*(1+N11)*(1+O11))^(1/O7)-1</f>
        <v>5.0000000000000044E-2</v>
      </c>
      <c r="P10" s="252">
        <f>((1+G11)*(1+H11)*(1+I11)*(1+J11)*(1+K11)*(1+L11)*(1+M11)*(1+N11)*(1+O11)*(1+P11))^(1/P7)-1</f>
        <v>5.0000000000000044E-2</v>
      </c>
      <c r="Q10" s="61"/>
      <c r="R10" s="8"/>
    </row>
    <row r="11" spans="2:24" ht="12" customHeight="1">
      <c r="B11" s="5" t="s">
        <v>475</v>
      </c>
      <c r="C11" s="242">
        <f>'FS Year'!K173</f>
        <v>3.4076980121972529</v>
      </c>
      <c r="D11" s="242">
        <f>'FS Year'!L173</f>
        <v>-0.23478314926169108</v>
      </c>
      <c r="E11" s="242">
        <f>'FS Year'!M173</f>
        <v>0.40894670807256306</v>
      </c>
      <c r="F11" s="242">
        <f>'FS Year'!N173</f>
        <v>-0.15095760336457831</v>
      </c>
      <c r="G11" s="268">
        <f>Sales!G23</f>
        <v>5.0000000000000044E-2</v>
      </c>
      <c r="H11" s="252">
        <f>Sales!H23</f>
        <v>5.0000000000000044E-2</v>
      </c>
      <c r="I11" s="252">
        <f>Sales!I23</f>
        <v>5.0000000000000044E-2</v>
      </c>
      <c r="J11" s="252">
        <f>Sales!J23</f>
        <v>5.0000000000000044E-2</v>
      </c>
      <c r="K11" s="252">
        <f>Sales!K23</f>
        <v>5.0000000000000044E-2</v>
      </c>
      <c r="L11" s="252">
        <f>Sales!L23</f>
        <v>5.0000000000000044E-2</v>
      </c>
      <c r="M11" s="252">
        <f>Sales!M23</f>
        <v>5.0000000000000044E-2</v>
      </c>
      <c r="N11" s="252">
        <f>Sales!N23</f>
        <v>5.0000000000000044E-2</v>
      </c>
      <c r="O11" s="252">
        <f>Sales!O23</f>
        <v>5.0000000000000044E-2</v>
      </c>
      <c r="P11" s="252">
        <f>Sales!P23</f>
        <v>5.0000000000000044E-2</v>
      </c>
      <c r="Q11" s="17"/>
      <c r="R11" s="56" t="s">
        <v>47</v>
      </c>
      <c r="T11" s="6"/>
      <c r="U11" s="6"/>
      <c r="V11" s="6"/>
      <c r="W11" s="6"/>
      <c r="X11" s="6"/>
    </row>
    <row r="12" spans="2:24" ht="12" customHeight="1">
      <c r="B12" s="5" t="s">
        <v>476</v>
      </c>
      <c r="C12" s="242">
        <f>-'FS Year'!K156</f>
        <v>0.54769589219897996</v>
      </c>
      <c r="D12" s="242">
        <f>-'FS Year'!L156</f>
        <v>0.28040204679649011</v>
      </c>
      <c r="E12" s="242">
        <f>-'FS Year'!M156</f>
        <v>0.52197432039857583</v>
      </c>
      <c r="F12" s="242">
        <f>-'FS Year'!N156</f>
        <v>0.39890177136673505</v>
      </c>
      <c r="G12" s="268">
        <f>Sales!G32</f>
        <v>0.37990644892070008</v>
      </c>
      <c r="H12" s="252">
        <f>Sales!H32</f>
        <v>0.36181566563876194</v>
      </c>
      <c r="I12" s="252">
        <f>Sales!I32</f>
        <v>0.34458634822739231</v>
      </c>
      <c r="J12" s="252">
        <f>Sales!J32</f>
        <v>0.32817747450227835</v>
      </c>
      <c r="K12" s="252">
        <f>Sales!K32</f>
        <v>0.31254997571645554</v>
      </c>
      <c r="L12" s="252">
        <f>Sales!L32</f>
        <v>0.29766664353948147</v>
      </c>
      <c r="M12" s="252">
        <f>Sales!M32</f>
        <v>0.28349204146617285</v>
      </c>
      <c r="N12" s="252">
        <f>Sales!N32</f>
        <v>0.26999242044397409</v>
      </c>
      <c r="O12" s="252">
        <f>Sales!O32</f>
        <v>0.25713563851807059</v>
      </c>
      <c r="P12" s="252">
        <f>Sales!P32</f>
        <v>0.24489108430292436</v>
      </c>
      <c r="Q12" s="17"/>
      <c r="R12" s="56"/>
      <c r="T12" s="6"/>
      <c r="U12" s="6"/>
      <c r="V12" s="6"/>
      <c r="W12" s="6"/>
      <c r="X12" s="6"/>
    </row>
    <row r="13" spans="2:24" ht="12" customHeight="1">
      <c r="B13" s="5" t="s">
        <v>477</v>
      </c>
      <c r="C13" s="242">
        <f>'FS Year'!K108</f>
        <v>0.45230410780101998</v>
      </c>
      <c r="D13" s="242">
        <f>'FS Year'!L108</f>
        <v>0.71959795320350983</v>
      </c>
      <c r="E13" s="242">
        <f>'FS Year'!M108</f>
        <v>0.47802567960142417</v>
      </c>
      <c r="F13" s="242">
        <f>'FS Year'!N108</f>
        <v>0.6010982286332649</v>
      </c>
      <c r="G13" s="268">
        <f>1-G12</f>
        <v>0.62009355107929998</v>
      </c>
      <c r="H13" s="252">
        <f t="shared" ref="H13:P13" si="1">1-H12</f>
        <v>0.63818433436123811</v>
      </c>
      <c r="I13" s="252">
        <f t="shared" si="1"/>
        <v>0.65541365177260769</v>
      </c>
      <c r="J13" s="252">
        <f t="shared" si="1"/>
        <v>0.6718225254977217</v>
      </c>
      <c r="K13" s="252">
        <f t="shared" si="1"/>
        <v>0.6874500242835444</v>
      </c>
      <c r="L13" s="252">
        <f t="shared" si="1"/>
        <v>0.70233335646051853</v>
      </c>
      <c r="M13" s="252">
        <f t="shared" si="1"/>
        <v>0.71650795853382721</v>
      </c>
      <c r="N13" s="252">
        <f t="shared" si="1"/>
        <v>0.73000757955602591</v>
      </c>
      <c r="O13" s="252">
        <f t="shared" si="1"/>
        <v>0.74286436148192947</v>
      </c>
      <c r="P13" s="252">
        <f t="shared" si="1"/>
        <v>0.75510891569707561</v>
      </c>
      <c r="Q13" s="17"/>
      <c r="R13" s="56" t="s">
        <v>47</v>
      </c>
    </row>
    <row r="14" spans="2:24" ht="12" customHeight="1">
      <c r="B14" s="5" t="s">
        <v>478</v>
      </c>
      <c r="C14" s="242">
        <f>-'FS Year'!K151</f>
        <v>5.3309395475418919E-3</v>
      </c>
      <c r="D14" s="242">
        <f>-'FS Year'!L151</f>
        <v>1.0185669728908504E-2</v>
      </c>
      <c r="E14" s="242">
        <f>-'FS Year'!M151</f>
        <v>7.3337254446013533E-3</v>
      </c>
      <c r="F14" s="242">
        <f>-'FS Year'!N151</f>
        <v>6.3993306913901352E-3</v>
      </c>
      <c r="G14" s="268" t="e">
        <f>#REF!</f>
        <v>#REF!</v>
      </c>
      <c r="H14" s="791" t="e">
        <f>#REF!</f>
        <v>#REF!</v>
      </c>
      <c r="I14" s="791" t="e">
        <f>#REF!</f>
        <v>#REF!</v>
      </c>
      <c r="J14" s="791" t="e">
        <f>#REF!</f>
        <v>#REF!</v>
      </c>
      <c r="K14" s="791" t="e">
        <f>#REF!</f>
        <v>#REF!</v>
      </c>
      <c r="L14" s="791" t="e">
        <f>#REF!</f>
        <v>#REF!</v>
      </c>
      <c r="M14" s="791" t="e">
        <f>#REF!</f>
        <v>#REF!</v>
      </c>
      <c r="N14" s="791" t="e">
        <f>#REF!</f>
        <v>#REF!</v>
      </c>
      <c r="O14" s="791" t="e">
        <f>#REF!</f>
        <v>#REF!</v>
      </c>
      <c r="P14" s="791" t="e">
        <f>#REF!</f>
        <v>#REF!</v>
      </c>
      <c r="Q14" s="17"/>
      <c r="R14" s="56"/>
    </row>
    <row r="15" spans="2:24" ht="12" customHeight="1">
      <c r="B15" s="5" t="s">
        <v>16</v>
      </c>
      <c r="C15" s="242">
        <f>-'FS Year'!K158</f>
        <v>9.5753107253001263E-2</v>
      </c>
      <c r="D15" s="242">
        <f>-'FS Year'!L158</f>
        <v>0.15789976854476509</v>
      </c>
      <c r="E15" s="242">
        <f>-'FS Year'!M158</f>
        <v>0.10915836179024599</v>
      </c>
      <c r="F15" s="242">
        <f>-'FS Year'!N158</f>
        <v>0.18241513603881418</v>
      </c>
      <c r="G15" s="243">
        <f t="shared" ref="G15:M15" si="2">F15</f>
        <v>0.18241513603881418</v>
      </c>
      <c r="H15" s="252">
        <f t="shared" si="2"/>
        <v>0.18241513603881418</v>
      </c>
      <c r="I15" s="252">
        <f t="shared" si="2"/>
        <v>0.18241513603881418</v>
      </c>
      <c r="J15" s="252">
        <f t="shared" si="2"/>
        <v>0.18241513603881418</v>
      </c>
      <c r="K15" s="252">
        <f t="shared" si="2"/>
        <v>0.18241513603881418</v>
      </c>
      <c r="L15" s="252">
        <f t="shared" si="2"/>
        <v>0.18241513603881418</v>
      </c>
      <c r="M15" s="252">
        <f t="shared" si="2"/>
        <v>0.18241513603881418</v>
      </c>
      <c r="N15" s="252">
        <f t="shared" ref="H15:P17" si="3">M15</f>
        <v>0.18241513603881418</v>
      </c>
      <c r="O15" s="252">
        <f t="shared" si="3"/>
        <v>0.18241513603881418</v>
      </c>
      <c r="P15" s="252">
        <f t="shared" si="3"/>
        <v>0.18241513603881418</v>
      </c>
      <c r="Q15" s="17"/>
      <c r="R15" s="56" t="s">
        <v>47</v>
      </c>
    </row>
    <row r="16" spans="2:24" ht="12" customHeight="1">
      <c r="B16" s="5" t="s">
        <v>17</v>
      </c>
      <c r="C16" s="242">
        <f>-'FS Year'!K159</f>
        <v>0.14492074502482347</v>
      </c>
      <c r="D16" s="242">
        <f>-'FS Year'!L159</f>
        <v>0.2923881094380979</v>
      </c>
      <c r="E16" s="242">
        <f>-'FS Year'!M159</f>
        <v>0.19497065161604124</v>
      </c>
      <c r="F16" s="242">
        <f>-'FS Year'!N159</f>
        <v>0.23715162418217875</v>
      </c>
      <c r="G16" s="243">
        <f>F16</f>
        <v>0.23715162418217875</v>
      </c>
      <c r="H16" s="252">
        <f t="shared" si="3"/>
        <v>0.23715162418217875</v>
      </c>
      <c r="I16" s="252">
        <f t="shared" si="3"/>
        <v>0.23715162418217875</v>
      </c>
      <c r="J16" s="252">
        <f t="shared" si="3"/>
        <v>0.23715162418217875</v>
      </c>
      <c r="K16" s="252">
        <f t="shared" si="3"/>
        <v>0.23715162418217875</v>
      </c>
      <c r="L16" s="252">
        <f t="shared" si="3"/>
        <v>0.23715162418217875</v>
      </c>
      <c r="M16" s="252">
        <f t="shared" si="3"/>
        <v>0.23715162418217875</v>
      </c>
      <c r="N16" s="252">
        <f t="shared" si="3"/>
        <v>0.23715162418217875</v>
      </c>
      <c r="O16" s="252">
        <f t="shared" si="3"/>
        <v>0.23715162418217875</v>
      </c>
      <c r="P16" s="252">
        <f t="shared" si="3"/>
        <v>0.23715162418217875</v>
      </c>
      <c r="Q16" s="17"/>
      <c r="R16" s="56" t="s">
        <v>47</v>
      </c>
    </row>
    <row r="17" spans="2:18" ht="12" customHeight="1">
      <c r="B17" s="18" t="s">
        <v>18</v>
      </c>
      <c r="C17" s="242">
        <f>-'FS Year'!K161</f>
        <v>0</v>
      </c>
      <c r="D17" s="242">
        <f>-'FS Year'!L161</f>
        <v>0</v>
      </c>
      <c r="E17" s="242">
        <f>-'FS Year'!M161</f>
        <v>-1.041504070027275E-4</v>
      </c>
      <c r="F17" s="242">
        <f>-'FS Year'!N161</f>
        <v>0</v>
      </c>
      <c r="G17" s="243">
        <f>F17</f>
        <v>0</v>
      </c>
      <c r="H17" s="252">
        <f t="shared" si="3"/>
        <v>0</v>
      </c>
      <c r="I17" s="252">
        <f t="shared" si="3"/>
        <v>0</v>
      </c>
      <c r="J17" s="252">
        <f t="shared" si="3"/>
        <v>0</v>
      </c>
      <c r="K17" s="252">
        <f t="shared" si="3"/>
        <v>0</v>
      </c>
      <c r="L17" s="252">
        <f t="shared" si="3"/>
        <v>0</v>
      </c>
      <c r="M17" s="252">
        <f t="shared" si="3"/>
        <v>0</v>
      </c>
      <c r="N17" s="252">
        <f t="shared" si="3"/>
        <v>0</v>
      </c>
      <c r="O17" s="252">
        <f t="shared" si="3"/>
        <v>0</v>
      </c>
      <c r="P17" s="252">
        <f t="shared" si="3"/>
        <v>0</v>
      </c>
      <c r="Q17" s="17"/>
      <c r="R17" s="56" t="s">
        <v>47</v>
      </c>
    </row>
    <row r="18" spans="2:18" ht="12" customHeight="1">
      <c r="B18" s="5" t="s">
        <v>19</v>
      </c>
      <c r="C18" s="242">
        <f>IF(C12&lt;&gt;0,1-'FS Year'!K115,0)</f>
        <v>0.2934605707407002</v>
      </c>
      <c r="D18" s="242">
        <f>IF(D12&lt;&gt;0,1-'FS Year'!L115,0)</f>
        <v>0.40317734046439824</v>
      </c>
      <c r="E18" s="242">
        <f>IF(E12&lt;&gt;0,1-'FS Year'!M115,0)</f>
        <v>0.25303994563031973</v>
      </c>
      <c r="F18" s="242">
        <f>IF(F12&lt;&gt;0,1-'FS Year'!N115,0)</f>
        <v>0.25526727353628986</v>
      </c>
      <c r="G18" s="243">
        <v>0.22</v>
      </c>
      <c r="H18" s="252">
        <f t="shared" ref="H18:L19" si="4">G18</f>
        <v>0.22</v>
      </c>
      <c r="I18" s="252">
        <f t="shared" si="4"/>
        <v>0.22</v>
      </c>
      <c r="J18" s="252">
        <f t="shared" si="4"/>
        <v>0.22</v>
      </c>
      <c r="K18" s="252">
        <f t="shared" si="4"/>
        <v>0.22</v>
      </c>
      <c r="L18" s="252">
        <f>K18</f>
        <v>0.22</v>
      </c>
      <c r="M18" s="252">
        <f t="shared" ref="M18:P19" si="5">L18</f>
        <v>0.22</v>
      </c>
      <c r="N18" s="252">
        <f>M18</f>
        <v>0.22</v>
      </c>
      <c r="O18" s="252">
        <f>N18</f>
        <v>0.22</v>
      </c>
      <c r="P18" s="252">
        <f>O18</f>
        <v>0.22</v>
      </c>
      <c r="Q18" s="17"/>
      <c r="R18" s="56" t="s">
        <v>47</v>
      </c>
    </row>
    <row r="19" spans="2:18" ht="12" customHeight="1">
      <c r="B19" s="5" t="s">
        <v>237</v>
      </c>
      <c r="C19" s="242">
        <f>IFERROR(-'FS Year'!K23/'FS Year'!K20,0)</f>
        <v>5.2413170107675128E-2</v>
      </c>
      <c r="D19" s="242">
        <f>IFERROR(-'FS Year'!L23/'FS Year'!L20,0)</f>
        <v>0.1528822400444699</v>
      </c>
      <c r="E19" s="242">
        <f>IFERROR(-'FS Year'!M23/'FS Year'!M20,0)</f>
        <v>1.5609122594564087E-2</v>
      </c>
      <c r="F19" s="242">
        <f>IFERROR(-'FS Year'!N23/'FS Year'!N20,0)</f>
        <v>5.7815047953296644E-2</v>
      </c>
      <c r="G19" s="243">
        <f>'P&amp;L'!G29/'P&amp;L'!G12</f>
        <v>-0.14980534317580441</v>
      </c>
      <c r="H19" s="252">
        <v>-0.1</v>
      </c>
      <c r="I19" s="252">
        <f t="shared" si="4"/>
        <v>-0.1</v>
      </c>
      <c r="J19" s="252">
        <f t="shared" si="4"/>
        <v>-0.1</v>
      </c>
      <c r="K19" s="252">
        <f t="shared" si="4"/>
        <v>-0.1</v>
      </c>
      <c r="L19" s="252">
        <f t="shared" si="4"/>
        <v>-0.1</v>
      </c>
      <c r="M19" s="252">
        <f t="shared" si="5"/>
        <v>-0.1</v>
      </c>
      <c r="N19" s="252">
        <f t="shared" si="5"/>
        <v>-0.1</v>
      </c>
      <c r="O19" s="252">
        <f t="shared" si="5"/>
        <v>-0.1</v>
      </c>
      <c r="P19" s="252">
        <f t="shared" si="5"/>
        <v>-0.1</v>
      </c>
      <c r="Q19" s="17"/>
      <c r="R19" s="56" t="s">
        <v>47</v>
      </c>
    </row>
    <row r="20" spans="2:18" ht="12" customHeight="1">
      <c r="B20" s="6" t="s">
        <v>20</v>
      </c>
      <c r="C20" s="48"/>
      <c r="D20" s="48"/>
      <c r="E20" s="48"/>
      <c r="F20" s="48"/>
      <c r="R20" s="56" t="s">
        <v>47</v>
      </c>
    </row>
    <row r="21" spans="2:18" ht="12" customHeight="1">
      <c r="B21" s="5" t="s">
        <v>321</v>
      </c>
      <c r="C21" s="245">
        <f>'FS Year'!K121</f>
        <v>371.19916208211123</v>
      </c>
      <c r="D21" s="245">
        <f>'FS Year'!L121</f>
        <v>758.01036827261157</v>
      </c>
      <c r="E21" s="245">
        <f>'FS Year'!M121</f>
        <v>184.82912780819672</v>
      </c>
      <c r="F21" s="245">
        <f>'FS Year'!N121</f>
        <v>750.50395818643119</v>
      </c>
      <c r="G21" s="266">
        <f>F21</f>
        <v>750.50395818643119</v>
      </c>
      <c r="H21" s="249">
        <f>G21</f>
        <v>750.50395818643119</v>
      </c>
      <c r="I21" s="249">
        <f>H21</f>
        <v>750.50395818643119</v>
      </c>
      <c r="J21" s="249">
        <f t="shared" ref="J21:P21" si="6">H21</f>
        <v>750.50395818643119</v>
      </c>
      <c r="K21" s="249">
        <f t="shared" si="6"/>
        <v>750.50395818643119</v>
      </c>
      <c r="L21" s="249">
        <f t="shared" si="6"/>
        <v>750.50395818643119</v>
      </c>
      <c r="M21" s="249">
        <f t="shared" si="6"/>
        <v>750.50395818643119</v>
      </c>
      <c r="N21" s="249">
        <f t="shared" si="6"/>
        <v>750.50395818643119</v>
      </c>
      <c r="O21" s="249">
        <f t="shared" si="6"/>
        <v>750.50395818643119</v>
      </c>
      <c r="P21" s="249">
        <f t="shared" si="6"/>
        <v>750.50395818643119</v>
      </c>
      <c r="Q21" s="63"/>
      <c r="R21" s="56" t="s">
        <v>47</v>
      </c>
    </row>
    <row r="22" spans="2:18" ht="12" customHeight="1">
      <c r="B22" s="5" t="s">
        <v>351</v>
      </c>
      <c r="C22" s="245">
        <f>'FS Year'!K122</f>
        <v>26.152575007051095</v>
      </c>
      <c r="D22" s="245">
        <f>'FS Year'!L122</f>
        <v>120.91938808123142</v>
      </c>
      <c r="E22" s="245">
        <f>'FS Year'!M122</f>
        <v>119.22942615195862</v>
      </c>
      <c r="F22" s="245">
        <f>'FS Year'!N122</f>
        <v>136.93393433505909</v>
      </c>
      <c r="G22" s="266">
        <v>136.9</v>
      </c>
      <c r="H22" s="249">
        <f t="shared" ref="H22:P24" si="7">G22</f>
        <v>136.9</v>
      </c>
      <c r="I22" s="249">
        <f t="shared" si="7"/>
        <v>136.9</v>
      </c>
      <c r="J22" s="249">
        <f t="shared" si="7"/>
        <v>136.9</v>
      </c>
      <c r="K22" s="249">
        <f t="shared" si="7"/>
        <v>136.9</v>
      </c>
      <c r="L22" s="249">
        <f t="shared" si="7"/>
        <v>136.9</v>
      </c>
      <c r="M22" s="249">
        <f t="shared" si="7"/>
        <v>136.9</v>
      </c>
      <c r="N22" s="249">
        <f t="shared" si="7"/>
        <v>136.9</v>
      </c>
      <c r="O22" s="249">
        <f t="shared" si="7"/>
        <v>136.9</v>
      </c>
      <c r="P22" s="249">
        <f t="shared" si="7"/>
        <v>136.9</v>
      </c>
      <c r="Q22" s="63"/>
      <c r="R22" s="56" t="s">
        <v>47</v>
      </c>
    </row>
    <row r="23" spans="2:18" ht="12" customHeight="1">
      <c r="B23" s="5" t="s">
        <v>352</v>
      </c>
      <c r="C23" s="245">
        <f>'FS Year'!K123</f>
        <v>2.06256338148241</v>
      </c>
      <c r="D23" s="245">
        <f>'FS Year'!L123</f>
        <v>13.009597142979489</v>
      </c>
      <c r="E23" s="245">
        <f>'FS Year'!M123</f>
        <v>34.706815855745738</v>
      </c>
      <c r="F23" s="245">
        <f>'FS Year'!N123</f>
        <v>76.207499250286546</v>
      </c>
      <c r="G23" s="266">
        <f>'FS Year'!O123</f>
        <v>68.159339286436506</v>
      </c>
      <c r="H23" s="249">
        <f t="shared" si="7"/>
        <v>68.159339286436506</v>
      </c>
      <c r="I23" s="249">
        <f t="shared" si="7"/>
        <v>68.159339286436506</v>
      </c>
      <c r="J23" s="249">
        <f t="shared" si="7"/>
        <v>68.159339286436506</v>
      </c>
      <c r="K23" s="249">
        <f t="shared" si="7"/>
        <v>68.159339286436506</v>
      </c>
      <c r="L23" s="249">
        <f t="shared" si="7"/>
        <v>68.159339286436506</v>
      </c>
      <c r="M23" s="249">
        <f t="shared" si="7"/>
        <v>68.159339286436506</v>
      </c>
      <c r="N23" s="249">
        <f t="shared" si="7"/>
        <v>68.159339286436506</v>
      </c>
      <c r="O23" s="249">
        <f t="shared" si="7"/>
        <v>68.159339286436506</v>
      </c>
      <c r="P23" s="249">
        <f t="shared" si="7"/>
        <v>68.159339286436506</v>
      </c>
      <c r="Q23" s="63"/>
      <c r="R23" s="56" t="s">
        <v>47</v>
      </c>
    </row>
    <row r="24" spans="2:18" ht="12" customHeight="1">
      <c r="B24" s="5" t="s">
        <v>1121</v>
      </c>
      <c r="C24" s="242">
        <f>IFERROR('FS Year'!K50/'FS Year'!K36,0)</f>
        <v>0.80091814410295059</v>
      </c>
      <c r="D24" s="242">
        <f>IFERROR('FS Year'!L50/'FS Year'!L36,0)</f>
        <v>3.5742213612809279</v>
      </c>
      <c r="E24" s="242">
        <f>IFERROR('FS Year'!M50/'FS Year'!M36,0)</f>
        <v>1.5227126215674429</v>
      </c>
      <c r="F24" s="242">
        <f>IFERROR('FS Year'!N50/'FS Year'!N36,0)</f>
        <v>1.1782309444872243</v>
      </c>
      <c r="G24" s="243">
        <f>F24</f>
        <v>1.1782309444872243</v>
      </c>
      <c r="H24" s="252">
        <f t="shared" si="7"/>
        <v>1.1782309444872243</v>
      </c>
      <c r="I24" s="252">
        <f t="shared" si="7"/>
        <v>1.1782309444872243</v>
      </c>
      <c r="J24" s="252">
        <f t="shared" si="7"/>
        <v>1.1782309444872243</v>
      </c>
      <c r="K24" s="252">
        <f>J24</f>
        <v>1.1782309444872243</v>
      </c>
      <c r="L24" s="252">
        <f t="shared" si="7"/>
        <v>1.1782309444872243</v>
      </c>
      <c r="M24" s="252">
        <f t="shared" si="7"/>
        <v>1.1782309444872243</v>
      </c>
      <c r="N24" s="252">
        <f t="shared" si="7"/>
        <v>1.1782309444872243</v>
      </c>
      <c r="O24" s="252">
        <f t="shared" si="7"/>
        <v>1.1782309444872243</v>
      </c>
      <c r="P24" s="252">
        <f t="shared" si="7"/>
        <v>1.1782309444872243</v>
      </c>
      <c r="Q24" s="17"/>
      <c r="R24" s="56" t="s">
        <v>47</v>
      </c>
    </row>
    <row r="25" spans="2:18" ht="12" customHeight="1">
      <c r="B25" s="5" t="s">
        <v>449</v>
      </c>
      <c r="C25" s="242">
        <f>'FS Year'!K134</f>
        <v>0.26131610086487372</v>
      </c>
      <c r="D25" s="242">
        <f>'FS Year'!L134</f>
        <v>0.12282175399264263</v>
      </c>
      <c r="E25" s="242">
        <f>'FS Year'!M134</f>
        <v>5.5116516674507266E-4</v>
      </c>
      <c r="F25" s="242">
        <f>'FS Year'!N134</f>
        <v>0</v>
      </c>
      <c r="G25" s="243">
        <f>F25</f>
        <v>0</v>
      </c>
      <c r="H25" s="252">
        <f>G25</f>
        <v>0</v>
      </c>
      <c r="I25" s="252">
        <f>H25</f>
        <v>0</v>
      </c>
      <c r="J25" s="252">
        <f>I25</f>
        <v>0</v>
      </c>
      <c r="K25" s="252">
        <f>J25</f>
        <v>0</v>
      </c>
      <c r="L25" s="252">
        <f>K25</f>
        <v>0</v>
      </c>
      <c r="M25" s="252">
        <f>L25</f>
        <v>0</v>
      </c>
      <c r="N25" s="252">
        <f>M25</f>
        <v>0</v>
      </c>
      <c r="O25" s="252">
        <f>N25</f>
        <v>0</v>
      </c>
      <c r="P25" s="252">
        <f>O25</f>
        <v>0</v>
      </c>
      <c r="Q25" s="17"/>
      <c r="R25" s="56"/>
    </row>
    <row r="26" spans="2:18" ht="12" customHeight="1">
      <c r="B26" s="6" t="s">
        <v>21</v>
      </c>
      <c r="C26" s="252"/>
      <c r="D26" s="252"/>
      <c r="E26" s="252"/>
      <c r="F26" s="252"/>
      <c r="G26" s="252"/>
      <c r="H26" s="252"/>
      <c r="I26" s="252"/>
      <c r="J26" s="252"/>
      <c r="K26" s="252"/>
      <c r="L26" s="252"/>
      <c r="M26" s="252"/>
      <c r="N26" s="252"/>
      <c r="O26" s="252"/>
      <c r="P26" s="252"/>
      <c r="R26" s="56" t="s">
        <v>47</v>
      </c>
    </row>
    <row r="27" spans="2:18" ht="12" customHeight="1">
      <c r="B27" s="5" t="s">
        <v>24</v>
      </c>
      <c r="C27" s="242">
        <f>IFERROR('FS Year'!K33/'FS Year'!K10,0)</f>
        <v>0.43169615239373832</v>
      </c>
      <c r="D27" s="242">
        <f>IFERROR('FS Year'!L33/'FS Year'!L10,0)</f>
        <v>0.37488459851552092</v>
      </c>
      <c r="E27" s="242">
        <f>IFERROR('FS Year'!M33/'FS Year'!M10,0)</f>
        <v>0.3371788054328686</v>
      </c>
      <c r="F27" s="242">
        <f>IFERROR('FS Year'!N33/'FS Year'!N10,0)</f>
        <v>0.21275007285251149</v>
      </c>
      <c r="G27" s="243">
        <v>0.1</v>
      </c>
      <c r="H27" s="252">
        <f t="shared" ref="H27:P29" si="8">G27</f>
        <v>0.1</v>
      </c>
      <c r="I27" s="252">
        <f t="shared" si="8"/>
        <v>0.1</v>
      </c>
      <c r="J27" s="252">
        <f t="shared" si="8"/>
        <v>0.1</v>
      </c>
      <c r="K27" s="252">
        <f t="shared" si="8"/>
        <v>0.1</v>
      </c>
      <c r="L27" s="252">
        <f t="shared" si="8"/>
        <v>0.1</v>
      </c>
      <c r="M27" s="252">
        <f t="shared" si="8"/>
        <v>0.1</v>
      </c>
      <c r="N27" s="252">
        <f t="shared" si="8"/>
        <v>0.1</v>
      </c>
      <c r="O27" s="252">
        <f t="shared" si="8"/>
        <v>0.1</v>
      </c>
      <c r="P27" s="252">
        <f t="shared" si="8"/>
        <v>0.1</v>
      </c>
      <c r="Q27" s="17"/>
      <c r="R27" s="56" t="s">
        <v>47</v>
      </c>
    </row>
    <row r="28" spans="2:18" ht="12" customHeight="1">
      <c r="B28" s="5" t="s">
        <v>22</v>
      </c>
      <c r="C28" s="242">
        <f>IFERROR(-'FS Year'!K73/'FS Year'!K10,0)</f>
        <v>1.6898192686255257E-2</v>
      </c>
      <c r="D28" s="242">
        <f>IFERROR(-'FS Year'!L73/'FS Year'!L10,0)</f>
        <v>1.8507419755299435E-2</v>
      </c>
      <c r="E28" s="242">
        <f>IFERROR(-'FS Year'!M73/'FS Year'!M10,0)</f>
        <v>6.8979484937087719E-3</v>
      </c>
      <c r="F28" s="242">
        <f>IFERROR(-'FS Year'!N73/'FS Year'!N10,0)</f>
        <v>7.2502160924969991E-3</v>
      </c>
      <c r="G28" s="268" t="e">
        <f>#REF!</f>
        <v>#REF!</v>
      </c>
      <c r="H28" s="252" t="e">
        <f>#REF!</f>
        <v>#REF!</v>
      </c>
      <c r="I28" s="252" t="e">
        <f>#REF!</f>
        <v>#REF!</v>
      </c>
      <c r="J28" s="252" t="e">
        <f>#REF!</f>
        <v>#REF!</v>
      </c>
      <c r="K28" s="252" t="e">
        <f>#REF!</f>
        <v>#REF!</v>
      </c>
      <c r="L28" s="252" t="e">
        <f>#REF!</f>
        <v>#REF!</v>
      </c>
      <c r="M28" s="252" t="e">
        <f>#REF!</f>
        <v>#REF!</v>
      </c>
      <c r="N28" s="252" t="e">
        <f>#REF!</f>
        <v>#REF!</v>
      </c>
      <c r="O28" s="252" t="e">
        <f>#REF!</f>
        <v>#REF!</v>
      </c>
      <c r="P28" s="252" t="e">
        <f>#REF!</f>
        <v>#REF!</v>
      </c>
      <c r="Q28" s="17"/>
      <c r="R28" s="56" t="s">
        <v>47</v>
      </c>
    </row>
    <row r="29" spans="2:18" ht="12" customHeight="1">
      <c r="B29" s="5" t="s">
        <v>23</v>
      </c>
      <c r="C29" s="242">
        <f>'FS Year'!K145</f>
        <v>0.59218099999999996</v>
      </c>
      <c r="D29" s="242">
        <f>'FS Year'!L145</f>
        <v>0</v>
      </c>
      <c r="E29" s="242">
        <f>'FS Year'!M145</f>
        <v>0</v>
      </c>
      <c r="F29" s="242">
        <f>'FS Year'!N145</f>
        <v>0</v>
      </c>
      <c r="G29" s="243">
        <f>F29</f>
        <v>0</v>
      </c>
      <c r="H29" s="252">
        <f>G29</f>
        <v>0</v>
      </c>
      <c r="I29" s="252">
        <f t="shared" si="8"/>
        <v>0</v>
      </c>
      <c r="J29" s="252">
        <f t="shared" si="8"/>
        <v>0</v>
      </c>
      <c r="K29" s="252">
        <f t="shared" si="8"/>
        <v>0</v>
      </c>
      <c r="L29" s="252">
        <f t="shared" si="8"/>
        <v>0</v>
      </c>
      <c r="M29" s="252">
        <f t="shared" si="8"/>
        <v>0</v>
      </c>
      <c r="N29" s="252">
        <f t="shared" si="8"/>
        <v>0</v>
      </c>
      <c r="O29" s="252">
        <f t="shared" si="8"/>
        <v>0</v>
      </c>
      <c r="P29" s="252">
        <f t="shared" si="8"/>
        <v>0</v>
      </c>
      <c r="Q29" s="17"/>
      <c r="R29" s="56" t="s">
        <v>47</v>
      </c>
    </row>
    <row r="30" spans="2:18" ht="12" customHeight="1">
      <c r="B30" s="6" t="s">
        <v>419</v>
      </c>
      <c r="C30" s="48"/>
      <c r="D30" s="48"/>
      <c r="E30" s="48"/>
      <c r="F30" s="48"/>
      <c r="G30" s="48"/>
      <c r="H30" s="48"/>
      <c r="I30" s="48"/>
      <c r="J30" s="48"/>
      <c r="K30" s="48"/>
      <c r="L30" s="48"/>
      <c r="M30" s="48"/>
      <c r="N30" s="48"/>
      <c r="O30" s="48"/>
      <c r="P30" s="48"/>
      <c r="Q30" s="17"/>
      <c r="R30" s="56"/>
    </row>
    <row r="31" spans="2:18" ht="12" customHeight="1">
      <c r="B31" s="5" t="s">
        <v>421</v>
      </c>
      <c r="C31" s="242"/>
      <c r="D31" s="242"/>
      <c r="E31" s="242"/>
      <c r="F31" s="242"/>
      <c r="G31" s="252">
        <v>0</v>
      </c>
      <c r="H31" s="252">
        <v>0</v>
      </c>
      <c r="I31" s="252">
        <v>0</v>
      </c>
      <c r="J31" s="252">
        <v>0</v>
      </c>
      <c r="K31" s="252">
        <v>0</v>
      </c>
      <c r="L31" s="252">
        <v>0</v>
      </c>
      <c r="M31" s="252">
        <v>0</v>
      </c>
      <c r="N31" s="252">
        <v>0</v>
      </c>
      <c r="O31" s="252">
        <v>0</v>
      </c>
      <c r="P31" s="252">
        <v>0</v>
      </c>
      <c r="Q31" s="17"/>
      <c r="R31" s="56"/>
    </row>
    <row r="32" spans="2:18" ht="12" customHeight="1">
      <c r="B32" s="5" t="s">
        <v>420</v>
      </c>
      <c r="C32" s="242">
        <f>IFERROR(-'FS Year'!K19/'FS Year'!K101,0)</f>
        <v>6.4614087002922947E-3</v>
      </c>
      <c r="D32" s="242">
        <f>IFERROR(-'FS Year'!L19/'FS Year'!L101,0)</f>
        <v>0.24607707960211525</v>
      </c>
      <c r="E32" s="242">
        <f>IFERROR(-'FS Year'!M19/'FS Year'!M101,0)</f>
        <v>0.10888544953493845</v>
      </c>
      <c r="F32" s="242">
        <f>IFERROR(-'FS Year'!N19/'FS Year'!N101,0)</f>
        <v>4.9176492526608719E-3</v>
      </c>
      <c r="G32" s="252">
        <v>0.1</v>
      </c>
      <c r="H32" s="252">
        <f>G32</f>
        <v>0.1</v>
      </c>
      <c r="I32" s="252">
        <f t="shared" ref="I32:P32" si="9">H32</f>
        <v>0.1</v>
      </c>
      <c r="J32" s="252">
        <f t="shared" si="9"/>
        <v>0.1</v>
      </c>
      <c r="K32" s="252">
        <f t="shared" si="9"/>
        <v>0.1</v>
      </c>
      <c r="L32" s="252">
        <f t="shared" si="9"/>
        <v>0.1</v>
      </c>
      <c r="M32" s="252">
        <f t="shared" si="9"/>
        <v>0.1</v>
      </c>
      <c r="N32" s="252">
        <f t="shared" si="9"/>
        <v>0.1</v>
      </c>
      <c r="O32" s="252">
        <f t="shared" si="9"/>
        <v>0.1</v>
      </c>
      <c r="P32" s="252">
        <f t="shared" si="9"/>
        <v>0.1</v>
      </c>
      <c r="Q32" s="17"/>
      <c r="R32" s="56" t="s">
        <v>47</v>
      </c>
    </row>
    <row r="33" spans="2:18" ht="12" customHeight="1">
      <c r="C33" s="48"/>
      <c r="D33" s="48"/>
      <c r="E33" s="48"/>
      <c r="F33" s="48"/>
      <c r="G33" s="48"/>
      <c r="H33" s="48"/>
      <c r="I33" s="48"/>
      <c r="J33" s="48"/>
      <c r="K33" s="48"/>
      <c r="L33" s="48"/>
      <c r="M33" s="48"/>
      <c r="N33" s="48"/>
      <c r="O33" s="48"/>
      <c r="P33" s="48"/>
      <c r="Q33" s="17"/>
      <c r="R33" s="56" t="s">
        <v>47</v>
      </c>
    </row>
    <row r="34" spans="2:18" ht="12" customHeight="1" thickBot="1">
      <c r="B34" s="70" t="s">
        <v>470</v>
      </c>
      <c r="C34" s="5"/>
      <c r="D34" s="5"/>
      <c r="E34" s="5"/>
      <c r="F34" s="5"/>
      <c r="G34" s="5"/>
      <c r="H34" s="5"/>
      <c r="I34" s="5"/>
      <c r="J34" s="5"/>
      <c r="K34" s="5"/>
      <c r="L34" s="5"/>
      <c r="M34" s="5"/>
      <c r="N34" s="5"/>
      <c r="O34" s="5"/>
      <c r="P34" s="5"/>
      <c r="Q34" s="17"/>
      <c r="R34" s="56"/>
    </row>
    <row r="35" spans="2:18" ht="12" customHeight="1">
      <c r="B35" s="71" t="s">
        <v>231</v>
      </c>
      <c r="C35" s="72"/>
      <c r="D35" s="73"/>
      <c r="E35" s="73"/>
      <c r="F35" s="73"/>
      <c r="G35" s="262" t="e">
        <f>SUM(G36:G38)*'P&amp;L'!#REF!</f>
        <v>#REF!</v>
      </c>
      <c r="H35" s="257" t="e">
        <f ca="1">SUM(H36:H38)*'P&amp;L'!H7</f>
        <v>#REF!</v>
      </c>
      <c r="I35" s="257" t="e">
        <f ca="1">SUM(I36:I38)*'P&amp;L'!I7</f>
        <v>#REF!</v>
      </c>
      <c r="J35" s="257" t="e">
        <f ca="1">SUM(J36:J38)*'P&amp;L'!J7</f>
        <v>#REF!</v>
      </c>
      <c r="K35" s="257" t="e">
        <f ca="1">SUM(K36:K38)*'P&amp;L'!K7</f>
        <v>#REF!</v>
      </c>
      <c r="L35" s="257" t="e">
        <f ca="1">SUM(L36:L38)*'P&amp;L'!L7</f>
        <v>#REF!</v>
      </c>
      <c r="M35" s="257" t="e">
        <f>SUM(M36:M38)*'P&amp;L'!M7</f>
        <v>#REF!</v>
      </c>
      <c r="N35" s="257" t="e">
        <f ca="1">SUM(N36:N38)*'P&amp;L'!N7</f>
        <v>#REF!</v>
      </c>
      <c r="O35" s="257" t="e">
        <f ca="1">SUM(O36:O38)*'P&amp;L'!O7</f>
        <v>#REF!</v>
      </c>
      <c r="P35" s="258" t="e">
        <f ca="1">SUM(P36:P38)*'P&amp;L'!P7</f>
        <v>#REF!</v>
      </c>
      <c r="Q35" s="17"/>
      <c r="R35" s="56"/>
    </row>
    <row r="36" spans="2:18" ht="12" customHeight="1">
      <c r="B36" s="74" t="s">
        <v>431</v>
      </c>
      <c r="C36" s="75"/>
      <c r="D36" s="62"/>
      <c r="E36" s="62"/>
      <c r="F36" s="62"/>
      <c r="G36" s="263" t="e">
        <f>#REF!*Assumption!G31</f>
        <v>#REF!</v>
      </c>
      <c r="H36" s="249" t="e">
        <f>#REF!*Assumption!H31</f>
        <v>#REF!</v>
      </c>
      <c r="I36" s="249" t="e">
        <f>#REF!*Assumption!I31</f>
        <v>#REF!</v>
      </c>
      <c r="J36" s="249" t="e">
        <f>#REF!*Assumption!J31</f>
        <v>#REF!</v>
      </c>
      <c r="K36" s="249" t="e">
        <f>#REF!*Assumption!K31</f>
        <v>#REF!</v>
      </c>
      <c r="L36" s="249" t="e">
        <f>#REF!*Assumption!L31</f>
        <v>#REF!</v>
      </c>
      <c r="M36" s="249" t="e">
        <f>#REF!*Assumption!M31</f>
        <v>#REF!</v>
      </c>
      <c r="N36" s="249" t="e">
        <f>#REF!*Assumption!N31</f>
        <v>#REF!</v>
      </c>
      <c r="O36" s="249" t="e">
        <f>#REF!*Assumption!O31</f>
        <v>#REF!</v>
      </c>
      <c r="P36" s="259" t="e">
        <f>#REF!*Assumption!P31</f>
        <v>#REF!</v>
      </c>
      <c r="Q36" s="17"/>
      <c r="R36" s="56"/>
    </row>
    <row r="37" spans="2:18" ht="12" customHeight="1">
      <c r="B37" s="76" t="s">
        <v>469</v>
      </c>
      <c r="C37" s="75"/>
      <c r="D37" s="62"/>
      <c r="E37" s="62"/>
      <c r="F37" s="62"/>
      <c r="G37" s="263"/>
      <c r="H37" s="249"/>
      <c r="I37" s="249"/>
      <c r="J37" s="249"/>
      <c r="K37" s="249"/>
      <c r="L37" s="249"/>
      <c r="M37" s="249"/>
      <c r="N37" s="249"/>
      <c r="O37" s="249"/>
      <c r="P37" s="259"/>
      <c r="Q37" s="17"/>
      <c r="R37" s="56"/>
    </row>
    <row r="38" spans="2:18" ht="12" customHeight="1" thickBot="1">
      <c r="B38" s="77" t="s">
        <v>273</v>
      </c>
      <c r="C38" s="75"/>
      <c r="D38" s="62"/>
      <c r="E38" s="62"/>
      <c r="F38" s="62"/>
      <c r="G38" s="264"/>
      <c r="H38" s="261"/>
      <c r="I38" s="261"/>
      <c r="J38" s="261"/>
      <c r="K38" s="261"/>
      <c r="L38" s="261"/>
      <c r="M38" s="261"/>
      <c r="N38" s="261"/>
      <c r="O38" s="261"/>
      <c r="P38" s="265"/>
      <c r="Q38" s="17"/>
      <c r="R38" s="56"/>
    </row>
    <row r="39" spans="2:18" ht="12" customHeight="1">
      <c r="C39" s="48"/>
      <c r="D39" s="48"/>
      <c r="E39" s="48"/>
      <c r="F39" s="48"/>
      <c r="G39" s="48"/>
      <c r="H39" s="48"/>
      <c r="I39" s="48"/>
      <c r="J39" s="48"/>
      <c r="K39" s="48"/>
      <c r="L39" s="48"/>
      <c r="M39" s="48"/>
      <c r="N39" s="48"/>
      <c r="O39" s="48"/>
      <c r="P39" s="48"/>
      <c r="Q39" s="17"/>
      <c r="R39" s="56"/>
    </row>
    <row r="40" spans="2:18" ht="12" customHeight="1">
      <c r="B40" s="136"/>
      <c r="C40" s="137" t="s">
        <v>457</v>
      </c>
      <c r="R40" s="56"/>
    </row>
    <row r="41" spans="2:18" ht="12" customHeight="1" thickBot="1">
      <c r="B41" s="13"/>
      <c r="E41" s="7"/>
      <c r="R41" s="56"/>
    </row>
    <row r="42" spans="2:18" ht="12" customHeight="1">
      <c r="B42" s="6"/>
      <c r="C42" s="130"/>
      <c r="D42" s="64"/>
      <c r="E42" s="64"/>
      <c r="F42" s="64"/>
      <c r="G42" s="64"/>
      <c r="H42" s="64"/>
      <c r="I42" s="64"/>
      <c r="J42" s="64"/>
      <c r="K42" s="64"/>
      <c r="L42" s="64"/>
      <c r="M42" s="64"/>
      <c r="N42" s="64"/>
      <c r="O42" s="64"/>
      <c r="P42" s="110"/>
      <c r="R42" s="56"/>
    </row>
    <row r="43" spans="2:18" ht="12" customHeight="1">
      <c r="B43" s="1"/>
      <c r="C43" s="131"/>
      <c r="P43" s="111"/>
      <c r="R43" s="56"/>
    </row>
    <row r="44" spans="2:18" ht="12" customHeight="1">
      <c r="B44" s="17"/>
      <c r="C44" s="131"/>
      <c r="P44" s="111"/>
      <c r="R44" s="56"/>
    </row>
    <row r="45" spans="2:18" ht="12" customHeight="1">
      <c r="B45" s="17"/>
      <c r="C45" s="131"/>
      <c r="P45" s="111"/>
      <c r="R45" s="56"/>
    </row>
    <row r="46" spans="2:18" ht="12" customHeight="1">
      <c r="B46" s="17"/>
      <c r="C46" s="131"/>
      <c r="P46" s="111"/>
      <c r="R46" s="56"/>
    </row>
    <row r="47" spans="2:18" ht="12" customHeight="1">
      <c r="B47" s="17"/>
      <c r="C47" s="131"/>
      <c r="P47" s="111"/>
    </row>
    <row r="48" spans="2:18" ht="12" customHeight="1">
      <c r="B48" s="17"/>
      <c r="C48" s="131"/>
      <c r="P48" s="111"/>
      <c r="R48" s="56"/>
    </row>
    <row r="49" spans="2:18" ht="12" customHeight="1">
      <c r="B49" s="17"/>
      <c r="C49" s="131"/>
      <c r="P49" s="111"/>
      <c r="R49" s="56"/>
    </row>
    <row r="50" spans="2:18" ht="12" customHeight="1">
      <c r="B50" s="17"/>
      <c r="C50" s="131"/>
      <c r="P50" s="111"/>
      <c r="R50" s="56"/>
    </row>
    <row r="51" spans="2:18" ht="12" customHeight="1">
      <c r="B51" s="17"/>
      <c r="C51" s="131"/>
      <c r="P51" s="111"/>
      <c r="R51" s="56"/>
    </row>
    <row r="52" spans="2:18" ht="12" customHeight="1">
      <c r="B52" s="17"/>
      <c r="C52" s="131"/>
      <c r="P52" s="111"/>
      <c r="R52" s="56"/>
    </row>
    <row r="53" spans="2:18" ht="12" customHeight="1">
      <c r="B53" s="17"/>
      <c r="C53" s="131"/>
      <c r="P53" s="111"/>
      <c r="R53" s="56"/>
    </row>
    <row r="54" spans="2:18" ht="12" customHeight="1" thickBot="1">
      <c r="B54" s="17"/>
      <c r="C54" s="132"/>
      <c r="D54" s="92"/>
      <c r="E54" s="92"/>
      <c r="F54" s="92"/>
      <c r="G54" s="92"/>
      <c r="H54" s="92"/>
      <c r="I54" s="92"/>
      <c r="J54" s="92"/>
      <c r="K54" s="92"/>
      <c r="L54" s="92"/>
      <c r="M54" s="92"/>
      <c r="N54" s="92"/>
      <c r="O54" s="92"/>
      <c r="P54" s="93"/>
    </row>
    <row r="55" spans="2:18" ht="12" customHeight="1">
      <c r="B55" s="17"/>
      <c r="C55" s="87"/>
    </row>
    <row r="56" spans="2:18" ht="12" customHeight="1">
      <c r="B56" s="17"/>
      <c r="C56" s="87"/>
    </row>
    <row r="57" spans="2:18" ht="12" customHeight="1">
      <c r="B57" s="17"/>
      <c r="C57" s="87"/>
      <c r="F57" s="29"/>
    </row>
    <row r="58" spans="2:18" ht="12" customHeight="1">
      <c r="B58" s="17"/>
      <c r="C58" s="87"/>
      <c r="F58" s="133"/>
    </row>
    <row r="59" spans="2:18" ht="12" customHeight="1">
      <c r="B59" s="17"/>
      <c r="C59" s="87"/>
      <c r="F59" s="29"/>
    </row>
    <row r="60" spans="2:18" ht="12" customHeight="1">
      <c r="B60" s="17"/>
      <c r="C60" s="87"/>
      <c r="F60" s="134"/>
    </row>
    <row r="61" spans="2:18" ht="12" customHeight="1">
      <c r="B61" s="17"/>
      <c r="C61" s="87"/>
      <c r="F61" s="87"/>
    </row>
    <row r="62" spans="2:18" ht="12" customHeight="1">
      <c r="B62" s="17"/>
      <c r="C62" s="87"/>
      <c r="F62" s="135"/>
    </row>
    <row r="63" spans="2:18" ht="12" customHeight="1">
      <c r="B63" s="17"/>
      <c r="C63" s="87"/>
      <c r="F63" s="87"/>
    </row>
    <row r="64" spans="2:18" ht="12" customHeight="1">
      <c r="B64" s="17"/>
      <c r="C64" s="87"/>
    </row>
    <row r="65" spans="2:3" ht="12" customHeight="1">
      <c r="B65" s="17"/>
      <c r="C65" s="87"/>
    </row>
    <row r="66" spans="2:3" ht="12" customHeight="1">
      <c r="B66" s="17"/>
      <c r="C66" s="87"/>
    </row>
    <row r="67" spans="2:3" ht="12" customHeight="1">
      <c r="B67" s="17"/>
      <c r="C67" s="87"/>
    </row>
    <row r="68" spans="2:3" ht="12" customHeight="1">
      <c r="B68" s="17"/>
      <c r="C68" s="87"/>
    </row>
    <row r="69" spans="2:3" ht="12" customHeight="1">
      <c r="B69" s="17"/>
      <c r="C69" s="87"/>
    </row>
    <row r="70" spans="2:3" ht="12" customHeight="1">
      <c r="B70" s="17"/>
      <c r="C70" s="87"/>
    </row>
    <row r="71" spans="2:3" ht="12" customHeight="1">
      <c r="B71" s="17"/>
      <c r="C71" s="87"/>
    </row>
    <row r="72" spans="2:3" ht="12" customHeight="1">
      <c r="B72" s="17"/>
      <c r="C72" s="87"/>
    </row>
    <row r="73" spans="2:3" ht="12" customHeight="1">
      <c r="B73" s="17"/>
      <c r="C73" s="87"/>
    </row>
    <row r="74" spans="2:3" ht="12" customHeight="1">
      <c r="B74" s="17"/>
      <c r="C74" s="87"/>
    </row>
    <row r="75" spans="2:3" ht="12" customHeight="1">
      <c r="B75" s="17"/>
      <c r="C75" s="87"/>
    </row>
    <row r="76" spans="2:3" ht="12" customHeight="1">
      <c r="B76" s="17"/>
      <c r="C76" s="87"/>
    </row>
    <row r="77" spans="2:3" ht="12" customHeight="1">
      <c r="B77" s="17"/>
      <c r="C77" s="87"/>
    </row>
    <row r="78" spans="2:3" ht="12" customHeight="1">
      <c r="B78" s="17"/>
      <c r="C78" s="87"/>
    </row>
    <row r="79" spans="2:3" ht="12" customHeight="1">
      <c r="B79" s="17"/>
      <c r="C79" s="87"/>
    </row>
    <row r="80" spans="2:3" ht="12" customHeight="1">
      <c r="B80" s="17"/>
      <c r="C80" s="87"/>
    </row>
    <row r="81" spans="2:3" ht="12" customHeight="1">
      <c r="B81" s="17"/>
      <c r="C81" s="87"/>
    </row>
    <row r="82" spans="2:3" ht="12" customHeight="1">
      <c r="B82" s="17"/>
      <c r="C82" s="87"/>
    </row>
    <row r="83" spans="2:3" ht="12" customHeight="1">
      <c r="B83" s="17"/>
      <c r="C83" s="87"/>
    </row>
    <row r="84" spans="2:3" ht="12" customHeight="1">
      <c r="B84" s="17"/>
      <c r="C84" s="87"/>
    </row>
    <row r="85" spans="2:3" ht="12" customHeight="1">
      <c r="B85" s="17"/>
      <c r="C85" s="87"/>
    </row>
    <row r="86" spans="2:3" ht="12" customHeight="1">
      <c r="B86" s="17"/>
      <c r="C86" s="87"/>
    </row>
    <row r="87" spans="2:3" ht="12" customHeight="1">
      <c r="B87" s="17"/>
      <c r="C87" s="87"/>
    </row>
    <row r="88" spans="2:3" ht="12" customHeight="1">
      <c r="B88" s="17"/>
      <c r="C88" s="87"/>
    </row>
    <row r="89" spans="2:3" ht="12" customHeight="1">
      <c r="B89" s="17"/>
      <c r="C89" s="87"/>
    </row>
    <row r="90" spans="2:3" ht="12" customHeight="1">
      <c r="B90" s="17"/>
      <c r="C90" s="87"/>
    </row>
    <row r="91" spans="2:3" ht="12" customHeight="1">
      <c r="B91" s="17"/>
      <c r="C91" s="87"/>
    </row>
    <row r="92" spans="2:3" ht="12" customHeight="1">
      <c r="B92" s="17"/>
      <c r="C92" s="87"/>
    </row>
    <row r="93" spans="2:3" ht="12" customHeight="1">
      <c r="B93" s="17"/>
      <c r="C93" s="87"/>
    </row>
    <row r="94" spans="2:3" ht="12" customHeight="1">
      <c r="B94" s="17"/>
      <c r="C94" s="87"/>
    </row>
    <row r="95" spans="2:3" ht="12" customHeight="1">
      <c r="B95" s="17"/>
      <c r="C95" s="87"/>
    </row>
    <row r="96" spans="2:3" ht="12" customHeight="1">
      <c r="B96" s="17"/>
      <c r="C96" s="87"/>
    </row>
    <row r="97" spans="2:3" ht="12" customHeight="1">
      <c r="B97" s="17"/>
      <c r="C97" s="87"/>
    </row>
    <row r="98" spans="2:3" ht="12" customHeight="1">
      <c r="B98" s="17"/>
      <c r="C98" s="87"/>
    </row>
    <row r="99" spans="2:3" ht="12" customHeight="1">
      <c r="B99" s="17"/>
      <c r="C99" s="87"/>
    </row>
    <row r="100" spans="2:3" ht="12" customHeight="1">
      <c r="B100" s="17"/>
      <c r="C100" s="87"/>
    </row>
    <row r="101" spans="2:3" ht="12" customHeight="1">
      <c r="B101" s="17"/>
      <c r="C101" s="87"/>
    </row>
    <row r="102" spans="2:3" ht="12" customHeight="1">
      <c r="B102" s="17"/>
      <c r="C102" s="87"/>
    </row>
    <row r="103" spans="2:3" ht="12" customHeight="1">
      <c r="B103" s="17"/>
      <c r="C103" s="87"/>
    </row>
    <row r="104" spans="2:3" ht="12" customHeight="1">
      <c r="B104" s="17"/>
      <c r="C104" s="87"/>
    </row>
    <row r="105" spans="2:3" ht="12" customHeight="1">
      <c r="B105" s="17"/>
      <c r="C105" s="87"/>
    </row>
    <row r="106" spans="2:3" ht="12" customHeight="1">
      <c r="B106" s="17"/>
      <c r="C106" s="87"/>
    </row>
    <row r="107" spans="2:3" ht="12" customHeight="1">
      <c r="B107" s="17"/>
      <c r="C107" s="87"/>
    </row>
    <row r="108" spans="2:3" ht="12" customHeight="1">
      <c r="B108" s="17"/>
      <c r="C108" s="87"/>
    </row>
    <row r="109" spans="2:3" ht="12" customHeight="1">
      <c r="B109" s="17"/>
      <c r="C109" s="87"/>
    </row>
    <row r="110" spans="2:3" ht="12" customHeight="1">
      <c r="B110" s="17"/>
      <c r="C110" s="87"/>
    </row>
    <row r="111" spans="2:3" ht="12" customHeight="1">
      <c r="B111" s="17"/>
      <c r="C111" s="87"/>
    </row>
    <row r="112" spans="2:3" ht="12" customHeight="1">
      <c r="B112" s="17"/>
      <c r="C112" s="87"/>
    </row>
    <row r="113" spans="2:3" ht="12" customHeight="1">
      <c r="B113" s="17"/>
      <c r="C113" s="87"/>
    </row>
    <row r="114" spans="2:3" ht="12" customHeight="1">
      <c r="B114" s="17"/>
      <c r="C114" s="87"/>
    </row>
  </sheetData>
  <sheetProtection selectLockedCells="1"/>
  <mergeCells count="1">
    <mergeCell ref="C8:F8"/>
  </mergeCells>
  <conditionalFormatting sqref="B7">
    <cfRule type="cellIs" dxfId="6" priority="1" operator="equal">
      <formula>0</formula>
    </cfRule>
  </conditionalFormatting>
  <dataValidations count="1">
    <dataValidation allowBlank="1" showInputMessage="1" showErrorMessage="1" sqref="B7" xr:uid="{00000000-0002-0000-0A00-000000000000}"/>
  </dataValidations>
  <pageMargins left="0.7" right="0.7" top="0.75" bottom="0.75" header="0.3" footer="0.3"/>
  <pageSetup paperSize="9" scale="56" orientation="landscape" r:id="rId1"/>
  <headerFooter>
    <oddFooter>&amp;L&amp;BVCSC Confidential&amp;B&amp;C&amp;D&amp;RPage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4"/>
  <sheetViews>
    <sheetView zoomScale="145" zoomScaleNormal="145" workbookViewId="0">
      <selection activeCell="C5" sqref="C5"/>
    </sheetView>
  </sheetViews>
  <sheetFormatPr defaultRowHeight="12"/>
  <cols>
    <col min="1" max="1" width="15.5703125" customWidth="1"/>
    <col min="2" max="2" width="8.85546875" customWidth="1"/>
    <col min="3" max="6" width="8.42578125" customWidth="1"/>
  </cols>
  <sheetData>
    <row r="1" spans="1:6">
      <c r="B1" s="518" t="s">
        <v>1140</v>
      </c>
      <c r="C1" s="859" t="s">
        <v>1486</v>
      </c>
      <c r="D1" s="518">
        <v>2015</v>
      </c>
      <c r="E1" s="518">
        <v>2016</v>
      </c>
      <c r="F1" s="518">
        <v>2017</v>
      </c>
    </row>
    <row r="2" spans="1:6">
      <c r="A2" s="518" t="s">
        <v>654</v>
      </c>
      <c r="B2" s="518"/>
      <c r="C2" s="907">
        <f>'1H15'!C30</f>
        <v>323.60000000000002</v>
      </c>
      <c r="D2" s="907">
        <f>'Rev_NPAT (new)'!K62/10^3</f>
        <v>545.14062860543993</v>
      </c>
      <c r="E2" s="907">
        <f>'Rev_NPAT (new)'!L62/10^3</f>
        <v>626.91172289625592</v>
      </c>
      <c r="F2" s="907">
        <f>'Rev_NPAT (new)'!M62/10^3</f>
        <v>689.60289518588149</v>
      </c>
    </row>
    <row r="3" spans="1:6">
      <c r="C3" s="813"/>
      <c r="D3" s="907"/>
      <c r="E3" s="907"/>
      <c r="F3" s="907"/>
    </row>
    <row r="4" spans="1:6">
      <c r="A4" s="518" t="s">
        <v>1483</v>
      </c>
      <c r="B4" s="518"/>
      <c r="C4" s="813"/>
      <c r="D4" s="813"/>
      <c r="E4" s="813"/>
      <c r="F4" s="813"/>
    </row>
    <row r="5" spans="1:6">
      <c r="A5" s="1266" t="s">
        <v>664</v>
      </c>
      <c r="B5" s="1267" t="s">
        <v>1031</v>
      </c>
      <c r="C5" s="813">
        <f>'1H15'!C32</f>
        <v>14.8</v>
      </c>
      <c r="D5" s="813" t="e">
        <f>'Rev_NPAT (new)'!K65/10^3</f>
        <v>#REF!</v>
      </c>
      <c r="E5" s="813" t="e">
        <f>'Rev_NPAT (new)'!L65/10^3</f>
        <v>#REF!</v>
      </c>
      <c r="F5" s="813" t="e">
        <f>'Rev_NPAT (new)'!M65/10^3</f>
        <v>#REF!</v>
      </c>
    </row>
    <row r="6" spans="1:6">
      <c r="A6" s="1266" t="s">
        <v>666</v>
      </c>
      <c r="B6" s="1267" t="s">
        <v>1501</v>
      </c>
      <c r="C6" s="813"/>
      <c r="D6" s="813" t="e">
        <f>'Rev_NPAT (new)'!K66/10^3</f>
        <v>#REF!</v>
      </c>
      <c r="E6" s="813" t="e">
        <f>'Rev_NPAT (new)'!L66/10^3</f>
        <v>#REF!</v>
      </c>
      <c r="F6" s="813" t="e">
        <f>'Rev_NPAT (new)'!M66/10^3</f>
        <v>#REF!</v>
      </c>
    </row>
    <row r="7" spans="1:6">
      <c r="A7" s="1266" t="s">
        <v>667</v>
      </c>
      <c r="B7" s="1267" t="s">
        <v>1501</v>
      </c>
      <c r="C7" s="813"/>
      <c r="D7" s="813" t="e">
        <f>'Rev_NPAT (new)'!K67/10^3</f>
        <v>#REF!</v>
      </c>
      <c r="E7" s="813" t="e">
        <f>'Rev_NPAT (new)'!L67/10^3</f>
        <v>#REF!</v>
      </c>
      <c r="F7" s="813" t="e">
        <f>'Rev_NPAT (new)'!M67/10^3</f>
        <v>#REF!</v>
      </c>
    </row>
    <row r="8" spans="1:6">
      <c r="A8" s="1266" t="s">
        <v>668</v>
      </c>
      <c r="B8" s="1267" t="s">
        <v>715</v>
      </c>
      <c r="C8" s="813"/>
      <c r="D8" s="813" t="e">
        <f>'Rev_NPAT (new)'!K68/10^3</f>
        <v>#REF!</v>
      </c>
      <c r="E8" s="813" t="e">
        <f>'Rev_NPAT (new)'!L68/10^3</f>
        <v>#REF!</v>
      </c>
      <c r="F8" s="813" t="e">
        <f>'Rev_NPAT (new)'!M68/10^3</f>
        <v>#REF!</v>
      </c>
    </row>
    <row r="9" spans="1:6">
      <c r="C9" s="907">
        <f>SUM(C5:C8)</f>
        <v>14.8</v>
      </c>
      <c r="D9" s="907" t="e">
        <f>SUM(D5:D8)</f>
        <v>#REF!</v>
      </c>
      <c r="E9" s="907" t="e">
        <f>SUM(E5:E8)</f>
        <v>#REF!</v>
      </c>
      <c r="F9" s="907" t="e">
        <f>SUM(F5:F8)</f>
        <v>#REF!</v>
      </c>
    </row>
    <row r="10" spans="1:6">
      <c r="C10" s="813"/>
      <c r="D10" s="813"/>
      <c r="E10" s="813"/>
      <c r="F10" s="813"/>
    </row>
    <row r="11" spans="1:6">
      <c r="A11" s="518" t="s">
        <v>662</v>
      </c>
      <c r="B11" s="518"/>
      <c r="C11" s="907">
        <f>'1H15'!C31</f>
        <v>45.4</v>
      </c>
      <c r="D11" s="907">
        <f>'Rev_NPAT (new)'!K63/10^3</f>
        <v>111.4325</v>
      </c>
      <c r="E11" s="907">
        <f>'Rev_NPAT (new)'!L63/10^3</f>
        <v>144.86224999999999</v>
      </c>
      <c r="F11" s="907">
        <f>'Rev_NPAT (new)'!M63/10^3</f>
        <v>188.32092500000002</v>
      </c>
    </row>
    <row r="12" spans="1:6" ht="12.75" thickBot="1">
      <c r="A12" s="1264"/>
      <c r="B12" s="1264"/>
      <c r="C12" s="1265">
        <f>C2+C9+C11</f>
        <v>383.8</v>
      </c>
      <c r="D12" s="1265" t="e">
        <f>D2+D9+D11</f>
        <v>#REF!</v>
      </c>
      <c r="E12" s="1265" t="e">
        <f>E2+E9+E11</f>
        <v>#REF!</v>
      </c>
      <c r="F12" s="1265" t="e">
        <f>F2+F9+F11</f>
        <v>#REF!</v>
      </c>
    </row>
    <row r="13" spans="1:6" ht="12.75" thickTop="1">
      <c r="C13" s="813"/>
      <c r="D13" s="813"/>
      <c r="E13" s="813"/>
      <c r="F13" s="813"/>
    </row>
    <row r="14" spans="1:6">
      <c r="A14" t="s">
        <v>75</v>
      </c>
      <c r="D14" s="835" t="e">
        <f>D12-SUM('Rev_NPAT (new)'!K62:K69)/1000</f>
        <v>#REF!</v>
      </c>
      <c r="E14" s="835" t="e">
        <f>E12-SUM('Rev_NPAT (new)'!L62:L69)/1000</f>
        <v>#REF!</v>
      </c>
      <c r="F14" s="835" t="e">
        <f>F12-SUM('Rev_NPAT (new)'!M62:M69)/1000</f>
        <v>#REF!</v>
      </c>
    </row>
  </sheetData>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8"/>
  <sheetViews>
    <sheetView showGridLines="0" zoomScale="115" zoomScaleNormal="115" workbookViewId="0">
      <selection activeCell="C6" sqref="C6"/>
    </sheetView>
  </sheetViews>
  <sheetFormatPr defaultColWidth="9.140625" defaultRowHeight="11.25"/>
  <cols>
    <col min="1" max="1" width="14.140625" style="1198" customWidth="1"/>
    <col min="2" max="6" width="8.7109375" style="1198" customWidth="1"/>
    <col min="7" max="10" width="9.140625" style="1198"/>
    <col min="11" max="11" width="11.140625" style="1198" bestFit="1" customWidth="1"/>
    <col min="12" max="15" width="9.85546875" style="1198" bestFit="1" customWidth="1"/>
    <col min="16" max="16384" width="9.140625" style="1198"/>
  </cols>
  <sheetData>
    <row r="1" spans="1:15" s="1240" customFormat="1">
      <c r="B1" s="1240" t="s">
        <v>1489</v>
      </c>
      <c r="C1" s="1240" t="s">
        <v>1486</v>
      </c>
      <c r="D1" s="1240" t="s">
        <v>1490</v>
      </c>
    </row>
    <row r="2" spans="1:15">
      <c r="A2" s="96" t="s">
        <v>26</v>
      </c>
      <c r="B2" s="1241">
        <v>210.3</v>
      </c>
      <c r="C2" s="1241">
        <v>383.9</v>
      </c>
      <c r="F2" s="1240"/>
    </row>
    <row r="3" spans="1:15">
      <c r="A3" s="96" t="s">
        <v>1125</v>
      </c>
      <c r="B3" s="1241">
        <v>-0.3</v>
      </c>
      <c r="C3" s="1241">
        <v>0</v>
      </c>
      <c r="F3" s="1240"/>
    </row>
    <row r="4" spans="1:15">
      <c r="A4" s="14" t="s">
        <v>1485</v>
      </c>
      <c r="B4" s="1241">
        <f>B2-B3</f>
        <v>210.60000000000002</v>
      </c>
      <c r="C4" s="1241">
        <f>C2-C3</f>
        <v>383.9</v>
      </c>
      <c r="D4" s="1244">
        <f>C4/B4-1</f>
        <v>0.82288698955365591</v>
      </c>
      <c r="F4" s="1240"/>
      <c r="I4" s="1241" t="s">
        <v>26</v>
      </c>
      <c r="J4" s="1241"/>
      <c r="K4" s="1242">
        <v>2015</v>
      </c>
      <c r="L4" s="1241" t="s">
        <v>1205</v>
      </c>
      <c r="M4" s="1241" t="s">
        <v>1206</v>
      </c>
      <c r="N4" s="1241" t="s">
        <v>1130</v>
      </c>
      <c r="O4" s="1241" t="s">
        <v>1174</v>
      </c>
    </row>
    <row r="5" spans="1:15">
      <c r="A5" s="96" t="s">
        <v>432</v>
      </c>
      <c r="B5" s="1241">
        <v>-77.3</v>
      </c>
      <c r="C5" s="1241">
        <v>-141.9</v>
      </c>
      <c r="F5" s="1240"/>
      <c r="I5" s="1241"/>
      <c r="J5" s="1241"/>
      <c r="K5" s="1242"/>
      <c r="L5" s="1241"/>
      <c r="M5" s="1241"/>
      <c r="N5" s="1241"/>
      <c r="O5" s="1241"/>
    </row>
    <row r="6" spans="1:15">
      <c r="A6" s="14" t="s">
        <v>28</v>
      </c>
      <c r="B6" s="1241">
        <f>SUM(B4:B5)</f>
        <v>133.30000000000001</v>
      </c>
      <c r="C6" s="1241">
        <f>SUM(C4:C5)</f>
        <v>241.99999999999997</v>
      </c>
      <c r="F6" s="1240"/>
      <c r="I6" s="1241"/>
      <c r="J6" s="1241" t="s">
        <v>26</v>
      </c>
      <c r="K6" s="1242">
        <v>1544141.98648696</v>
      </c>
      <c r="L6" s="1241">
        <v>171843</v>
      </c>
      <c r="M6" s="1241">
        <v>533138.66749565327</v>
      </c>
      <c r="N6" s="1241">
        <v>378207.33149036265</v>
      </c>
      <c r="O6" s="1241">
        <v>462338.32083427737</v>
      </c>
    </row>
    <row r="7" spans="1:15">
      <c r="A7" s="96" t="s">
        <v>1127</v>
      </c>
      <c r="B7" s="1241">
        <v>-19.3</v>
      </c>
      <c r="C7" s="1241">
        <v>-43.1</v>
      </c>
      <c r="I7" s="1241"/>
      <c r="J7" s="1241"/>
      <c r="K7" s="1242"/>
      <c r="L7" s="1241"/>
      <c r="M7" s="1241"/>
      <c r="N7" s="1241"/>
      <c r="O7" s="1241"/>
    </row>
    <row r="8" spans="1:15">
      <c r="A8" s="96" t="s">
        <v>1128</v>
      </c>
      <c r="B8" s="1241">
        <v>-34.1</v>
      </c>
      <c r="C8" s="1241">
        <v>-54.9</v>
      </c>
      <c r="I8" s="1241"/>
      <c r="J8" s="1241" t="s">
        <v>1211</v>
      </c>
      <c r="K8" s="1242">
        <v>1091568.90075</v>
      </c>
      <c r="L8" s="1241">
        <v>1500</v>
      </c>
      <c r="M8" s="1241">
        <v>382280.97224999999</v>
      </c>
      <c r="N8" s="1241">
        <v>327006.95624999999</v>
      </c>
      <c r="O8" s="1241">
        <v>382280.97225000005</v>
      </c>
    </row>
    <row r="9" spans="1:15">
      <c r="A9" s="14" t="s">
        <v>287</v>
      </c>
      <c r="B9" s="1241">
        <f>SUM(B6:B8)</f>
        <v>79.900000000000006</v>
      </c>
      <c r="C9" s="1241">
        <f>SUM(C6:C8)</f>
        <v>143.99999999999997</v>
      </c>
      <c r="I9" s="1241"/>
      <c r="J9" s="1241" t="s">
        <v>664</v>
      </c>
      <c r="K9" s="1242">
        <v>110548.03199999999</v>
      </c>
      <c r="L9" s="1241">
        <v>1500</v>
      </c>
      <c r="M9" s="1241">
        <v>55274.015999999996</v>
      </c>
      <c r="N9" s="1241"/>
      <c r="O9" s="1241">
        <v>55274.015999999996</v>
      </c>
    </row>
    <row r="10" spans="1:15">
      <c r="A10" s="96" t="s">
        <v>1129</v>
      </c>
      <c r="B10" s="1241">
        <v>6.2</v>
      </c>
      <c r="C10" s="1241">
        <v>18.5</v>
      </c>
      <c r="D10" s="1244">
        <f>C10/B10-1</f>
        <v>1.9838709677419355</v>
      </c>
      <c r="I10" s="1241"/>
      <c r="J10" s="1241" t="s">
        <v>666</v>
      </c>
      <c r="K10" s="1242">
        <v>981020.86875000002</v>
      </c>
      <c r="L10" s="1241">
        <v>0</v>
      </c>
      <c r="M10" s="1241">
        <v>327006.95624999999</v>
      </c>
      <c r="N10" s="1241">
        <v>327006.95624999999</v>
      </c>
      <c r="O10" s="1241">
        <v>327006.95625000005</v>
      </c>
    </row>
    <row r="11" spans="1:15">
      <c r="A11" s="96" t="s">
        <v>1018</v>
      </c>
      <c r="B11" s="1241">
        <v>-4.3999999999999997E-2</v>
      </c>
      <c r="C11" s="1241">
        <v>-3.6</v>
      </c>
      <c r="I11" s="1241"/>
      <c r="J11" s="1241" t="s">
        <v>668</v>
      </c>
      <c r="K11" s="1242">
        <v>0</v>
      </c>
      <c r="L11" s="1241"/>
      <c r="M11" s="1241"/>
      <c r="N11" s="1241"/>
      <c r="O11" s="1241">
        <v>0</v>
      </c>
    </row>
    <row r="12" spans="1:15">
      <c r="A12" s="96" t="s">
        <v>988</v>
      </c>
      <c r="B12" s="1241">
        <v>0.55000000000000004</v>
      </c>
      <c r="C12" s="1241">
        <v>55.9</v>
      </c>
      <c r="D12" s="1244">
        <f>C12/B12-1</f>
        <v>100.63636363636363</v>
      </c>
      <c r="I12" s="1241"/>
      <c r="J12" s="1241"/>
      <c r="K12" s="1242"/>
      <c r="L12" s="1241"/>
      <c r="M12" s="1241"/>
      <c r="N12" s="1241"/>
      <c r="O12" s="1241"/>
    </row>
    <row r="13" spans="1:15">
      <c r="A13" s="96" t="s">
        <v>989</v>
      </c>
      <c r="B13" s="1241">
        <v>-1</v>
      </c>
      <c r="C13" s="1241">
        <v>-3.1</v>
      </c>
      <c r="I13" s="1241"/>
      <c r="J13" s="1241" t="s">
        <v>662</v>
      </c>
      <c r="K13" s="1242">
        <v>89146</v>
      </c>
      <c r="L13" s="1241">
        <v>14743</v>
      </c>
      <c r="M13" s="1241">
        <v>29715.333333333332</v>
      </c>
      <c r="N13" s="1241">
        <v>14857.666666666666</v>
      </c>
      <c r="O13" s="1241">
        <v>29715.333333333332</v>
      </c>
    </row>
    <row r="14" spans="1:15">
      <c r="A14" s="96" t="s">
        <v>1132</v>
      </c>
      <c r="B14" s="1241">
        <v>1.1000000000000001</v>
      </c>
      <c r="C14" s="1241">
        <v>24.4</v>
      </c>
      <c r="I14" s="1241"/>
      <c r="J14" s="1241" t="s">
        <v>654</v>
      </c>
      <c r="K14" s="1242">
        <v>363427.08573696</v>
      </c>
      <c r="L14" s="1241">
        <v>155600</v>
      </c>
      <c r="M14" s="1241">
        <v>121142.36191232</v>
      </c>
      <c r="N14" s="1241">
        <v>36342.708573696</v>
      </c>
      <c r="O14" s="1241">
        <v>50342.015250944009</v>
      </c>
    </row>
    <row r="15" spans="1:15">
      <c r="A15" s="14" t="s">
        <v>822</v>
      </c>
      <c r="B15" s="1241">
        <v>86.2</v>
      </c>
      <c r="C15" s="1241">
        <v>235.7</v>
      </c>
    </row>
    <row r="16" spans="1:15">
      <c r="A16" s="14" t="s">
        <v>661</v>
      </c>
      <c r="B16" s="1241">
        <v>66.900000000000006</v>
      </c>
      <c r="C16" s="1241">
        <v>202.4</v>
      </c>
      <c r="D16" s="1244">
        <f>C16/B16-1</f>
        <v>2.0254110612855007</v>
      </c>
    </row>
    <row r="17" spans="1:15">
      <c r="A17" s="96" t="s">
        <v>1133</v>
      </c>
      <c r="B17" s="1241">
        <v>-14.2</v>
      </c>
      <c r="C17" s="1241">
        <v>-49.2</v>
      </c>
      <c r="J17" s="1241" t="s">
        <v>1225</v>
      </c>
      <c r="K17" s="1241">
        <v>248641.49382201879</v>
      </c>
      <c r="L17" s="1241">
        <v>80939</v>
      </c>
      <c r="M17" s="1241">
        <v>83948.895737923696</v>
      </c>
      <c r="N17" s="1241">
        <v>51090.928078673685</v>
      </c>
      <c r="O17" s="1241">
        <v>32547.750005421425</v>
      </c>
    </row>
    <row r="18" spans="1:15">
      <c r="A18" s="14" t="s">
        <v>1134</v>
      </c>
      <c r="B18" s="1241">
        <f>SUM(B16:B17)</f>
        <v>52.7</v>
      </c>
      <c r="C18" s="1241">
        <f>SUM(C16:C17)</f>
        <v>153.19999999999999</v>
      </c>
      <c r="D18" s="1244">
        <f>C18/B18-1</f>
        <v>1.9070208728652749</v>
      </c>
    </row>
    <row r="20" spans="1:15">
      <c r="A20" s="1198" t="s">
        <v>1487</v>
      </c>
      <c r="B20" s="1198">
        <v>775</v>
      </c>
      <c r="C20" s="1241">
        <v>1529</v>
      </c>
    </row>
    <row r="21" spans="1:15">
      <c r="A21" s="1198" t="s">
        <v>1488</v>
      </c>
      <c r="B21" s="1198">
        <v>775</v>
      </c>
      <c r="C21" s="1241">
        <v>1382</v>
      </c>
      <c r="J21" s="1241"/>
    </row>
    <row r="22" spans="1:15">
      <c r="J22" s="1241"/>
    </row>
    <row r="23" spans="1:15">
      <c r="A23" s="1198" t="s">
        <v>1469</v>
      </c>
      <c r="B23" s="1244">
        <f>B6/B4</f>
        <v>0.6329534662867996</v>
      </c>
      <c r="C23" s="1244">
        <f>C6/C4</f>
        <v>0.63037249283667618</v>
      </c>
      <c r="J23" s="1241"/>
    </row>
    <row r="24" spans="1:15">
      <c r="A24" s="1198" t="s">
        <v>1491</v>
      </c>
      <c r="B24" s="1244">
        <f>B16/B2</f>
        <v>0.31811697574893011</v>
      </c>
      <c r="C24" s="1244">
        <f>C16/C2</f>
        <v>0.52722063037249289</v>
      </c>
      <c r="J24" s="1241"/>
    </row>
    <row r="25" spans="1:15">
      <c r="A25" s="1198" t="s">
        <v>656</v>
      </c>
      <c r="B25" s="1244">
        <f>(B7+B8)/B2</f>
        <v>-0.25392296718972895</v>
      </c>
      <c r="C25" s="1244">
        <f>(C7+C8)/C2</f>
        <v>-0.25527481114873668</v>
      </c>
      <c r="J25" s="1241"/>
    </row>
    <row r="26" spans="1:15">
      <c r="J26" s="1241"/>
    </row>
    <row r="27" spans="1:15">
      <c r="A27" s="1198" t="s">
        <v>1492</v>
      </c>
      <c r="B27" s="1241">
        <v>499.2</v>
      </c>
      <c r="C27" s="1241">
        <v>808.4</v>
      </c>
      <c r="D27" s="1244">
        <f>C27/B27-1</f>
        <v>0.61939102564102555</v>
      </c>
      <c r="J27" s="1245"/>
    </row>
    <row r="28" spans="1:15">
      <c r="B28" s="1241"/>
      <c r="C28" s="1241"/>
      <c r="D28" s="1244"/>
    </row>
    <row r="29" spans="1:15">
      <c r="A29" s="1240" t="s">
        <v>1493</v>
      </c>
    </row>
    <row r="30" spans="1:15">
      <c r="A30" s="1198" t="s">
        <v>654</v>
      </c>
      <c r="B30" s="1241">
        <v>121</v>
      </c>
      <c r="C30" s="1241">
        <v>323.60000000000002</v>
      </c>
      <c r="D30" s="1244">
        <f>C30/B30-1</f>
        <v>1.6743801652892563</v>
      </c>
      <c r="E30" s="1204"/>
    </row>
    <row r="31" spans="1:15">
      <c r="A31" s="1198" t="s">
        <v>662</v>
      </c>
      <c r="B31" s="1241">
        <v>87.5</v>
      </c>
      <c r="C31" s="1241">
        <v>45.4</v>
      </c>
      <c r="D31" s="1244">
        <f>C31/B31-1</f>
        <v>-0.48114285714285721</v>
      </c>
    </row>
    <row r="32" spans="1:15">
      <c r="A32" s="1198" t="s">
        <v>1211</v>
      </c>
      <c r="B32" s="1241">
        <v>1.7</v>
      </c>
      <c r="C32" s="1241">
        <v>14.8</v>
      </c>
      <c r="D32" s="1244">
        <f>C32/B32-1</f>
        <v>7.7058823529411775</v>
      </c>
    </row>
    <row r="33" spans="1:3">
      <c r="B33" s="1242">
        <f>SUM(B30:B32)</f>
        <v>210.2</v>
      </c>
      <c r="C33" s="1242">
        <f>SUM(C30:C32)</f>
        <v>383.8</v>
      </c>
    </row>
    <row r="35" spans="1:3">
      <c r="A35" s="1198" t="s">
        <v>654</v>
      </c>
      <c r="B35" s="1244">
        <f t="shared" ref="B35:C37" si="0">B30/B$33</f>
        <v>0.57564224548049481</v>
      </c>
      <c r="C35" s="1244">
        <f t="shared" si="0"/>
        <v>0.84314747264200107</v>
      </c>
    </row>
    <row r="36" spans="1:3">
      <c r="A36" s="1198" t="s">
        <v>662</v>
      </c>
      <c r="B36" s="1244">
        <f t="shared" si="0"/>
        <v>0.41627021883920079</v>
      </c>
      <c r="C36" s="1244">
        <f t="shared" si="0"/>
        <v>0.11829077644606566</v>
      </c>
    </row>
    <row r="37" spans="1:3">
      <c r="A37" s="1198" t="s">
        <v>1211</v>
      </c>
      <c r="B37" s="1244">
        <f t="shared" si="0"/>
        <v>8.0875356803044723E-3</v>
      </c>
      <c r="C37" s="1244">
        <f t="shared" si="0"/>
        <v>3.8561750911933299E-2</v>
      </c>
    </row>
    <row r="39" spans="1:3">
      <c r="A39" s="1240" t="s">
        <v>432</v>
      </c>
    </row>
    <row r="40" spans="1:3">
      <c r="A40" s="1198" t="s">
        <v>654</v>
      </c>
      <c r="B40" s="1241">
        <v>34.200000000000003</v>
      </c>
      <c r="C40" s="1241">
        <v>88.5</v>
      </c>
    </row>
    <row r="41" spans="1:3">
      <c r="A41" s="1198" t="s">
        <v>662</v>
      </c>
      <c r="B41" s="1241">
        <v>42.2</v>
      </c>
      <c r="C41" s="1241">
        <v>44.3</v>
      </c>
    </row>
    <row r="42" spans="1:3">
      <c r="A42" s="1198" t="s">
        <v>1211</v>
      </c>
      <c r="B42" s="1241">
        <v>0.8</v>
      </c>
      <c r="C42" s="1241">
        <v>9</v>
      </c>
    </row>
    <row r="43" spans="1:3">
      <c r="B43" s="1245">
        <f>SUM(B40:B42)</f>
        <v>77.2</v>
      </c>
      <c r="C43" s="1245">
        <f>SUM(C40:C42)</f>
        <v>141.80000000000001</v>
      </c>
    </row>
    <row r="45" spans="1:3">
      <c r="A45" s="1240" t="s">
        <v>1469</v>
      </c>
    </row>
    <row r="46" spans="1:3">
      <c r="A46" s="1198" t="s">
        <v>654</v>
      </c>
      <c r="B46" s="1244">
        <f t="shared" ref="B46:C48" si="1">1-B40/B30</f>
        <v>0.71735537190082643</v>
      </c>
      <c r="C46" s="1244">
        <f t="shared" si="1"/>
        <v>0.72651421508034608</v>
      </c>
    </row>
    <row r="47" spans="1:3">
      <c r="A47" s="1198" t="s">
        <v>662</v>
      </c>
      <c r="B47" s="1244">
        <f t="shared" si="1"/>
        <v>0.51771428571428568</v>
      </c>
      <c r="C47" s="1244">
        <f t="shared" si="1"/>
        <v>2.4229074889867919E-2</v>
      </c>
    </row>
    <row r="48" spans="1:3">
      <c r="A48" s="1198" t="s">
        <v>1211</v>
      </c>
      <c r="B48" s="1244">
        <f t="shared" si="1"/>
        <v>0.52941176470588225</v>
      </c>
      <c r="C48" s="1244">
        <f t="shared" si="1"/>
        <v>0.39189189189189189</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3" tint="0.59999389629810485"/>
    <pageSetUpPr autoPageBreaks="0" fitToPage="1"/>
  </sheetPr>
  <dimension ref="B1:T107"/>
  <sheetViews>
    <sheetView showGridLines="0" workbookViewId="0">
      <selection activeCell="F1" sqref="F1"/>
    </sheetView>
  </sheetViews>
  <sheetFormatPr defaultColWidth="9.140625" defaultRowHeight="12" customHeight="1"/>
  <cols>
    <col min="1" max="1" width="3.7109375" style="5" customWidth="1"/>
    <col min="2" max="2" width="35.7109375" style="5" customWidth="1"/>
    <col min="3" max="4" width="10.7109375" style="1" customWidth="1"/>
    <col min="5" max="5" width="3.7109375" style="1" customWidth="1"/>
    <col min="6" max="6" width="31.140625" style="5" customWidth="1"/>
    <col min="7" max="7" width="10.7109375" style="5" customWidth="1"/>
    <col min="8" max="17" width="10.7109375" style="1" customWidth="1"/>
    <col min="18" max="18" width="9.140625" style="5" customWidth="1"/>
    <col min="19" max="19" width="9.140625" style="5"/>
    <col min="20" max="20" width="15" style="5" customWidth="1"/>
    <col min="21" max="16384" width="9.140625" style="5"/>
  </cols>
  <sheetData>
    <row r="1" spans="2:20" ht="12" customHeight="1">
      <c r="F1" s="5" t="s">
        <v>608</v>
      </c>
      <c r="G1" s="504">
        <v>0.12</v>
      </c>
      <c r="H1" s="504">
        <v>0.11</v>
      </c>
      <c r="I1" s="504">
        <f>H1*(1-$R1)</f>
        <v>0.10779999999999999</v>
      </c>
      <c r="J1" s="504">
        <f t="shared" ref="J1:Q1" si="0">I1*(1-$R1)</f>
        <v>0.10564399999999999</v>
      </c>
      <c r="K1" s="504">
        <f t="shared" si="0"/>
        <v>0.10353111999999999</v>
      </c>
      <c r="L1" s="504">
        <f t="shared" si="0"/>
        <v>0.10146049759999999</v>
      </c>
      <c r="M1" s="504">
        <f t="shared" si="0"/>
        <v>9.9431287647999994E-2</v>
      </c>
      <c r="N1" s="504">
        <f t="shared" si="0"/>
        <v>9.7442661895039986E-2</v>
      </c>
      <c r="O1" s="504">
        <f t="shared" si="0"/>
        <v>9.549380865713919E-2</v>
      </c>
      <c r="P1" s="504">
        <f t="shared" si="0"/>
        <v>9.3583932483996407E-2</v>
      </c>
      <c r="Q1" s="504">
        <f t="shared" si="0"/>
        <v>9.1712253834316471E-2</v>
      </c>
      <c r="R1" s="505">
        <v>0.02</v>
      </c>
    </row>
    <row r="2" spans="2:20" ht="12" customHeight="1">
      <c r="F2" s="5" t="s">
        <v>609</v>
      </c>
      <c r="G2" s="504">
        <v>0.12</v>
      </c>
      <c r="H2" s="504">
        <v>0.12</v>
      </c>
      <c r="I2" s="504">
        <f>H2*(1-$R2)</f>
        <v>0.1176</v>
      </c>
      <c r="J2" s="504">
        <f t="shared" ref="J2:Q2" si="1">I2*(1-$R2)</f>
        <v>0.11524799999999999</v>
      </c>
      <c r="K2" s="504">
        <f t="shared" si="1"/>
        <v>0.11294303999999998</v>
      </c>
      <c r="L2" s="504">
        <f t="shared" si="1"/>
        <v>0.11068417919999998</v>
      </c>
      <c r="M2" s="504">
        <f t="shared" si="1"/>
        <v>0.10847049561599999</v>
      </c>
      <c r="N2" s="504">
        <f t="shared" si="1"/>
        <v>0.10630108570367998</v>
      </c>
      <c r="O2" s="504">
        <f t="shared" si="1"/>
        <v>0.10417506398960638</v>
      </c>
      <c r="P2" s="504">
        <f t="shared" si="1"/>
        <v>0.10209156270981425</v>
      </c>
      <c r="Q2" s="504">
        <f t="shared" si="1"/>
        <v>0.10004973145561796</v>
      </c>
      <c r="R2" s="505">
        <v>0.02</v>
      </c>
    </row>
    <row r="3" spans="2:20" ht="12" customHeight="1">
      <c r="F3" s="5" t="s">
        <v>610</v>
      </c>
      <c r="G3" s="5">
        <v>1.2</v>
      </c>
      <c r="H3" s="5">
        <v>1.2</v>
      </c>
      <c r="I3" s="5">
        <v>1.2</v>
      </c>
      <c r="J3" s="5">
        <v>1.2</v>
      </c>
      <c r="K3" s="5">
        <v>1.2</v>
      </c>
      <c r="L3" s="5">
        <v>1.2</v>
      </c>
      <c r="M3" s="5">
        <v>1.2</v>
      </c>
      <c r="N3" s="5">
        <v>1.2</v>
      </c>
      <c r="O3" s="5">
        <v>1.2</v>
      </c>
      <c r="P3" s="5">
        <v>1.2</v>
      </c>
      <c r="Q3" s="5">
        <v>1.2</v>
      </c>
    </row>
    <row r="4" spans="2:20" ht="12" customHeight="1">
      <c r="F4" s="327" t="s">
        <v>567</v>
      </c>
      <c r="G4" s="503">
        <f>G1+G3*G2</f>
        <v>0.26400000000000001</v>
      </c>
      <c r="H4" s="503">
        <f t="shared" ref="H4:Q4" si="2">H1+H3*H2</f>
        <v>0.254</v>
      </c>
      <c r="I4" s="503">
        <f t="shared" si="2"/>
        <v>0.24891999999999997</v>
      </c>
      <c r="J4" s="503">
        <f t="shared" si="2"/>
        <v>0.24394159999999998</v>
      </c>
      <c r="K4" s="503">
        <f t="shared" si="2"/>
        <v>0.23906276799999998</v>
      </c>
      <c r="L4" s="503">
        <f t="shared" si="2"/>
        <v>0.23428151263999997</v>
      </c>
      <c r="M4" s="503">
        <f t="shared" si="2"/>
        <v>0.22959588238719997</v>
      </c>
      <c r="N4" s="503">
        <f t="shared" si="2"/>
        <v>0.22500396473945594</v>
      </c>
      <c r="O4" s="503">
        <f t="shared" si="2"/>
        <v>0.22050388544466684</v>
      </c>
      <c r="P4" s="503">
        <f t="shared" si="2"/>
        <v>0.2160938077357735</v>
      </c>
      <c r="Q4" s="503">
        <f t="shared" si="2"/>
        <v>0.211771931581058</v>
      </c>
    </row>
    <row r="5" spans="2:20" ht="12" customHeight="1">
      <c r="F5" s="327" t="s">
        <v>566</v>
      </c>
      <c r="G5" s="503">
        <v>0.22</v>
      </c>
      <c r="H5" s="503">
        <v>0.22</v>
      </c>
      <c r="I5" s="503">
        <v>0.22</v>
      </c>
      <c r="J5" s="503">
        <v>0.22</v>
      </c>
      <c r="K5" s="503">
        <v>0.22</v>
      </c>
      <c r="L5" s="503">
        <v>0.22</v>
      </c>
      <c r="M5" s="503">
        <v>0.22</v>
      </c>
      <c r="N5" s="503">
        <v>0.22</v>
      </c>
      <c r="O5" s="503">
        <v>0.22</v>
      </c>
      <c r="P5" s="503">
        <v>0.22</v>
      </c>
      <c r="Q5" s="503">
        <v>0.22</v>
      </c>
    </row>
    <row r="6" spans="2:20" ht="12" customHeight="1">
      <c r="F6" s="328" t="s">
        <v>13</v>
      </c>
      <c r="G6" s="243">
        <v>0.03</v>
      </c>
    </row>
    <row r="7" spans="2:20" ht="12" customHeight="1">
      <c r="B7" s="38" t="str">
        <f>ticker</f>
        <v>DXG VN EQUITY</v>
      </c>
      <c r="D7" s="2"/>
      <c r="F7" s="327" t="s">
        <v>534</v>
      </c>
      <c r="G7" s="243">
        <v>0.25</v>
      </c>
    </row>
    <row r="8" spans="2:20" ht="12" customHeight="1" thickBot="1">
      <c r="B8" s="38"/>
      <c r="D8" s="2"/>
    </row>
    <row r="9" spans="2:20" ht="12" customHeight="1">
      <c r="B9" s="78" t="s">
        <v>296</v>
      </c>
      <c r="C9" s="79" t="s">
        <v>234</v>
      </c>
      <c r="D9" s="80" t="s">
        <v>235</v>
      </c>
      <c r="E9" s="2"/>
      <c r="F9" s="494"/>
      <c r="G9" s="54">
        <f ca="1">IF(G11&gt;end_year,0,1)</f>
        <v>1</v>
      </c>
      <c r="H9" s="54">
        <f t="shared" ref="H9:Q9" ca="1" si="3">IF(H11&lt;=end_year,1,0)</f>
        <v>1</v>
      </c>
      <c r="I9" s="54">
        <f t="shared" ca="1" si="3"/>
        <v>1</v>
      </c>
      <c r="J9" s="54">
        <f t="shared" ca="1" si="3"/>
        <v>1</v>
      </c>
      <c r="K9" s="54">
        <f t="shared" ca="1" si="3"/>
        <v>1</v>
      </c>
      <c r="L9" s="54">
        <f t="shared" ca="1" si="3"/>
        <v>1</v>
      </c>
      <c r="M9" s="54">
        <f t="shared" ca="1" si="3"/>
        <v>1</v>
      </c>
      <c r="N9" s="54">
        <f t="shared" ca="1" si="3"/>
        <v>1</v>
      </c>
      <c r="O9" s="54">
        <f t="shared" ca="1" si="3"/>
        <v>1</v>
      </c>
      <c r="P9" s="54">
        <f t="shared" ca="1" si="3"/>
        <v>1</v>
      </c>
      <c r="Q9" s="54">
        <f t="shared" ca="1" si="3"/>
        <v>1</v>
      </c>
    </row>
    <row r="10" spans="2:20" ht="12" customHeight="1">
      <c r="B10" s="81" t="s">
        <v>285</v>
      </c>
      <c r="C10" s="267">
        <v>10</v>
      </c>
      <c r="D10" s="274">
        <f>C10</f>
        <v>10</v>
      </c>
      <c r="E10" s="2"/>
      <c r="F10" s="3"/>
      <c r="G10" s="54"/>
      <c r="H10" s="113">
        <v>1</v>
      </c>
      <c r="I10" s="113">
        <v>2</v>
      </c>
      <c r="J10" s="113">
        <v>3</v>
      </c>
      <c r="K10" s="113">
        <v>4</v>
      </c>
      <c r="L10" s="113">
        <v>5</v>
      </c>
      <c r="M10" s="113">
        <v>6</v>
      </c>
      <c r="N10" s="113">
        <v>7</v>
      </c>
      <c r="O10" s="113">
        <v>8</v>
      </c>
      <c r="P10" s="113">
        <v>9</v>
      </c>
      <c r="Q10" s="113">
        <v>10</v>
      </c>
    </row>
    <row r="11" spans="2:20" ht="12" customHeight="1">
      <c r="B11" s="81" t="s">
        <v>272</v>
      </c>
      <c r="C11" s="267">
        <f ca="1">IFERROR(HLOOKUP(C10,J10:Q19,10),0)</f>
        <v>0</v>
      </c>
      <c r="D11" s="274">
        <f ca="1">IFERROR(HLOOKUP(D10,J10:Q32,23),0)</f>
        <v>0</v>
      </c>
      <c r="E11" s="2"/>
      <c r="F11" s="59" t="s">
        <v>234</v>
      </c>
      <c r="G11" s="509">
        <f ca="1">'FS Year'!N9</f>
        <v>2023</v>
      </c>
      <c r="H11" s="349">
        <f t="shared" ref="H11:Q11" ca="1" si="4">G11+1</f>
        <v>2024</v>
      </c>
      <c r="I11" s="349">
        <f t="shared" ca="1" si="4"/>
        <v>2025</v>
      </c>
      <c r="J11" s="349">
        <f t="shared" ca="1" si="4"/>
        <v>2026</v>
      </c>
      <c r="K11" s="349">
        <f t="shared" ca="1" si="4"/>
        <v>2027</v>
      </c>
      <c r="L11" s="349">
        <f t="shared" ca="1" si="4"/>
        <v>2028</v>
      </c>
      <c r="M11" s="349">
        <f t="shared" ca="1" si="4"/>
        <v>2029</v>
      </c>
      <c r="N11" s="349">
        <f t="shared" ca="1" si="4"/>
        <v>2030</v>
      </c>
      <c r="O11" s="349">
        <f t="shared" ca="1" si="4"/>
        <v>2031</v>
      </c>
      <c r="P11" s="349">
        <f t="shared" ca="1" si="4"/>
        <v>2032</v>
      </c>
      <c r="Q11" s="349">
        <f t="shared" ca="1" si="4"/>
        <v>2033</v>
      </c>
      <c r="S11" s="57"/>
    </row>
    <row r="12" spans="2:20" ht="12" customHeight="1">
      <c r="B12" s="81" t="s">
        <v>541</v>
      </c>
      <c r="C12" s="267" t="e">
        <f ca="1">HLOOKUP(C10,H10:Q21,12)</f>
        <v>#REF!</v>
      </c>
      <c r="D12" s="274" t="e">
        <f ca="1">HLOOKUP(D10,H10:Q34,25)</f>
        <v>#REF!</v>
      </c>
      <c r="E12" s="2"/>
      <c r="F12" s="5" t="s">
        <v>218</v>
      </c>
      <c r="G12" s="361" t="e">
        <f>'P&amp;L'!#REF!</f>
        <v>#REF!</v>
      </c>
      <c r="H12" s="267" t="e">
        <f>'P&amp;L'!#REF!</f>
        <v>#REF!</v>
      </c>
      <c r="I12" s="267" t="e">
        <f>'P&amp;L'!#REF!</f>
        <v>#REF!</v>
      </c>
      <c r="J12" s="267" t="e">
        <f>'P&amp;L'!#REF!</f>
        <v>#REF!</v>
      </c>
      <c r="K12" s="267" t="e">
        <f>'P&amp;L'!#REF!</f>
        <v>#REF!</v>
      </c>
      <c r="L12" s="267" t="e">
        <f>'P&amp;L'!#REF!</f>
        <v>#REF!</v>
      </c>
      <c r="M12" s="267" t="e">
        <f>'P&amp;L'!#REF!</f>
        <v>#REF!</v>
      </c>
      <c r="N12" s="267" t="e">
        <f>'P&amp;L'!#REF!</f>
        <v>#REF!</v>
      </c>
      <c r="O12" s="267" t="e">
        <f>'P&amp;L'!#REF!</f>
        <v>#REF!</v>
      </c>
      <c r="P12" s="267" t="e">
        <f>'P&amp;L'!#REF!</f>
        <v>#REF!</v>
      </c>
      <c r="Q12" s="267" t="e">
        <f>'P&amp;L'!#REF!</f>
        <v>#REF!</v>
      </c>
      <c r="T12" s="87"/>
    </row>
    <row r="13" spans="2:20" ht="12" customHeight="1">
      <c r="B13" s="84" t="s">
        <v>537</v>
      </c>
      <c r="C13" s="364" t="e">
        <f ca="1">HLOOKUP(C10,J10:Q20,11)*(1+terminal_g)</f>
        <v>#REF!</v>
      </c>
      <c r="D13" s="365" t="e">
        <f ca="1">HLOOKUP(D10,H10:Q33,24)*(1+terminal_g)</f>
        <v>#REF!</v>
      </c>
      <c r="E13" s="2"/>
      <c r="F13" s="82" t="s">
        <v>535</v>
      </c>
      <c r="G13" s="497" t="e">
        <f t="shared" ref="G13:Q13" ca="1" si="5">-G12*(G37)</f>
        <v>#REF!</v>
      </c>
      <c r="H13" s="499" t="e">
        <f t="shared" ca="1" si="5"/>
        <v>#REF!</v>
      </c>
      <c r="I13" s="499" t="e">
        <f t="shared" ca="1" si="5"/>
        <v>#REF!</v>
      </c>
      <c r="J13" s="499" t="e">
        <f t="shared" ca="1" si="5"/>
        <v>#REF!</v>
      </c>
      <c r="K13" s="499" t="e">
        <f t="shared" ca="1" si="5"/>
        <v>#REF!</v>
      </c>
      <c r="L13" s="499" t="e">
        <f t="shared" ca="1" si="5"/>
        <v>#REF!</v>
      </c>
      <c r="M13" s="499" t="e">
        <f t="shared" ca="1" si="5"/>
        <v>#REF!</v>
      </c>
      <c r="N13" s="499" t="e">
        <f t="shared" ca="1" si="5"/>
        <v>#REF!</v>
      </c>
      <c r="O13" s="499" t="e">
        <f t="shared" ca="1" si="5"/>
        <v>#REF!</v>
      </c>
      <c r="P13" s="499" t="e">
        <f t="shared" ca="1" si="5"/>
        <v>#REF!</v>
      </c>
      <c r="Q13" s="499" t="e">
        <f t="shared" ca="1" si="5"/>
        <v>#REF!</v>
      </c>
      <c r="S13" s="47"/>
      <c r="T13" s="87"/>
    </row>
    <row r="14" spans="2:20" ht="12" customHeight="1">
      <c r="B14" s="84" t="s">
        <v>12</v>
      </c>
      <c r="C14" s="275">
        <f ca="1">IF(ISERROR(C12/C15),0,C12/C15)</f>
        <v>0</v>
      </c>
      <c r="D14" s="276">
        <f ca="1">IF(ISERROR(D12/D15),0,D12/D15)</f>
        <v>0</v>
      </c>
      <c r="E14" s="2"/>
      <c r="F14" s="82" t="s">
        <v>1</v>
      </c>
      <c r="G14" s="361">
        <f>-'P&amp;L'!F34</f>
        <v>2.1923539999999999</v>
      </c>
      <c r="H14" s="267" t="e">
        <f>-'P&amp;L'!#REF!</f>
        <v>#REF!</v>
      </c>
      <c r="I14" s="267">
        <f>-'P&amp;L'!H34</f>
        <v>5.3E-3</v>
      </c>
      <c r="J14" s="267">
        <f>-'P&amp;L'!I34</f>
        <v>3.8999999999999998E-3</v>
      </c>
      <c r="K14" s="267">
        <f>-'P&amp;L'!J34</f>
        <v>4.8449999999999995E-3</v>
      </c>
      <c r="L14" s="267">
        <f>-'P&amp;L'!K34</f>
        <v>5.79E-3</v>
      </c>
      <c r="M14" s="267">
        <f>-'P&amp;L'!L34</f>
        <v>6.7350000000000005E-3</v>
      </c>
      <c r="N14" s="267">
        <f>-'P&amp;L'!M34</f>
        <v>0</v>
      </c>
      <c r="O14" s="267" t="e">
        <f ca="1">-'P&amp;L'!N34</f>
        <v>#REF!</v>
      </c>
      <c r="P14" s="267" t="e">
        <f ca="1">-'P&amp;L'!O34</f>
        <v>#REF!</v>
      </c>
      <c r="Q14" s="267" t="e">
        <f ca="1">-'P&amp;L'!P34</f>
        <v>#REF!</v>
      </c>
      <c r="S14" s="47"/>
      <c r="T14" s="87"/>
    </row>
    <row r="15" spans="2:20" ht="12" customHeight="1">
      <c r="B15" s="85" t="s">
        <v>542</v>
      </c>
      <c r="C15" s="357" t="e">
        <f ca="1">SUM(C11:C12)</f>
        <v>#REF!</v>
      </c>
      <c r="D15" s="366" t="e">
        <f ca="1">SUM(D11:D12)</f>
        <v>#REF!</v>
      </c>
      <c r="E15" s="2"/>
      <c r="F15" s="82" t="s">
        <v>240</v>
      </c>
      <c r="G15" s="498" t="e">
        <f>#REF!</f>
        <v>#REF!</v>
      </c>
      <c r="H15" s="500" t="e">
        <f>#REF!</f>
        <v>#REF!</v>
      </c>
      <c r="I15" s="500" t="e">
        <f>#REF!</f>
        <v>#REF!</v>
      </c>
      <c r="J15" s="500" t="e">
        <f>#REF!</f>
        <v>#REF!</v>
      </c>
      <c r="K15" s="500" t="e">
        <f>#REF!</f>
        <v>#REF!</v>
      </c>
      <c r="L15" s="500" t="e">
        <f>#REF!</f>
        <v>#REF!</v>
      </c>
      <c r="M15" s="500" t="e">
        <f>#REF!</f>
        <v>#REF!</v>
      </c>
      <c r="N15" s="500" t="e">
        <f>#REF!</f>
        <v>#REF!</v>
      </c>
      <c r="O15" s="500" t="e">
        <f>#REF!</f>
        <v>#REF!</v>
      </c>
      <c r="P15" s="500" t="e">
        <f>#REF!</f>
        <v>#REF!</v>
      </c>
      <c r="Q15" s="500" t="e">
        <f>#REF!</f>
        <v>#REF!</v>
      </c>
      <c r="S15" s="47"/>
      <c r="T15" s="87"/>
    </row>
    <row r="16" spans="2:20" ht="12" customHeight="1">
      <c r="B16" s="86" t="s">
        <v>458</v>
      </c>
      <c r="C16" s="267" t="e">
        <f>#REF!+#REF!</f>
        <v>#REF!</v>
      </c>
      <c r="D16" s="274" t="e">
        <f>C16</f>
        <v>#REF!</v>
      </c>
      <c r="E16" s="2"/>
      <c r="F16" s="82" t="s">
        <v>561</v>
      </c>
      <c r="G16" s="361" t="e">
        <f>#REF!</f>
        <v>#REF!</v>
      </c>
      <c r="H16" s="267" t="e">
        <f>#REF!</f>
        <v>#REF!</v>
      </c>
      <c r="I16" s="267" t="e">
        <f>#REF!</f>
        <v>#REF!</v>
      </c>
      <c r="J16" s="267" t="e">
        <f>#REF!</f>
        <v>#REF!</v>
      </c>
      <c r="K16" s="267" t="e">
        <f>#REF!</f>
        <v>#REF!</v>
      </c>
      <c r="L16" s="267" t="e">
        <f>#REF!</f>
        <v>#REF!</v>
      </c>
      <c r="M16" s="267" t="e">
        <f>#REF!</f>
        <v>#REF!</v>
      </c>
      <c r="N16" s="267" t="e">
        <f>#REF!</f>
        <v>#REF!</v>
      </c>
      <c r="O16" s="267" t="e">
        <f>#REF!</f>
        <v>#REF!</v>
      </c>
      <c r="P16" s="267" t="e">
        <f>#REF!</f>
        <v>#REF!</v>
      </c>
      <c r="Q16" s="267" t="e">
        <f>#REF!</f>
        <v>#REF!</v>
      </c>
      <c r="S16" s="47"/>
      <c r="T16" s="87"/>
    </row>
    <row r="17" spans="2:20" ht="12" customHeight="1">
      <c r="B17" s="86" t="s">
        <v>246</v>
      </c>
      <c r="C17" s="267" t="e">
        <f>(#REF!+#REF!)</f>
        <v>#REF!</v>
      </c>
      <c r="D17" s="274">
        <v>0</v>
      </c>
      <c r="E17" s="2"/>
      <c r="F17" s="6" t="s">
        <v>2</v>
      </c>
      <c r="G17" s="367" t="e">
        <f t="shared" ref="G17:Q17" si="6">SUM(G12:G16)</f>
        <v>#REF!</v>
      </c>
      <c r="H17" s="357" t="e">
        <f>SUM(H12:H16)</f>
        <v>#REF!</v>
      </c>
      <c r="I17" s="357" t="e">
        <f t="shared" si="6"/>
        <v>#REF!</v>
      </c>
      <c r="J17" s="357" t="e">
        <f>SUM(J12:J16)</f>
        <v>#REF!</v>
      </c>
      <c r="K17" s="357" t="e">
        <f t="shared" si="6"/>
        <v>#REF!</v>
      </c>
      <c r="L17" s="267" t="e">
        <f t="shared" si="6"/>
        <v>#REF!</v>
      </c>
      <c r="M17" s="267" t="e">
        <f t="shared" si="6"/>
        <v>#REF!</v>
      </c>
      <c r="N17" s="267" t="e">
        <f t="shared" si="6"/>
        <v>#REF!</v>
      </c>
      <c r="O17" s="267" t="e">
        <f t="shared" si="6"/>
        <v>#REF!</v>
      </c>
      <c r="P17" s="267" t="e">
        <f t="shared" si="6"/>
        <v>#REF!</v>
      </c>
      <c r="Q17" s="267" t="e">
        <f t="shared" si="6"/>
        <v>#REF!</v>
      </c>
      <c r="S17" s="47"/>
      <c r="T17" s="87"/>
    </row>
    <row r="18" spans="2:20" ht="12" customHeight="1">
      <c r="B18" s="88" t="s">
        <v>238</v>
      </c>
      <c r="C18" s="357" t="e">
        <f ca="1">SUM(C15:C17)</f>
        <v>#REF!</v>
      </c>
      <c r="D18" s="366" t="e">
        <f ca="1">SUM(D15:D17)</f>
        <v>#REF!</v>
      </c>
      <c r="E18" s="2"/>
      <c r="F18" s="5" t="s">
        <v>272</v>
      </c>
      <c r="G18" s="361"/>
      <c r="H18" s="506" t="e">
        <f ca="1">H17/(1+H38)</f>
        <v>#REF!</v>
      </c>
      <c r="I18" s="267" t="e">
        <f ca="1">I17/((1+H38)*(1+I38))</f>
        <v>#REF!</v>
      </c>
      <c r="J18" s="267" t="e">
        <f ca="1">J17/((1+H38)*(1+I38)*(1+J38))</f>
        <v>#REF!</v>
      </c>
      <c r="K18" s="267" t="e">
        <f ca="1">K17/((1+H38)*(1+I38)*(1+J38)*(1+K38))</f>
        <v>#REF!</v>
      </c>
      <c r="L18" s="267" t="e">
        <f ca="1">L17/((1+H38)*(1+I38)*(1+J38)*(1+K38)*(1+L38))</f>
        <v>#REF!</v>
      </c>
      <c r="M18" s="267" t="e">
        <f ca="1">M17/((1+H38)*(1+I38)*(1+J38)*(1+K38)*(1+L38)*(1+M38))</f>
        <v>#REF!</v>
      </c>
      <c r="N18" s="267" t="e">
        <f ca="1">N17/((1+H38)*(1+I38)*(1+J38)*(1+K38)*(1+L38)*(1+M38)*(1+N38))</f>
        <v>#REF!</v>
      </c>
      <c r="O18" s="267" t="e">
        <f ca="1">O17/((1+H38)*(1+I38)*(1+J38)*(1+K38)*(1+L38)*(1+M38)*(1+N38)*(1+O38))</f>
        <v>#REF!</v>
      </c>
      <c r="P18" s="267" t="e">
        <f ca="1">P17/((1+H38)*(1+I38)*(1+J38)*(1+K38)*(1+L38)*(1+M38)*(1+N38)*(1+O38)*(1+P38))</f>
        <v>#REF!</v>
      </c>
      <c r="Q18" s="267" t="e">
        <f ca="1">Q17/((1+H38)*(1+I38)*(1+J38)*(1+K38)*(1+L38)*(1+M38)*(1+N38)*(1+O38)*(1+P38)*(1+Q38))</f>
        <v>#REF!</v>
      </c>
      <c r="S18" s="47"/>
      <c r="T18" s="87"/>
    </row>
    <row r="19" spans="2:20" ht="12" customHeight="1">
      <c r="B19" s="88" t="s">
        <v>459</v>
      </c>
      <c r="C19" s="357" t="e">
        <f ca="1">C15+C16-C17</f>
        <v>#REF!</v>
      </c>
      <c r="D19" s="366" t="e">
        <f ca="1">D15+D16-D17</f>
        <v>#REF!</v>
      </c>
      <c r="E19" s="2"/>
      <c r="F19" s="273" t="s">
        <v>456</v>
      </c>
      <c r="G19" s="368"/>
      <c r="H19" s="369" t="e">
        <f ca="1">SUM($H18:H18)*H9</f>
        <v>#REF!</v>
      </c>
      <c r="I19" s="369" t="e">
        <f ca="1">SUM($H18:I18)*I9</f>
        <v>#REF!</v>
      </c>
      <c r="J19" s="369" t="e">
        <f ca="1">SUM($H18:J18)*J9</f>
        <v>#REF!</v>
      </c>
      <c r="K19" s="369" t="e">
        <f ca="1">SUM($H18:K18)*K9</f>
        <v>#REF!</v>
      </c>
      <c r="L19" s="369" t="e">
        <f ca="1">SUM($H18:L18)*L9</f>
        <v>#REF!</v>
      </c>
      <c r="M19" s="369" t="e">
        <f ca="1">SUM($H18:M18)*M9</f>
        <v>#REF!</v>
      </c>
      <c r="N19" s="369" t="e">
        <f ca="1">SUM($H18:N18)*N9</f>
        <v>#REF!</v>
      </c>
      <c r="O19" s="369" t="e">
        <f ca="1">SUM($H18:O18)*O9</f>
        <v>#REF!</v>
      </c>
      <c r="P19" s="369" t="e">
        <f ca="1">SUM($H18:P18)*P9</f>
        <v>#REF!</v>
      </c>
      <c r="Q19" s="369" t="e">
        <f ca="1">SUM($H18:Q18)*Q9</f>
        <v>#REF!</v>
      </c>
      <c r="S19" s="47"/>
      <c r="T19" s="87"/>
    </row>
    <row r="20" spans="2:20" ht="12" customHeight="1">
      <c r="B20" s="84" t="s">
        <v>460</v>
      </c>
      <c r="C20" s="249">
        <f ca="1">IF(ISERROR(C19/#REF!),0,C19/#REF!)</f>
        <v>0</v>
      </c>
      <c r="D20" s="259">
        <f ca="1">IF(ISERROR(D19/#REF!),0,D19/#REF!)</f>
        <v>0</v>
      </c>
      <c r="E20" s="272"/>
      <c r="F20" s="495" t="s">
        <v>536</v>
      </c>
      <c r="G20" s="502" t="e">
        <f t="shared" ref="G20:Q20" si="7">G12*(1-marginal_tax)+SUM(G14:G16)</f>
        <v>#REF!</v>
      </c>
      <c r="H20" s="502" t="e">
        <f t="shared" si="7"/>
        <v>#REF!</v>
      </c>
      <c r="I20" s="502" t="e">
        <f>I12*(1-marginal_tax)+SUM(I14:I16)</f>
        <v>#REF!</v>
      </c>
      <c r="J20" s="502" t="e">
        <f t="shared" si="7"/>
        <v>#REF!</v>
      </c>
      <c r="K20" s="502" t="e">
        <f t="shared" si="7"/>
        <v>#REF!</v>
      </c>
      <c r="L20" s="502" t="e">
        <f t="shared" si="7"/>
        <v>#REF!</v>
      </c>
      <c r="M20" s="502" t="e">
        <f t="shared" si="7"/>
        <v>#REF!</v>
      </c>
      <c r="N20" s="502" t="e">
        <f t="shared" si="7"/>
        <v>#REF!</v>
      </c>
      <c r="O20" s="502" t="e">
        <f t="shared" ca="1" si="7"/>
        <v>#REF!</v>
      </c>
      <c r="P20" s="502" t="e">
        <f t="shared" ca="1" si="7"/>
        <v>#REF!</v>
      </c>
      <c r="Q20" s="502" t="e">
        <f t="shared" ca="1" si="7"/>
        <v>#REF!</v>
      </c>
      <c r="S20" s="47"/>
      <c r="T20" s="87"/>
    </row>
    <row r="21" spans="2:20" ht="12" customHeight="1">
      <c r="B21" s="84" t="s">
        <v>239</v>
      </c>
      <c r="C21" s="267" t="e">
        <f>#REF!</f>
        <v>#REF!</v>
      </c>
      <c r="D21" s="274" t="e">
        <f>C21</f>
        <v>#REF!</v>
      </c>
      <c r="E21" s="272"/>
      <c r="F21" s="495" t="s">
        <v>538</v>
      </c>
      <c r="G21" s="502"/>
      <c r="H21" s="502" t="e">
        <f>(H20/(H$43-terminal_g))/(1+H$43)</f>
        <v>#REF!</v>
      </c>
      <c r="I21" s="502" t="e">
        <f>(I20/(I$43-terminal_g))/((1+H43)*(1+I$43))</f>
        <v>#REF!</v>
      </c>
      <c r="J21" s="502" t="e">
        <f>(J20/(J$43-terminal_g))/((1+H43)*(1+I43)*(1+J$43))</f>
        <v>#REF!</v>
      </c>
      <c r="K21" s="502" t="e">
        <f>(K20/(K$43-terminal_g))/((1+H43)*(1+I43)*(1+J43)*(1+K$43))</f>
        <v>#REF!</v>
      </c>
      <c r="L21" s="502" t="e">
        <f>(L20/(L$43-terminal_g))/((1+H43)*(1+I43)*(1+J43)*(1+K43)*(1+L$43))</f>
        <v>#REF!</v>
      </c>
      <c r="M21" s="502" t="e">
        <f>(M20/(M$43-terminal_g))/((1+H43)*(1+I43)*(1+J43)*(1+K43)*(1+L43)*(1+M$43))</f>
        <v>#REF!</v>
      </c>
      <c r="N21" s="502" t="e">
        <f>(N20/(N$43-terminal_g))/((1+H43)*(1+I43)*(1+J43)*(1+K43)*(1+L43)*(1+M43)*(1+N$43))</f>
        <v>#REF!</v>
      </c>
      <c r="O21" s="502" t="e">
        <f ca="1">(O20/(O$43-terminal_g))/((1+H43)*(1+I43)*(1+J43)*(1+K43)*(1+L43)*(1+M43)*(1+N43)*(1+O$43))</f>
        <v>#REF!</v>
      </c>
      <c r="P21" s="502" t="e">
        <f ca="1">(P20/(P$43-terminal_g))/((1+H43)*(1+I43)*(1+J43)*(1+K43)*(1+L43)*(1+M43)*(1+N43)*(1+O43)*(1+P$43))</f>
        <v>#REF!</v>
      </c>
      <c r="Q21" s="502" t="e">
        <f ca="1">(Q20/(Q$43-terminal_g))/((1+H43)*(1+I43)*(1+J43)*(1+K43)*(1+L43)*(1+M43)*(1+N43)*(1+O43)*(1+P43)*(1+Q$43))</f>
        <v>#REF!</v>
      </c>
      <c r="R21" s="269"/>
      <c r="S21" s="47"/>
      <c r="T21" s="87"/>
    </row>
    <row r="22" spans="2:20" ht="12" customHeight="1">
      <c r="B22" s="89" t="s">
        <v>245</v>
      </c>
      <c r="C22" s="267" t="e">
        <f ca="1">C20*C21</f>
        <v>#REF!</v>
      </c>
      <c r="D22" s="274" t="e">
        <f ca="1">D20*D21</f>
        <v>#REF!</v>
      </c>
      <c r="E22" s="2"/>
      <c r="S22" s="47"/>
      <c r="T22" s="87"/>
    </row>
    <row r="23" spans="2:20" ht="12" customHeight="1">
      <c r="B23" s="85" t="s">
        <v>461</v>
      </c>
      <c r="C23" s="267" t="e">
        <f ca="1">C19-C22</f>
        <v>#REF!</v>
      </c>
      <c r="D23" s="274" t="e">
        <f ca="1">D19-D22</f>
        <v>#REF!</v>
      </c>
      <c r="E23" s="2"/>
      <c r="F23" s="59" t="s">
        <v>235</v>
      </c>
      <c r="G23" s="509">
        <f t="shared" ref="G23:Q23" ca="1" si="8">G11</f>
        <v>2023</v>
      </c>
      <c r="H23" s="349">
        <f t="shared" ca="1" si="8"/>
        <v>2024</v>
      </c>
      <c r="I23" s="349">
        <f t="shared" ca="1" si="8"/>
        <v>2025</v>
      </c>
      <c r="J23" s="349">
        <f t="shared" ca="1" si="8"/>
        <v>2026</v>
      </c>
      <c r="K23" s="349">
        <f t="shared" ca="1" si="8"/>
        <v>2027</v>
      </c>
      <c r="L23" s="349">
        <f t="shared" ca="1" si="8"/>
        <v>2028</v>
      </c>
      <c r="M23" s="349">
        <f t="shared" ca="1" si="8"/>
        <v>2029</v>
      </c>
      <c r="N23" s="349">
        <f t="shared" ca="1" si="8"/>
        <v>2030</v>
      </c>
      <c r="O23" s="349">
        <f t="shared" ca="1" si="8"/>
        <v>2031</v>
      </c>
      <c r="P23" s="349">
        <f t="shared" ca="1" si="8"/>
        <v>2032</v>
      </c>
      <c r="Q23" s="349">
        <f t="shared" ca="1" si="8"/>
        <v>2033</v>
      </c>
      <c r="S23" s="47"/>
      <c r="T23" s="87"/>
    </row>
    <row r="24" spans="2:20" ht="12" customHeight="1">
      <c r="B24" s="86" t="s">
        <v>10</v>
      </c>
      <c r="C24" s="267">
        <f>shares</f>
        <v>75</v>
      </c>
      <c r="D24" s="274">
        <f>shares</f>
        <v>75</v>
      </c>
      <c r="E24" s="2"/>
      <c r="F24" s="5" t="s">
        <v>540</v>
      </c>
      <c r="G24" s="361" t="e">
        <f>'P&amp;L'!#REF!</f>
        <v>#REF!</v>
      </c>
      <c r="H24" s="267" t="e">
        <f>'P&amp;L'!#REF!</f>
        <v>#REF!</v>
      </c>
      <c r="I24" s="267" t="e">
        <f>'P&amp;L'!#REF!</f>
        <v>#REF!</v>
      </c>
      <c r="J24" s="267" t="e">
        <f>'P&amp;L'!#REF!</f>
        <v>#REF!</v>
      </c>
      <c r="K24" s="267" t="e">
        <f>'P&amp;L'!#REF!</f>
        <v>#REF!</v>
      </c>
      <c r="L24" s="267" t="e">
        <f>'P&amp;L'!#REF!</f>
        <v>#REF!</v>
      </c>
      <c r="M24" s="267" t="e">
        <f>'P&amp;L'!#REF!</f>
        <v>#REF!</v>
      </c>
      <c r="N24" s="267" t="e">
        <f>'P&amp;L'!#REF!</f>
        <v>#REF!</v>
      </c>
      <c r="O24" s="267" t="e">
        <f>'P&amp;L'!#REF!</f>
        <v>#REF!</v>
      </c>
      <c r="P24" s="267" t="e">
        <f>'P&amp;L'!#REF!</f>
        <v>#REF!</v>
      </c>
      <c r="Q24" s="267" t="e">
        <f>'P&amp;L'!#REF!</f>
        <v>#REF!</v>
      </c>
    </row>
    <row r="25" spans="2:20" ht="12" customHeight="1">
      <c r="B25" s="85" t="s">
        <v>289</v>
      </c>
      <c r="C25" s="270">
        <f ca="1">IF(ISERROR(C23/shares),0,C23/shares)*10^3</f>
        <v>0</v>
      </c>
      <c r="D25" s="271">
        <f ca="1">IF(ISERROR(D23/shares),0,D23/shares)*10^3</f>
        <v>0</v>
      </c>
      <c r="E25" s="2"/>
      <c r="F25" s="82" t="s">
        <v>535</v>
      </c>
      <c r="G25" s="498" t="e">
        <f ca="1">-G24*G37</f>
        <v>#REF!</v>
      </c>
      <c r="H25" s="500" t="e">
        <f t="shared" ref="H25:Q25" ca="1" si="9">-H24*H37</f>
        <v>#REF!</v>
      </c>
      <c r="I25" s="500" t="e">
        <f t="shared" ca="1" si="9"/>
        <v>#REF!</v>
      </c>
      <c r="J25" s="500" t="e">
        <f t="shared" ca="1" si="9"/>
        <v>#REF!</v>
      </c>
      <c r="K25" s="500" t="e">
        <f t="shared" ca="1" si="9"/>
        <v>#REF!</v>
      </c>
      <c r="L25" s="500" t="e">
        <f t="shared" ca="1" si="9"/>
        <v>#REF!</v>
      </c>
      <c r="M25" s="500" t="e">
        <f t="shared" ca="1" si="9"/>
        <v>#REF!</v>
      </c>
      <c r="N25" s="500" t="e">
        <f t="shared" ca="1" si="9"/>
        <v>#REF!</v>
      </c>
      <c r="O25" s="500" t="e">
        <f t="shared" ca="1" si="9"/>
        <v>#REF!</v>
      </c>
      <c r="P25" s="500" t="e">
        <f t="shared" ca="1" si="9"/>
        <v>#REF!</v>
      </c>
      <c r="Q25" s="500" t="e">
        <f t="shared" ca="1" si="9"/>
        <v>#REF!</v>
      </c>
    </row>
    <row r="26" spans="2:20" ht="12" customHeight="1" thickBot="1">
      <c r="B26" s="91"/>
      <c r="C26" s="92"/>
      <c r="D26" s="93"/>
      <c r="E26" s="2"/>
      <c r="F26" s="82" t="s">
        <v>1</v>
      </c>
      <c r="G26" s="361">
        <f>-'P&amp;L'!F34</f>
        <v>2.1923539999999999</v>
      </c>
      <c r="H26" s="267" t="e">
        <f>-'P&amp;L'!#REF!</f>
        <v>#REF!</v>
      </c>
      <c r="I26" s="267">
        <f>-'P&amp;L'!H34</f>
        <v>5.3E-3</v>
      </c>
      <c r="J26" s="267">
        <f>-'P&amp;L'!I34</f>
        <v>3.8999999999999998E-3</v>
      </c>
      <c r="K26" s="267">
        <f>-'P&amp;L'!J34</f>
        <v>4.8449999999999995E-3</v>
      </c>
      <c r="L26" s="267">
        <f>-'P&amp;L'!K34</f>
        <v>5.79E-3</v>
      </c>
      <c r="M26" s="267">
        <f>-'P&amp;L'!L34</f>
        <v>6.7350000000000005E-3</v>
      </c>
      <c r="N26" s="267">
        <f>-'P&amp;L'!M34</f>
        <v>0</v>
      </c>
      <c r="O26" s="267" t="e">
        <f ca="1">-'P&amp;L'!N34</f>
        <v>#REF!</v>
      </c>
      <c r="P26" s="267" t="e">
        <f ca="1">-'P&amp;L'!O34</f>
        <v>#REF!</v>
      </c>
      <c r="Q26" s="267" t="e">
        <f ca="1">-'P&amp;L'!P34</f>
        <v>#REF!</v>
      </c>
    </row>
    <row r="27" spans="2:20" ht="12" customHeight="1">
      <c r="E27" s="2"/>
      <c r="F27" s="82" t="s">
        <v>543</v>
      </c>
      <c r="G27" s="498" t="e">
        <f>#REF!+#REF!</f>
        <v>#REF!</v>
      </c>
      <c r="H27" s="500" t="e">
        <f>#REF!+#REF!</f>
        <v>#REF!</v>
      </c>
      <c r="I27" s="500" t="e">
        <f>#REF!+#REF!</f>
        <v>#REF!</v>
      </c>
      <c r="J27" s="500" t="e">
        <f>#REF!+#REF!</f>
        <v>#REF!</v>
      </c>
      <c r="K27" s="500" t="e">
        <f>#REF!+#REF!</f>
        <v>#REF!</v>
      </c>
      <c r="L27" s="500" t="e">
        <f>#REF!+#REF!</f>
        <v>#REF!</v>
      </c>
      <c r="M27" s="500" t="e">
        <f>#REF!+#REF!</f>
        <v>#REF!</v>
      </c>
      <c r="N27" s="500" t="e">
        <f>#REF!+#REF!</f>
        <v>#REF!</v>
      </c>
      <c r="O27" s="500" t="e">
        <f>#REF!+#REF!</f>
        <v>#REF!</v>
      </c>
      <c r="P27" s="500" t="e">
        <f>#REF!+#REF!</f>
        <v>#REF!</v>
      </c>
      <c r="Q27" s="500" t="e">
        <f>#REF!+#REF!</f>
        <v>#REF!</v>
      </c>
    </row>
    <row r="28" spans="2:20" ht="12" customHeight="1">
      <c r="E28" s="2"/>
      <c r="F28" s="82" t="s">
        <v>247</v>
      </c>
      <c r="G28" s="361" t="e">
        <f>G16</f>
        <v>#REF!</v>
      </c>
      <c r="H28" s="267" t="e">
        <f t="shared" ref="H28:Q28" si="10">H16</f>
        <v>#REF!</v>
      </c>
      <c r="I28" s="267" t="e">
        <f t="shared" si="10"/>
        <v>#REF!</v>
      </c>
      <c r="J28" s="267" t="e">
        <f t="shared" si="10"/>
        <v>#REF!</v>
      </c>
      <c r="K28" s="267" t="e">
        <f t="shared" si="10"/>
        <v>#REF!</v>
      </c>
      <c r="L28" s="267" t="e">
        <f t="shared" si="10"/>
        <v>#REF!</v>
      </c>
      <c r="M28" s="267" t="e">
        <f t="shared" si="10"/>
        <v>#REF!</v>
      </c>
      <c r="N28" s="267" t="e">
        <f t="shared" si="10"/>
        <v>#REF!</v>
      </c>
      <c r="O28" s="267" t="e">
        <f t="shared" si="10"/>
        <v>#REF!</v>
      </c>
      <c r="P28" s="267" t="e">
        <f t="shared" si="10"/>
        <v>#REF!</v>
      </c>
      <c r="Q28" s="267" t="e">
        <f t="shared" si="10"/>
        <v>#REF!</v>
      </c>
    </row>
    <row r="29" spans="2:20" ht="12" customHeight="1">
      <c r="E29" s="2"/>
      <c r="F29" s="82" t="s">
        <v>244</v>
      </c>
      <c r="G29" s="361" t="e">
        <f>#REF!+#REF!</f>
        <v>#REF!</v>
      </c>
      <c r="H29" s="267" t="e">
        <f>#REF!+#REF!</f>
        <v>#REF!</v>
      </c>
      <c r="I29" s="267" t="e">
        <f>#REF!+#REF!</f>
        <v>#REF!</v>
      </c>
      <c r="J29" s="267" t="e">
        <f>#REF!+#REF!</f>
        <v>#REF!</v>
      </c>
      <c r="K29" s="267" t="e">
        <f>#REF!+#REF!</f>
        <v>#REF!</v>
      </c>
      <c r="L29" s="267" t="e">
        <f>#REF!+#REF!</f>
        <v>#REF!</v>
      </c>
      <c r="M29" s="267" t="e">
        <f>#REF!+#REF!</f>
        <v>#REF!</v>
      </c>
      <c r="N29" s="267" t="e">
        <f>#REF!+#REF!</f>
        <v>#REF!</v>
      </c>
      <c r="O29" s="267" t="e">
        <f>#REF!+#REF!</f>
        <v>#REF!</v>
      </c>
      <c r="P29" s="267" t="e">
        <f>#REF!+#REF!</f>
        <v>#REF!</v>
      </c>
      <c r="Q29" s="267" t="e">
        <f>#REF!+#REF!</f>
        <v>#REF!</v>
      </c>
    </row>
    <row r="30" spans="2:20" ht="12" customHeight="1">
      <c r="B30" s="15"/>
      <c r="D30" s="252"/>
      <c r="E30" s="2"/>
      <c r="F30" s="6" t="s">
        <v>236</v>
      </c>
      <c r="G30" s="367" t="e">
        <f t="shared" ref="G30:Q30" si="11">SUM(G24:G29)</f>
        <v>#REF!</v>
      </c>
      <c r="H30" s="357" t="e">
        <f t="shared" si="11"/>
        <v>#REF!</v>
      </c>
      <c r="I30" s="357" t="e">
        <f t="shared" si="11"/>
        <v>#REF!</v>
      </c>
      <c r="J30" s="357" t="e">
        <f t="shared" si="11"/>
        <v>#REF!</v>
      </c>
      <c r="K30" s="357" t="e">
        <f t="shared" si="11"/>
        <v>#REF!</v>
      </c>
      <c r="L30" s="267" t="e">
        <f t="shared" si="11"/>
        <v>#REF!</v>
      </c>
      <c r="M30" s="267" t="e">
        <f t="shared" si="11"/>
        <v>#REF!</v>
      </c>
      <c r="N30" s="267" t="e">
        <f t="shared" si="11"/>
        <v>#REF!</v>
      </c>
      <c r="O30" s="267" t="e">
        <f t="shared" si="11"/>
        <v>#REF!</v>
      </c>
      <c r="P30" s="267" t="e">
        <f t="shared" si="11"/>
        <v>#REF!</v>
      </c>
      <c r="Q30" s="267" t="e">
        <f t="shared" si="11"/>
        <v>#REF!</v>
      </c>
    </row>
    <row r="31" spans="2:20" ht="12" customHeight="1">
      <c r="E31" s="2"/>
      <c r="F31" s="6" t="s">
        <v>233</v>
      </c>
      <c r="G31" s="361"/>
      <c r="H31" s="267" t="e">
        <f>H30/(1+H4)</f>
        <v>#REF!</v>
      </c>
      <c r="I31" s="267" t="e">
        <f>I30/((1+H4)*(1+I4))</f>
        <v>#REF!</v>
      </c>
      <c r="J31" s="267" t="e">
        <f>J30/((1+H4)*(1+I4)*(1+J4))</f>
        <v>#REF!</v>
      </c>
      <c r="K31" s="267" t="e">
        <f>K30/((1+H4)*(1+I4)*(1+J4)*(1+K4))</f>
        <v>#REF!</v>
      </c>
      <c r="L31" s="267" t="e">
        <f>L30/((1+H4)*(1+I4)*(1+J4)*(1+K4)*(1+L4))</f>
        <v>#REF!</v>
      </c>
      <c r="M31" s="267" t="e">
        <f>M30/((1+H4)*(1+I4)*(1+J4)*(1+K4)*(1+L4)*(1+M4))</f>
        <v>#REF!</v>
      </c>
      <c r="N31" s="267" t="e">
        <f>N30/((1+H4)*(1+I4)*(1+J4)*(1+K4)*(1+L4)*(1+M4)*(1+N4))</f>
        <v>#REF!</v>
      </c>
      <c r="O31" s="267" t="e">
        <f>O30/((1+H4)*(1+I4)*(1+J4)*(1+K4)*(1+L4)*(1+M4)*(1+N4)*(1+O4))</f>
        <v>#REF!</v>
      </c>
      <c r="P31" s="267" t="e">
        <f>P30/((1+H4)*(1+I4)*(1+J4)*(1+K4)*(1+L4)*(1+M4)*(1+N4)*(1+O4)*(1+P4))</f>
        <v>#REF!</v>
      </c>
      <c r="Q31" s="267" t="e">
        <f>Q30/((1+H4)*(1+I4)*(1+J4)*(1+K4)*(1+L4)*(1+M4)*(1+N4)*(1+O4)*(1+P4)*(1+Q4))</f>
        <v>#REF!</v>
      </c>
      <c r="R31" s="94"/>
    </row>
    <row r="32" spans="2:20" ht="12" customHeight="1">
      <c r="E32" s="2"/>
      <c r="F32" s="273" t="s">
        <v>456</v>
      </c>
      <c r="G32" s="368"/>
      <c r="H32" s="369" t="e">
        <f ca="1">SUM($H31:H31)*H9</f>
        <v>#REF!</v>
      </c>
      <c r="I32" s="369" t="e">
        <f ca="1">SUM($H31:I31)*I9</f>
        <v>#REF!</v>
      </c>
      <c r="J32" s="369" t="e">
        <f ca="1">SUM($H31:J31)*J9</f>
        <v>#REF!</v>
      </c>
      <c r="K32" s="369" t="e">
        <f ca="1">SUM($H31:K31)*K9</f>
        <v>#REF!</v>
      </c>
      <c r="L32" s="369" t="e">
        <f ca="1">SUM($H31:L31)*L9</f>
        <v>#REF!</v>
      </c>
      <c r="M32" s="369" t="e">
        <f ca="1">SUM($H31:M31)*M9</f>
        <v>#REF!</v>
      </c>
      <c r="N32" s="369" t="e">
        <f ca="1">SUM($H31:N31)*N9</f>
        <v>#REF!</v>
      </c>
      <c r="O32" s="369" t="e">
        <f ca="1">SUM($H31:O31)*O9</f>
        <v>#REF!</v>
      </c>
      <c r="P32" s="369" t="e">
        <f ca="1">SUM($H31:P31)*P9</f>
        <v>#REF!</v>
      </c>
      <c r="Q32" s="369" t="e">
        <f ca="1">SUM($H31:Q31)*Q9</f>
        <v>#REF!</v>
      </c>
      <c r="R32" s="94"/>
    </row>
    <row r="33" spans="2:18" ht="12" customHeight="1">
      <c r="D33" s="252"/>
      <c r="E33" s="2"/>
      <c r="F33" s="495" t="s">
        <v>536</v>
      </c>
      <c r="G33" s="372" t="e">
        <f t="shared" ref="G33:Q33" si="12">G24*(1-marginal_tax)+SUM(G26:G29)</f>
        <v>#REF!</v>
      </c>
      <c r="H33" s="372" t="e">
        <f>H24*(1-marginal_tax)+SUM(H26:H29)</f>
        <v>#REF!</v>
      </c>
      <c r="I33" s="372" t="e">
        <f t="shared" si="12"/>
        <v>#REF!</v>
      </c>
      <c r="J33" s="372" t="e">
        <f t="shared" si="12"/>
        <v>#REF!</v>
      </c>
      <c r="K33" s="372" t="e">
        <f t="shared" si="12"/>
        <v>#REF!</v>
      </c>
      <c r="L33" s="372" t="e">
        <f t="shared" si="12"/>
        <v>#REF!</v>
      </c>
      <c r="M33" s="372" t="e">
        <f t="shared" si="12"/>
        <v>#REF!</v>
      </c>
      <c r="N33" s="372" t="e">
        <f t="shared" si="12"/>
        <v>#REF!</v>
      </c>
      <c r="O33" s="372" t="e">
        <f t="shared" ca="1" si="12"/>
        <v>#REF!</v>
      </c>
      <c r="P33" s="372" t="e">
        <f t="shared" ca="1" si="12"/>
        <v>#REF!</v>
      </c>
      <c r="Q33" s="372" t="e">
        <f t="shared" ca="1" si="12"/>
        <v>#REF!</v>
      </c>
      <c r="R33" s="94"/>
    </row>
    <row r="34" spans="2:18" ht="12" customHeight="1">
      <c r="E34" s="2"/>
      <c r="F34" s="495" t="s">
        <v>538</v>
      </c>
      <c r="G34" s="501"/>
      <c r="H34" s="502" t="e">
        <f>(H33/(H4-terminal_g))/(1+H4)</f>
        <v>#REF!</v>
      </c>
      <c r="I34" s="502" t="e">
        <f>(I33/(I4-terminal_g))/((1+H4)*(1+I4))</f>
        <v>#REF!</v>
      </c>
      <c r="J34" s="502" t="e">
        <f>(J33/(J4-terminal_g))/((1+H4)*(1+I4)*(1+J4))</f>
        <v>#REF!</v>
      </c>
      <c r="K34" s="502" t="e">
        <f>(K33/(K4-terminal_g))/((1+H4)*(1+I4)*(1+J4)*(1+K4))</f>
        <v>#REF!</v>
      </c>
      <c r="L34" s="502" t="e">
        <f>(L33/(L4-terminal_g))/((1+H4)*(1+I4)*(1+J4)*(1+K4)*(1+L4))</f>
        <v>#REF!</v>
      </c>
      <c r="M34" s="502" t="e">
        <f>(M33/(M4-terminal_g))/((1+H4)*(1+I4)*(1+J4)*(1+K4)*(1+L4)*(1+M4))</f>
        <v>#REF!</v>
      </c>
      <c r="N34" s="502" t="e">
        <f>(N33/(N4-terminal_g))/((1+H4)*(1+I4)*(1+J4)*(1+K4)*(1+L4)*(1+M4)*(1+N4))</f>
        <v>#REF!</v>
      </c>
      <c r="O34" s="502" t="e">
        <f ca="1">(O33/(O4-terminal_g))/((1+H4)*(1+I4)*(1+J4)*(1+K4)*(1+L4)*(1+M4)*(1+N4)*(1+O4))</f>
        <v>#REF!</v>
      </c>
      <c r="P34" s="502" t="e">
        <f ca="1">(P33/(P4-terminal_g))/((1+H4)*(1+I4)*(1+J4)*(1+K4)*(1+L4)*(1+M4)*(1+N4)*(1+O4)*(1+P4))</f>
        <v>#REF!</v>
      </c>
      <c r="Q34" s="502" t="e">
        <f ca="1">(Q33/(Q4-terminal_g))/((1+H4)*(1+I4)*(1+J4)*(1+K4)*(1+L4)*(1+M4)*(1+N4)*(1+O4)*(1+P4)*(1+Q4))</f>
        <v>#REF!</v>
      </c>
      <c r="R34" s="94"/>
    </row>
    <row r="35" spans="2:18" ht="12" customHeight="1" thickBot="1">
      <c r="C35" s="290"/>
      <c r="E35" s="21"/>
      <c r="R35" s="94"/>
    </row>
    <row r="36" spans="2:18" ht="12" customHeight="1">
      <c r="D36" s="17"/>
      <c r="E36" s="21"/>
      <c r="F36" s="83" t="s">
        <v>451</v>
      </c>
      <c r="G36" s="247">
        <f>'FS Year'!N132</f>
        <v>9.5065134724425321E-2</v>
      </c>
      <c r="H36" s="250">
        <f>'FS Year'!P132</f>
        <v>0</v>
      </c>
      <c r="I36" s="250">
        <f>'FS Year'!Q132</f>
        <v>0</v>
      </c>
      <c r="J36" s="250">
        <f>'FS Year'!R132</f>
        <v>0</v>
      </c>
      <c r="K36" s="250">
        <f>'FS Year'!S132</f>
        <v>0</v>
      </c>
      <c r="L36" s="250">
        <f>'FS Year'!T132</f>
        <v>0</v>
      </c>
      <c r="M36" s="250">
        <f>'FS Year'!U132</f>
        <v>0</v>
      </c>
      <c r="N36" s="250">
        <f>'FS Year'!V132</f>
        <v>0</v>
      </c>
      <c r="O36" s="250">
        <f>'FS Year'!W132</f>
        <v>0</v>
      </c>
      <c r="P36" s="250">
        <f>'FS Year'!X132</f>
        <v>0</v>
      </c>
      <c r="Q36" s="251">
        <f>'FS Year'!Y132</f>
        <v>0</v>
      </c>
      <c r="R36" s="94"/>
    </row>
    <row r="37" spans="2:18" ht="12" customHeight="1">
      <c r="B37" s="96"/>
      <c r="C37" s="97"/>
      <c r="E37" s="21"/>
      <c r="F37" s="81" t="s">
        <v>290</v>
      </c>
      <c r="G37" s="246">
        <f ca="1">Assumption!F18*G9</f>
        <v>0.25526727353628986</v>
      </c>
      <c r="H37" s="252">
        <f ca="1">Assumption!G18*H9</f>
        <v>0.22</v>
      </c>
      <c r="I37" s="252">
        <f ca="1">Assumption!H18*I9</f>
        <v>0.22</v>
      </c>
      <c r="J37" s="252">
        <f ca="1">Assumption!I18*J9</f>
        <v>0.22</v>
      </c>
      <c r="K37" s="252">
        <f ca="1">Assumption!J18*K9</f>
        <v>0.22</v>
      </c>
      <c r="L37" s="252">
        <f ca="1">Assumption!K18*L9</f>
        <v>0.22</v>
      </c>
      <c r="M37" s="252">
        <f ca="1">Assumption!L18*M9</f>
        <v>0.22</v>
      </c>
      <c r="N37" s="252">
        <f ca="1">Assumption!M18*N9</f>
        <v>0.22</v>
      </c>
      <c r="O37" s="252">
        <f ca="1">Assumption!N18*O9</f>
        <v>0.22</v>
      </c>
      <c r="P37" s="252">
        <f ca="1">Assumption!O18*P9</f>
        <v>0.22</v>
      </c>
      <c r="Q37" s="253">
        <f ca="1">Assumption!P18*Q9</f>
        <v>0.22</v>
      </c>
      <c r="R37" s="94"/>
    </row>
    <row r="38" spans="2:18" ht="12" customHeight="1">
      <c r="B38" s="82"/>
      <c r="C38" s="87"/>
      <c r="E38" s="21"/>
      <c r="F38" s="95" t="s">
        <v>14</v>
      </c>
      <c r="G38" s="254">
        <f t="shared" ref="G38:Q38" ca="1" si="13">((1-G36)*G4+G36*(1-G37)*G5)</f>
        <v>0.25447839016724316</v>
      </c>
      <c r="H38" s="254">
        <f t="shared" ca="1" si="13"/>
        <v>0.254</v>
      </c>
      <c r="I38" s="254">
        <f t="shared" ca="1" si="13"/>
        <v>0.24891999999999997</v>
      </c>
      <c r="J38" s="254">
        <f t="shared" ca="1" si="13"/>
        <v>0.24394159999999998</v>
      </c>
      <c r="K38" s="254">
        <f t="shared" ca="1" si="13"/>
        <v>0.23906276799999998</v>
      </c>
      <c r="L38" s="254">
        <f t="shared" ca="1" si="13"/>
        <v>0.23428151263999997</v>
      </c>
      <c r="M38" s="254">
        <f t="shared" ca="1" si="13"/>
        <v>0.22959588238719997</v>
      </c>
      <c r="N38" s="254">
        <f t="shared" ca="1" si="13"/>
        <v>0.22500396473945594</v>
      </c>
      <c r="O38" s="254">
        <f t="shared" ca="1" si="13"/>
        <v>0.22050388544466684</v>
      </c>
      <c r="P38" s="254">
        <f t="shared" ca="1" si="13"/>
        <v>0.2160938077357735</v>
      </c>
      <c r="Q38" s="508">
        <f t="shared" ca="1" si="13"/>
        <v>0.211771931581058</v>
      </c>
    </row>
    <row r="39" spans="2:18" ht="12" customHeight="1">
      <c r="B39" s="82"/>
      <c r="C39" s="87"/>
      <c r="E39" s="21"/>
      <c r="F39" s="81" t="s">
        <v>248</v>
      </c>
      <c r="G39" s="246">
        <f>'FS Year'!N149</f>
        <v>0.82399827989501673</v>
      </c>
      <c r="H39" s="252">
        <f>'FS Year'!P149</f>
        <v>0</v>
      </c>
      <c r="I39" s="252">
        <f>'FS Year'!Q149</f>
        <v>0</v>
      </c>
      <c r="J39" s="252">
        <f>'FS Year'!R149</f>
        <v>0</v>
      </c>
      <c r="K39" s="252">
        <f>'FS Year'!S149</f>
        <v>0</v>
      </c>
      <c r="L39" s="252">
        <f>'FS Year'!T149</f>
        <v>0</v>
      </c>
      <c r="M39" s="252">
        <f>'FS Year'!U149</f>
        <v>0</v>
      </c>
      <c r="N39" s="252">
        <f>'FS Year'!V149</f>
        <v>0</v>
      </c>
      <c r="O39" s="252">
        <f ca="1">'FS Year'!W149</f>
        <v>0</v>
      </c>
      <c r="P39" s="252">
        <f ca="1">'FS Year'!X149</f>
        <v>0</v>
      </c>
      <c r="Q39" s="253">
        <f ca="1">'FS Year'!Y149</f>
        <v>0</v>
      </c>
    </row>
    <row r="40" spans="2:18" ht="12" customHeight="1">
      <c r="C40" s="87"/>
      <c r="E40" s="21"/>
      <c r="F40" s="81" t="s">
        <v>9</v>
      </c>
      <c r="G40" s="246">
        <f>'FS Year'!N119</f>
        <v>0.1366283553501742</v>
      </c>
      <c r="H40" s="252">
        <f>'FS Year'!P119</f>
        <v>0</v>
      </c>
      <c r="I40" s="252">
        <f>'FS Year'!Q119</f>
        <v>0</v>
      </c>
      <c r="J40" s="252">
        <f>'FS Year'!R119</f>
        <v>0</v>
      </c>
      <c r="K40" s="252">
        <f>'FS Year'!S119</f>
        <v>0</v>
      </c>
      <c r="L40" s="252">
        <f>'FS Year'!T119</f>
        <v>0</v>
      </c>
      <c r="M40" s="252">
        <f>'FS Year'!U119</f>
        <v>0</v>
      </c>
      <c r="N40" s="252">
        <f>'FS Year'!V119</f>
        <v>0</v>
      </c>
      <c r="O40" s="252">
        <f>'FS Year'!W119</f>
        <v>0</v>
      </c>
      <c r="P40" s="252">
        <f>'FS Year'!X119</f>
        <v>0</v>
      </c>
      <c r="Q40" s="253">
        <f>'FS Year'!Y119</f>
        <v>0</v>
      </c>
    </row>
    <row r="41" spans="2:18" ht="12" customHeight="1">
      <c r="B41" s="96"/>
      <c r="C41" s="90"/>
      <c r="E41" s="21"/>
      <c r="F41" s="81" t="s">
        <v>356</v>
      </c>
      <c r="G41" s="246">
        <f t="shared" ref="G41:Q41" si="14">G39*G40</f>
        <v>0.11258152979342864</v>
      </c>
      <c r="H41" s="252">
        <f t="shared" si="14"/>
        <v>0</v>
      </c>
      <c r="I41" s="252">
        <f t="shared" si="14"/>
        <v>0</v>
      </c>
      <c r="J41" s="252">
        <f t="shared" si="14"/>
        <v>0</v>
      </c>
      <c r="K41" s="252">
        <f t="shared" si="14"/>
        <v>0</v>
      </c>
      <c r="L41" s="252">
        <f t="shared" si="14"/>
        <v>0</v>
      </c>
      <c r="M41" s="252">
        <f t="shared" si="14"/>
        <v>0</v>
      </c>
      <c r="N41" s="252">
        <f t="shared" si="14"/>
        <v>0</v>
      </c>
      <c r="O41" s="252">
        <f t="shared" ca="1" si="14"/>
        <v>0</v>
      </c>
      <c r="P41" s="252">
        <f t="shared" ca="1" si="14"/>
        <v>0</v>
      </c>
      <c r="Q41" s="253">
        <f t="shared" ca="1" si="14"/>
        <v>0</v>
      </c>
    </row>
    <row r="42" spans="2:18" ht="12" customHeight="1" thickBot="1">
      <c r="C42" s="98"/>
      <c r="E42" s="21"/>
      <c r="F42" s="91" t="s">
        <v>249</v>
      </c>
      <c r="G42" s="248">
        <f>Assumption!F11</f>
        <v>-0.15095760336457831</v>
      </c>
      <c r="H42" s="255">
        <f ca="1">Assumption!G11*H9</f>
        <v>5.0000000000000044E-2</v>
      </c>
      <c r="I42" s="255">
        <f ca="1">Assumption!H11*I9</f>
        <v>5.0000000000000044E-2</v>
      </c>
      <c r="J42" s="255">
        <f ca="1">Assumption!I11*J9</f>
        <v>5.0000000000000044E-2</v>
      </c>
      <c r="K42" s="255">
        <f ca="1">Assumption!J11*K9</f>
        <v>5.0000000000000044E-2</v>
      </c>
      <c r="L42" s="255">
        <f ca="1">Assumption!K11*L9</f>
        <v>5.0000000000000044E-2</v>
      </c>
      <c r="M42" s="255">
        <f ca="1">Assumption!L11*M9</f>
        <v>5.0000000000000044E-2</v>
      </c>
      <c r="N42" s="255">
        <f ca="1">Assumption!M11*N9</f>
        <v>5.0000000000000044E-2</v>
      </c>
      <c r="O42" s="255">
        <f ca="1">Assumption!N11*O9</f>
        <v>5.0000000000000044E-2</v>
      </c>
      <c r="P42" s="255">
        <f ca="1">Assumption!O11*P9</f>
        <v>5.0000000000000044E-2</v>
      </c>
      <c r="Q42" s="256">
        <f ca="1">Assumption!P11*Q9</f>
        <v>5.0000000000000044E-2</v>
      </c>
    </row>
    <row r="43" spans="2:18" ht="12" customHeight="1">
      <c r="E43" s="21"/>
      <c r="F43" s="495" t="s">
        <v>539</v>
      </c>
      <c r="G43" s="496">
        <f t="shared" ref="G43:Q43" si="15">((1-G36)*G4)+(G36*(1-marginal_tax)*G5)</f>
        <v>0.25458855166228189</v>
      </c>
      <c r="H43" s="496">
        <f t="shared" si="15"/>
        <v>0.254</v>
      </c>
      <c r="I43" s="496">
        <f t="shared" si="15"/>
        <v>0.24891999999999997</v>
      </c>
      <c r="J43" s="496">
        <f t="shared" si="15"/>
        <v>0.24394159999999998</v>
      </c>
      <c r="K43" s="496">
        <f t="shared" si="15"/>
        <v>0.23906276799999998</v>
      </c>
      <c r="L43" s="496">
        <f t="shared" si="15"/>
        <v>0.23428151263999997</v>
      </c>
      <c r="M43" s="496">
        <f t="shared" si="15"/>
        <v>0.22959588238719997</v>
      </c>
      <c r="N43" s="496">
        <f t="shared" si="15"/>
        <v>0.22500396473945594</v>
      </c>
      <c r="O43" s="496">
        <f t="shared" si="15"/>
        <v>0.22050388544466684</v>
      </c>
      <c r="P43" s="496">
        <f t="shared" si="15"/>
        <v>0.2160938077357735</v>
      </c>
      <c r="Q43" s="496">
        <f t="shared" si="15"/>
        <v>0.211771931581058</v>
      </c>
    </row>
    <row r="44" spans="2:18" ht="12" customHeight="1">
      <c r="E44" s="21"/>
      <c r="F44" s="494"/>
      <c r="G44" s="494"/>
      <c r="H44" s="507"/>
      <c r="I44" s="507"/>
      <c r="J44" s="507"/>
      <c r="K44" s="507"/>
      <c r="L44" s="507"/>
      <c r="M44" s="507"/>
      <c r="N44" s="507"/>
      <c r="O44" s="507"/>
      <c r="P44" s="507"/>
      <c r="Q44" s="507"/>
    </row>
    <row r="45" spans="2:18" ht="12" customHeight="1">
      <c r="E45" s="48"/>
      <c r="O45" s="99"/>
      <c r="P45" s="114"/>
      <c r="Q45" s="99"/>
    </row>
    <row r="46" spans="2:18" ht="12" customHeight="1">
      <c r="O46" s="112"/>
      <c r="P46" s="115"/>
      <c r="Q46" s="99"/>
    </row>
    <row r="47" spans="2:18" ht="12" customHeight="1">
      <c r="E47" s="43"/>
      <c r="O47" s="47"/>
      <c r="P47" s="46"/>
      <c r="Q47" s="99"/>
    </row>
    <row r="48" spans="2:18" ht="12" customHeight="1">
      <c r="E48" s="100"/>
      <c r="I48" s="47"/>
      <c r="J48" s="97"/>
      <c r="K48" s="47"/>
      <c r="L48" s="97"/>
      <c r="M48" s="47"/>
      <c r="N48" s="46"/>
      <c r="O48" s="47"/>
      <c r="P48" s="46"/>
      <c r="Q48" s="99"/>
    </row>
    <row r="49" spans="5:17" ht="12" customHeight="1">
      <c r="E49" s="21"/>
      <c r="I49" s="47"/>
      <c r="J49" s="97"/>
      <c r="K49" s="47"/>
      <c r="L49" s="97"/>
      <c r="M49" s="47"/>
      <c r="N49" s="46"/>
      <c r="O49" s="47"/>
      <c r="P49" s="46"/>
      <c r="Q49" s="99"/>
    </row>
    <row r="50" spans="5:17" ht="12" customHeight="1">
      <c r="E50" s="21"/>
      <c r="I50" s="47"/>
      <c r="J50" s="97"/>
      <c r="K50" s="47"/>
      <c r="L50" s="97"/>
      <c r="M50" s="47"/>
      <c r="N50" s="46"/>
      <c r="O50" s="47"/>
      <c r="P50" s="46"/>
      <c r="Q50" s="99"/>
    </row>
    <row r="51" spans="5:17" ht="12" customHeight="1">
      <c r="E51" s="21"/>
      <c r="I51" s="47"/>
      <c r="J51" s="97"/>
      <c r="K51" s="47"/>
      <c r="L51" s="97"/>
      <c r="M51" s="47"/>
      <c r="N51" s="46"/>
      <c r="O51" s="47"/>
      <c r="P51" s="46"/>
      <c r="Q51" s="99"/>
    </row>
    <row r="52" spans="5:17" ht="12" customHeight="1">
      <c r="E52" s="21"/>
      <c r="I52" s="47"/>
      <c r="J52" s="97"/>
      <c r="K52" s="47"/>
      <c r="L52" s="97"/>
      <c r="M52" s="47"/>
      <c r="N52" s="46"/>
      <c r="O52" s="47"/>
      <c r="P52" s="46"/>
      <c r="Q52" s="99"/>
    </row>
    <row r="53" spans="5:17" ht="12" customHeight="1">
      <c r="E53" s="21"/>
      <c r="I53" s="47"/>
      <c r="J53" s="97"/>
      <c r="K53" s="47"/>
      <c r="L53" s="97"/>
      <c r="M53" s="47"/>
      <c r="N53" s="46"/>
      <c r="O53" s="47"/>
      <c r="P53" s="46"/>
      <c r="Q53" s="99"/>
    </row>
    <row r="54" spans="5:17" ht="12" customHeight="1">
      <c r="E54" s="21"/>
      <c r="I54" s="116"/>
      <c r="J54" s="21"/>
      <c r="K54" s="47"/>
      <c r="M54" s="116"/>
      <c r="N54" s="21"/>
    </row>
    <row r="55" spans="5:17" ht="12" customHeight="1">
      <c r="E55" s="21"/>
      <c r="K55" s="47"/>
      <c r="M55" s="116"/>
    </row>
    <row r="56" spans="5:17" ht="12" customHeight="1">
      <c r="E56" s="43"/>
      <c r="K56" s="47"/>
    </row>
    <row r="57" spans="5:17" ht="12" customHeight="1">
      <c r="E57" s="43"/>
      <c r="K57" s="116"/>
    </row>
    <row r="58" spans="5:17" ht="12" customHeight="1">
      <c r="E58" s="43"/>
      <c r="K58" s="116"/>
    </row>
    <row r="59" spans="5:17" ht="12" customHeight="1">
      <c r="E59" s="43"/>
      <c r="I59" s="48"/>
      <c r="J59" s="48"/>
      <c r="K59" s="48"/>
      <c r="L59" s="48"/>
    </row>
    <row r="60" spans="5:17" ht="12" customHeight="1">
      <c r="E60" s="43"/>
      <c r="I60" s="48"/>
      <c r="J60" s="48"/>
      <c r="K60" s="48"/>
      <c r="L60" s="48"/>
    </row>
    <row r="69" spans="2:2" ht="12" customHeight="1">
      <c r="B69" s="13"/>
    </row>
    <row r="70" spans="2:2" ht="12" customHeight="1">
      <c r="B70" s="13"/>
    </row>
    <row r="71" spans="2:2" ht="12" customHeight="1">
      <c r="B71" s="12"/>
    </row>
    <row r="72" spans="2:2" ht="12" customHeight="1">
      <c r="B72" s="13"/>
    </row>
    <row r="73" spans="2:2" ht="12" customHeight="1">
      <c r="B73" s="13"/>
    </row>
    <row r="74" spans="2:2" ht="12" customHeight="1">
      <c r="B74" s="13"/>
    </row>
    <row r="75" spans="2:2" ht="12" customHeight="1">
      <c r="B75" s="13"/>
    </row>
    <row r="76" spans="2:2" ht="12" customHeight="1">
      <c r="B76" s="11"/>
    </row>
    <row r="77" spans="2:2" ht="12" customHeight="1">
      <c r="B77" s="12"/>
    </row>
    <row r="78" spans="2:2" ht="12" customHeight="1">
      <c r="B78" s="13"/>
    </row>
    <row r="79" spans="2:2" ht="12" customHeight="1">
      <c r="B79" s="13"/>
    </row>
    <row r="80" spans="2:2" ht="12" customHeight="1">
      <c r="B80" s="13"/>
    </row>
    <row r="81" spans="2:2" ht="12" customHeight="1">
      <c r="B81" s="13"/>
    </row>
    <row r="82" spans="2:2" ht="12" customHeight="1">
      <c r="B82" s="8"/>
    </row>
    <row r="83" spans="2:2" ht="12" customHeight="1">
      <c r="B83" s="12"/>
    </row>
    <row r="84" spans="2:2" ht="12" customHeight="1">
      <c r="B84" s="13"/>
    </row>
    <row r="85" spans="2:2" ht="12" customHeight="1">
      <c r="B85" s="13"/>
    </row>
    <row r="86" spans="2:2" ht="12" customHeight="1">
      <c r="B86" s="12"/>
    </row>
    <row r="87" spans="2:2" ht="12" customHeight="1">
      <c r="B87" s="13"/>
    </row>
    <row r="88" spans="2:2" ht="12" customHeight="1">
      <c r="B88" s="13"/>
    </row>
    <row r="89" spans="2:2" ht="12" customHeight="1">
      <c r="B89" s="13"/>
    </row>
    <row r="90" spans="2:2" ht="12" customHeight="1">
      <c r="B90" s="12"/>
    </row>
    <row r="91" spans="2:2" ht="12" customHeight="1">
      <c r="B91" s="8"/>
    </row>
    <row r="92" spans="2:2" ht="12" customHeight="1">
      <c r="B92" s="4"/>
    </row>
    <row r="93" spans="2:2" ht="12" customHeight="1">
      <c r="B93" s="8"/>
    </row>
    <row r="94" spans="2:2" ht="12" customHeight="1">
      <c r="B94" s="8"/>
    </row>
    <row r="95" spans="2:2" ht="12" customHeight="1">
      <c r="B95" s="8"/>
    </row>
    <row r="96" spans="2:2" ht="12" customHeight="1">
      <c r="B96" s="8"/>
    </row>
    <row r="97" spans="2:2" ht="12" customHeight="1">
      <c r="B97" s="8"/>
    </row>
    <row r="98" spans="2:2" ht="12" customHeight="1">
      <c r="B98" s="8"/>
    </row>
    <row r="99" spans="2:2" ht="12" customHeight="1">
      <c r="B99" s="4"/>
    </row>
    <row r="100" spans="2:2" ht="12" customHeight="1">
      <c r="B100" s="8"/>
    </row>
    <row r="101" spans="2:2" ht="12" customHeight="1">
      <c r="B101" s="8"/>
    </row>
    <row r="102" spans="2:2" ht="12" customHeight="1">
      <c r="B102" s="4"/>
    </row>
    <row r="103" spans="2:2" ht="12" customHeight="1">
      <c r="B103" s="8"/>
    </row>
    <row r="104" spans="2:2" ht="12" customHeight="1">
      <c r="B104" s="8"/>
    </row>
    <row r="105" spans="2:2" ht="12" customHeight="1">
      <c r="B105" s="8"/>
    </row>
    <row r="106" spans="2:2" ht="12" customHeight="1">
      <c r="B106" s="8"/>
    </row>
    <row r="107" spans="2:2" ht="12" customHeight="1">
      <c r="B107" s="4"/>
    </row>
  </sheetData>
  <sheetProtection selectLockedCells="1"/>
  <conditionalFormatting sqref="B7">
    <cfRule type="cellIs" dxfId="5" priority="1" operator="equal">
      <formula>0</formula>
    </cfRule>
  </conditionalFormatting>
  <dataValidations count="4">
    <dataValidation allowBlank="1" showErrorMessage="1" promptTitle="Change in non-cash NWC" prompt="link from Balance Sheet" sqref="F28" xr:uid="{00000000-0002-0000-0D00-000000000000}"/>
    <dataValidation allowBlank="1" showErrorMessage="1" sqref="F16" xr:uid="{00000000-0002-0000-0D00-000001000000}"/>
    <dataValidation allowBlank="1" showInputMessage="1" showErrorMessage="1" sqref="B7:B8" xr:uid="{00000000-0002-0000-0D00-000002000000}"/>
    <dataValidation allowBlank="1" showErrorMessage="1" promptTitle="Cost of equity" prompt="Re = Rf + b*Rp" sqref="D36" xr:uid="{00000000-0002-0000-0D00-000003000000}"/>
  </dataValidations>
  <pageMargins left="0.7" right="0.7" top="0.75" bottom="0.75" header="0.3" footer="0.3"/>
  <pageSetup paperSize="9" scale="64" orientation="landscape" r:id="rId1"/>
  <headerFooter>
    <oddFooter>&amp;L&amp;BVCSC Confidential&amp;B&amp;C&amp;D&amp;RPage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173"/>
  <sheetViews>
    <sheetView topLeftCell="A25" zoomScale="85" zoomScaleNormal="85" workbookViewId="0">
      <pane xSplit="2" topLeftCell="K1" activePane="topRight" state="frozen"/>
      <selection activeCell="S11" sqref="S11"/>
      <selection pane="topRight" activeCell="T46" sqref="T46"/>
    </sheetView>
  </sheetViews>
  <sheetFormatPr defaultRowHeight="12.75"/>
  <cols>
    <col min="1" max="1" width="12.5703125" style="547" customWidth="1"/>
    <col min="2" max="2" width="22.5703125" style="547" customWidth="1"/>
    <col min="3" max="5" width="8" style="773" bestFit="1" customWidth="1"/>
    <col min="6" max="6" width="11" style="773" bestFit="1" customWidth="1"/>
    <col min="7" max="7" width="10.85546875" style="773" bestFit="1" customWidth="1"/>
    <col min="8" max="8" width="9.85546875" style="773" bestFit="1" customWidth="1"/>
    <col min="9" max="9" width="9" style="773" bestFit="1" customWidth="1"/>
    <col min="10" max="10" width="13.140625" style="547" bestFit="1" customWidth="1"/>
    <col min="11" max="11" width="10.5703125" style="547" bestFit="1" customWidth="1"/>
    <col min="12" max="14" width="11.5703125" style="547" bestFit="1" customWidth="1"/>
    <col min="15" max="15" width="9.85546875" style="547" bestFit="1" customWidth="1"/>
    <col min="16" max="16" width="10.5703125" style="547" bestFit="1" customWidth="1"/>
    <col min="17" max="17" width="19.5703125" style="547" customWidth="1"/>
    <col min="18" max="18" width="18.7109375" style="547" bestFit="1" customWidth="1"/>
    <col min="19" max="20" width="13.42578125" style="547" bestFit="1" customWidth="1"/>
    <col min="21" max="23" width="11.7109375" style="547" bestFit="1" customWidth="1"/>
    <col min="24" max="24" width="10.140625" style="547" bestFit="1" customWidth="1"/>
    <col min="25" max="25" width="11" style="547" customWidth="1"/>
    <col min="26" max="28" width="9.140625" style="547" bestFit="1" customWidth="1"/>
    <col min="29" max="263" width="9.140625" style="547"/>
    <col min="264" max="264" width="14.42578125" style="547" customWidth="1"/>
    <col min="265" max="265" width="18.140625" style="547" customWidth="1"/>
    <col min="266" max="266" width="13.140625" style="547" bestFit="1" customWidth="1"/>
    <col min="267" max="270" width="10.5703125" style="547" bestFit="1" customWidth="1"/>
    <col min="271" max="271" width="9.140625" style="547"/>
    <col min="272" max="272" width="10.5703125" style="547" bestFit="1" customWidth="1"/>
    <col min="273" max="273" width="11.7109375" style="547" bestFit="1" customWidth="1"/>
    <col min="274" max="274" width="18.7109375" style="547" bestFit="1" customWidth="1"/>
    <col min="275" max="276" width="13.42578125" style="547" bestFit="1" customWidth="1"/>
    <col min="277" max="279" width="11.7109375" style="547" bestFit="1" customWidth="1"/>
    <col min="280" max="280" width="10.140625" style="547" bestFit="1" customWidth="1"/>
    <col min="281" max="284" width="9.140625" style="547" bestFit="1" customWidth="1"/>
    <col min="285" max="519" width="9.140625" style="547"/>
    <col min="520" max="520" width="14.42578125" style="547" customWidth="1"/>
    <col min="521" max="521" width="18.140625" style="547" customWidth="1"/>
    <col min="522" max="522" width="13.140625" style="547" bestFit="1" customWidth="1"/>
    <col min="523" max="526" width="10.5703125" style="547" bestFit="1" customWidth="1"/>
    <col min="527" max="527" width="9.140625" style="547"/>
    <col min="528" max="528" width="10.5703125" style="547" bestFit="1" customWidth="1"/>
    <col min="529" max="529" width="11.7109375" style="547" bestFit="1" customWidth="1"/>
    <col min="530" max="530" width="18.7109375" style="547" bestFit="1" customWidth="1"/>
    <col min="531" max="532" width="13.42578125" style="547" bestFit="1" customWidth="1"/>
    <col min="533" max="535" width="11.7109375" style="547" bestFit="1" customWidth="1"/>
    <col min="536" max="536" width="10.140625" style="547" bestFit="1" customWidth="1"/>
    <col min="537" max="540" width="9.140625" style="547" bestFit="1" customWidth="1"/>
    <col min="541" max="775" width="9.140625" style="547"/>
    <col min="776" max="776" width="14.42578125" style="547" customWidth="1"/>
    <col min="777" max="777" width="18.140625" style="547" customWidth="1"/>
    <col min="778" max="778" width="13.140625" style="547" bestFit="1" customWidth="1"/>
    <col min="779" max="782" width="10.5703125" style="547" bestFit="1" customWidth="1"/>
    <col min="783" max="783" width="9.140625" style="547"/>
    <col min="784" max="784" width="10.5703125" style="547" bestFit="1" customWidth="1"/>
    <col min="785" max="785" width="11.7109375" style="547" bestFit="1" customWidth="1"/>
    <col min="786" max="786" width="18.7109375" style="547" bestFit="1" customWidth="1"/>
    <col min="787" max="788" width="13.42578125" style="547" bestFit="1" customWidth="1"/>
    <col min="789" max="791" width="11.7109375" style="547" bestFit="1" customWidth="1"/>
    <col min="792" max="792" width="10.140625" style="547" bestFit="1" customWidth="1"/>
    <col min="793" max="796" width="9.140625" style="547" bestFit="1" customWidth="1"/>
    <col min="797" max="1031" width="9.140625" style="547"/>
    <col min="1032" max="1032" width="14.42578125" style="547" customWidth="1"/>
    <col min="1033" max="1033" width="18.140625" style="547" customWidth="1"/>
    <col min="1034" max="1034" width="13.140625" style="547" bestFit="1" customWidth="1"/>
    <col min="1035" max="1038" width="10.5703125" style="547" bestFit="1" customWidth="1"/>
    <col min="1039" max="1039" width="9.140625" style="547"/>
    <col min="1040" max="1040" width="10.5703125" style="547" bestFit="1" customWidth="1"/>
    <col min="1041" max="1041" width="11.7109375" style="547" bestFit="1" customWidth="1"/>
    <col min="1042" max="1042" width="18.7109375" style="547" bestFit="1" customWidth="1"/>
    <col min="1043" max="1044" width="13.42578125" style="547" bestFit="1" customWidth="1"/>
    <col min="1045" max="1047" width="11.7109375" style="547" bestFit="1" customWidth="1"/>
    <col min="1048" max="1048" width="10.140625" style="547" bestFit="1" customWidth="1"/>
    <col min="1049" max="1052" width="9.140625" style="547" bestFit="1" customWidth="1"/>
    <col min="1053" max="1287" width="9.140625" style="547"/>
    <col min="1288" max="1288" width="14.42578125" style="547" customWidth="1"/>
    <col min="1289" max="1289" width="18.140625" style="547" customWidth="1"/>
    <col min="1290" max="1290" width="13.140625" style="547" bestFit="1" customWidth="1"/>
    <col min="1291" max="1294" width="10.5703125" style="547" bestFit="1" customWidth="1"/>
    <col min="1295" max="1295" width="9.140625" style="547"/>
    <col min="1296" max="1296" width="10.5703125" style="547" bestFit="1" customWidth="1"/>
    <col min="1297" max="1297" width="11.7109375" style="547" bestFit="1" customWidth="1"/>
    <col min="1298" max="1298" width="18.7109375" style="547" bestFit="1" customWidth="1"/>
    <col min="1299" max="1300" width="13.42578125" style="547" bestFit="1" customWidth="1"/>
    <col min="1301" max="1303" width="11.7109375" style="547" bestFit="1" customWidth="1"/>
    <col min="1304" max="1304" width="10.140625" style="547" bestFit="1" customWidth="1"/>
    <col min="1305" max="1308" width="9.140625" style="547" bestFit="1" customWidth="1"/>
    <col min="1309" max="1543" width="9.140625" style="547"/>
    <col min="1544" max="1544" width="14.42578125" style="547" customWidth="1"/>
    <col min="1545" max="1545" width="18.140625" style="547" customWidth="1"/>
    <col min="1546" max="1546" width="13.140625" style="547" bestFit="1" customWidth="1"/>
    <col min="1547" max="1550" width="10.5703125" style="547" bestFit="1" customWidth="1"/>
    <col min="1551" max="1551" width="9.140625" style="547"/>
    <col min="1552" max="1552" width="10.5703125" style="547" bestFit="1" customWidth="1"/>
    <col min="1553" max="1553" width="11.7109375" style="547" bestFit="1" customWidth="1"/>
    <col min="1554" max="1554" width="18.7109375" style="547" bestFit="1" customWidth="1"/>
    <col min="1555" max="1556" width="13.42578125" style="547" bestFit="1" customWidth="1"/>
    <col min="1557" max="1559" width="11.7109375" style="547" bestFit="1" customWidth="1"/>
    <col min="1560" max="1560" width="10.140625" style="547" bestFit="1" customWidth="1"/>
    <col min="1561" max="1564" width="9.140625" style="547" bestFit="1" customWidth="1"/>
    <col min="1565" max="1799" width="9.140625" style="547"/>
    <col min="1800" max="1800" width="14.42578125" style="547" customWidth="1"/>
    <col min="1801" max="1801" width="18.140625" style="547" customWidth="1"/>
    <col min="1802" max="1802" width="13.140625" style="547" bestFit="1" customWidth="1"/>
    <col min="1803" max="1806" width="10.5703125" style="547" bestFit="1" customWidth="1"/>
    <col min="1807" max="1807" width="9.140625" style="547"/>
    <col min="1808" max="1808" width="10.5703125" style="547" bestFit="1" customWidth="1"/>
    <col min="1809" max="1809" width="11.7109375" style="547" bestFit="1" customWidth="1"/>
    <col min="1810" max="1810" width="18.7109375" style="547" bestFit="1" customWidth="1"/>
    <col min="1811" max="1812" width="13.42578125" style="547" bestFit="1" customWidth="1"/>
    <col min="1813" max="1815" width="11.7109375" style="547" bestFit="1" customWidth="1"/>
    <col min="1816" max="1816" width="10.140625" style="547" bestFit="1" customWidth="1"/>
    <col min="1817" max="1820" width="9.140625" style="547" bestFit="1" customWidth="1"/>
    <col min="1821" max="2055" width="9.140625" style="547"/>
    <col min="2056" max="2056" width="14.42578125" style="547" customWidth="1"/>
    <col min="2057" max="2057" width="18.140625" style="547" customWidth="1"/>
    <col min="2058" max="2058" width="13.140625" style="547" bestFit="1" customWidth="1"/>
    <col min="2059" max="2062" width="10.5703125" style="547" bestFit="1" customWidth="1"/>
    <col min="2063" max="2063" width="9.140625" style="547"/>
    <col min="2064" max="2064" width="10.5703125" style="547" bestFit="1" customWidth="1"/>
    <col min="2065" max="2065" width="11.7109375" style="547" bestFit="1" customWidth="1"/>
    <col min="2066" max="2066" width="18.7109375" style="547" bestFit="1" customWidth="1"/>
    <col min="2067" max="2068" width="13.42578125" style="547" bestFit="1" customWidth="1"/>
    <col min="2069" max="2071" width="11.7109375" style="547" bestFit="1" customWidth="1"/>
    <col min="2072" max="2072" width="10.140625" style="547" bestFit="1" customWidth="1"/>
    <col min="2073" max="2076" width="9.140625" style="547" bestFit="1" customWidth="1"/>
    <col min="2077" max="2311" width="9.140625" style="547"/>
    <col min="2312" max="2312" width="14.42578125" style="547" customWidth="1"/>
    <col min="2313" max="2313" width="18.140625" style="547" customWidth="1"/>
    <col min="2314" max="2314" width="13.140625" style="547" bestFit="1" customWidth="1"/>
    <col min="2315" max="2318" width="10.5703125" style="547" bestFit="1" customWidth="1"/>
    <col min="2319" max="2319" width="9.140625" style="547"/>
    <col min="2320" max="2320" width="10.5703125" style="547" bestFit="1" customWidth="1"/>
    <col min="2321" max="2321" width="11.7109375" style="547" bestFit="1" customWidth="1"/>
    <col min="2322" max="2322" width="18.7109375" style="547" bestFit="1" customWidth="1"/>
    <col min="2323" max="2324" width="13.42578125" style="547" bestFit="1" customWidth="1"/>
    <col min="2325" max="2327" width="11.7109375" style="547" bestFit="1" customWidth="1"/>
    <col min="2328" max="2328" width="10.140625" style="547" bestFit="1" customWidth="1"/>
    <col min="2329" max="2332" width="9.140625" style="547" bestFit="1" customWidth="1"/>
    <col min="2333" max="2567" width="9.140625" style="547"/>
    <col min="2568" max="2568" width="14.42578125" style="547" customWidth="1"/>
    <col min="2569" max="2569" width="18.140625" style="547" customWidth="1"/>
    <col min="2570" max="2570" width="13.140625" style="547" bestFit="1" customWidth="1"/>
    <col min="2571" max="2574" width="10.5703125" style="547" bestFit="1" customWidth="1"/>
    <col min="2575" max="2575" width="9.140625" style="547"/>
    <col min="2576" max="2576" width="10.5703125" style="547" bestFit="1" customWidth="1"/>
    <col min="2577" max="2577" width="11.7109375" style="547" bestFit="1" customWidth="1"/>
    <col min="2578" max="2578" width="18.7109375" style="547" bestFit="1" customWidth="1"/>
    <col min="2579" max="2580" width="13.42578125" style="547" bestFit="1" customWidth="1"/>
    <col min="2581" max="2583" width="11.7109375" style="547" bestFit="1" customWidth="1"/>
    <col min="2584" max="2584" width="10.140625" style="547" bestFit="1" customWidth="1"/>
    <col min="2585" max="2588" width="9.140625" style="547" bestFit="1" customWidth="1"/>
    <col min="2589" max="2823" width="9.140625" style="547"/>
    <col min="2824" max="2824" width="14.42578125" style="547" customWidth="1"/>
    <col min="2825" max="2825" width="18.140625" style="547" customWidth="1"/>
    <col min="2826" max="2826" width="13.140625" style="547" bestFit="1" customWidth="1"/>
    <col min="2827" max="2830" width="10.5703125" style="547" bestFit="1" customWidth="1"/>
    <col min="2831" max="2831" width="9.140625" style="547"/>
    <col min="2832" max="2832" width="10.5703125" style="547" bestFit="1" customWidth="1"/>
    <col min="2833" max="2833" width="11.7109375" style="547" bestFit="1" customWidth="1"/>
    <col min="2834" max="2834" width="18.7109375" style="547" bestFit="1" customWidth="1"/>
    <col min="2835" max="2836" width="13.42578125" style="547" bestFit="1" customWidth="1"/>
    <col min="2837" max="2839" width="11.7109375" style="547" bestFit="1" customWidth="1"/>
    <col min="2840" max="2840" width="10.140625" style="547" bestFit="1" customWidth="1"/>
    <col min="2841" max="2844" width="9.140625" style="547" bestFit="1" customWidth="1"/>
    <col min="2845" max="3079" width="9.140625" style="547"/>
    <col min="3080" max="3080" width="14.42578125" style="547" customWidth="1"/>
    <col min="3081" max="3081" width="18.140625" style="547" customWidth="1"/>
    <col min="3082" max="3082" width="13.140625" style="547" bestFit="1" customWidth="1"/>
    <col min="3083" max="3086" width="10.5703125" style="547" bestFit="1" customWidth="1"/>
    <col min="3087" max="3087" width="9.140625" style="547"/>
    <col min="3088" max="3088" width="10.5703125" style="547" bestFit="1" customWidth="1"/>
    <col min="3089" max="3089" width="11.7109375" style="547" bestFit="1" customWidth="1"/>
    <col min="3090" max="3090" width="18.7109375" style="547" bestFit="1" customWidth="1"/>
    <col min="3091" max="3092" width="13.42578125" style="547" bestFit="1" customWidth="1"/>
    <col min="3093" max="3095" width="11.7109375" style="547" bestFit="1" customWidth="1"/>
    <col min="3096" max="3096" width="10.140625" style="547" bestFit="1" customWidth="1"/>
    <col min="3097" max="3100" width="9.140625" style="547" bestFit="1" customWidth="1"/>
    <col min="3101" max="3335" width="9.140625" style="547"/>
    <col min="3336" max="3336" width="14.42578125" style="547" customWidth="1"/>
    <col min="3337" max="3337" width="18.140625" style="547" customWidth="1"/>
    <col min="3338" max="3338" width="13.140625" style="547" bestFit="1" customWidth="1"/>
    <col min="3339" max="3342" width="10.5703125" style="547" bestFit="1" customWidth="1"/>
    <col min="3343" max="3343" width="9.140625" style="547"/>
    <col min="3344" max="3344" width="10.5703125" style="547" bestFit="1" customWidth="1"/>
    <col min="3345" max="3345" width="11.7109375" style="547" bestFit="1" customWidth="1"/>
    <col min="3346" max="3346" width="18.7109375" style="547" bestFit="1" customWidth="1"/>
    <col min="3347" max="3348" width="13.42578125" style="547" bestFit="1" customWidth="1"/>
    <col min="3349" max="3351" width="11.7109375" style="547" bestFit="1" customWidth="1"/>
    <col min="3352" max="3352" width="10.140625" style="547" bestFit="1" customWidth="1"/>
    <col min="3353" max="3356" width="9.140625" style="547" bestFit="1" customWidth="1"/>
    <col min="3357" max="3591" width="9.140625" style="547"/>
    <col min="3592" max="3592" width="14.42578125" style="547" customWidth="1"/>
    <col min="3593" max="3593" width="18.140625" style="547" customWidth="1"/>
    <col min="3594" max="3594" width="13.140625" style="547" bestFit="1" customWidth="1"/>
    <col min="3595" max="3598" width="10.5703125" style="547" bestFit="1" customWidth="1"/>
    <col min="3599" max="3599" width="9.140625" style="547"/>
    <col min="3600" max="3600" width="10.5703125" style="547" bestFit="1" customWidth="1"/>
    <col min="3601" max="3601" width="11.7109375" style="547" bestFit="1" customWidth="1"/>
    <col min="3602" max="3602" width="18.7109375" style="547" bestFit="1" customWidth="1"/>
    <col min="3603" max="3604" width="13.42578125" style="547" bestFit="1" customWidth="1"/>
    <col min="3605" max="3607" width="11.7109375" style="547" bestFit="1" customWidth="1"/>
    <col min="3608" max="3608" width="10.140625" style="547" bestFit="1" customWidth="1"/>
    <col min="3609" max="3612" width="9.140625" style="547" bestFit="1" customWidth="1"/>
    <col min="3613" max="3847" width="9.140625" style="547"/>
    <col min="3848" max="3848" width="14.42578125" style="547" customWidth="1"/>
    <col min="3849" max="3849" width="18.140625" style="547" customWidth="1"/>
    <col min="3850" max="3850" width="13.140625" style="547" bestFit="1" customWidth="1"/>
    <col min="3851" max="3854" width="10.5703125" style="547" bestFit="1" customWidth="1"/>
    <col min="3855" max="3855" width="9.140625" style="547"/>
    <col min="3856" max="3856" width="10.5703125" style="547" bestFit="1" customWidth="1"/>
    <col min="3857" max="3857" width="11.7109375" style="547" bestFit="1" customWidth="1"/>
    <col min="3858" max="3858" width="18.7109375" style="547" bestFit="1" customWidth="1"/>
    <col min="3859" max="3860" width="13.42578125" style="547" bestFit="1" customWidth="1"/>
    <col min="3861" max="3863" width="11.7109375" style="547" bestFit="1" customWidth="1"/>
    <col min="3864" max="3864" width="10.140625" style="547" bestFit="1" customWidth="1"/>
    <col min="3865" max="3868" width="9.140625" style="547" bestFit="1" customWidth="1"/>
    <col min="3869" max="4103" width="9.140625" style="547"/>
    <col min="4104" max="4104" width="14.42578125" style="547" customWidth="1"/>
    <col min="4105" max="4105" width="18.140625" style="547" customWidth="1"/>
    <col min="4106" max="4106" width="13.140625" style="547" bestFit="1" customWidth="1"/>
    <col min="4107" max="4110" width="10.5703125" style="547" bestFit="1" customWidth="1"/>
    <col min="4111" max="4111" width="9.140625" style="547"/>
    <col min="4112" max="4112" width="10.5703125" style="547" bestFit="1" customWidth="1"/>
    <col min="4113" max="4113" width="11.7109375" style="547" bestFit="1" customWidth="1"/>
    <col min="4114" max="4114" width="18.7109375" style="547" bestFit="1" customWidth="1"/>
    <col min="4115" max="4116" width="13.42578125" style="547" bestFit="1" customWidth="1"/>
    <col min="4117" max="4119" width="11.7109375" style="547" bestFit="1" customWidth="1"/>
    <col min="4120" max="4120" width="10.140625" style="547" bestFit="1" customWidth="1"/>
    <col min="4121" max="4124" width="9.140625" style="547" bestFit="1" customWidth="1"/>
    <col min="4125" max="4359" width="9.140625" style="547"/>
    <col min="4360" max="4360" width="14.42578125" style="547" customWidth="1"/>
    <col min="4361" max="4361" width="18.140625" style="547" customWidth="1"/>
    <col min="4362" max="4362" width="13.140625" style="547" bestFit="1" customWidth="1"/>
    <col min="4363" max="4366" width="10.5703125" style="547" bestFit="1" customWidth="1"/>
    <col min="4367" max="4367" width="9.140625" style="547"/>
    <col min="4368" max="4368" width="10.5703125" style="547" bestFit="1" customWidth="1"/>
    <col min="4369" max="4369" width="11.7109375" style="547" bestFit="1" customWidth="1"/>
    <col min="4370" max="4370" width="18.7109375" style="547" bestFit="1" customWidth="1"/>
    <col min="4371" max="4372" width="13.42578125" style="547" bestFit="1" customWidth="1"/>
    <col min="4373" max="4375" width="11.7109375" style="547" bestFit="1" customWidth="1"/>
    <col min="4376" max="4376" width="10.140625" style="547" bestFit="1" customWidth="1"/>
    <col min="4377" max="4380" width="9.140625" style="547" bestFit="1" customWidth="1"/>
    <col min="4381" max="4615" width="9.140625" style="547"/>
    <col min="4616" max="4616" width="14.42578125" style="547" customWidth="1"/>
    <col min="4617" max="4617" width="18.140625" style="547" customWidth="1"/>
    <col min="4618" max="4618" width="13.140625" style="547" bestFit="1" customWidth="1"/>
    <col min="4619" max="4622" width="10.5703125" style="547" bestFit="1" customWidth="1"/>
    <col min="4623" max="4623" width="9.140625" style="547"/>
    <col min="4624" max="4624" width="10.5703125" style="547" bestFit="1" customWidth="1"/>
    <col min="4625" max="4625" width="11.7109375" style="547" bestFit="1" customWidth="1"/>
    <col min="4626" max="4626" width="18.7109375" style="547" bestFit="1" customWidth="1"/>
    <col min="4627" max="4628" width="13.42578125" style="547" bestFit="1" customWidth="1"/>
    <col min="4629" max="4631" width="11.7109375" style="547" bestFit="1" customWidth="1"/>
    <col min="4632" max="4632" width="10.140625" style="547" bestFit="1" customWidth="1"/>
    <col min="4633" max="4636" width="9.140625" style="547" bestFit="1" customWidth="1"/>
    <col min="4637" max="4871" width="9.140625" style="547"/>
    <col min="4872" max="4872" width="14.42578125" style="547" customWidth="1"/>
    <col min="4873" max="4873" width="18.140625" style="547" customWidth="1"/>
    <col min="4874" max="4874" width="13.140625" style="547" bestFit="1" customWidth="1"/>
    <col min="4875" max="4878" width="10.5703125" style="547" bestFit="1" customWidth="1"/>
    <col min="4879" max="4879" width="9.140625" style="547"/>
    <col min="4880" max="4880" width="10.5703125" style="547" bestFit="1" customWidth="1"/>
    <col min="4881" max="4881" width="11.7109375" style="547" bestFit="1" customWidth="1"/>
    <col min="4882" max="4882" width="18.7109375" style="547" bestFit="1" customWidth="1"/>
    <col min="4883" max="4884" width="13.42578125" style="547" bestFit="1" customWidth="1"/>
    <col min="4885" max="4887" width="11.7109375" style="547" bestFit="1" customWidth="1"/>
    <col min="4888" max="4888" width="10.140625" style="547" bestFit="1" customWidth="1"/>
    <col min="4889" max="4892" width="9.140625" style="547" bestFit="1" customWidth="1"/>
    <col min="4893" max="5127" width="9.140625" style="547"/>
    <col min="5128" max="5128" width="14.42578125" style="547" customWidth="1"/>
    <col min="5129" max="5129" width="18.140625" style="547" customWidth="1"/>
    <col min="5130" max="5130" width="13.140625" style="547" bestFit="1" customWidth="1"/>
    <col min="5131" max="5134" width="10.5703125" style="547" bestFit="1" customWidth="1"/>
    <col min="5135" max="5135" width="9.140625" style="547"/>
    <col min="5136" max="5136" width="10.5703125" style="547" bestFit="1" customWidth="1"/>
    <col min="5137" max="5137" width="11.7109375" style="547" bestFit="1" customWidth="1"/>
    <col min="5138" max="5138" width="18.7109375" style="547" bestFit="1" customWidth="1"/>
    <col min="5139" max="5140" width="13.42578125" style="547" bestFit="1" customWidth="1"/>
    <col min="5141" max="5143" width="11.7109375" style="547" bestFit="1" customWidth="1"/>
    <col min="5144" max="5144" width="10.140625" style="547" bestFit="1" customWidth="1"/>
    <col min="5145" max="5148" width="9.140625" style="547" bestFit="1" customWidth="1"/>
    <col min="5149" max="5383" width="9.140625" style="547"/>
    <col min="5384" max="5384" width="14.42578125" style="547" customWidth="1"/>
    <col min="5385" max="5385" width="18.140625" style="547" customWidth="1"/>
    <col min="5386" max="5386" width="13.140625" style="547" bestFit="1" customWidth="1"/>
    <col min="5387" max="5390" width="10.5703125" style="547" bestFit="1" customWidth="1"/>
    <col min="5391" max="5391" width="9.140625" style="547"/>
    <col min="5392" max="5392" width="10.5703125" style="547" bestFit="1" customWidth="1"/>
    <col min="5393" max="5393" width="11.7109375" style="547" bestFit="1" customWidth="1"/>
    <col min="5394" max="5394" width="18.7109375" style="547" bestFit="1" customWidth="1"/>
    <col min="5395" max="5396" width="13.42578125" style="547" bestFit="1" customWidth="1"/>
    <col min="5397" max="5399" width="11.7109375" style="547" bestFit="1" customWidth="1"/>
    <col min="5400" max="5400" width="10.140625" style="547" bestFit="1" customWidth="1"/>
    <col min="5401" max="5404" width="9.140625" style="547" bestFit="1" customWidth="1"/>
    <col min="5405" max="5639" width="9.140625" style="547"/>
    <col min="5640" max="5640" width="14.42578125" style="547" customWidth="1"/>
    <col min="5641" max="5641" width="18.140625" style="547" customWidth="1"/>
    <col min="5642" max="5642" width="13.140625" style="547" bestFit="1" customWidth="1"/>
    <col min="5643" max="5646" width="10.5703125" style="547" bestFit="1" customWidth="1"/>
    <col min="5647" max="5647" width="9.140625" style="547"/>
    <col min="5648" max="5648" width="10.5703125" style="547" bestFit="1" customWidth="1"/>
    <col min="5649" max="5649" width="11.7109375" style="547" bestFit="1" customWidth="1"/>
    <col min="5650" max="5650" width="18.7109375" style="547" bestFit="1" customWidth="1"/>
    <col min="5651" max="5652" width="13.42578125" style="547" bestFit="1" customWidth="1"/>
    <col min="5653" max="5655" width="11.7109375" style="547" bestFit="1" customWidth="1"/>
    <col min="5656" max="5656" width="10.140625" style="547" bestFit="1" customWidth="1"/>
    <col min="5657" max="5660" width="9.140625" style="547" bestFit="1" customWidth="1"/>
    <col min="5661" max="5895" width="9.140625" style="547"/>
    <col min="5896" max="5896" width="14.42578125" style="547" customWidth="1"/>
    <col min="5897" max="5897" width="18.140625" style="547" customWidth="1"/>
    <col min="5898" max="5898" width="13.140625" style="547" bestFit="1" customWidth="1"/>
    <col min="5899" max="5902" width="10.5703125" style="547" bestFit="1" customWidth="1"/>
    <col min="5903" max="5903" width="9.140625" style="547"/>
    <col min="5904" max="5904" width="10.5703125" style="547" bestFit="1" customWidth="1"/>
    <col min="5905" max="5905" width="11.7109375" style="547" bestFit="1" customWidth="1"/>
    <col min="5906" max="5906" width="18.7109375" style="547" bestFit="1" customWidth="1"/>
    <col min="5907" max="5908" width="13.42578125" style="547" bestFit="1" customWidth="1"/>
    <col min="5909" max="5911" width="11.7109375" style="547" bestFit="1" customWidth="1"/>
    <col min="5912" max="5912" width="10.140625" style="547" bestFit="1" customWidth="1"/>
    <col min="5913" max="5916" width="9.140625" style="547" bestFit="1" customWidth="1"/>
    <col min="5917" max="6151" width="9.140625" style="547"/>
    <col min="6152" max="6152" width="14.42578125" style="547" customWidth="1"/>
    <col min="6153" max="6153" width="18.140625" style="547" customWidth="1"/>
    <col min="6154" max="6154" width="13.140625" style="547" bestFit="1" customWidth="1"/>
    <col min="6155" max="6158" width="10.5703125" style="547" bestFit="1" customWidth="1"/>
    <col min="6159" max="6159" width="9.140625" style="547"/>
    <col min="6160" max="6160" width="10.5703125" style="547" bestFit="1" customWidth="1"/>
    <col min="6161" max="6161" width="11.7109375" style="547" bestFit="1" customWidth="1"/>
    <col min="6162" max="6162" width="18.7109375" style="547" bestFit="1" customWidth="1"/>
    <col min="6163" max="6164" width="13.42578125" style="547" bestFit="1" customWidth="1"/>
    <col min="6165" max="6167" width="11.7109375" style="547" bestFit="1" customWidth="1"/>
    <col min="6168" max="6168" width="10.140625" style="547" bestFit="1" customWidth="1"/>
    <col min="6169" max="6172" width="9.140625" style="547" bestFit="1" customWidth="1"/>
    <col min="6173" max="6407" width="9.140625" style="547"/>
    <col min="6408" max="6408" width="14.42578125" style="547" customWidth="1"/>
    <col min="6409" max="6409" width="18.140625" style="547" customWidth="1"/>
    <col min="6410" max="6410" width="13.140625" style="547" bestFit="1" customWidth="1"/>
    <col min="6411" max="6414" width="10.5703125" style="547" bestFit="1" customWidth="1"/>
    <col min="6415" max="6415" width="9.140625" style="547"/>
    <col min="6416" max="6416" width="10.5703125" style="547" bestFit="1" customWidth="1"/>
    <col min="6417" max="6417" width="11.7109375" style="547" bestFit="1" customWidth="1"/>
    <col min="6418" max="6418" width="18.7109375" style="547" bestFit="1" customWidth="1"/>
    <col min="6419" max="6420" width="13.42578125" style="547" bestFit="1" customWidth="1"/>
    <col min="6421" max="6423" width="11.7109375" style="547" bestFit="1" customWidth="1"/>
    <col min="6424" max="6424" width="10.140625" style="547" bestFit="1" customWidth="1"/>
    <col min="6425" max="6428" width="9.140625" style="547" bestFit="1" customWidth="1"/>
    <col min="6429" max="6663" width="9.140625" style="547"/>
    <col min="6664" max="6664" width="14.42578125" style="547" customWidth="1"/>
    <col min="6665" max="6665" width="18.140625" style="547" customWidth="1"/>
    <col min="6666" max="6666" width="13.140625" style="547" bestFit="1" customWidth="1"/>
    <col min="6667" max="6670" width="10.5703125" style="547" bestFit="1" customWidth="1"/>
    <col min="6671" max="6671" width="9.140625" style="547"/>
    <col min="6672" max="6672" width="10.5703125" style="547" bestFit="1" customWidth="1"/>
    <col min="6673" max="6673" width="11.7109375" style="547" bestFit="1" customWidth="1"/>
    <col min="6674" max="6674" width="18.7109375" style="547" bestFit="1" customWidth="1"/>
    <col min="6675" max="6676" width="13.42578125" style="547" bestFit="1" customWidth="1"/>
    <col min="6677" max="6679" width="11.7109375" style="547" bestFit="1" customWidth="1"/>
    <col min="6680" max="6680" width="10.140625" style="547" bestFit="1" customWidth="1"/>
    <col min="6681" max="6684" width="9.140625" style="547" bestFit="1" customWidth="1"/>
    <col min="6685" max="6919" width="9.140625" style="547"/>
    <col min="6920" max="6920" width="14.42578125" style="547" customWidth="1"/>
    <col min="6921" max="6921" width="18.140625" style="547" customWidth="1"/>
    <col min="6922" max="6922" width="13.140625" style="547" bestFit="1" customWidth="1"/>
    <col min="6923" max="6926" width="10.5703125" style="547" bestFit="1" customWidth="1"/>
    <col min="6927" max="6927" width="9.140625" style="547"/>
    <col min="6928" max="6928" width="10.5703125" style="547" bestFit="1" customWidth="1"/>
    <col min="6929" max="6929" width="11.7109375" style="547" bestFit="1" customWidth="1"/>
    <col min="6930" max="6930" width="18.7109375" style="547" bestFit="1" customWidth="1"/>
    <col min="6931" max="6932" width="13.42578125" style="547" bestFit="1" customWidth="1"/>
    <col min="6933" max="6935" width="11.7109375" style="547" bestFit="1" customWidth="1"/>
    <col min="6936" max="6936" width="10.140625" style="547" bestFit="1" customWidth="1"/>
    <col min="6937" max="6940" width="9.140625" style="547" bestFit="1" customWidth="1"/>
    <col min="6941" max="7175" width="9.140625" style="547"/>
    <col min="7176" max="7176" width="14.42578125" style="547" customWidth="1"/>
    <col min="7177" max="7177" width="18.140625" style="547" customWidth="1"/>
    <col min="7178" max="7178" width="13.140625" style="547" bestFit="1" customWidth="1"/>
    <col min="7179" max="7182" width="10.5703125" style="547" bestFit="1" customWidth="1"/>
    <col min="7183" max="7183" width="9.140625" style="547"/>
    <col min="7184" max="7184" width="10.5703125" style="547" bestFit="1" customWidth="1"/>
    <col min="7185" max="7185" width="11.7109375" style="547" bestFit="1" customWidth="1"/>
    <col min="7186" max="7186" width="18.7109375" style="547" bestFit="1" customWidth="1"/>
    <col min="7187" max="7188" width="13.42578125" style="547" bestFit="1" customWidth="1"/>
    <col min="7189" max="7191" width="11.7109375" style="547" bestFit="1" customWidth="1"/>
    <col min="7192" max="7192" width="10.140625" style="547" bestFit="1" customWidth="1"/>
    <col min="7193" max="7196" width="9.140625" style="547" bestFit="1" customWidth="1"/>
    <col min="7197" max="7431" width="9.140625" style="547"/>
    <col min="7432" max="7432" width="14.42578125" style="547" customWidth="1"/>
    <col min="7433" max="7433" width="18.140625" style="547" customWidth="1"/>
    <col min="7434" max="7434" width="13.140625" style="547" bestFit="1" customWidth="1"/>
    <col min="7435" max="7438" width="10.5703125" style="547" bestFit="1" customWidth="1"/>
    <col min="7439" max="7439" width="9.140625" style="547"/>
    <col min="7440" max="7440" width="10.5703125" style="547" bestFit="1" customWidth="1"/>
    <col min="7441" max="7441" width="11.7109375" style="547" bestFit="1" customWidth="1"/>
    <col min="7442" max="7442" width="18.7109375" style="547" bestFit="1" customWidth="1"/>
    <col min="7443" max="7444" width="13.42578125" style="547" bestFit="1" customWidth="1"/>
    <col min="7445" max="7447" width="11.7109375" style="547" bestFit="1" customWidth="1"/>
    <col min="7448" max="7448" width="10.140625" style="547" bestFit="1" customWidth="1"/>
    <col min="7449" max="7452" width="9.140625" style="547" bestFit="1" customWidth="1"/>
    <col min="7453" max="7687" width="9.140625" style="547"/>
    <col min="7688" max="7688" width="14.42578125" style="547" customWidth="1"/>
    <col min="7689" max="7689" width="18.140625" style="547" customWidth="1"/>
    <col min="7690" max="7690" width="13.140625" style="547" bestFit="1" customWidth="1"/>
    <col min="7691" max="7694" width="10.5703125" style="547" bestFit="1" customWidth="1"/>
    <col min="7695" max="7695" width="9.140625" style="547"/>
    <col min="7696" max="7696" width="10.5703125" style="547" bestFit="1" customWidth="1"/>
    <col min="7697" max="7697" width="11.7109375" style="547" bestFit="1" customWidth="1"/>
    <col min="7698" max="7698" width="18.7109375" style="547" bestFit="1" customWidth="1"/>
    <col min="7699" max="7700" width="13.42578125" style="547" bestFit="1" customWidth="1"/>
    <col min="7701" max="7703" width="11.7109375" style="547" bestFit="1" customWidth="1"/>
    <col min="7704" max="7704" width="10.140625" style="547" bestFit="1" customWidth="1"/>
    <col min="7705" max="7708" width="9.140625" style="547" bestFit="1" customWidth="1"/>
    <col min="7709" max="7943" width="9.140625" style="547"/>
    <col min="7944" max="7944" width="14.42578125" style="547" customWidth="1"/>
    <col min="7945" max="7945" width="18.140625" style="547" customWidth="1"/>
    <col min="7946" max="7946" width="13.140625" style="547" bestFit="1" customWidth="1"/>
    <col min="7947" max="7950" width="10.5703125" style="547" bestFit="1" customWidth="1"/>
    <col min="7951" max="7951" width="9.140625" style="547"/>
    <col min="7952" max="7952" width="10.5703125" style="547" bestFit="1" customWidth="1"/>
    <col min="7953" max="7953" width="11.7109375" style="547" bestFit="1" customWidth="1"/>
    <col min="7954" max="7954" width="18.7109375" style="547" bestFit="1" customWidth="1"/>
    <col min="7955" max="7956" width="13.42578125" style="547" bestFit="1" customWidth="1"/>
    <col min="7957" max="7959" width="11.7109375" style="547" bestFit="1" customWidth="1"/>
    <col min="7960" max="7960" width="10.140625" style="547" bestFit="1" customWidth="1"/>
    <col min="7961" max="7964" width="9.140625" style="547" bestFit="1" customWidth="1"/>
    <col min="7965" max="8199" width="9.140625" style="547"/>
    <col min="8200" max="8200" width="14.42578125" style="547" customWidth="1"/>
    <col min="8201" max="8201" width="18.140625" style="547" customWidth="1"/>
    <col min="8202" max="8202" width="13.140625" style="547" bestFit="1" customWidth="1"/>
    <col min="8203" max="8206" width="10.5703125" style="547" bestFit="1" customWidth="1"/>
    <col min="8207" max="8207" width="9.140625" style="547"/>
    <col min="8208" max="8208" width="10.5703125" style="547" bestFit="1" customWidth="1"/>
    <col min="8209" max="8209" width="11.7109375" style="547" bestFit="1" customWidth="1"/>
    <col min="8210" max="8210" width="18.7109375" style="547" bestFit="1" customWidth="1"/>
    <col min="8211" max="8212" width="13.42578125" style="547" bestFit="1" customWidth="1"/>
    <col min="8213" max="8215" width="11.7109375" style="547" bestFit="1" customWidth="1"/>
    <col min="8216" max="8216" width="10.140625" style="547" bestFit="1" customWidth="1"/>
    <col min="8217" max="8220" width="9.140625" style="547" bestFit="1" customWidth="1"/>
    <col min="8221" max="8455" width="9.140625" style="547"/>
    <col min="8456" max="8456" width="14.42578125" style="547" customWidth="1"/>
    <col min="8457" max="8457" width="18.140625" style="547" customWidth="1"/>
    <col min="8458" max="8458" width="13.140625" style="547" bestFit="1" customWidth="1"/>
    <col min="8459" max="8462" width="10.5703125" style="547" bestFit="1" customWidth="1"/>
    <col min="8463" max="8463" width="9.140625" style="547"/>
    <col min="8464" max="8464" width="10.5703125" style="547" bestFit="1" customWidth="1"/>
    <col min="8465" max="8465" width="11.7109375" style="547" bestFit="1" customWidth="1"/>
    <col min="8466" max="8466" width="18.7109375" style="547" bestFit="1" customWidth="1"/>
    <col min="8467" max="8468" width="13.42578125" style="547" bestFit="1" customWidth="1"/>
    <col min="8469" max="8471" width="11.7109375" style="547" bestFit="1" customWidth="1"/>
    <col min="8472" max="8472" width="10.140625" style="547" bestFit="1" customWidth="1"/>
    <col min="8473" max="8476" width="9.140625" style="547" bestFit="1" customWidth="1"/>
    <col min="8477" max="8711" width="9.140625" style="547"/>
    <col min="8712" max="8712" width="14.42578125" style="547" customWidth="1"/>
    <col min="8713" max="8713" width="18.140625" style="547" customWidth="1"/>
    <col min="8714" max="8714" width="13.140625" style="547" bestFit="1" customWidth="1"/>
    <col min="8715" max="8718" width="10.5703125" style="547" bestFit="1" customWidth="1"/>
    <col min="8719" max="8719" width="9.140625" style="547"/>
    <col min="8720" max="8720" width="10.5703125" style="547" bestFit="1" customWidth="1"/>
    <col min="8721" max="8721" width="11.7109375" style="547" bestFit="1" customWidth="1"/>
    <col min="8722" max="8722" width="18.7109375" style="547" bestFit="1" customWidth="1"/>
    <col min="8723" max="8724" width="13.42578125" style="547" bestFit="1" customWidth="1"/>
    <col min="8725" max="8727" width="11.7109375" style="547" bestFit="1" customWidth="1"/>
    <col min="8728" max="8728" width="10.140625" style="547" bestFit="1" customWidth="1"/>
    <col min="8729" max="8732" width="9.140625" style="547" bestFit="1" customWidth="1"/>
    <col min="8733" max="8967" width="9.140625" style="547"/>
    <col min="8968" max="8968" width="14.42578125" style="547" customWidth="1"/>
    <col min="8969" max="8969" width="18.140625" style="547" customWidth="1"/>
    <col min="8970" max="8970" width="13.140625" style="547" bestFit="1" customWidth="1"/>
    <col min="8971" max="8974" width="10.5703125" style="547" bestFit="1" customWidth="1"/>
    <col min="8975" max="8975" width="9.140625" style="547"/>
    <col min="8976" max="8976" width="10.5703125" style="547" bestFit="1" customWidth="1"/>
    <col min="8977" max="8977" width="11.7109375" style="547" bestFit="1" customWidth="1"/>
    <col min="8978" max="8978" width="18.7109375" style="547" bestFit="1" customWidth="1"/>
    <col min="8979" max="8980" width="13.42578125" style="547" bestFit="1" customWidth="1"/>
    <col min="8981" max="8983" width="11.7109375" style="547" bestFit="1" customWidth="1"/>
    <col min="8984" max="8984" width="10.140625" style="547" bestFit="1" customWidth="1"/>
    <col min="8985" max="8988" width="9.140625" style="547" bestFit="1" customWidth="1"/>
    <col min="8989" max="9223" width="9.140625" style="547"/>
    <col min="9224" max="9224" width="14.42578125" style="547" customWidth="1"/>
    <col min="9225" max="9225" width="18.140625" style="547" customWidth="1"/>
    <col min="9226" max="9226" width="13.140625" style="547" bestFit="1" customWidth="1"/>
    <col min="9227" max="9230" width="10.5703125" style="547" bestFit="1" customWidth="1"/>
    <col min="9231" max="9231" width="9.140625" style="547"/>
    <col min="9232" max="9232" width="10.5703125" style="547" bestFit="1" customWidth="1"/>
    <col min="9233" max="9233" width="11.7109375" style="547" bestFit="1" customWidth="1"/>
    <col min="9234" max="9234" width="18.7109375" style="547" bestFit="1" customWidth="1"/>
    <col min="9235" max="9236" width="13.42578125" style="547" bestFit="1" customWidth="1"/>
    <col min="9237" max="9239" width="11.7109375" style="547" bestFit="1" customWidth="1"/>
    <col min="9240" max="9240" width="10.140625" style="547" bestFit="1" customWidth="1"/>
    <col min="9241" max="9244" width="9.140625" style="547" bestFit="1" customWidth="1"/>
    <col min="9245" max="9479" width="9.140625" style="547"/>
    <col min="9480" max="9480" width="14.42578125" style="547" customWidth="1"/>
    <col min="9481" max="9481" width="18.140625" style="547" customWidth="1"/>
    <col min="9482" max="9482" width="13.140625" style="547" bestFit="1" customWidth="1"/>
    <col min="9483" max="9486" width="10.5703125" style="547" bestFit="1" customWidth="1"/>
    <col min="9487" max="9487" width="9.140625" style="547"/>
    <col min="9488" max="9488" width="10.5703125" style="547" bestFit="1" customWidth="1"/>
    <col min="9489" max="9489" width="11.7109375" style="547" bestFit="1" customWidth="1"/>
    <col min="9490" max="9490" width="18.7109375" style="547" bestFit="1" customWidth="1"/>
    <col min="9491" max="9492" width="13.42578125" style="547" bestFit="1" customWidth="1"/>
    <col min="9493" max="9495" width="11.7109375" style="547" bestFit="1" customWidth="1"/>
    <col min="9496" max="9496" width="10.140625" style="547" bestFit="1" customWidth="1"/>
    <col min="9497" max="9500" width="9.140625" style="547" bestFit="1" customWidth="1"/>
    <col min="9501" max="9735" width="9.140625" style="547"/>
    <col min="9736" max="9736" width="14.42578125" style="547" customWidth="1"/>
    <col min="9737" max="9737" width="18.140625" style="547" customWidth="1"/>
    <col min="9738" max="9738" width="13.140625" style="547" bestFit="1" customWidth="1"/>
    <col min="9739" max="9742" width="10.5703125" style="547" bestFit="1" customWidth="1"/>
    <col min="9743" max="9743" width="9.140625" style="547"/>
    <col min="9744" max="9744" width="10.5703125" style="547" bestFit="1" customWidth="1"/>
    <col min="9745" max="9745" width="11.7109375" style="547" bestFit="1" customWidth="1"/>
    <col min="9746" max="9746" width="18.7109375" style="547" bestFit="1" customWidth="1"/>
    <col min="9747" max="9748" width="13.42578125" style="547" bestFit="1" customWidth="1"/>
    <col min="9749" max="9751" width="11.7109375" style="547" bestFit="1" customWidth="1"/>
    <col min="9752" max="9752" width="10.140625" style="547" bestFit="1" customWidth="1"/>
    <col min="9753" max="9756" width="9.140625" style="547" bestFit="1" customWidth="1"/>
    <col min="9757" max="9991" width="9.140625" style="547"/>
    <col min="9992" max="9992" width="14.42578125" style="547" customWidth="1"/>
    <col min="9993" max="9993" width="18.140625" style="547" customWidth="1"/>
    <col min="9994" max="9994" width="13.140625" style="547" bestFit="1" customWidth="1"/>
    <col min="9995" max="9998" width="10.5703125" style="547" bestFit="1" customWidth="1"/>
    <col min="9999" max="9999" width="9.140625" style="547"/>
    <col min="10000" max="10000" width="10.5703125" style="547" bestFit="1" customWidth="1"/>
    <col min="10001" max="10001" width="11.7109375" style="547" bestFit="1" customWidth="1"/>
    <col min="10002" max="10002" width="18.7109375" style="547" bestFit="1" customWidth="1"/>
    <col min="10003" max="10004" width="13.42578125" style="547" bestFit="1" customWidth="1"/>
    <col min="10005" max="10007" width="11.7109375" style="547" bestFit="1" customWidth="1"/>
    <col min="10008" max="10008" width="10.140625" style="547" bestFit="1" customWidth="1"/>
    <col min="10009" max="10012" width="9.140625" style="547" bestFit="1" customWidth="1"/>
    <col min="10013" max="10247" width="9.140625" style="547"/>
    <col min="10248" max="10248" width="14.42578125" style="547" customWidth="1"/>
    <col min="10249" max="10249" width="18.140625" style="547" customWidth="1"/>
    <col min="10250" max="10250" width="13.140625" style="547" bestFit="1" customWidth="1"/>
    <col min="10251" max="10254" width="10.5703125" style="547" bestFit="1" customWidth="1"/>
    <col min="10255" max="10255" width="9.140625" style="547"/>
    <col min="10256" max="10256" width="10.5703125" style="547" bestFit="1" customWidth="1"/>
    <col min="10257" max="10257" width="11.7109375" style="547" bestFit="1" customWidth="1"/>
    <col min="10258" max="10258" width="18.7109375" style="547" bestFit="1" customWidth="1"/>
    <col min="10259" max="10260" width="13.42578125" style="547" bestFit="1" customWidth="1"/>
    <col min="10261" max="10263" width="11.7109375" style="547" bestFit="1" customWidth="1"/>
    <col min="10264" max="10264" width="10.140625" style="547" bestFit="1" customWidth="1"/>
    <col min="10265" max="10268" width="9.140625" style="547" bestFit="1" customWidth="1"/>
    <col min="10269" max="10503" width="9.140625" style="547"/>
    <col min="10504" max="10504" width="14.42578125" style="547" customWidth="1"/>
    <col min="10505" max="10505" width="18.140625" style="547" customWidth="1"/>
    <col min="10506" max="10506" width="13.140625" style="547" bestFit="1" customWidth="1"/>
    <col min="10507" max="10510" width="10.5703125" style="547" bestFit="1" customWidth="1"/>
    <col min="10511" max="10511" width="9.140625" style="547"/>
    <col min="10512" max="10512" width="10.5703125" style="547" bestFit="1" customWidth="1"/>
    <col min="10513" max="10513" width="11.7109375" style="547" bestFit="1" customWidth="1"/>
    <col min="10514" max="10514" width="18.7109375" style="547" bestFit="1" customWidth="1"/>
    <col min="10515" max="10516" width="13.42578125" style="547" bestFit="1" customWidth="1"/>
    <col min="10517" max="10519" width="11.7109375" style="547" bestFit="1" customWidth="1"/>
    <col min="10520" max="10520" width="10.140625" style="547" bestFit="1" customWidth="1"/>
    <col min="10521" max="10524" width="9.140625" style="547" bestFit="1" customWidth="1"/>
    <col min="10525" max="10759" width="9.140625" style="547"/>
    <col min="10760" max="10760" width="14.42578125" style="547" customWidth="1"/>
    <col min="10761" max="10761" width="18.140625" style="547" customWidth="1"/>
    <col min="10762" max="10762" width="13.140625" style="547" bestFit="1" customWidth="1"/>
    <col min="10763" max="10766" width="10.5703125" style="547" bestFit="1" customWidth="1"/>
    <col min="10767" max="10767" width="9.140625" style="547"/>
    <col min="10768" max="10768" width="10.5703125" style="547" bestFit="1" customWidth="1"/>
    <col min="10769" max="10769" width="11.7109375" style="547" bestFit="1" customWidth="1"/>
    <col min="10770" max="10770" width="18.7109375" style="547" bestFit="1" customWidth="1"/>
    <col min="10771" max="10772" width="13.42578125" style="547" bestFit="1" customWidth="1"/>
    <col min="10773" max="10775" width="11.7109375" style="547" bestFit="1" customWidth="1"/>
    <col min="10776" max="10776" width="10.140625" style="547" bestFit="1" customWidth="1"/>
    <col min="10777" max="10780" width="9.140625" style="547" bestFit="1" customWidth="1"/>
    <col min="10781" max="11015" width="9.140625" style="547"/>
    <col min="11016" max="11016" width="14.42578125" style="547" customWidth="1"/>
    <col min="11017" max="11017" width="18.140625" style="547" customWidth="1"/>
    <col min="11018" max="11018" width="13.140625" style="547" bestFit="1" customWidth="1"/>
    <col min="11019" max="11022" width="10.5703125" style="547" bestFit="1" customWidth="1"/>
    <col min="11023" max="11023" width="9.140625" style="547"/>
    <col min="11024" max="11024" width="10.5703125" style="547" bestFit="1" customWidth="1"/>
    <col min="11025" max="11025" width="11.7109375" style="547" bestFit="1" customWidth="1"/>
    <col min="11026" max="11026" width="18.7109375" style="547" bestFit="1" customWidth="1"/>
    <col min="11027" max="11028" width="13.42578125" style="547" bestFit="1" customWidth="1"/>
    <col min="11029" max="11031" width="11.7109375" style="547" bestFit="1" customWidth="1"/>
    <col min="11032" max="11032" width="10.140625" style="547" bestFit="1" customWidth="1"/>
    <col min="11033" max="11036" width="9.140625" style="547" bestFit="1" customWidth="1"/>
    <col min="11037" max="11271" width="9.140625" style="547"/>
    <col min="11272" max="11272" width="14.42578125" style="547" customWidth="1"/>
    <col min="11273" max="11273" width="18.140625" style="547" customWidth="1"/>
    <col min="11274" max="11274" width="13.140625" style="547" bestFit="1" customWidth="1"/>
    <col min="11275" max="11278" width="10.5703125" style="547" bestFit="1" customWidth="1"/>
    <col min="11279" max="11279" width="9.140625" style="547"/>
    <col min="11280" max="11280" width="10.5703125" style="547" bestFit="1" customWidth="1"/>
    <col min="11281" max="11281" width="11.7109375" style="547" bestFit="1" customWidth="1"/>
    <col min="11282" max="11282" width="18.7109375" style="547" bestFit="1" customWidth="1"/>
    <col min="11283" max="11284" width="13.42578125" style="547" bestFit="1" customWidth="1"/>
    <col min="11285" max="11287" width="11.7109375" style="547" bestFit="1" customWidth="1"/>
    <col min="11288" max="11288" width="10.140625" style="547" bestFit="1" customWidth="1"/>
    <col min="11289" max="11292" width="9.140625" style="547" bestFit="1" customWidth="1"/>
    <col min="11293" max="11527" width="9.140625" style="547"/>
    <col min="11528" max="11528" width="14.42578125" style="547" customWidth="1"/>
    <col min="11529" max="11529" width="18.140625" style="547" customWidth="1"/>
    <col min="11530" max="11530" width="13.140625" style="547" bestFit="1" customWidth="1"/>
    <col min="11531" max="11534" width="10.5703125" style="547" bestFit="1" customWidth="1"/>
    <col min="11535" max="11535" width="9.140625" style="547"/>
    <col min="11536" max="11536" width="10.5703125" style="547" bestFit="1" customWidth="1"/>
    <col min="11537" max="11537" width="11.7109375" style="547" bestFit="1" customWidth="1"/>
    <col min="11538" max="11538" width="18.7109375" style="547" bestFit="1" customWidth="1"/>
    <col min="11539" max="11540" width="13.42578125" style="547" bestFit="1" customWidth="1"/>
    <col min="11541" max="11543" width="11.7109375" style="547" bestFit="1" customWidth="1"/>
    <col min="11544" max="11544" width="10.140625" style="547" bestFit="1" customWidth="1"/>
    <col min="11545" max="11548" width="9.140625" style="547" bestFit="1" customWidth="1"/>
    <col min="11549" max="11783" width="9.140625" style="547"/>
    <col min="11784" max="11784" width="14.42578125" style="547" customWidth="1"/>
    <col min="11785" max="11785" width="18.140625" style="547" customWidth="1"/>
    <col min="11786" max="11786" width="13.140625" style="547" bestFit="1" customWidth="1"/>
    <col min="11787" max="11790" width="10.5703125" style="547" bestFit="1" customWidth="1"/>
    <col min="11791" max="11791" width="9.140625" style="547"/>
    <col min="11792" max="11792" width="10.5703125" style="547" bestFit="1" customWidth="1"/>
    <col min="11793" max="11793" width="11.7109375" style="547" bestFit="1" customWidth="1"/>
    <col min="11794" max="11794" width="18.7109375" style="547" bestFit="1" customWidth="1"/>
    <col min="11795" max="11796" width="13.42578125" style="547" bestFit="1" customWidth="1"/>
    <col min="11797" max="11799" width="11.7109375" style="547" bestFit="1" customWidth="1"/>
    <col min="11800" max="11800" width="10.140625" style="547" bestFit="1" customWidth="1"/>
    <col min="11801" max="11804" width="9.140625" style="547" bestFit="1" customWidth="1"/>
    <col min="11805" max="12039" width="9.140625" style="547"/>
    <col min="12040" max="12040" width="14.42578125" style="547" customWidth="1"/>
    <col min="12041" max="12041" width="18.140625" style="547" customWidth="1"/>
    <col min="12042" max="12042" width="13.140625" style="547" bestFit="1" customWidth="1"/>
    <col min="12043" max="12046" width="10.5703125" style="547" bestFit="1" customWidth="1"/>
    <col min="12047" max="12047" width="9.140625" style="547"/>
    <col min="12048" max="12048" width="10.5703125" style="547" bestFit="1" customWidth="1"/>
    <col min="12049" max="12049" width="11.7109375" style="547" bestFit="1" customWidth="1"/>
    <col min="12050" max="12050" width="18.7109375" style="547" bestFit="1" customWidth="1"/>
    <col min="12051" max="12052" width="13.42578125" style="547" bestFit="1" customWidth="1"/>
    <col min="12053" max="12055" width="11.7109375" style="547" bestFit="1" customWidth="1"/>
    <col min="12056" max="12056" width="10.140625" style="547" bestFit="1" customWidth="1"/>
    <col min="12057" max="12060" width="9.140625" style="547" bestFit="1" customWidth="1"/>
    <col min="12061" max="12295" width="9.140625" style="547"/>
    <col min="12296" max="12296" width="14.42578125" style="547" customWidth="1"/>
    <col min="12297" max="12297" width="18.140625" style="547" customWidth="1"/>
    <col min="12298" max="12298" width="13.140625" style="547" bestFit="1" customWidth="1"/>
    <col min="12299" max="12302" width="10.5703125" style="547" bestFit="1" customWidth="1"/>
    <col min="12303" max="12303" width="9.140625" style="547"/>
    <col min="12304" max="12304" width="10.5703125" style="547" bestFit="1" customWidth="1"/>
    <col min="12305" max="12305" width="11.7109375" style="547" bestFit="1" customWidth="1"/>
    <col min="12306" max="12306" width="18.7109375" style="547" bestFit="1" customWidth="1"/>
    <col min="12307" max="12308" width="13.42578125" style="547" bestFit="1" customWidth="1"/>
    <col min="12309" max="12311" width="11.7109375" style="547" bestFit="1" customWidth="1"/>
    <col min="12312" max="12312" width="10.140625" style="547" bestFit="1" customWidth="1"/>
    <col min="12313" max="12316" width="9.140625" style="547" bestFit="1" customWidth="1"/>
    <col min="12317" max="12551" width="9.140625" style="547"/>
    <col min="12552" max="12552" width="14.42578125" style="547" customWidth="1"/>
    <col min="12553" max="12553" width="18.140625" style="547" customWidth="1"/>
    <col min="12554" max="12554" width="13.140625" style="547" bestFit="1" customWidth="1"/>
    <col min="12555" max="12558" width="10.5703125" style="547" bestFit="1" customWidth="1"/>
    <col min="12559" max="12559" width="9.140625" style="547"/>
    <col min="12560" max="12560" width="10.5703125" style="547" bestFit="1" customWidth="1"/>
    <col min="12561" max="12561" width="11.7109375" style="547" bestFit="1" customWidth="1"/>
    <col min="12562" max="12562" width="18.7109375" style="547" bestFit="1" customWidth="1"/>
    <col min="12563" max="12564" width="13.42578125" style="547" bestFit="1" customWidth="1"/>
    <col min="12565" max="12567" width="11.7109375" style="547" bestFit="1" customWidth="1"/>
    <col min="12568" max="12568" width="10.140625" style="547" bestFit="1" customWidth="1"/>
    <col min="12569" max="12572" width="9.140625" style="547" bestFit="1" customWidth="1"/>
    <col min="12573" max="12807" width="9.140625" style="547"/>
    <col min="12808" max="12808" width="14.42578125" style="547" customWidth="1"/>
    <col min="12809" max="12809" width="18.140625" style="547" customWidth="1"/>
    <col min="12810" max="12810" width="13.140625" style="547" bestFit="1" customWidth="1"/>
    <col min="12811" max="12814" width="10.5703125" style="547" bestFit="1" customWidth="1"/>
    <col min="12815" max="12815" width="9.140625" style="547"/>
    <col min="12816" max="12816" width="10.5703125" style="547" bestFit="1" customWidth="1"/>
    <col min="12817" max="12817" width="11.7109375" style="547" bestFit="1" customWidth="1"/>
    <col min="12818" max="12818" width="18.7109375" style="547" bestFit="1" customWidth="1"/>
    <col min="12819" max="12820" width="13.42578125" style="547" bestFit="1" customWidth="1"/>
    <col min="12821" max="12823" width="11.7109375" style="547" bestFit="1" customWidth="1"/>
    <col min="12824" max="12824" width="10.140625" style="547" bestFit="1" customWidth="1"/>
    <col min="12825" max="12828" width="9.140625" style="547" bestFit="1" customWidth="1"/>
    <col min="12829" max="13063" width="9.140625" style="547"/>
    <col min="13064" max="13064" width="14.42578125" style="547" customWidth="1"/>
    <col min="13065" max="13065" width="18.140625" style="547" customWidth="1"/>
    <col min="13066" max="13066" width="13.140625" style="547" bestFit="1" customWidth="1"/>
    <col min="13067" max="13070" width="10.5703125" style="547" bestFit="1" customWidth="1"/>
    <col min="13071" max="13071" width="9.140625" style="547"/>
    <col min="13072" max="13072" width="10.5703125" style="547" bestFit="1" customWidth="1"/>
    <col min="13073" max="13073" width="11.7109375" style="547" bestFit="1" customWidth="1"/>
    <col min="13074" max="13074" width="18.7109375" style="547" bestFit="1" customWidth="1"/>
    <col min="13075" max="13076" width="13.42578125" style="547" bestFit="1" customWidth="1"/>
    <col min="13077" max="13079" width="11.7109375" style="547" bestFit="1" customWidth="1"/>
    <col min="13080" max="13080" width="10.140625" style="547" bestFit="1" customWidth="1"/>
    <col min="13081" max="13084" width="9.140625" style="547" bestFit="1" customWidth="1"/>
    <col min="13085" max="13319" width="9.140625" style="547"/>
    <col min="13320" max="13320" width="14.42578125" style="547" customWidth="1"/>
    <col min="13321" max="13321" width="18.140625" style="547" customWidth="1"/>
    <col min="13322" max="13322" width="13.140625" style="547" bestFit="1" customWidth="1"/>
    <col min="13323" max="13326" width="10.5703125" style="547" bestFit="1" customWidth="1"/>
    <col min="13327" max="13327" width="9.140625" style="547"/>
    <col min="13328" max="13328" width="10.5703125" style="547" bestFit="1" customWidth="1"/>
    <col min="13329" max="13329" width="11.7109375" style="547" bestFit="1" customWidth="1"/>
    <col min="13330" max="13330" width="18.7109375" style="547" bestFit="1" customWidth="1"/>
    <col min="13331" max="13332" width="13.42578125" style="547" bestFit="1" customWidth="1"/>
    <col min="13333" max="13335" width="11.7109375" style="547" bestFit="1" customWidth="1"/>
    <col min="13336" max="13336" width="10.140625" style="547" bestFit="1" customWidth="1"/>
    <col min="13337" max="13340" width="9.140625" style="547" bestFit="1" customWidth="1"/>
    <col min="13341" max="13575" width="9.140625" style="547"/>
    <col min="13576" max="13576" width="14.42578125" style="547" customWidth="1"/>
    <col min="13577" max="13577" width="18.140625" style="547" customWidth="1"/>
    <col min="13578" max="13578" width="13.140625" style="547" bestFit="1" customWidth="1"/>
    <col min="13579" max="13582" width="10.5703125" style="547" bestFit="1" customWidth="1"/>
    <col min="13583" max="13583" width="9.140625" style="547"/>
    <col min="13584" max="13584" width="10.5703125" style="547" bestFit="1" customWidth="1"/>
    <col min="13585" max="13585" width="11.7109375" style="547" bestFit="1" customWidth="1"/>
    <col min="13586" max="13586" width="18.7109375" style="547" bestFit="1" customWidth="1"/>
    <col min="13587" max="13588" width="13.42578125" style="547" bestFit="1" customWidth="1"/>
    <col min="13589" max="13591" width="11.7109375" style="547" bestFit="1" customWidth="1"/>
    <col min="13592" max="13592" width="10.140625" style="547" bestFit="1" customWidth="1"/>
    <col min="13593" max="13596" width="9.140625" style="547" bestFit="1" customWidth="1"/>
    <col min="13597" max="13831" width="9.140625" style="547"/>
    <col min="13832" max="13832" width="14.42578125" style="547" customWidth="1"/>
    <col min="13833" max="13833" width="18.140625" style="547" customWidth="1"/>
    <col min="13834" max="13834" width="13.140625" style="547" bestFit="1" customWidth="1"/>
    <col min="13835" max="13838" width="10.5703125" style="547" bestFit="1" customWidth="1"/>
    <col min="13839" max="13839" width="9.140625" style="547"/>
    <col min="13840" max="13840" width="10.5703125" style="547" bestFit="1" customWidth="1"/>
    <col min="13841" max="13841" width="11.7109375" style="547" bestFit="1" customWidth="1"/>
    <col min="13842" max="13842" width="18.7109375" style="547" bestFit="1" customWidth="1"/>
    <col min="13843" max="13844" width="13.42578125" style="547" bestFit="1" customWidth="1"/>
    <col min="13845" max="13847" width="11.7109375" style="547" bestFit="1" customWidth="1"/>
    <col min="13848" max="13848" width="10.140625" style="547" bestFit="1" customWidth="1"/>
    <col min="13849" max="13852" width="9.140625" style="547" bestFit="1" customWidth="1"/>
    <col min="13853" max="14087" width="9.140625" style="547"/>
    <col min="14088" max="14088" width="14.42578125" style="547" customWidth="1"/>
    <col min="14089" max="14089" width="18.140625" style="547" customWidth="1"/>
    <col min="14090" max="14090" width="13.140625" style="547" bestFit="1" customWidth="1"/>
    <col min="14091" max="14094" width="10.5703125" style="547" bestFit="1" customWidth="1"/>
    <col min="14095" max="14095" width="9.140625" style="547"/>
    <col min="14096" max="14096" width="10.5703125" style="547" bestFit="1" customWidth="1"/>
    <col min="14097" max="14097" width="11.7109375" style="547" bestFit="1" customWidth="1"/>
    <col min="14098" max="14098" width="18.7109375" style="547" bestFit="1" customWidth="1"/>
    <col min="14099" max="14100" width="13.42578125" style="547" bestFit="1" customWidth="1"/>
    <col min="14101" max="14103" width="11.7109375" style="547" bestFit="1" customWidth="1"/>
    <col min="14104" max="14104" width="10.140625" style="547" bestFit="1" customWidth="1"/>
    <col min="14105" max="14108" width="9.140625" style="547" bestFit="1" customWidth="1"/>
    <col min="14109" max="14343" width="9.140625" style="547"/>
    <col min="14344" max="14344" width="14.42578125" style="547" customWidth="1"/>
    <col min="14345" max="14345" width="18.140625" style="547" customWidth="1"/>
    <col min="14346" max="14346" width="13.140625" style="547" bestFit="1" customWidth="1"/>
    <col min="14347" max="14350" width="10.5703125" style="547" bestFit="1" customWidth="1"/>
    <col min="14351" max="14351" width="9.140625" style="547"/>
    <col min="14352" max="14352" width="10.5703125" style="547" bestFit="1" customWidth="1"/>
    <col min="14353" max="14353" width="11.7109375" style="547" bestFit="1" customWidth="1"/>
    <col min="14354" max="14354" width="18.7109375" style="547" bestFit="1" customWidth="1"/>
    <col min="14355" max="14356" width="13.42578125" style="547" bestFit="1" customWidth="1"/>
    <col min="14357" max="14359" width="11.7109375" style="547" bestFit="1" customWidth="1"/>
    <col min="14360" max="14360" width="10.140625" style="547" bestFit="1" customWidth="1"/>
    <col min="14361" max="14364" width="9.140625" style="547" bestFit="1" customWidth="1"/>
    <col min="14365" max="14599" width="9.140625" style="547"/>
    <col min="14600" max="14600" width="14.42578125" style="547" customWidth="1"/>
    <col min="14601" max="14601" width="18.140625" style="547" customWidth="1"/>
    <col min="14602" max="14602" width="13.140625" style="547" bestFit="1" customWidth="1"/>
    <col min="14603" max="14606" width="10.5703125" style="547" bestFit="1" customWidth="1"/>
    <col min="14607" max="14607" width="9.140625" style="547"/>
    <col min="14608" max="14608" width="10.5703125" style="547" bestFit="1" customWidth="1"/>
    <col min="14609" max="14609" width="11.7109375" style="547" bestFit="1" customWidth="1"/>
    <col min="14610" max="14610" width="18.7109375" style="547" bestFit="1" customWidth="1"/>
    <col min="14611" max="14612" width="13.42578125" style="547" bestFit="1" customWidth="1"/>
    <col min="14613" max="14615" width="11.7109375" style="547" bestFit="1" customWidth="1"/>
    <col min="14616" max="14616" width="10.140625" style="547" bestFit="1" customWidth="1"/>
    <col min="14617" max="14620" width="9.140625" style="547" bestFit="1" customWidth="1"/>
    <col min="14621" max="14855" width="9.140625" style="547"/>
    <col min="14856" max="14856" width="14.42578125" style="547" customWidth="1"/>
    <col min="14857" max="14857" width="18.140625" style="547" customWidth="1"/>
    <col min="14858" max="14858" width="13.140625" style="547" bestFit="1" customWidth="1"/>
    <col min="14859" max="14862" width="10.5703125" style="547" bestFit="1" customWidth="1"/>
    <col min="14863" max="14863" width="9.140625" style="547"/>
    <col min="14864" max="14864" width="10.5703125" style="547" bestFit="1" customWidth="1"/>
    <col min="14865" max="14865" width="11.7109375" style="547" bestFit="1" customWidth="1"/>
    <col min="14866" max="14866" width="18.7109375" style="547" bestFit="1" customWidth="1"/>
    <col min="14867" max="14868" width="13.42578125" style="547" bestFit="1" customWidth="1"/>
    <col min="14869" max="14871" width="11.7109375" style="547" bestFit="1" customWidth="1"/>
    <col min="14872" max="14872" width="10.140625" style="547" bestFit="1" customWidth="1"/>
    <col min="14873" max="14876" width="9.140625" style="547" bestFit="1" customWidth="1"/>
    <col min="14877" max="15111" width="9.140625" style="547"/>
    <col min="15112" max="15112" width="14.42578125" style="547" customWidth="1"/>
    <col min="15113" max="15113" width="18.140625" style="547" customWidth="1"/>
    <col min="15114" max="15114" width="13.140625" style="547" bestFit="1" customWidth="1"/>
    <col min="15115" max="15118" width="10.5703125" style="547" bestFit="1" customWidth="1"/>
    <col min="15119" max="15119" width="9.140625" style="547"/>
    <col min="15120" max="15120" width="10.5703125" style="547" bestFit="1" customWidth="1"/>
    <col min="15121" max="15121" width="11.7109375" style="547" bestFit="1" customWidth="1"/>
    <col min="15122" max="15122" width="18.7109375" style="547" bestFit="1" customWidth="1"/>
    <col min="15123" max="15124" width="13.42578125" style="547" bestFit="1" customWidth="1"/>
    <col min="15125" max="15127" width="11.7109375" style="547" bestFit="1" customWidth="1"/>
    <col min="15128" max="15128" width="10.140625" style="547" bestFit="1" customWidth="1"/>
    <col min="15129" max="15132" width="9.140625" style="547" bestFit="1" customWidth="1"/>
    <col min="15133" max="15367" width="9.140625" style="547"/>
    <col min="15368" max="15368" width="14.42578125" style="547" customWidth="1"/>
    <col min="15369" max="15369" width="18.140625" style="547" customWidth="1"/>
    <col min="15370" max="15370" width="13.140625" style="547" bestFit="1" customWidth="1"/>
    <col min="15371" max="15374" width="10.5703125" style="547" bestFit="1" customWidth="1"/>
    <col min="15375" max="15375" width="9.140625" style="547"/>
    <col min="15376" max="15376" width="10.5703125" style="547" bestFit="1" customWidth="1"/>
    <col min="15377" max="15377" width="11.7109375" style="547" bestFit="1" customWidth="1"/>
    <col min="15378" max="15378" width="18.7109375" style="547" bestFit="1" customWidth="1"/>
    <col min="15379" max="15380" width="13.42578125" style="547" bestFit="1" customWidth="1"/>
    <col min="15381" max="15383" width="11.7109375" style="547" bestFit="1" customWidth="1"/>
    <col min="15384" max="15384" width="10.140625" style="547" bestFit="1" customWidth="1"/>
    <col min="15385" max="15388" width="9.140625" style="547" bestFit="1" customWidth="1"/>
    <col min="15389" max="15623" width="9.140625" style="547"/>
    <col min="15624" max="15624" width="14.42578125" style="547" customWidth="1"/>
    <col min="15625" max="15625" width="18.140625" style="547" customWidth="1"/>
    <col min="15626" max="15626" width="13.140625" style="547" bestFit="1" customWidth="1"/>
    <col min="15627" max="15630" width="10.5703125" style="547" bestFit="1" customWidth="1"/>
    <col min="15631" max="15631" width="9.140625" style="547"/>
    <col min="15632" max="15632" width="10.5703125" style="547" bestFit="1" customWidth="1"/>
    <col min="15633" max="15633" width="11.7109375" style="547" bestFit="1" customWidth="1"/>
    <col min="15634" max="15634" width="18.7109375" style="547" bestFit="1" customWidth="1"/>
    <col min="15635" max="15636" width="13.42578125" style="547" bestFit="1" customWidth="1"/>
    <col min="15637" max="15639" width="11.7109375" style="547" bestFit="1" customWidth="1"/>
    <col min="15640" max="15640" width="10.140625" style="547" bestFit="1" customWidth="1"/>
    <col min="15641" max="15644" width="9.140625" style="547" bestFit="1" customWidth="1"/>
    <col min="15645" max="15879" width="9.140625" style="547"/>
    <col min="15880" max="15880" width="14.42578125" style="547" customWidth="1"/>
    <col min="15881" max="15881" width="18.140625" style="547" customWidth="1"/>
    <col min="15882" max="15882" width="13.140625" style="547" bestFit="1" customWidth="1"/>
    <col min="15883" max="15886" width="10.5703125" style="547" bestFit="1" customWidth="1"/>
    <col min="15887" max="15887" width="9.140625" style="547"/>
    <col min="15888" max="15888" width="10.5703125" style="547" bestFit="1" customWidth="1"/>
    <col min="15889" max="15889" width="11.7109375" style="547" bestFit="1" customWidth="1"/>
    <col min="15890" max="15890" width="18.7109375" style="547" bestFit="1" customWidth="1"/>
    <col min="15891" max="15892" width="13.42578125" style="547" bestFit="1" customWidth="1"/>
    <col min="15893" max="15895" width="11.7109375" style="547" bestFit="1" customWidth="1"/>
    <col min="15896" max="15896" width="10.140625" style="547" bestFit="1" customWidth="1"/>
    <col min="15897" max="15900" width="9.140625" style="547" bestFit="1" customWidth="1"/>
    <col min="15901" max="16135" width="9.140625" style="547"/>
    <col min="16136" max="16136" width="14.42578125" style="547" customWidth="1"/>
    <col min="16137" max="16137" width="18.140625" style="547" customWidth="1"/>
    <col min="16138" max="16138" width="13.140625" style="547" bestFit="1" customWidth="1"/>
    <col min="16139" max="16142" width="10.5703125" style="547" bestFit="1" customWidth="1"/>
    <col min="16143" max="16143" width="9.140625" style="547"/>
    <col min="16144" max="16144" width="10.5703125" style="547" bestFit="1" customWidth="1"/>
    <col min="16145" max="16145" width="11.7109375" style="547" bestFit="1" customWidth="1"/>
    <col min="16146" max="16146" width="18.7109375" style="547" bestFit="1" customWidth="1"/>
    <col min="16147" max="16148" width="13.42578125" style="547" bestFit="1" customWidth="1"/>
    <col min="16149" max="16151" width="11.7109375" style="547" bestFit="1" customWidth="1"/>
    <col min="16152" max="16152" width="10.140625" style="547" bestFit="1" customWidth="1"/>
    <col min="16153" max="16156" width="9.140625" style="547" bestFit="1" customWidth="1"/>
    <col min="16157" max="16384" width="9.140625" style="547"/>
  </cols>
  <sheetData>
    <row r="1" spans="1:21">
      <c r="G1" s="774">
        <f>((G3/C3)^(1/5))-1</f>
        <v>0.44670241847556569</v>
      </c>
      <c r="H1" s="774">
        <f>((H3/D3)^(1/5))-1</f>
        <v>0.41559405126396376</v>
      </c>
      <c r="I1" s="774">
        <f>((I3/E3)^(1/5))-1</f>
        <v>0.15975501551591886</v>
      </c>
      <c r="J1" s="538">
        <f>((J3/F3)^(1/5))-1</f>
        <v>0.23903014930525512</v>
      </c>
      <c r="K1" s="538">
        <f>((M3/I3)^(1/5))-1</f>
        <v>0.17740369761049646</v>
      </c>
    </row>
    <row r="2" spans="1:21" ht="13.5" thickBot="1">
      <c r="A2" s="548" t="s">
        <v>654</v>
      </c>
      <c r="B2" s="765"/>
      <c r="C2" s="775">
        <v>2007</v>
      </c>
      <c r="D2" s="775">
        <v>2008</v>
      </c>
      <c r="E2" s="775">
        <v>2009</v>
      </c>
      <c r="F2" s="775">
        <v>2010</v>
      </c>
      <c r="G2" s="775">
        <v>2011</v>
      </c>
      <c r="H2" s="775">
        <v>2012</v>
      </c>
      <c r="I2" s="775">
        <v>2013</v>
      </c>
      <c r="J2" s="766">
        <v>2014</v>
      </c>
      <c r="K2" s="766">
        <v>2015</v>
      </c>
      <c r="L2" s="766">
        <v>2016</v>
      </c>
      <c r="M2" s="766">
        <v>2017</v>
      </c>
      <c r="N2" s="766">
        <v>2018</v>
      </c>
      <c r="O2" s="766">
        <v>2019</v>
      </c>
      <c r="P2" s="766">
        <v>2019</v>
      </c>
      <c r="Q2" s="766" t="s">
        <v>861</v>
      </c>
      <c r="R2" s="767" t="s">
        <v>655</v>
      </c>
      <c r="U2" s="655">
        <v>2014</v>
      </c>
    </row>
    <row r="3" spans="1:21">
      <c r="B3" s="765" t="s">
        <v>26</v>
      </c>
      <c r="C3" s="776">
        <v>28607.37138</v>
      </c>
      <c r="D3" s="776">
        <v>28610.676713000001</v>
      </c>
      <c r="E3" s="776">
        <v>84909.410818000004</v>
      </c>
      <c r="F3" s="776">
        <v>103711.442446</v>
      </c>
      <c r="G3" s="776">
        <v>181290.059461</v>
      </c>
      <c r="H3" s="776">
        <v>162637.90627199999</v>
      </c>
      <c r="I3" s="776">
        <v>178150.532224</v>
      </c>
      <c r="J3" s="768">
        <f>I3*1.7</f>
        <v>302855.90478079999</v>
      </c>
      <c r="K3" s="768">
        <f>J3*1.1</f>
        <v>333141.49525888002</v>
      </c>
      <c r="L3" s="768">
        <f>K3*1.1</f>
        <v>366455.64478476805</v>
      </c>
      <c r="M3" s="768">
        <f t="shared" ref="L3:P4" si="0">L3*1.1</f>
        <v>403101.20926324488</v>
      </c>
      <c r="N3" s="768">
        <f t="shared" si="0"/>
        <v>443411.33018956939</v>
      </c>
      <c r="O3" s="768">
        <f t="shared" si="0"/>
        <v>487752.46320852637</v>
      </c>
      <c r="P3" s="768">
        <f t="shared" si="0"/>
        <v>536527.70952937903</v>
      </c>
      <c r="Q3" s="768"/>
      <c r="R3" s="769">
        <f>AVERAGE(G3:I3)</f>
        <v>174026.16598566665</v>
      </c>
      <c r="T3" s="656" t="s">
        <v>756</v>
      </c>
      <c r="U3" s="658">
        <v>0.6</v>
      </c>
    </row>
    <row r="4" spans="1:21">
      <c r="B4" s="765" t="s">
        <v>432</v>
      </c>
      <c r="C4" s="776">
        <v>3518.221376</v>
      </c>
      <c r="D4" s="776">
        <v>4046.6697389999999</v>
      </c>
      <c r="E4" s="776">
        <v>6118.7113820000004</v>
      </c>
      <c r="F4" s="776">
        <v>17243.130611</v>
      </c>
      <c r="G4" s="776">
        <v>21834.334036</v>
      </c>
      <c r="H4" s="776">
        <v>34934.806834000003</v>
      </c>
      <c r="I4" s="776">
        <v>46431.682643</v>
      </c>
      <c r="J4" s="768">
        <f>(1-J5)*J3</f>
        <v>75713.976195199997</v>
      </c>
      <c r="K4" s="768">
        <f>J4*1.1</f>
        <v>83285.373814720006</v>
      </c>
      <c r="L4" s="768">
        <f t="shared" si="0"/>
        <v>91613.911196192013</v>
      </c>
      <c r="M4" s="768">
        <f t="shared" si="0"/>
        <v>100775.30231581122</v>
      </c>
      <c r="N4" s="768">
        <f t="shared" si="0"/>
        <v>110852.83254739235</v>
      </c>
      <c r="O4" s="768">
        <f t="shared" si="0"/>
        <v>121938.11580213159</v>
      </c>
      <c r="P4" s="768">
        <f t="shared" si="0"/>
        <v>134131.92738234476</v>
      </c>
      <c r="Q4" s="768"/>
      <c r="R4" s="765"/>
      <c r="T4" s="641" t="s">
        <v>610</v>
      </c>
      <c r="U4" s="659">
        <v>1.5</v>
      </c>
    </row>
    <row r="5" spans="1:21">
      <c r="B5" s="765" t="s">
        <v>197</v>
      </c>
      <c r="C5" s="777">
        <f t="shared" ref="C5:H5" si="1">1-C4/C3</f>
        <v>0.87701696428985221</v>
      </c>
      <c r="D5" s="777">
        <f t="shared" si="1"/>
        <v>0.85856085196470411</v>
      </c>
      <c r="E5" s="777">
        <f t="shared" si="1"/>
        <v>0.92793836015285491</v>
      </c>
      <c r="F5" s="777">
        <f t="shared" si="1"/>
        <v>0.83373936178760533</v>
      </c>
      <c r="G5" s="777">
        <f t="shared" si="1"/>
        <v>0.87956132784711727</v>
      </c>
      <c r="H5" s="777">
        <f t="shared" si="1"/>
        <v>0.78519886516754522</v>
      </c>
      <c r="I5" s="777">
        <f>1-I4/I3</f>
        <v>0.73936826310112569</v>
      </c>
      <c r="J5" s="770">
        <v>0.75</v>
      </c>
      <c r="K5" s="770">
        <f t="shared" ref="K5:P5" si="2">1-K4/K3</f>
        <v>0.75</v>
      </c>
      <c r="L5" s="770">
        <f t="shared" si="2"/>
        <v>0.75</v>
      </c>
      <c r="M5" s="770">
        <f t="shared" si="2"/>
        <v>0.75</v>
      </c>
      <c r="N5" s="770">
        <f t="shared" si="2"/>
        <v>0.75</v>
      </c>
      <c r="O5" s="770">
        <f t="shared" si="2"/>
        <v>0.75</v>
      </c>
      <c r="P5" s="770">
        <f t="shared" si="2"/>
        <v>0.75</v>
      </c>
      <c r="Q5" s="770"/>
      <c r="R5" s="771">
        <f>I5</f>
        <v>0.73936826310112569</v>
      </c>
      <c r="T5" s="641" t="s">
        <v>757</v>
      </c>
      <c r="U5" s="800">
        <v>8.5000000000000006E-2</v>
      </c>
    </row>
    <row r="6" spans="1:21">
      <c r="B6" s="765" t="s">
        <v>656</v>
      </c>
      <c r="C6" s="776">
        <f>5283.724015+4482.122432</f>
        <v>9765.8464469999999</v>
      </c>
      <c r="D6" s="776">
        <f>7905.58879+8711.750827</f>
        <v>16617.339616999998</v>
      </c>
      <c r="E6" s="776">
        <f>18678.027708+23742.199102</f>
        <v>42420.22681</v>
      </c>
      <c r="F6" s="776"/>
      <c r="G6" s="776"/>
      <c r="H6" s="776"/>
      <c r="I6" s="776"/>
      <c r="J6" s="765"/>
      <c r="K6" s="765"/>
      <c r="L6" s="765"/>
      <c r="M6" s="765"/>
      <c r="N6" s="765"/>
      <c r="O6" s="765"/>
      <c r="P6" s="765"/>
      <c r="Q6" s="765"/>
      <c r="R6" s="765"/>
      <c r="T6" s="641" t="s">
        <v>609</v>
      </c>
      <c r="U6" s="801">
        <v>7.0000000000000007E-2</v>
      </c>
    </row>
    <row r="7" spans="1:21">
      <c r="B7" s="765" t="s">
        <v>287</v>
      </c>
      <c r="C7" s="776">
        <f>C3-C4-C6</f>
        <v>15323.303556999999</v>
      </c>
      <c r="D7" s="776">
        <f>D3-D4-D6</f>
        <v>7946.6673570000021</v>
      </c>
      <c r="E7" s="776">
        <f>E3-E4-E6</f>
        <v>36370.47262600001</v>
      </c>
      <c r="F7" s="776"/>
      <c r="G7" s="776"/>
      <c r="H7" s="776"/>
      <c r="I7" s="776"/>
      <c r="J7" s="768">
        <f>J8*J3</f>
        <v>151427.95239039999</v>
      </c>
      <c r="K7" s="768">
        <f t="shared" ref="K7:P7" si="3">K8*K3</f>
        <v>166570.74762944001</v>
      </c>
      <c r="L7" s="768">
        <f t="shared" si="3"/>
        <v>183227.82239238403</v>
      </c>
      <c r="M7" s="768">
        <f t="shared" si="3"/>
        <v>201550.60463162244</v>
      </c>
      <c r="N7" s="768">
        <f t="shared" si="3"/>
        <v>221705.66509478469</v>
      </c>
      <c r="O7" s="768">
        <f t="shared" si="3"/>
        <v>243876.23160426319</v>
      </c>
      <c r="P7" s="768">
        <f t="shared" si="3"/>
        <v>268263.85476468952</v>
      </c>
      <c r="Q7" s="768"/>
      <c r="R7" s="768">
        <f>R3*R8</f>
        <v>59868.660247900181</v>
      </c>
      <c r="T7" s="641" t="s">
        <v>758</v>
      </c>
      <c r="U7" s="799">
        <v>0.15500000000000003</v>
      </c>
    </row>
    <row r="8" spans="1:21">
      <c r="B8" s="765" t="s">
        <v>657</v>
      </c>
      <c r="C8" s="777">
        <f>C7/C3</f>
        <v>0.53564178803624141</v>
      </c>
      <c r="D8" s="777">
        <f>D7/D3</f>
        <v>0.27775181400687488</v>
      </c>
      <c r="E8" s="777">
        <f>E7/E3</f>
        <v>0.42834442349339452</v>
      </c>
      <c r="F8" s="776"/>
      <c r="G8" s="776"/>
      <c r="H8" s="776"/>
      <c r="I8" s="776"/>
      <c r="J8" s="772">
        <v>0.5</v>
      </c>
      <c r="K8" s="772">
        <f t="shared" ref="K8:P8" si="4">J8</f>
        <v>0.5</v>
      </c>
      <c r="L8" s="772">
        <f t="shared" si="4"/>
        <v>0.5</v>
      </c>
      <c r="M8" s="772">
        <f t="shared" si="4"/>
        <v>0.5</v>
      </c>
      <c r="N8" s="772">
        <f t="shared" si="4"/>
        <v>0.5</v>
      </c>
      <c r="O8" s="772">
        <f t="shared" si="4"/>
        <v>0.5</v>
      </c>
      <c r="P8" s="772">
        <f t="shared" si="4"/>
        <v>0.5</v>
      </c>
      <c r="Q8" s="772"/>
      <c r="R8" s="771">
        <f>R9*R5</f>
        <v>0.34402102642904375</v>
      </c>
      <c r="T8" s="641" t="s">
        <v>759</v>
      </c>
      <c r="U8" s="661">
        <v>0.4</v>
      </c>
    </row>
    <row r="9" spans="1:21">
      <c r="B9" s="765" t="s">
        <v>658</v>
      </c>
      <c r="C9" s="777">
        <f>C8/C5</f>
        <v>0.61075419273100051</v>
      </c>
      <c r="D9" s="777">
        <f>D8/D5</f>
        <v>0.32350859391186565</v>
      </c>
      <c r="E9" s="777">
        <f>E8/E5</f>
        <v>0.46160870364582768</v>
      </c>
      <c r="F9" s="777"/>
      <c r="G9" s="777"/>
      <c r="H9" s="777"/>
      <c r="I9" s="777"/>
      <c r="J9" s="765"/>
      <c r="K9" s="765"/>
      <c r="L9" s="765"/>
      <c r="M9" s="765"/>
      <c r="N9" s="765"/>
      <c r="O9" s="765"/>
      <c r="P9" s="765"/>
      <c r="Q9" s="765"/>
      <c r="R9" s="771">
        <f>AVERAGE(C9:E9)</f>
        <v>0.46529049676289791</v>
      </c>
      <c r="T9" s="641" t="s">
        <v>760</v>
      </c>
      <c r="U9" s="662">
        <v>0.1</v>
      </c>
    </row>
    <row r="10" spans="1:21" ht="13.5" thickBot="1">
      <c r="B10" s="765" t="s">
        <v>659</v>
      </c>
      <c r="C10" s="776"/>
      <c r="D10" s="776"/>
      <c r="E10" s="776"/>
      <c r="F10" s="776"/>
      <c r="G10" s="776"/>
      <c r="H10" s="776"/>
      <c r="I10" s="776"/>
      <c r="J10" s="768">
        <f>J7*0.78</f>
        <v>118113.80286451201</v>
      </c>
      <c r="K10" s="768">
        <f t="shared" ref="K10:P10" si="5">K7*0.78</f>
        <v>129925.18315096322</v>
      </c>
      <c r="L10" s="768">
        <f t="shared" si="5"/>
        <v>142917.70146605955</v>
      </c>
      <c r="M10" s="768">
        <f t="shared" si="5"/>
        <v>157209.47161266551</v>
      </c>
      <c r="N10" s="768">
        <f t="shared" si="5"/>
        <v>172930.41877393206</v>
      </c>
      <c r="O10" s="768">
        <f t="shared" si="5"/>
        <v>190223.46065132529</v>
      </c>
      <c r="P10" s="768">
        <f t="shared" si="5"/>
        <v>209245.80671645782</v>
      </c>
      <c r="Q10" s="768">
        <f>P10*1.02/($U$10-0.02)</f>
        <v>2048279.4899307769</v>
      </c>
      <c r="R10" s="768">
        <f>R7*(1-22%)</f>
        <v>46697.554993362144</v>
      </c>
      <c r="T10" s="644" t="s">
        <v>14</v>
      </c>
      <c r="U10" s="664">
        <f>U3*U7+(1-0.22)*U8*U9</f>
        <v>0.12420000000000002</v>
      </c>
    </row>
    <row r="11" spans="1:21">
      <c r="B11" s="765" t="s">
        <v>13</v>
      </c>
      <c r="C11" s="776"/>
      <c r="D11" s="776"/>
      <c r="E11" s="776"/>
      <c r="F11" s="776"/>
      <c r="G11" s="776"/>
      <c r="H11" s="776"/>
      <c r="I11" s="776"/>
      <c r="J11" s="824" t="e">
        <f>#REF!</f>
        <v>#REF!</v>
      </c>
      <c r="K11" s="824" t="e">
        <f>#REF!</f>
        <v>#REF!</v>
      </c>
      <c r="L11" s="824" t="e">
        <f>#REF!</f>
        <v>#REF!</v>
      </c>
      <c r="M11" s="824" t="e">
        <f>#REF!</f>
        <v>#REF!</v>
      </c>
      <c r="N11" s="824" t="e">
        <f>#REF!</f>
        <v>#REF!</v>
      </c>
      <c r="O11" s="824" t="e">
        <f>#REF!</f>
        <v>#REF!</v>
      </c>
      <c r="P11" s="824" t="e">
        <f>#REF!</f>
        <v>#REF!</v>
      </c>
      <c r="Q11" s="824" t="e">
        <f>P11</f>
        <v>#REF!</v>
      </c>
    </row>
    <row r="12" spans="1:21">
      <c r="C12" s="778"/>
      <c r="D12" s="778"/>
      <c r="E12" s="778"/>
      <c r="F12" s="778"/>
      <c r="G12" s="778"/>
      <c r="H12" s="778"/>
      <c r="I12" s="778"/>
      <c r="J12" s="825" t="e">
        <f>J10/J11</f>
        <v>#REF!</v>
      </c>
      <c r="K12" s="825" t="e">
        <f t="shared" ref="K12:Q12" si="6">K10/K11</f>
        <v>#REF!</v>
      </c>
      <c r="L12" s="825" t="e">
        <f t="shared" si="6"/>
        <v>#REF!</v>
      </c>
      <c r="M12" s="825" t="e">
        <f t="shared" si="6"/>
        <v>#REF!</v>
      </c>
      <c r="N12" s="825" t="e">
        <f t="shared" si="6"/>
        <v>#REF!</v>
      </c>
      <c r="O12" s="825" t="e">
        <f t="shared" si="6"/>
        <v>#REF!</v>
      </c>
      <c r="P12" s="825" t="e">
        <f t="shared" si="6"/>
        <v>#REF!</v>
      </c>
      <c r="Q12" s="825" t="e">
        <f t="shared" si="6"/>
        <v>#REF!</v>
      </c>
    </row>
    <row r="13" spans="1:21">
      <c r="C13" s="778"/>
      <c r="D13" s="778"/>
      <c r="E13" s="778"/>
      <c r="F13" s="778"/>
      <c r="G13" s="778"/>
      <c r="H13" s="778"/>
      <c r="I13" s="778"/>
      <c r="J13" s="825"/>
      <c r="K13" s="825"/>
      <c r="L13" s="825"/>
      <c r="M13" s="825"/>
      <c r="N13" s="825"/>
      <c r="O13" s="825"/>
      <c r="P13" s="825"/>
      <c r="Q13" s="825"/>
    </row>
    <row r="14" spans="1:21">
      <c r="B14" s="547" t="s">
        <v>910</v>
      </c>
      <c r="C14" s="778"/>
      <c r="D14" s="778"/>
      <c r="E14" s="778"/>
      <c r="F14" s="778"/>
      <c r="G14" s="778"/>
      <c r="H14" s="778"/>
      <c r="I14" s="778"/>
      <c r="J14" s="825">
        <v>70000</v>
      </c>
      <c r="K14" s="825">
        <f t="shared" ref="K14:P14" si="7">J14*1.1</f>
        <v>77000</v>
      </c>
      <c r="L14" s="825">
        <f t="shared" si="7"/>
        <v>84700</v>
      </c>
      <c r="M14" s="825">
        <f t="shared" si="7"/>
        <v>93170.000000000015</v>
      </c>
      <c r="N14" s="825">
        <f t="shared" si="7"/>
        <v>102487.00000000003</v>
      </c>
      <c r="O14" s="825">
        <f t="shared" si="7"/>
        <v>112735.70000000004</v>
      </c>
      <c r="P14" s="825">
        <f t="shared" si="7"/>
        <v>124009.27000000005</v>
      </c>
      <c r="Q14" s="825">
        <f>P14/U10</f>
        <v>998464.33172302763</v>
      </c>
    </row>
    <row r="15" spans="1:21">
      <c r="C15" s="778"/>
      <c r="D15" s="778"/>
      <c r="E15" s="778"/>
      <c r="F15" s="778"/>
      <c r="G15" s="778"/>
      <c r="H15" s="778"/>
      <c r="I15" s="778"/>
      <c r="J15" s="825" t="e">
        <f>J14/J11</f>
        <v>#REF!</v>
      </c>
      <c r="K15" s="825" t="e">
        <f t="shared" ref="K15:Q15" si="8">K14/K11</f>
        <v>#REF!</v>
      </c>
      <c r="L15" s="825" t="e">
        <f t="shared" si="8"/>
        <v>#REF!</v>
      </c>
      <c r="M15" s="825" t="e">
        <f t="shared" si="8"/>
        <v>#REF!</v>
      </c>
      <c r="N15" s="825" t="e">
        <f t="shared" si="8"/>
        <v>#REF!</v>
      </c>
      <c r="O15" s="825" t="e">
        <f t="shared" si="8"/>
        <v>#REF!</v>
      </c>
      <c r="P15" s="825" t="e">
        <f t="shared" si="8"/>
        <v>#REF!</v>
      </c>
      <c r="Q15" s="825" t="e">
        <f t="shared" si="8"/>
        <v>#REF!</v>
      </c>
    </row>
    <row r="16" spans="1:21">
      <c r="B16" s="767" t="s">
        <v>1104</v>
      </c>
      <c r="C16" s="778"/>
      <c r="D16" s="778"/>
      <c r="E16" s="778"/>
      <c r="F16" s="778"/>
      <c r="G16" s="778"/>
      <c r="H16" s="778"/>
      <c r="I16" s="778"/>
      <c r="J16" s="825" t="e">
        <f>SUM(J12:Q12)</f>
        <v>#REF!</v>
      </c>
      <c r="K16" s="825"/>
      <c r="L16" s="825"/>
      <c r="M16" s="825"/>
      <c r="N16" s="825"/>
      <c r="O16" s="825"/>
      <c r="P16" s="825"/>
      <c r="Q16" s="825"/>
    </row>
    <row r="17" spans="2:17">
      <c r="B17" s="767"/>
      <c r="C17" s="778"/>
      <c r="D17" s="778"/>
      <c r="E17" s="778"/>
      <c r="F17" s="778"/>
      <c r="G17" s="778"/>
      <c r="H17" s="778"/>
      <c r="I17" s="778"/>
      <c r="J17" s="825"/>
      <c r="K17" s="825"/>
      <c r="L17" s="825"/>
      <c r="M17" s="825"/>
      <c r="N17" s="825"/>
      <c r="O17" s="825"/>
      <c r="P17" s="825"/>
      <c r="Q17" s="825"/>
    </row>
    <row r="18" spans="2:17">
      <c r="B18" s="767"/>
      <c r="C18" s="778"/>
      <c r="D18" s="778"/>
      <c r="E18" s="778"/>
      <c r="F18" s="778"/>
      <c r="G18" s="778"/>
      <c r="H18" s="778"/>
      <c r="I18" s="778"/>
      <c r="J18" s="825"/>
      <c r="K18" s="825"/>
      <c r="L18" s="825"/>
      <c r="M18" s="825"/>
      <c r="N18" s="825"/>
      <c r="O18" s="825"/>
      <c r="P18" s="825"/>
      <c r="Q18" s="825"/>
    </row>
    <row r="19" spans="2:17">
      <c r="B19" s="767"/>
      <c r="C19" s="778"/>
      <c r="D19" s="778"/>
      <c r="E19" s="778"/>
      <c r="F19" s="778"/>
      <c r="G19" s="778"/>
      <c r="H19" s="778"/>
      <c r="I19" s="778"/>
      <c r="J19" s="825"/>
      <c r="K19" s="825"/>
      <c r="L19" s="825"/>
      <c r="M19" s="825"/>
      <c r="N19" s="825"/>
      <c r="O19" s="825"/>
      <c r="P19" s="825"/>
      <c r="Q19" s="825"/>
    </row>
    <row r="20" spans="2:17">
      <c r="B20" s="767"/>
      <c r="C20" s="778"/>
      <c r="D20" s="778"/>
      <c r="E20" s="778"/>
      <c r="F20" s="778"/>
      <c r="G20" s="778"/>
      <c r="H20" s="778"/>
      <c r="I20" s="778"/>
      <c r="J20" s="825"/>
      <c r="K20" s="825"/>
      <c r="L20" s="825"/>
      <c r="M20" s="825"/>
      <c r="N20" s="825"/>
      <c r="O20" s="825"/>
      <c r="P20" s="825"/>
      <c r="Q20" s="825"/>
    </row>
    <row r="21" spans="2:17">
      <c r="B21" s="767" t="s">
        <v>654</v>
      </c>
      <c r="C21" s="778"/>
      <c r="D21" s="778"/>
      <c r="E21" s="778"/>
      <c r="F21" s="778"/>
      <c r="G21" s="778"/>
      <c r="H21" s="778"/>
      <c r="I21" s="778"/>
      <c r="J21" s="825">
        <f>230000-'SI forecast'!D49</f>
        <v>142116.76250000001</v>
      </c>
      <c r="K21" s="825">
        <f t="shared" ref="K21:P21" si="9">J21*1.1</f>
        <v>156328.43875000003</v>
      </c>
      <c r="L21" s="825">
        <f t="shared" si="9"/>
        <v>171961.28262500005</v>
      </c>
      <c r="M21" s="825">
        <f t="shared" si="9"/>
        <v>189157.41088750007</v>
      </c>
      <c r="N21" s="825">
        <f t="shared" si="9"/>
        <v>208073.15197625008</v>
      </c>
      <c r="O21" s="825">
        <f t="shared" si="9"/>
        <v>228880.46717387511</v>
      </c>
      <c r="P21" s="825">
        <f t="shared" si="9"/>
        <v>251768.51389126264</v>
      </c>
      <c r="Q21" s="825"/>
    </row>
    <row r="22" spans="2:17">
      <c r="B22" s="767" t="s">
        <v>1105</v>
      </c>
      <c r="C22" s="778"/>
      <c r="D22" s="778"/>
      <c r="E22" s="778"/>
      <c r="F22" s="778"/>
      <c r="G22" s="778"/>
      <c r="H22" s="778"/>
      <c r="I22" s="778"/>
      <c r="J22" s="825">
        <f>'SI forecast'!D49</f>
        <v>87883.237500000003</v>
      </c>
      <c r="K22" s="825">
        <f>'SI forecast'!E49+'SI forecast'!F49/2</f>
        <v>103615.59375</v>
      </c>
      <c r="L22" s="825">
        <f>'SI forecast'!F49/2+'SI forecast'!G49+'SI forecast'!H49</f>
        <v>114631.16875000001</v>
      </c>
      <c r="M22" s="892">
        <f>L22</f>
        <v>114631.16875000001</v>
      </c>
      <c r="N22" s="892">
        <f>M22</f>
        <v>114631.16875000001</v>
      </c>
      <c r="O22" s="892">
        <f>N22</f>
        <v>114631.16875000001</v>
      </c>
      <c r="P22" s="892">
        <f>O22</f>
        <v>114631.16875000001</v>
      </c>
      <c r="Q22" s="825"/>
    </row>
    <row r="23" spans="2:17">
      <c r="B23" s="767" t="s">
        <v>1104</v>
      </c>
      <c r="C23" s="778"/>
      <c r="D23" s="778"/>
      <c r="E23" s="778"/>
      <c r="F23" s="778"/>
      <c r="G23" s="778"/>
      <c r="H23" s="778"/>
      <c r="I23" s="778"/>
      <c r="J23" s="825">
        <f>SUM(J21:J22)</f>
        <v>230000</v>
      </c>
      <c r="K23" s="825">
        <f t="shared" ref="K23:P23" si="10">SUM(K21:K22)</f>
        <v>259944.03250000003</v>
      </c>
      <c r="L23" s="825">
        <f t="shared" si="10"/>
        <v>286592.45137500006</v>
      </c>
      <c r="M23" s="892">
        <f t="shared" si="10"/>
        <v>303788.57963750011</v>
      </c>
      <c r="N23" s="892">
        <f t="shared" si="10"/>
        <v>322704.32072625007</v>
      </c>
      <c r="O23" s="892">
        <f t="shared" si="10"/>
        <v>343511.63592387515</v>
      </c>
      <c r="P23" s="892">
        <f t="shared" si="10"/>
        <v>366399.68264126265</v>
      </c>
      <c r="Q23" s="825"/>
    </row>
    <row r="24" spans="2:17">
      <c r="B24" s="767"/>
      <c r="C24" s="778"/>
      <c r="D24" s="778"/>
      <c r="E24" s="778"/>
      <c r="F24" s="778"/>
      <c r="G24" s="778"/>
      <c r="H24" s="778"/>
      <c r="I24" s="778"/>
      <c r="J24" s="825"/>
      <c r="K24" s="825"/>
      <c r="L24" s="825"/>
      <c r="M24" s="825"/>
      <c r="N24" s="825"/>
      <c r="O24" s="825"/>
      <c r="P24" s="825"/>
      <c r="Q24" s="825"/>
    </row>
    <row r="25" spans="2:17">
      <c r="B25" s="767"/>
      <c r="C25" s="778"/>
      <c r="D25" s="778"/>
      <c r="E25" s="778"/>
      <c r="F25" s="778"/>
      <c r="G25" s="778"/>
      <c r="H25" s="778"/>
      <c r="I25" s="778"/>
      <c r="J25" s="825">
        <f>J21/2</f>
        <v>71058.381250000006</v>
      </c>
      <c r="K25" s="825">
        <f t="shared" ref="K25:P25" si="11">K21/2</f>
        <v>78164.219375000015</v>
      </c>
      <c r="L25" s="825">
        <f t="shared" si="11"/>
        <v>85980.641312500025</v>
      </c>
      <c r="M25" s="825">
        <f t="shared" si="11"/>
        <v>94578.705443750034</v>
      </c>
      <c r="N25" s="825">
        <f t="shared" si="11"/>
        <v>104036.57598812504</v>
      </c>
      <c r="O25" s="825">
        <f t="shared" si="11"/>
        <v>114440.23358693755</v>
      </c>
      <c r="P25" s="825">
        <f t="shared" si="11"/>
        <v>125884.25694563132</v>
      </c>
      <c r="Q25" s="825"/>
    </row>
    <row r="26" spans="2:17">
      <c r="B26" s="767"/>
      <c r="C26" s="778"/>
      <c r="D26" s="778"/>
      <c r="E26" s="778"/>
      <c r="F26" s="778"/>
      <c r="G26" s="778"/>
      <c r="H26" s="778"/>
      <c r="I26" s="778"/>
      <c r="J26" s="825">
        <f>J25*0.78</f>
        <v>55425.537375000007</v>
      </c>
      <c r="K26" s="825">
        <f t="shared" ref="K26:P26" si="12">K25*0.78</f>
        <v>60968.091112500013</v>
      </c>
      <c r="L26" s="825">
        <f t="shared" si="12"/>
        <v>67064.900223750024</v>
      </c>
      <c r="M26" s="825">
        <f t="shared" si="12"/>
        <v>73771.390246125025</v>
      </c>
      <c r="N26" s="825">
        <f t="shared" si="12"/>
        <v>81148.529270737534</v>
      </c>
      <c r="O26" s="825">
        <f t="shared" si="12"/>
        <v>89263.382197811297</v>
      </c>
      <c r="P26" s="825">
        <f t="shared" si="12"/>
        <v>98189.720417592427</v>
      </c>
      <c r="Q26" s="893">
        <f>P26*1.02/($U$10-0.02)</f>
        <v>961166.1691549354</v>
      </c>
    </row>
    <row r="27" spans="2:17">
      <c r="B27" s="767"/>
      <c r="C27" s="778"/>
      <c r="D27" s="778"/>
      <c r="E27" s="778"/>
      <c r="F27" s="778"/>
      <c r="G27" s="778"/>
      <c r="H27" s="778"/>
      <c r="I27" s="778"/>
      <c r="J27" s="825" t="e">
        <f>J26/J11</f>
        <v>#REF!</v>
      </c>
      <c r="K27" s="825" t="e">
        <f t="shared" ref="K27:Q27" si="13">K26/K11</f>
        <v>#REF!</v>
      </c>
      <c r="L27" s="825" t="e">
        <f t="shared" si="13"/>
        <v>#REF!</v>
      </c>
      <c r="M27" s="825" t="e">
        <f t="shared" si="13"/>
        <v>#REF!</v>
      </c>
      <c r="N27" s="825" t="e">
        <f t="shared" si="13"/>
        <v>#REF!</v>
      </c>
      <c r="O27" s="825" t="e">
        <f t="shared" si="13"/>
        <v>#REF!</v>
      </c>
      <c r="P27" s="825" t="e">
        <f t="shared" si="13"/>
        <v>#REF!</v>
      </c>
      <c r="Q27" s="825" t="e">
        <f t="shared" si="13"/>
        <v>#REF!</v>
      </c>
    </row>
    <row r="28" spans="2:17">
      <c r="B28" s="767"/>
      <c r="C28" s="778"/>
      <c r="D28" s="778"/>
      <c r="E28" s="778"/>
      <c r="F28" s="778"/>
      <c r="G28" s="778"/>
      <c r="H28" s="778"/>
      <c r="I28" s="778"/>
      <c r="J28" s="825" t="e">
        <f>SUM(J27:Q27)</f>
        <v>#REF!</v>
      </c>
      <c r="K28" s="825"/>
      <c r="L28" s="825"/>
      <c r="M28" s="825"/>
      <c r="N28" s="825"/>
      <c r="O28" s="825"/>
      <c r="P28" s="825"/>
      <c r="Q28" s="825"/>
    </row>
    <row r="29" spans="2:17">
      <c r="B29" s="767"/>
      <c r="C29" s="778"/>
      <c r="D29" s="778"/>
      <c r="E29" s="778"/>
      <c r="F29" s="778"/>
      <c r="G29" s="778"/>
      <c r="H29" s="778"/>
      <c r="I29" s="778"/>
      <c r="J29" s="825">
        <f>'SI forecast'!E52</f>
        <v>156684.13101639063</v>
      </c>
      <c r="K29" s="825"/>
      <c r="L29" s="825"/>
      <c r="M29" s="825"/>
      <c r="N29" s="825"/>
      <c r="O29" s="825"/>
      <c r="P29" s="825"/>
      <c r="Q29" s="825"/>
    </row>
    <row r="30" spans="2:17">
      <c r="B30" s="767"/>
      <c r="C30" s="778"/>
      <c r="D30" s="778"/>
      <c r="E30" s="778"/>
      <c r="F30" s="778"/>
      <c r="G30" s="778"/>
      <c r="H30" s="778"/>
      <c r="I30" s="778"/>
      <c r="J30" s="825" t="e">
        <f>SUM(J28:J29)</f>
        <v>#REF!</v>
      </c>
      <c r="K30" s="825"/>
      <c r="L30" s="825"/>
      <c r="M30" s="825"/>
      <c r="N30" s="825"/>
      <c r="O30" s="825"/>
      <c r="P30" s="825"/>
      <c r="Q30" s="825"/>
    </row>
    <row r="31" spans="2:17">
      <c r="B31" s="767"/>
      <c r="C31" s="778"/>
      <c r="D31" s="778"/>
      <c r="E31" s="778"/>
      <c r="F31" s="778"/>
      <c r="G31" s="778"/>
      <c r="H31" s="778"/>
      <c r="I31" s="778"/>
      <c r="J31" s="825"/>
      <c r="K31" s="825"/>
      <c r="L31" s="825"/>
      <c r="M31" s="825"/>
      <c r="N31" s="825"/>
      <c r="O31" s="825"/>
      <c r="P31" s="825"/>
      <c r="Q31" s="825"/>
    </row>
    <row r="32" spans="2:17">
      <c r="B32" s="767"/>
      <c r="C32" s="778"/>
      <c r="D32" s="778"/>
      <c r="E32" s="778"/>
      <c r="F32" s="778"/>
      <c r="G32" s="778"/>
      <c r="H32" s="778"/>
      <c r="I32" s="778"/>
      <c r="J32" s="825"/>
      <c r="K32" s="825"/>
      <c r="L32" s="825"/>
      <c r="M32" s="825"/>
      <c r="N32" s="825"/>
      <c r="O32" s="825"/>
      <c r="P32" s="825"/>
      <c r="Q32" s="825"/>
    </row>
    <row r="33" spans="1:25">
      <c r="B33" s="767"/>
      <c r="C33" s="778"/>
      <c r="D33" s="778"/>
      <c r="E33" s="778"/>
      <c r="F33" s="778"/>
      <c r="G33" s="778"/>
      <c r="H33" s="778"/>
      <c r="I33" s="778"/>
      <c r="J33" s="825"/>
      <c r="K33" s="825"/>
      <c r="L33" s="825"/>
      <c r="M33" s="825"/>
      <c r="N33" s="825"/>
      <c r="O33" s="825"/>
      <c r="P33" s="825"/>
      <c r="Q33" s="825"/>
    </row>
    <row r="34" spans="1:25">
      <c r="B34" s="767"/>
      <c r="C34" s="778"/>
      <c r="D34" s="778"/>
      <c r="E34" s="778"/>
      <c r="F34" s="778"/>
      <c r="G34" s="778"/>
      <c r="H34" s="778"/>
      <c r="I34" s="778"/>
      <c r="J34" s="825"/>
      <c r="K34" s="825"/>
      <c r="L34" s="825"/>
      <c r="M34" s="825"/>
      <c r="N34" s="825"/>
      <c r="O34" s="825"/>
      <c r="P34" s="825"/>
      <c r="Q34" s="825"/>
    </row>
    <row r="35" spans="1:25">
      <c r="B35" s="767"/>
      <c r="C35" s="778"/>
      <c r="D35" s="778"/>
      <c r="E35" s="778"/>
      <c r="F35" s="778"/>
      <c r="G35" s="778"/>
      <c r="H35" s="778"/>
      <c r="I35" s="778"/>
      <c r="J35" s="825"/>
      <c r="K35" s="825"/>
      <c r="L35" s="825"/>
      <c r="M35" s="825"/>
      <c r="N35" s="825"/>
      <c r="O35" s="825"/>
      <c r="P35" s="825"/>
      <c r="Q35" s="825"/>
    </row>
    <row r="36" spans="1:25">
      <c r="B36" s="767"/>
      <c r="C36" s="778"/>
      <c r="D36" s="778"/>
      <c r="E36" s="778"/>
      <c r="F36" s="778"/>
      <c r="G36" s="778"/>
      <c r="H36" s="778"/>
      <c r="I36" s="778"/>
      <c r="J36" s="825"/>
      <c r="K36" s="825"/>
      <c r="L36" s="825"/>
      <c r="M36" s="825"/>
      <c r="N36" s="825"/>
      <c r="O36" s="825"/>
      <c r="P36" s="825"/>
      <c r="Q36" s="825"/>
    </row>
    <row r="37" spans="1:25">
      <c r="B37" s="767"/>
      <c r="C37" s="778"/>
      <c r="D37" s="778"/>
      <c r="E37" s="778"/>
      <c r="F37" s="778"/>
      <c r="G37" s="778"/>
      <c r="H37" s="778"/>
      <c r="I37" s="778"/>
      <c r="J37" s="825"/>
      <c r="K37" s="825"/>
      <c r="L37" s="825"/>
      <c r="M37" s="825"/>
      <c r="N37" s="825"/>
      <c r="O37" s="825"/>
      <c r="P37" s="825"/>
      <c r="Q37" s="825"/>
    </row>
    <row r="38" spans="1:25">
      <c r="B38" s="767"/>
      <c r="C38" s="778"/>
      <c r="D38" s="778"/>
      <c r="E38" s="778"/>
      <c r="F38" s="778"/>
      <c r="G38" s="778"/>
      <c r="H38" s="778"/>
      <c r="I38" s="778"/>
      <c r="J38" s="896">
        <f>J41/J40</f>
        <v>8.3338956744719611E-2</v>
      </c>
      <c r="K38" s="825"/>
      <c r="L38" s="825"/>
      <c r="M38" s="825"/>
      <c r="N38" s="825"/>
      <c r="O38" s="825"/>
      <c r="P38" s="825"/>
      <c r="Q38" s="825"/>
    </row>
    <row r="39" spans="1:25">
      <c r="L39" s="547">
        <f>(L40/J40)^(1/3)-1</f>
        <v>0.19113842519643254</v>
      </c>
    </row>
    <row r="40" spans="1:25">
      <c r="A40" s="548" t="s">
        <v>662</v>
      </c>
      <c r="B40" s="547" t="s">
        <v>26</v>
      </c>
      <c r="I40" s="779">
        <v>20000</v>
      </c>
      <c r="J40" s="549">
        <v>44457</v>
      </c>
      <c r="K40" s="549">
        <f t="shared" ref="K40:P40" si="14">J40*1.3</f>
        <v>57794.1</v>
      </c>
      <c r="L40" s="549">
        <f t="shared" si="14"/>
        <v>75132.33</v>
      </c>
      <c r="M40" s="549">
        <f t="shared" si="14"/>
        <v>97672.02900000001</v>
      </c>
      <c r="N40" s="549">
        <f t="shared" si="14"/>
        <v>126973.63770000002</v>
      </c>
      <c r="O40" s="549">
        <f t="shared" si="14"/>
        <v>165065.72901000004</v>
      </c>
      <c r="P40" s="549">
        <f t="shared" si="14"/>
        <v>214585.44771300006</v>
      </c>
      <c r="Q40" s="549"/>
    </row>
    <row r="41" spans="1:25">
      <c r="B41" s="547" t="s">
        <v>661</v>
      </c>
      <c r="I41" s="779">
        <f>I40*5%</f>
        <v>1000</v>
      </c>
      <c r="J41" s="549">
        <v>3705</v>
      </c>
      <c r="K41" s="549">
        <f t="shared" ref="K41:P41" si="15">K40*8%</f>
        <v>4623.5280000000002</v>
      </c>
      <c r="L41" s="549">
        <f t="shared" si="15"/>
        <v>6010.5864000000001</v>
      </c>
      <c r="M41" s="549">
        <f t="shared" si="15"/>
        <v>7813.7623200000007</v>
      </c>
      <c r="N41" s="549">
        <f t="shared" si="15"/>
        <v>10157.891016000001</v>
      </c>
      <c r="O41" s="549">
        <f t="shared" si="15"/>
        <v>13205.258320800003</v>
      </c>
      <c r="P41" s="549">
        <f t="shared" si="15"/>
        <v>17166.835817040006</v>
      </c>
      <c r="Q41" s="549">
        <f>P41/U10</f>
        <v>138219.28999227055</v>
      </c>
    </row>
    <row r="42" spans="1:25">
      <c r="I42" s="779"/>
      <c r="J42" s="549" t="e">
        <f>J41/J11</f>
        <v>#REF!</v>
      </c>
      <c r="K42" s="549" t="e">
        <f t="shared" ref="K42:Q42" si="16">K41/K11</f>
        <v>#REF!</v>
      </c>
      <c r="L42" s="549" t="e">
        <f t="shared" si="16"/>
        <v>#REF!</v>
      </c>
      <c r="M42" s="549" t="e">
        <f t="shared" si="16"/>
        <v>#REF!</v>
      </c>
      <c r="N42" s="549" t="e">
        <f t="shared" si="16"/>
        <v>#REF!</v>
      </c>
      <c r="O42" s="549" t="e">
        <f t="shared" si="16"/>
        <v>#REF!</v>
      </c>
      <c r="P42" s="549" t="e">
        <f t="shared" si="16"/>
        <v>#REF!</v>
      </c>
      <c r="Q42" s="549" t="e">
        <f t="shared" si="16"/>
        <v>#REF!</v>
      </c>
      <c r="R42" s="831"/>
      <c r="U42" s="547">
        <f>(U46/S46)^(1/3)-1</f>
        <v>6.56022367666107E-2</v>
      </c>
    </row>
    <row r="43" spans="1:25">
      <c r="P43" s="549"/>
      <c r="Q43" s="549"/>
      <c r="R43" s="549"/>
      <c r="S43" s="549"/>
      <c r="T43" s="549"/>
      <c r="U43" s="549"/>
      <c r="V43" s="549"/>
      <c r="W43" s="549"/>
    </row>
    <row r="44" spans="1:25" s="557" customFormat="1" ht="6" customHeight="1"/>
    <row r="45" spans="1:25">
      <c r="A45" s="563" t="s">
        <v>26</v>
      </c>
      <c r="C45" s="784">
        <f>C$2</f>
        <v>2007</v>
      </c>
      <c r="D45" s="784">
        <f t="shared" ref="D45:I45" si="17">D$2</f>
        <v>2008</v>
      </c>
      <c r="E45" s="784">
        <f t="shared" si="17"/>
        <v>2009</v>
      </c>
      <c r="F45" s="784">
        <f t="shared" si="17"/>
        <v>2010</v>
      </c>
      <c r="G45" s="784">
        <f t="shared" si="17"/>
        <v>2011</v>
      </c>
      <c r="H45" s="784">
        <f t="shared" si="17"/>
        <v>2012</v>
      </c>
      <c r="I45" s="784">
        <f t="shared" si="17"/>
        <v>2013</v>
      </c>
      <c r="J45" s="548">
        <v>2014</v>
      </c>
      <c r="K45" s="548">
        <v>2015</v>
      </c>
      <c r="L45" s="548">
        <v>2016</v>
      </c>
      <c r="M45" s="548">
        <v>2017</v>
      </c>
      <c r="N45" s="548">
        <v>2018</v>
      </c>
      <c r="O45" s="548">
        <v>2019</v>
      </c>
      <c r="P45" s="548">
        <v>2020</v>
      </c>
      <c r="S45" s="548">
        <v>2014</v>
      </c>
      <c r="T45" s="548">
        <v>2015</v>
      </c>
      <c r="U45" s="548">
        <v>2016</v>
      </c>
      <c r="V45" s="548">
        <v>2017</v>
      </c>
      <c r="W45" s="548">
        <v>2018</v>
      </c>
      <c r="X45" s="548">
        <v>2019</v>
      </c>
      <c r="Y45" s="548">
        <v>2020</v>
      </c>
    </row>
    <row r="46" spans="1:25">
      <c r="A46" s="548"/>
      <c r="B46" s="551" t="s">
        <v>654</v>
      </c>
      <c r="C46" s="780"/>
      <c r="D46" s="780"/>
      <c r="E46" s="780"/>
      <c r="F46" s="780"/>
      <c r="G46" s="780"/>
      <c r="H46" s="780"/>
      <c r="I46" s="780"/>
      <c r="J46" s="550">
        <f>J23</f>
        <v>230000</v>
      </c>
      <c r="K46" s="550">
        <f t="shared" ref="K46:P46" si="18">K23</f>
        <v>259944.03250000003</v>
      </c>
      <c r="L46" s="550">
        <f t="shared" si="18"/>
        <v>286592.45137500006</v>
      </c>
      <c r="M46" s="550">
        <f t="shared" si="18"/>
        <v>303788.57963750011</v>
      </c>
      <c r="N46" s="550">
        <f t="shared" si="18"/>
        <v>322704.32072625007</v>
      </c>
      <c r="O46" s="550">
        <f t="shared" si="18"/>
        <v>343511.63592387515</v>
      </c>
      <c r="P46" s="550">
        <f t="shared" si="18"/>
        <v>366399.68264126265</v>
      </c>
      <c r="R46" s="551" t="s">
        <v>654</v>
      </c>
      <c r="S46" s="550">
        <f>J3</f>
        <v>302855.90478079999</v>
      </c>
      <c r="T46" s="550">
        <f t="shared" ref="T46:Y46" si="19">K3</f>
        <v>333141.49525888002</v>
      </c>
      <c r="U46" s="550">
        <f t="shared" si="19"/>
        <v>366455.64478476805</v>
      </c>
      <c r="V46" s="550">
        <f t="shared" si="19"/>
        <v>403101.20926324488</v>
      </c>
      <c r="W46" s="550">
        <f t="shared" si="19"/>
        <v>443411.33018956939</v>
      </c>
      <c r="X46" s="550">
        <f t="shared" si="19"/>
        <v>487752.46320852637</v>
      </c>
      <c r="Y46" s="550">
        <f t="shared" si="19"/>
        <v>536527.70952937903</v>
      </c>
    </row>
    <row r="47" spans="1:25">
      <c r="A47" s="548"/>
      <c r="B47" s="551" t="s">
        <v>662</v>
      </c>
      <c r="C47" s="780"/>
      <c r="D47" s="780"/>
      <c r="E47" s="780"/>
      <c r="F47" s="780"/>
      <c r="G47" s="780"/>
      <c r="H47" s="780"/>
      <c r="I47" s="780"/>
      <c r="J47" s="550">
        <f t="shared" ref="J47:P47" si="20">J40</f>
        <v>44457</v>
      </c>
      <c r="K47" s="550">
        <f t="shared" si="20"/>
        <v>57794.1</v>
      </c>
      <c r="L47" s="550">
        <f t="shared" si="20"/>
        <v>75132.33</v>
      </c>
      <c r="M47" s="550">
        <f t="shared" si="20"/>
        <v>97672.02900000001</v>
      </c>
      <c r="N47" s="550">
        <f t="shared" si="20"/>
        <v>126973.63770000002</v>
      </c>
      <c r="O47" s="550">
        <f t="shared" si="20"/>
        <v>165065.72901000004</v>
      </c>
      <c r="P47" s="550">
        <f t="shared" si="20"/>
        <v>214585.44771300006</v>
      </c>
      <c r="R47" s="551" t="s">
        <v>663</v>
      </c>
      <c r="S47" s="550" t="e">
        <f>SUM(J49:J55)</f>
        <v>#REF!</v>
      </c>
      <c r="T47" s="550" t="e">
        <f t="shared" ref="T47:Y47" si="21">SUM(K49:K55)</f>
        <v>#REF!</v>
      </c>
      <c r="U47" s="550" t="e">
        <f t="shared" si="21"/>
        <v>#REF!</v>
      </c>
      <c r="V47" s="550" t="e">
        <f t="shared" si="21"/>
        <v>#REF!</v>
      </c>
      <c r="W47" s="550" t="e">
        <f t="shared" si="21"/>
        <v>#REF!</v>
      </c>
      <c r="X47" s="550" t="e">
        <f t="shared" si="21"/>
        <v>#REF!</v>
      </c>
      <c r="Y47" s="550" t="e">
        <f t="shared" si="21"/>
        <v>#REF!</v>
      </c>
    </row>
    <row r="48" spans="1:25">
      <c r="A48" s="548"/>
      <c r="R48" s="551" t="s">
        <v>662</v>
      </c>
      <c r="S48" s="550">
        <f>J40</f>
        <v>44457</v>
      </c>
      <c r="T48" s="550">
        <f t="shared" ref="T48:Y48" si="22">K40</f>
        <v>57794.1</v>
      </c>
      <c r="U48" s="550">
        <f t="shared" si="22"/>
        <v>75132.33</v>
      </c>
      <c r="V48" s="550">
        <f t="shared" si="22"/>
        <v>97672.02900000001</v>
      </c>
      <c r="W48" s="550">
        <f t="shared" si="22"/>
        <v>126973.63770000002</v>
      </c>
      <c r="X48" s="550">
        <f t="shared" si="22"/>
        <v>165065.72901000004</v>
      </c>
      <c r="Y48" s="550">
        <f t="shared" si="22"/>
        <v>214585.44771300006</v>
      </c>
    </row>
    <row r="49" spans="1:25">
      <c r="A49" s="548"/>
      <c r="B49" s="551" t="s">
        <v>664</v>
      </c>
      <c r="C49" s="780"/>
      <c r="D49" s="780"/>
      <c r="E49" s="780"/>
      <c r="F49" s="780"/>
      <c r="G49" s="780"/>
      <c r="H49" s="780"/>
      <c r="I49" s="780"/>
      <c r="J49" s="550" t="e">
        <f>#REF!</f>
        <v>#REF!</v>
      </c>
      <c r="K49" s="550" t="e">
        <f>#REF!</f>
        <v>#REF!</v>
      </c>
      <c r="L49" s="550" t="e">
        <f>#REF!</f>
        <v>#REF!</v>
      </c>
      <c r="M49" s="550" t="e">
        <f>#REF!</f>
        <v>#REF!</v>
      </c>
      <c r="N49" s="550" t="e">
        <f>#REF!</f>
        <v>#REF!</v>
      </c>
      <c r="O49" s="550" t="e">
        <f>#REF!</f>
        <v>#REF!</v>
      </c>
      <c r="P49" s="550" t="e">
        <f>#REF!</f>
        <v>#REF!</v>
      </c>
      <c r="R49" s="552" t="s">
        <v>26</v>
      </c>
      <c r="S49" s="553" t="e">
        <f>SUM(S46:S48)</f>
        <v>#REF!</v>
      </c>
      <c r="T49" s="553" t="e">
        <f t="shared" ref="T49:Y49" si="23">SUM(T46:T48)</f>
        <v>#REF!</v>
      </c>
      <c r="U49" s="553" t="e">
        <f t="shared" si="23"/>
        <v>#REF!</v>
      </c>
      <c r="V49" s="553" t="e">
        <f t="shared" si="23"/>
        <v>#REF!</v>
      </c>
      <c r="W49" s="553" t="e">
        <f t="shared" si="23"/>
        <v>#REF!</v>
      </c>
      <c r="X49" s="553" t="e">
        <f t="shared" si="23"/>
        <v>#REF!</v>
      </c>
      <c r="Y49" s="553" t="e">
        <f t="shared" si="23"/>
        <v>#REF!</v>
      </c>
    </row>
    <row r="50" spans="1:25">
      <c r="A50" s="548"/>
      <c r="B50" s="551" t="s">
        <v>666</v>
      </c>
      <c r="C50" s="780"/>
      <c r="D50" s="780"/>
      <c r="E50" s="780"/>
      <c r="F50" s="780"/>
      <c r="G50" s="780"/>
      <c r="H50" s="780"/>
      <c r="I50" s="780"/>
      <c r="J50" s="550" t="e">
        <f>#REF!</f>
        <v>#REF!</v>
      </c>
      <c r="K50" s="550" t="e">
        <f>#REF!</f>
        <v>#REF!</v>
      </c>
      <c r="L50" s="550" t="e">
        <f>#REF!</f>
        <v>#REF!</v>
      </c>
      <c r="M50" s="550" t="e">
        <f>#REF!</f>
        <v>#REF!</v>
      </c>
      <c r="N50" s="550" t="e">
        <f>#REF!</f>
        <v>#REF!</v>
      </c>
      <c r="O50" s="550" t="e">
        <f>#REF!</f>
        <v>#REF!</v>
      </c>
      <c r="P50" s="550" t="e">
        <f>#REF!</f>
        <v>#REF!</v>
      </c>
      <c r="R50" s="551"/>
      <c r="S50" s="556" t="e">
        <f>S47/S49</f>
        <v>#REF!</v>
      </c>
      <c r="T50" s="550"/>
      <c r="U50" s="550"/>
      <c r="V50" s="550"/>
      <c r="W50" s="550"/>
      <c r="X50" s="550"/>
      <c r="Y50" s="550"/>
    </row>
    <row r="51" spans="1:25">
      <c r="A51" s="548"/>
      <c r="B51" s="551" t="s">
        <v>667</v>
      </c>
      <c r="C51" s="780"/>
      <c r="D51" s="780"/>
      <c r="E51" s="780"/>
      <c r="F51" s="780"/>
      <c r="G51" s="780"/>
      <c r="H51" s="780"/>
      <c r="I51" s="780"/>
      <c r="J51" s="550" t="e">
        <f>#REF!</f>
        <v>#REF!</v>
      </c>
      <c r="K51" s="550" t="e">
        <f>#REF!</f>
        <v>#REF!</v>
      </c>
      <c r="L51" s="550" t="e">
        <f>#REF!</f>
        <v>#REF!</v>
      </c>
      <c r="M51" s="550" t="e">
        <f>#REF!</f>
        <v>#REF!</v>
      </c>
      <c r="N51" s="550" t="e">
        <f>#REF!</f>
        <v>#REF!</v>
      </c>
      <c r="O51" s="550" t="e">
        <f>#REF!</f>
        <v>#REF!</v>
      </c>
      <c r="P51" s="550" t="e">
        <f>#REF!</f>
        <v>#REF!</v>
      </c>
      <c r="R51" s="551"/>
      <c r="S51" s="550"/>
      <c r="T51" s="550"/>
      <c r="U51" s="550"/>
      <c r="V51" s="550"/>
      <c r="W51" s="550"/>
      <c r="X51" s="550"/>
      <c r="Y51" s="550"/>
    </row>
    <row r="52" spans="1:25">
      <c r="A52" s="548"/>
      <c r="B52" s="551" t="s">
        <v>668</v>
      </c>
      <c r="C52" s="780"/>
      <c r="D52" s="780"/>
      <c r="E52" s="780"/>
      <c r="F52" s="780"/>
      <c r="G52" s="780"/>
      <c r="H52" s="780"/>
      <c r="I52" s="780"/>
      <c r="J52" s="550" t="e">
        <f>#REF!</f>
        <v>#REF!</v>
      </c>
      <c r="K52" s="550" t="e">
        <f>#REF!</f>
        <v>#REF!</v>
      </c>
      <c r="L52" s="550" t="e">
        <f>#REF!</f>
        <v>#REF!</v>
      </c>
      <c r="M52" s="550" t="e">
        <f>#REF!</f>
        <v>#REF!</v>
      </c>
      <c r="N52" s="550" t="e">
        <f>#REF!</f>
        <v>#REF!</v>
      </c>
      <c r="O52" s="550" t="e">
        <f>#REF!</f>
        <v>#REF!</v>
      </c>
      <c r="P52" s="550" t="e">
        <f>#REF!</f>
        <v>#REF!</v>
      </c>
      <c r="R52" s="551"/>
      <c r="S52" s="550"/>
      <c r="T52" s="550"/>
      <c r="U52" s="550"/>
      <c r="V52" s="550"/>
      <c r="W52" s="550"/>
      <c r="X52" s="550"/>
      <c r="Y52" s="550"/>
    </row>
    <row r="53" spans="1:25">
      <c r="A53" s="548"/>
      <c r="B53" s="551" t="s">
        <v>1015</v>
      </c>
      <c r="C53" s="780"/>
      <c r="D53" s="780"/>
      <c r="E53" s="780"/>
      <c r="F53" s="780"/>
      <c r="G53" s="780"/>
      <c r="H53" s="780"/>
      <c r="I53" s="780"/>
      <c r="J53" s="550">
        <v>66700</v>
      </c>
      <c r="K53" s="550"/>
      <c r="L53" s="550"/>
      <c r="M53" s="550"/>
      <c r="N53" s="550"/>
      <c r="O53" s="550"/>
      <c r="P53" s="550"/>
      <c r="R53" s="551"/>
      <c r="S53" s="550"/>
      <c r="T53" s="550"/>
      <c r="U53" s="550"/>
      <c r="V53" s="550"/>
      <c r="W53" s="550"/>
      <c r="X53" s="550"/>
      <c r="Y53" s="550"/>
    </row>
    <row r="54" spans="1:25">
      <c r="A54" s="548"/>
      <c r="B54" s="551" t="s">
        <v>1180</v>
      </c>
      <c r="C54" s="780"/>
      <c r="D54" s="780"/>
      <c r="E54" s="780"/>
      <c r="F54" s="780"/>
      <c r="G54" s="780"/>
      <c r="H54" s="780"/>
      <c r="I54" s="780"/>
      <c r="J54" s="550">
        <f>'Viet Hung'!E165</f>
        <v>0</v>
      </c>
      <c r="K54" s="550">
        <f>'Viet Hung'!F165</f>
        <v>0</v>
      </c>
      <c r="L54" s="550">
        <f>'Viet Hung'!G165</f>
        <v>645120</v>
      </c>
      <c r="M54" s="550">
        <f>'Viet Hung'!H165</f>
        <v>161280</v>
      </c>
      <c r="N54" s="550">
        <f>'Viet Hung'!I165</f>
        <v>0</v>
      </c>
      <c r="O54" s="550">
        <f>'Viet Hung'!J165</f>
        <v>0</v>
      </c>
      <c r="P54" s="550">
        <f>'Viet Hung'!K165</f>
        <v>0</v>
      </c>
      <c r="R54" s="551"/>
      <c r="S54" s="550"/>
      <c r="T54" s="550"/>
      <c r="U54" s="550"/>
      <c r="V54" s="550"/>
      <c r="W54" s="550"/>
      <c r="X54" s="550"/>
      <c r="Y54" s="550"/>
    </row>
    <row r="55" spans="1:25">
      <c r="A55" s="548"/>
      <c r="B55" s="551" t="s">
        <v>1179</v>
      </c>
      <c r="C55" s="780"/>
      <c r="D55" s="780"/>
      <c r="E55" s="780"/>
      <c r="F55" s="780"/>
      <c r="G55" s="780"/>
      <c r="H55" s="780"/>
      <c r="I55" s="780"/>
      <c r="J55" s="550">
        <f>'Tan Thuan'!E165</f>
        <v>0</v>
      </c>
      <c r="K55" s="550">
        <f>'Tan Thuan'!F165</f>
        <v>0</v>
      </c>
      <c r="L55" s="550">
        <f>'Tan Thuan'!G165</f>
        <v>723168</v>
      </c>
      <c r="M55" s="550">
        <f>'Tan Thuan'!H165</f>
        <v>180792</v>
      </c>
      <c r="N55" s="550">
        <f>'Tan Thuan'!I165</f>
        <v>0</v>
      </c>
      <c r="O55" s="550">
        <f>'Tan Thuan'!J165</f>
        <v>0</v>
      </c>
      <c r="P55" s="550">
        <f>'Tan Thuan'!K165</f>
        <v>0</v>
      </c>
      <c r="R55" s="551"/>
      <c r="S55" s="550"/>
      <c r="T55" s="550"/>
      <c r="U55" s="550"/>
      <c r="V55" s="550"/>
      <c r="W55" s="550"/>
      <c r="X55" s="550"/>
      <c r="Y55" s="550"/>
    </row>
    <row r="56" spans="1:25">
      <c r="A56" s="548"/>
      <c r="B56" s="552"/>
      <c r="C56" s="781"/>
      <c r="D56" s="781"/>
      <c r="E56" s="781"/>
      <c r="F56" s="781"/>
      <c r="G56" s="781"/>
      <c r="H56" s="781"/>
      <c r="I56" s="781"/>
      <c r="J56" s="553"/>
      <c r="K56" s="553"/>
      <c r="L56" s="553"/>
      <c r="M56" s="553"/>
      <c r="N56" s="553"/>
      <c r="O56" s="553"/>
      <c r="P56" s="553"/>
      <c r="R56" s="551"/>
      <c r="S56" s="550"/>
      <c r="T56" s="550"/>
      <c r="U56" s="550"/>
      <c r="V56" s="550"/>
      <c r="W56" s="550"/>
      <c r="X56" s="550"/>
      <c r="Y56" s="550"/>
    </row>
    <row r="57" spans="1:25" s="557" customFormat="1" ht="6.75" customHeight="1">
      <c r="A57" s="558"/>
      <c r="B57" s="559"/>
      <c r="C57" s="559"/>
      <c r="D57" s="559"/>
      <c r="E57" s="559"/>
      <c r="F57" s="559"/>
      <c r="G57" s="559"/>
      <c r="H57" s="559"/>
      <c r="I57" s="559"/>
      <c r="J57" s="560"/>
      <c r="K57" s="560"/>
      <c r="L57" s="560"/>
      <c r="M57" s="560"/>
      <c r="N57" s="560"/>
      <c r="O57" s="560"/>
      <c r="P57" s="560"/>
      <c r="R57" s="561"/>
      <c r="S57" s="562"/>
      <c r="T57" s="562"/>
      <c r="U57" s="562"/>
      <c r="V57" s="562"/>
      <c r="W57" s="562"/>
      <c r="X57" s="562"/>
      <c r="Y57" s="562"/>
    </row>
    <row r="58" spans="1:25">
      <c r="A58" s="563" t="s">
        <v>432</v>
      </c>
      <c r="C58" s="784">
        <f>C$2</f>
        <v>2007</v>
      </c>
      <c r="D58" s="784">
        <f t="shared" ref="D58:I58" si="24">D$2</f>
        <v>2008</v>
      </c>
      <c r="E58" s="784">
        <f t="shared" si="24"/>
        <v>2009</v>
      </c>
      <c r="F58" s="784">
        <f t="shared" si="24"/>
        <v>2010</v>
      </c>
      <c r="G58" s="784">
        <f t="shared" si="24"/>
        <v>2011</v>
      </c>
      <c r="H58" s="784">
        <f t="shared" si="24"/>
        <v>2012</v>
      </c>
      <c r="I58" s="784">
        <f t="shared" si="24"/>
        <v>2013</v>
      </c>
      <c r="J58" s="548">
        <v>2014</v>
      </c>
      <c r="K58" s="548">
        <v>2015</v>
      </c>
      <c r="L58" s="548">
        <v>2016</v>
      </c>
      <c r="M58" s="548">
        <v>2017</v>
      </c>
      <c r="N58" s="548">
        <v>2018</v>
      </c>
      <c r="O58" s="548">
        <v>2019</v>
      </c>
      <c r="P58" s="548">
        <v>2020</v>
      </c>
      <c r="S58" s="548">
        <v>2014</v>
      </c>
      <c r="T58" s="548">
        <v>2015</v>
      </c>
      <c r="U58" s="548">
        <v>2016</v>
      </c>
      <c r="V58" s="548">
        <v>2017</v>
      </c>
      <c r="W58" s="548">
        <v>2018</v>
      </c>
      <c r="X58" s="548">
        <v>2019</v>
      </c>
      <c r="Y58" s="548">
        <v>2020</v>
      </c>
    </row>
    <row r="59" spans="1:25">
      <c r="A59" s="548"/>
      <c r="B59" s="551" t="s">
        <v>654</v>
      </c>
      <c r="C59" s="780"/>
      <c r="D59" s="780"/>
      <c r="E59" s="780"/>
      <c r="F59" s="780"/>
      <c r="G59" s="780"/>
      <c r="H59" s="780"/>
      <c r="I59" s="780"/>
      <c r="J59" s="550">
        <f t="shared" ref="J59:P59" si="25">(J4)*-1</f>
        <v>-75713.976195199997</v>
      </c>
      <c r="K59" s="550">
        <f t="shared" si="25"/>
        <v>-83285.373814720006</v>
      </c>
      <c r="L59" s="550">
        <f t="shared" si="25"/>
        <v>-91613.911196192013</v>
      </c>
      <c r="M59" s="550">
        <f t="shared" si="25"/>
        <v>-100775.30231581122</v>
      </c>
      <c r="N59" s="550">
        <f t="shared" si="25"/>
        <v>-110852.83254739235</v>
      </c>
      <c r="O59" s="550">
        <f t="shared" si="25"/>
        <v>-121938.11580213159</v>
      </c>
      <c r="P59" s="550">
        <f t="shared" si="25"/>
        <v>-134131.92738234476</v>
      </c>
      <c r="R59" s="551" t="s">
        <v>654</v>
      </c>
      <c r="S59" s="550">
        <f>J59</f>
        <v>-75713.976195199997</v>
      </c>
      <c r="T59" s="550">
        <f t="shared" ref="T59:Y59" si="26">K59</f>
        <v>-83285.373814720006</v>
      </c>
      <c r="U59" s="550">
        <f t="shared" si="26"/>
        <v>-91613.911196192013</v>
      </c>
      <c r="V59" s="550">
        <f t="shared" si="26"/>
        <v>-100775.30231581122</v>
      </c>
      <c r="W59" s="550">
        <f t="shared" si="26"/>
        <v>-110852.83254739235</v>
      </c>
      <c r="X59" s="550">
        <f t="shared" si="26"/>
        <v>-121938.11580213159</v>
      </c>
      <c r="Y59" s="550">
        <f t="shared" si="26"/>
        <v>-134131.92738234476</v>
      </c>
    </row>
    <row r="60" spans="1:25">
      <c r="A60" s="548"/>
      <c r="B60" s="551" t="s">
        <v>662</v>
      </c>
      <c r="C60" s="780"/>
      <c r="D60" s="780"/>
      <c r="E60" s="780"/>
      <c r="F60" s="780"/>
      <c r="G60" s="780"/>
      <c r="H60" s="780"/>
      <c r="I60" s="780"/>
      <c r="J60" s="550">
        <f t="shared" ref="J60:P60" si="27">(J40*(1-J61))*-1</f>
        <v>-40900.44</v>
      </c>
      <c r="K60" s="550">
        <f t="shared" si="27"/>
        <v>-53170.572</v>
      </c>
      <c r="L60" s="550">
        <f t="shared" si="27"/>
        <v>-69121.743600000002</v>
      </c>
      <c r="M60" s="550">
        <f t="shared" si="27"/>
        <v>-89858.266680000015</v>
      </c>
      <c r="N60" s="550">
        <f t="shared" si="27"/>
        <v>-116815.74668400003</v>
      </c>
      <c r="O60" s="550">
        <f t="shared" si="27"/>
        <v>-151860.47068920004</v>
      </c>
      <c r="P60" s="550">
        <f t="shared" si="27"/>
        <v>-197418.61189596006</v>
      </c>
      <c r="R60" s="551" t="s">
        <v>663</v>
      </c>
      <c r="S60" s="550" t="e">
        <f>SUM(J63:J69)</f>
        <v>#REF!</v>
      </c>
      <c r="T60" s="550" t="e">
        <f t="shared" ref="T60:Y60" si="28">SUM(K63:K69)</f>
        <v>#REF!</v>
      </c>
      <c r="U60" s="550" t="e">
        <f t="shared" si="28"/>
        <v>#REF!</v>
      </c>
      <c r="V60" s="550" t="e">
        <f t="shared" si="28"/>
        <v>#REF!</v>
      </c>
      <c r="W60" s="550" t="e">
        <f t="shared" si="28"/>
        <v>#REF!</v>
      </c>
      <c r="X60" s="550" t="e">
        <f t="shared" si="28"/>
        <v>#REF!</v>
      </c>
      <c r="Y60" s="550" t="e">
        <f t="shared" si="28"/>
        <v>#REF!</v>
      </c>
    </row>
    <row r="61" spans="1:25">
      <c r="A61" s="548"/>
      <c r="B61" s="551" t="s">
        <v>669</v>
      </c>
      <c r="C61" s="780"/>
      <c r="D61" s="780"/>
      <c r="E61" s="780"/>
      <c r="F61" s="780"/>
      <c r="G61" s="780"/>
      <c r="H61" s="780"/>
      <c r="I61" s="780"/>
      <c r="J61" s="556">
        <v>0.08</v>
      </c>
      <c r="K61" s="556">
        <v>0.08</v>
      </c>
      <c r="L61" s="556">
        <v>0.08</v>
      </c>
      <c r="M61" s="556">
        <v>0.08</v>
      </c>
      <c r="N61" s="556">
        <v>0.08</v>
      </c>
      <c r="O61" s="556">
        <v>0.08</v>
      </c>
      <c r="P61" s="556">
        <v>0.08</v>
      </c>
      <c r="R61" s="551" t="s">
        <v>662</v>
      </c>
      <c r="S61" s="550">
        <f>J60</f>
        <v>-40900.44</v>
      </c>
      <c r="T61" s="550">
        <f t="shared" ref="T61:Y61" si="29">K60</f>
        <v>-53170.572</v>
      </c>
      <c r="U61" s="550">
        <f t="shared" si="29"/>
        <v>-69121.743600000002</v>
      </c>
      <c r="V61" s="550">
        <f t="shared" si="29"/>
        <v>-89858.266680000015</v>
      </c>
      <c r="W61" s="550">
        <f t="shared" si="29"/>
        <v>-116815.74668400003</v>
      </c>
      <c r="X61" s="550">
        <f t="shared" si="29"/>
        <v>-151860.47068920004</v>
      </c>
      <c r="Y61" s="550">
        <f t="shared" si="29"/>
        <v>-197418.61189596006</v>
      </c>
    </row>
    <row r="62" spans="1:25">
      <c r="A62" s="548"/>
      <c r="R62" s="548" t="s">
        <v>432</v>
      </c>
      <c r="S62" s="553" t="e">
        <f>SUM(S59:S61)</f>
        <v>#REF!</v>
      </c>
      <c r="T62" s="553" t="e">
        <f t="shared" ref="T62:Y62" si="30">SUM(T59:T61)</f>
        <v>#REF!</v>
      </c>
      <c r="U62" s="553" t="e">
        <f t="shared" si="30"/>
        <v>#REF!</v>
      </c>
      <c r="V62" s="553" t="e">
        <f t="shared" si="30"/>
        <v>#REF!</v>
      </c>
      <c r="W62" s="553" t="e">
        <f t="shared" si="30"/>
        <v>#REF!</v>
      </c>
      <c r="X62" s="553" t="e">
        <f t="shared" si="30"/>
        <v>#REF!</v>
      </c>
      <c r="Y62" s="553" t="e">
        <f t="shared" si="30"/>
        <v>#REF!</v>
      </c>
    </row>
    <row r="63" spans="1:25">
      <c r="A63" s="548"/>
      <c r="B63" s="551" t="s">
        <v>664</v>
      </c>
      <c r="C63" s="780"/>
      <c r="D63" s="780"/>
      <c r="E63" s="780"/>
      <c r="F63" s="780"/>
      <c r="G63" s="780"/>
      <c r="H63" s="780"/>
      <c r="I63" s="780"/>
      <c r="J63" s="550" t="e">
        <f>#REF!</f>
        <v>#REF!</v>
      </c>
      <c r="K63" s="550" t="e">
        <f>#REF!</f>
        <v>#REF!</v>
      </c>
      <c r="L63" s="550" t="e">
        <f>#REF!</f>
        <v>#REF!</v>
      </c>
      <c r="M63" s="550" t="e">
        <f>#REF!</f>
        <v>#REF!</v>
      </c>
      <c r="N63" s="550" t="e">
        <f>#REF!</f>
        <v>#REF!</v>
      </c>
      <c r="O63" s="550" t="e">
        <f>#REF!</f>
        <v>#REF!</v>
      </c>
      <c r="P63" s="550" t="e">
        <f>#REF!</f>
        <v>#REF!</v>
      </c>
      <c r="R63" s="551"/>
      <c r="S63" s="550"/>
      <c r="T63" s="550"/>
      <c r="U63" s="550"/>
      <c r="V63" s="550"/>
      <c r="W63" s="550"/>
      <c r="X63" s="550"/>
      <c r="Y63" s="550"/>
    </row>
    <row r="64" spans="1:25">
      <c r="A64" s="548"/>
      <c r="B64" s="551" t="s">
        <v>666</v>
      </c>
      <c r="C64" s="780"/>
      <c r="D64" s="780"/>
      <c r="E64" s="780"/>
      <c r="F64" s="780"/>
      <c r="G64" s="780"/>
      <c r="H64" s="780"/>
      <c r="I64" s="780"/>
      <c r="J64" s="550" t="e">
        <f>#REF!</f>
        <v>#REF!</v>
      </c>
      <c r="K64" s="550" t="e">
        <f>#REF!</f>
        <v>#REF!</v>
      </c>
      <c r="L64" s="550" t="e">
        <f>#REF!</f>
        <v>#REF!</v>
      </c>
      <c r="M64" s="550" t="e">
        <f>#REF!</f>
        <v>#REF!</v>
      </c>
      <c r="N64" s="550" t="e">
        <f>#REF!</f>
        <v>#REF!</v>
      </c>
      <c r="O64" s="550" t="e">
        <f>#REF!</f>
        <v>#REF!</v>
      </c>
      <c r="P64" s="550" t="e">
        <f>#REF!</f>
        <v>#REF!</v>
      </c>
      <c r="R64" s="551"/>
      <c r="S64" s="550">
        <f>S46+S59</f>
        <v>227141.92858559999</v>
      </c>
      <c r="T64" s="538">
        <f>S64/S46</f>
        <v>0.75</v>
      </c>
      <c r="U64" s="550">
        <f>U46+U59</f>
        <v>274841.73358857603</v>
      </c>
      <c r="V64" s="550">
        <f>V46+V59</f>
        <v>302325.90694743366</v>
      </c>
      <c r="W64" s="550">
        <f>W46+W59</f>
        <v>332558.49764217704</v>
      </c>
      <c r="X64" s="550">
        <f>X46+X59</f>
        <v>365814.34740639478</v>
      </c>
      <c r="Y64" s="550">
        <f>Y46+Y59</f>
        <v>402395.7821470343</v>
      </c>
    </row>
    <row r="65" spans="1:25">
      <c r="A65" s="548"/>
      <c r="B65" s="551" t="s">
        <v>667</v>
      </c>
      <c r="C65" s="780"/>
      <c r="D65" s="780"/>
      <c r="E65" s="780"/>
      <c r="F65" s="780"/>
      <c r="G65" s="780"/>
      <c r="H65" s="780"/>
      <c r="I65" s="780"/>
      <c r="J65" s="550" t="e">
        <f>#REF!</f>
        <v>#REF!</v>
      </c>
      <c r="K65" s="550" t="e">
        <f>#REF!</f>
        <v>#REF!</v>
      </c>
      <c r="L65" s="550" t="e">
        <f>#REF!</f>
        <v>#REF!</v>
      </c>
      <c r="M65" s="550" t="e">
        <f>#REF!</f>
        <v>#REF!</v>
      </c>
      <c r="N65" s="550" t="e">
        <f>#REF!</f>
        <v>#REF!</v>
      </c>
      <c r="O65" s="550" t="e">
        <f>#REF!</f>
        <v>#REF!</v>
      </c>
      <c r="P65" s="550" t="e">
        <f>#REF!</f>
        <v>#REF!</v>
      </c>
      <c r="R65" s="551"/>
      <c r="S65" s="550" t="e">
        <f>S47+S60</f>
        <v>#REF!</v>
      </c>
      <c r="T65" s="538" t="e">
        <f>S65/S47</f>
        <v>#REF!</v>
      </c>
      <c r="U65" s="550"/>
      <c r="V65" s="550"/>
      <c r="W65" s="550"/>
      <c r="X65" s="550"/>
      <c r="Y65" s="550"/>
    </row>
    <row r="66" spans="1:25">
      <c r="A66" s="548"/>
      <c r="B66" s="551" t="s">
        <v>668</v>
      </c>
      <c r="C66" s="780"/>
      <c r="D66" s="780"/>
      <c r="E66" s="780"/>
      <c r="F66" s="780"/>
      <c r="G66" s="780"/>
      <c r="H66" s="780"/>
      <c r="I66" s="780"/>
      <c r="J66" s="550" t="e">
        <f>#REF!</f>
        <v>#REF!</v>
      </c>
      <c r="K66" s="550" t="e">
        <f>#REF!</f>
        <v>#REF!</v>
      </c>
      <c r="L66" s="550" t="e">
        <f>#REF!</f>
        <v>#REF!</v>
      </c>
      <c r="M66" s="550" t="e">
        <f>#REF!</f>
        <v>#REF!</v>
      </c>
      <c r="N66" s="550" t="e">
        <f>#REF!</f>
        <v>#REF!</v>
      </c>
      <c r="O66" s="550" t="e">
        <f>#REF!</f>
        <v>#REF!</v>
      </c>
      <c r="P66" s="550" t="e">
        <f>#REF!</f>
        <v>#REF!</v>
      </c>
      <c r="R66" s="551"/>
      <c r="S66" s="550">
        <f>S48+S61</f>
        <v>3556.5599999999977</v>
      </c>
      <c r="T66" s="538">
        <f>S66/S48</f>
        <v>7.9999999999999946E-2</v>
      </c>
      <c r="U66" s="550"/>
      <c r="V66" s="550"/>
      <c r="W66" s="550"/>
      <c r="X66" s="550"/>
      <c r="Y66" s="550"/>
    </row>
    <row r="67" spans="1:25">
      <c r="A67" s="548"/>
      <c r="B67" s="551" t="s">
        <v>1015</v>
      </c>
      <c r="C67" s="780"/>
      <c r="D67" s="780"/>
      <c r="E67" s="780"/>
      <c r="F67" s="780"/>
      <c r="G67" s="780"/>
      <c r="H67" s="780"/>
      <c r="I67" s="780"/>
      <c r="J67" s="550">
        <f>-J53*0.5</f>
        <v>-33350</v>
      </c>
      <c r="K67" s="550"/>
      <c r="L67" s="550"/>
      <c r="M67" s="550"/>
      <c r="N67" s="550"/>
      <c r="O67" s="550"/>
      <c r="P67" s="550"/>
      <c r="R67" s="551"/>
      <c r="S67" s="550" t="e">
        <f>SUM(S64:S66)</f>
        <v>#REF!</v>
      </c>
      <c r="T67" s="550"/>
      <c r="U67" s="550"/>
      <c r="V67" s="550"/>
      <c r="W67" s="550"/>
      <c r="X67" s="550"/>
      <c r="Y67" s="550"/>
    </row>
    <row r="68" spans="1:25">
      <c r="A68" s="548"/>
      <c r="B68" s="551" t="s">
        <v>1180</v>
      </c>
      <c r="C68" s="780"/>
      <c r="D68" s="780"/>
      <c r="E68" s="780"/>
      <c r="F68" s="780"/>
      <c r="G68" s="780"/>
      <c r="H68" s="780"/>
      <c r="I68" s="780"/>
      <c r="J68" s="550">
        <f>'Viet Hung'!E166</f>
        <v>0</v>
      </c>
      <c r="K68" s="550">
        <f>'Viet Hung'!F166</f>
        <v>0</v>
      </c>
      <c r="L68" s="550">
        <f>'Viet Hung'!G166</f>
        <v>-458591.2</v>
      </c>
      <c r="M68" s="550">
        <f>'Viet Hung'!H166</f>
        <v>-114647.8</v>
      </c>
      <c r="N68" s="550">
        <f>'Viet Hung'!I166</f>
        <v>0</v>
      </c>
      <c r="O68" s="550">
        <f>'Viet Hung'!J166</f>
        <v>0</v>
      </c>
      <c r="P68" s="550">
        <f>'Viet Hung'!K166</f>
        <v>0</v>
      </c>
      <c r="R68" s="551"/>
      <c r="S68" s="550"/>
      <c r="T68" s="550"/>
      <c r="U68" s="550"/>
      <c r="V68" s="550"/>
      <c r="W68" s="550"/>
      <c r="X68" s="550"/>
      <c r="Y68" s="550"/>
    </row>
    <row r="69" spans="1:25">
      <c r="A69" s="548"/>
      <c r="B69" s="551" t="s">
        <v>1179</v>
      </c>
      <c r="C69" s="780"/>
      <c r="D69" s="780"/>
      <c r="E69" s="780"/>
      <c r="F69" s="780"/>
      <c r="G69" s="780"/>
      <c r="H69" s="780"/>
      <c r="I69" s="780"/>
      <c r="J69" s="550">
        <f>'Tan Thuan'!E166</f>
        <v>0</v>
      </c>
      <c r="K69" s="550">
        <f>'Tan Thuan'!F166</f>
        <v>0</v>
      </c>
      <c r="L69" s="550">
        <f>'Tan Thuan'!G166</f>
        <v>-542893.56000000006</v>
      </c>
      <c r="M69" s="550">
        <f>'Tan Thuan'!H166</f>
        <v>-135723.39000000001</v>
      </c>
      <c r="N69" s="550">
        <f>'Tan Thuan'!I166</f>
        <v>0</v>
      </c>
      <c r="O69" s="550">
        <f>'Tan Thuan'!J166</f>
        <v>0</v>
      </c>
      <c r="P69" s="550">
        <f>'Tan Thuan'!K166</f>
        <v>0</v>
      </c>
      <c r="R69" s="551"/>
      <c r="S69" s="550"/>
      <c r="T69" s="550"/>
      <c r="U69" s="550"/>
      <c r="V69" s="550"/>
      <c r="W69" s="550"/>
      <c r="X69" s="550"/>
      <c r="Y69" s="550"/>
    </row>
    <row r="70" spans="1:25">
      <c r="A70" s="548"/>
      <c r="B70" s="551"/>
      <c r="C70" s="780"/>
      <c r="D70" s="780"/>
      <c r="E70" s="780"/>
      <c r="F70" s="780"/>
      <c r="G70" s="780"/>
      <c r="H70" s="780"/>
      <c r="I70" s="780"/>
      <c r="J70" s="550"/>
      <c r="K70" s="550"/>
      <c r="L70" s="550"/>
      <c r="M70" s="550"/>
      <c r="N70" s="550"/>
      <c r="O70" s="550"/>
      <c r="P70" s="550"/>
      <c r="R70" s="551"/>
      <c r="S70" s="550"/>
      <c r="T70" s="550"/>
      <c r="U70" s="550"/>
      <c r="V70" s="550"/>
      <c r="W70" s="550"/>
      <c r="X70" s="550"/>
      <c r="Y70" s="550"/>
    </row>
    <row r="71" spans="1:25" s="557" customFormat="1" ht="6" customHeight="1">
      <c r="A71" s="558"/>
      <c r="B71" s="559"/>
      <c r="C71" s="559"/>
      <c r="D71" s="559"/>
      <c r="E71" s="559"/>
      <c r="F71" s="559"/>
      <c r="G71" s="559"/>
      <c r="H71" s="559"/>
      <c r="I71" s="559"/>
      <c r="J71" s="560"/>
      <c r="K71" s="560"/>
      <c r="L71" s="560"/>
      <c r="M71" s="560"/>
      <c r="N71" s="560"/>
      <c r="O71" s="560"/>
      <c r="P71" s="560"/>
      <c r="R71" s="561"/>
      <c r="S71" s="562"/>
      <c r="T71" s="562"/>
      <c r="U71" s="562"/>
      <c r="V71" s="562"/>
      <c r="W71" s="562"/>
      <c r="X71" s="562"/>
      <c r="Y71" s="562"/>
    </row>
    <row r="72" spans="1:25">
      <c r="A72" s="563" t="s">
        <v>656</v>
      </c>
      <c r="B72" s="552"/>
      <c r="C72" s="784">
        <f>C$2</f>
        <v>2007</v>
      </c>
      <c r="D72" s="784">
        <f t="shared" ref="D72:I72" si="31">D$2</f>
        <v>2008</v>
      </c>
      <c r="E72" s="784">
        <f t="shared" si="31"/>
        <v>2009</v>
      </c>
      <c r="F72" s="784">
        <f t="shared" si="31"/>
        <v>2010</v>
      </c>
      <c r="G72" s="784">
        <f t="shared" si="31"/>
        <v>2011</v>
      </c>
      <c r="H72" s="784">
        <f t="shared" si="31"/>
        <v>2012</v>
      </c>
      <c r="I72" s="784">
        <f t="shared" si="31"/>
        <v>2013</v>
      </c>
      <c r="J72" s="548">
        <v>2014</v>
      </c>
      <c r="K72" s="548">
        <v>2015</v>
      </c>
      <c r="L72" s="548">
        <v>2016</v>
      </c>
      <c r="M72" s="548">
        <v>2017</v>
      </c>
      <c r="N72" s="548">
        <v>2018</v>
      </c>
      <c r="O72" s="548">
        <v>2019</v>
      </c>
      <c r="P72" s="548">
        <v>2020</v>
      </c>
      <c r="R72" s="551"/>
      <c r="S72" s="548">
        <v>2014</v>
      </c>
      <c r="T72" s="548">
        <v>2015</v>
      </c>
      <c r="U72" s="548">
        <v>2016</v>
      </c>
      <c r="V72" s="548">
        <v>2017</v>
      </c>
      <c r="W72" s="548">
        <v>2018</v>
      </c>
      <c r="X72" s="548">
        <v>2019</v>
      </c>
      <c r="Y72" s="548">
        <v>2020</v>
      </c>
    </row>
    <row r="73" spans="1:25">
      <c r="A73" s="548"/>
      <c r="B73" s="551" t="s">
        <v>654</v>
      </c>
      <c r="C73" s="780"/>
      <c r="D73" s="780"/>
      <c r="E73" s="780"/>
      <c r="F73" s="780"/>
      <c r="G73" s="780"/>
      <c r="H73" s="780"/>
      <c r="I73" s="780"/>
      <c r="J73" s="550">
        <f t="shared" ref="J73:P73" si="32">-J74*J46</f>
        <v>-57500</v>
      </c>
      <c r="K73" s="550">
        <f t="shared" si="32"/>
        <v>-67585.448450000011</v>
      </c>
      <c r="L73" s="550">
        <f t="shared" si="32"/>
        <v>-77379.961871250023</v>
      </c>
      <c r="M73" s="550">
        <f t="shared" si="32"/>
        <v>-85060.802298500043</v>
      </c>
      <c r="N73" s="550">
        <f t="shared" si="32"/>
        <v>-93584.253010612534</v>
      </c>
      <c r="O73" s="550">
        <f t="shared" si="32"/>
        <v>-103053.49077716256</v>
      </c>
      <c r="P73" s="550">
        <f t="shared" si="32"/>
        <v>-113583.90161879144</v>
      </c>
      <c r="R73" s="551" t="s">
        <v>654</v>
      </c>
      <c r="S73" s="550">
        <f>J73</f>
        <v>-57500</v>
      </c>
      <c r="T73" s="550">
        <f t="shared" ref="T73:Y73" si="33">K73</f>
        <v>-67585.448450000011</v>
      </c>
      <c r="U73" s="550">
        <f t="shared" si="33"/>
        <v>-77379.961871250023</v>
      </c>
      <c r="V73" s="550">
        <f t="shared" si="33"/>
        <v>-85060.802298500043</v>
      </c>
      <c r="W73" s="550">
        <f t="shared" si="33"/>
        <v>-93584.253010612534</v>
      </c>
      <c r="X73" s="550">
        <f t="shared" si="33"/>
        <v>-103053.49077716256</v>
      </c>
      <c r="Y73" s="550">
        <f t="shared" si="33"/>
        <v>-113583.90161879144</v>
      </c>
    </row>
    <row r="74" spans="1:25">
      <c r="A74" s="548"/>
      <c r="B74" s="551" t="s">
        <v>671</v>
      </c>
      <c r="C74" s="780"/>
      <c r="D74" s="780"/>
      <c r="E74" s="780"/>
      <c r="F74" s="780"/>
      <c r="G74" s="780"/>
      <c r="H74" s="780"/>
      <c r="I74" s="780"/>
      <c r="J74" s="556">
        <f>J5-J8</f>
        <v>0.25</v>
      </c>
      <c r="K74" s="556">
        <f t="shared" ref="K74:P74" si="34">J74+1%</f>
        <v>0.26</v>
      </c>
      <c r="L74" s="556">
        <f t="shared" si="34"/>
        <v>0.27</v>
      </c>
      <c r="M74" s="556">
        <f t="shared" si="34"/>
        <v>0.28000000000000003</v>
      </c>
      <c r="N74" s="556">
        <f t="shared" si="34"/>
        <v>0.29000000000000004</v>
      </c>
      <c r="O74" s="556">
        <f t="shared" si="34"/>
        <v>0.30000000000000004</v>
      </c>
      <c r="P74" s="556">
        <f t="shared" si="34"/>
        <v>0.31000000000000005</v>
      </c>
      <c r="R74" s="551" t="s">
        <v>663</v>
      </c>
      <c r="S74" s="550" t="e">
        <f>SUM(J78:J83)</f>
        <v>#REF!</v>
      </c>
      <c r="T74" s="550" t="e">
        <f t="shared" ref="T74:Y74" si="35">SUM(K78:K83)</f>
        <v>#REF!</v>
      </c>
      <c r="U74" s="550" t="e">
        <f t="shared" si="35"/>
        <v>#REF!</v>
      </c>
      <c r="V74" s="550" t="e">
        <f t="shared" si="35"/>
        <v>#REF!</v>
      </c>
      <c r="W74" s="550" t="e">
        <f t="shared" si="35"/>
        <v>#REF!</v>
      </c>
      <c r="X74" s="550" t="e">
        <f t="shared" si="35"/>
        <v>#REF!</v>
      </c>
      <c r="Y74" s="550" t="e">
        <f t="shared" si="35"/>
        <v>#REF!</v>
      </c>
    </row>
    <row r="75" spans="1:25">
      <c r="A75" s="548"/>
      <c r="B75" s="551" t="s">
        <v>662</v>
      </c>
      <c r="C75" s="780"/>
      <c r="D75" s="780"/>
      <c r="E75" s="780"/>
      <c r="F75" s="780"/>
      <c r="G75" s="780"/>
      <c r="H75" s="780"/>
      <c r="I75" s="780"/>
      <c r="J75" s="550">
        <f t="shared" ref="J75:P75" si="36">-J76*J47</f>
        <v>-889.14</v>
      </c>
      <c r="K75" s="550">
        <f t="shared" si="36"/>
        <v>-1733.8229999999999</v>
      </c>
      <c r="L75" s="550">
        <f t="shared" si="36"/>
        <v>-3005.2932000000001</v>
      </c>
      <c r="M75" s="550">
        <f t="shared" si="36"/>
        <v>-4883.601450000001</v>
      </c>
      <c r="N75" s="550">
        <f t="shared" si="36"/>
        <v>-7618.418262000002</v>
      </c>
      <c r="O75" s="550">
        <f t="shared" si="36"/>
        <v>-11554.601030700003</v>
      </c>
      <c r="P75" s="550">
        <f t="shared" si="36"/>
        <v>-17166.835817040006</v>
      </c>
      <c r="R75" s="551" t="s">
        <v>662</v>
      </c>
      <c r="S75" s="550">
        <f>J75</f>
        <v>-889.14</v>
      </c>
      <c r="T75" s="550">
        <f t="shared" ref="T75:Y75" si="37">K75</f>
        <v>-1733.8229999999999</v>
      </c>
      <c r="U75" s="550">
        <f t="shared" si="37"/>
        <v>-3005.2932000000001</v>
      </c>
      <c r="V75" s="550">
        <f t="shared" si="37"/>
        <v>-4883.601450000001</v>
      </c>
      <c r="W75" s="550">
        <f t="shared" si="37"/>
        <v>-7618.418262000002</v>
      </c>
      <c r="X75" s="550">
        <f t="shared" si="37"/>
        <v>-11554.601030700003</v>
      </c>
      <c r="Y75" s="550">
        <f t="shared" si="37"/>
        <v>-17166.835817040006</v>
      </c>
    </row>
    <row r="76" spans="1:25">
      <c r="A76" s="548"/>
      <c r="B76" s="551" t="s">
        <v>672</v>
      </c>
      <c r="C76" s="780"/>
      <c r="D76" s="780"/>
      <c r="E76" s="780"/>
      <c r="F76" s="780"/>
      <c r="G76" s="780"/>
      <c r="H76" s="780"/>
      <c r="I76" s="780"/>
      <c r="J76" s="556">
        <v>0.02</v>
      </c>
      <c r="K76" s="556">
        <f t="shared" ref="K76:P76" si="38">J76+1%</f>
        <v>0.03</v>
      </c>
      <c r="L76" s="556">
        <f t="shared" si="38"/>
        <v>0.04</v>
      </c>
      <c r="M76" s="556">
        <f t="shared" si="38"/>
        <v>0.05</v>
      </c>
      <c r="N76" s="556">
        <f t="shared" si="38"/>
        <v>6.0000000000000005E-2</v>
      </c>
      <c r="O76" s="556">
        <f t="shared" si="38"/>
        <v>7.0000000000000007E-2</v>
      </c>
      <c r="P76" s="556">
        <f t="shared" si="38"/>
        <v>0.08</v>
      </c>
      <c r="R76" s="551" t="s">
        <v>1182</v>
      </c>
      <c r="S76" s="550" t="e">
        <f>-S49*0.12</f>
        <v>#REF!</v>
      </c>
      <c r="T76" s="550" t="e">
        <f t="shared" ref="T76:Y76" si="39">-T49*0.12</f>
        <v>#REF!</v>
      </c>
      <c r="U76" s="550" t="e">
        <f t="shared" si="39"/>
        <v>#REF!</v>
      </c>
      <c r="V76" s="550" t="e">
        <f t="shared" si="39"/>
        <v>#REF!</v>
      </c>
      <c r="W76" s="550" t="e">
        <f t="shared" si="39"/>
        <v>#REF!</v>
      </c>
      <c r="X76" s="550" t="e">
        <f t="shared" si="39"/>
        <v>#REF!</v>
      </c>
      <c r="Y76" s="550" t="e">
        <f t="shared" si="39"/>
        <v>#REF!</v>
      </c>
    </row>
    <row r="77" spans="1:25">
      <c r="A77" s="548"/>
      <c r="R77" s="548" t="s">
        <v>656</v>
      </c>
      <c r="S77" s="553" t="e">
        <f t="shared" ref="S77:Y77" si="40">SUM(S73:S76)</f>
        <v>#REF!</v>
      </c>
      <c r="T77" s="553" t="e">
        <f t="shared" si="40"/>
        <v>#REF!</v>
      </c>
      <c r="U77" s="553" t="e">
        <f t="shared" si="40"/>
        <v>#REF!</v>
      </c>
      <c r="V77" s="553" t="e">
        <f t="shared" si="40"/>
        <v>#REF!</v>
      </c>
      <c r="W77" s="553" t="e">
        <f t="shared" si="40"/>
        <v>#REF!</v>
      </c>
      <c r="X77" s="553" t="e">
        <f t="shared" si="40"/>
        <v>#REF!</v>
      </c>
      <c r="Y77" s="553" t="e">
        <f t="shared" si="40"/>
        <v>#REF!</v>
      </c>
    </row>
    <row r="78" spans="1:25">
      <c r="A78" s="548"/>
      <c r="B78" s="551" t="s">
        <v>664</v>
      </c>
      <c r="C78" s="780"/>
      <c r="D78" s="780"/>
      <c r="E78" s="780"/>
      <c r="F78" s="780"/>
      <c r="G78" s="780"/>
      <c r="H78" s="780"/>
      <c r="I78" s="780"/>
      <c r="J78" s="550" t="e">
        <f>#REF!</f>
        <v>#REF!</v>
      </c>
      <c r="K78" s="550" t="e">
        <f>#REF!</f>
        <v>#REF!</v>
      </c>
      <c r="L78" s="550" t="e">
        <f>#REF!</f>
        <v>#REF!</v>
      </c>
      <c r="M78" s="550" t="e">
        <f>#REF!</f>
        <v>#REF!</v>
      </c>
      <c r="N78" s="550" t="e">
        <f>#REF!</f>
        <v>#REF!</v>
      </c>
      <c r="O78" s="550" t="e">
        <f>#REF!</f>
        <v>#REF!</v>
      </c>
      <c r="P78" s="550" t="e">
        <f>#REF!</f>
        <v>#REF!</v>
      </c>
      <c r="R78" s="551" t="s">
        <v>977</v>
      </c>
      <c r="S78" s="538" t="e">
        <f t="shared" ref="S78:Y78" si="41">S77/S49</f>
        <v>#REF!</v>
      </c>
      <c r="T78" s="538" t="e">
        <f t="shared" si="41"/>
        <v>#REF!</v>
      </c>
      <c r="U78" s="538" t="e">
        <f t="shared" si="41"/>
        <v>#REF!</v>
      </c>
      <c r="V78" s="538" t="e">
        <f t="shared" si="41"/>
        <v>#REF!</v>
      </c>
      <c r="W78" s="538" t="e">
        <f t="shared" si="41"/>
        <v>#REF!</v>
      </c>
      <c r="X78" s="538" t="e">
        <f t="shared" si="41"/>
        <v>#REF!</v>
      </c>
      <c r="Y78" s="538" t="e">
        <f t="shared" si="41"/>
        <v>#REF!</v>
      </c>
    </row>
    <row r="79" spans="1:25">
      <c r="A79" s="548"/>
      <c r="B79" s="551" t="s">
        <v>666</v>
      </c>
      <c r="C79" s="780"/>
      <c r="D79" s="780"/>
      <c r="E79" s="780"/>
      <c r="F79" s="780"/>
      <c r="G79" s="780"/>
      <c r="H79" s="780"/>
      <c r="I79" s="780"/>
      <c r="J79" s="550" t="e">
        <f>#REF!</f>
        <v>#REF!</v>
      </c>
      <c r="K79" s="550" t="e">
        <f>#REF!</f>
        <v>#REF!</v>
      </c>
      <c r="L79" s="550" t="e">
        <f>#REF!</f>
        <v>#REF!</v>
      </c>
      <c r="M79" s="550" t="e">
        <f>#REF!</f>
        <v>#REF!</v>
      </c>
      <c r="N79" s="550" t="e">
        <f>#REF!</f>
        <v>#REF!</v>
      </c>
      <c r="O79" s="550" t="e">
        <f>#REF!</f>
        <v>#REF!</v>
      </c>
      <c r="P79" s="550" t="e">
        <f>#REF!</f>
        <v>#REF!</v>
      </c>
      <c r="R79" s="551"/>
      <c r="S79" s="556"/>
      <c r="T79" s="550"/>
      <c r="U79" s="550"/>
      <c r="V79" s="550"/>
      <c r="W79" s="550"/>
      <c r="X79" s="550"/>
      <c r="Y79" s="550"/>
    </row>
    <row r="80" spans="1:25">
      <c r="A80" s="548"/>
      <c r="B80" s="551" t="s">
        <v>667</v>
      </c>
      <c r="C80" s="780"/>
      <c r="D80" s="780"/>
      <c r="E80" s="780"/>
      <c r="F80" s="780"/>
      <c r="G80" s="780"/>
      <c r="H80" s="780"/>
      <c r="I80" s="780"/>
      <c r="J80" s="550" t="e">
        <f>#REF!</f>
        <v>#REF!</v>
      </c>
      <c r="K80" s="550" t="e">
        <f>#REF!</f>
        <v>#REF!</v>
      </c>
      <c r="L80" s="550" t="e">
        <f>#REF!</f>
        <v>#REF!</v>
      </c>
      <c r="M80" s="550" t="e">
        <f>#REF!</f>
        <v>#REF!</v>
      </c>
      <c r="N80" s="550" t="e">
        <f>#REF!</f>
        <v>#REF!</v>
      </c>
      <c r="O80" s="550" t="e">
        <f>#REF!</f>
        <v>#REF!</v>
      </c>
      <c r="P80" s="550" t="e">
        <f>#REF!</f>
        <v>#REF!</v>
      </c>
      <c r="R80" s="551"/>
      <c r="S80" s="550"/>
      <c r="T80" s="550"/>
      <c r="U80" s="550"/>
      <c r="V80" s="550"/>
      <c r="W80" s="550"/>
      <c r="X80" s="550"/>
      <c r="Y80" s="550"/>
    </row>
    <row r="81" spans="1:25">
      <c r="A81" s="548"/>
      <c r="B81" s="551" t="s">
        <v>668</v>
      </c>
      <c r="C81" s="780"/>
      <c r="D81" s="780"/>
      <c r="E81" s="780"/>
      <c r="F81" s="780"/>
      <c r="G81" s="780"/>
      <c r="H81" s="780"/>
      <c r="I81" s="780"/>
      <c r="J81" s="550" t="e">
        <f>#REF!</f>
        <v>#REF!</v>
      </c>
      <c r="K81" s="550" t="e">
        <f>#REF!</f>
        <v>#REF!</v>
      </c>
      <c r="L81" s="550" t="e">
        <f>#REF!</f>
        <v>#REF!</v>
      </c>
      <c r="M81" s="550" t="e">
        <f>#REF!</f>
        <v>#REF!</v>
      </c>
      <c r="N81" s="550" t="e">
        <f>#REF!</f>
        <v>#REF!</v>
      </c>
      <c r="O81" s="550" t="e">
        <f>#REF!</f>
        <v>#REF!</v>
      </c>
      <c r="P81" s="550" t="e">
        <f>#REF!</f>
        <v>#REF!</v>
      </c>
      <c r="R81" s="551"/>
      <c r="S81" s="550"/>
      <c r="T81" s="550"/>
      <c r="U81" s="550"/>
      <c r="V81" s="550"/>
      <c r="W81" s="550"/>
      <c r="X81" s="550"/>
      <c r="Y81" s="550"/>
    </row>
    <row r="82" spans="1:25">
      <c r="A82" s="548"/>
      <c r="B82" s="551" t="s">
        <v>1180</v>
      </c>
      <c r="C82" s="780"/>
      <c r="D82" s="780"/>
      <c r="E82" s="780"/>
      <c r="F82" s="780"/>
      <c r="G82" s="780"/>
      <c r="H82" s="780"/>
      <c r="I82" s="780"/>
      <c r="J82" s="550">
        <f>'Viet Hung'!E167</f>
        <v>0</v>
      </c>
      <c r="K82" s="550">
        <f>'Viet Hung'!F167</f>
        <v>0</v>
      </c>
      <c r="L82" s="550">
        <f>'Viet Hung'!G167</f>
        <v>-35481.600000000006</v>
      </c>
      <c r="M82" s="550">
        <f>'Viet Hung'!H167</f>
        <v>-4838.4000000000005</v>
      </c>
      <c r="N82" s="550">
        <f>'Viet Hung'!I167</f>
        <v>0</v>
      </c>
      <c r="O82" s="550">
        <f>'Viet Hung'!J167</f>
        <v>0</v>
      </c>
      <c r="P82" s="550">
        <f>'Viet Hung'!K167</f>
        <v>0</v>
      </c>
      <c r="R82" s="551"/>
      <c r="S82" s="550"/>
      <c r="T82" s="550"/>
      <c r="U82" s="550"/>
      <c r="V82" s="550"/>
      <c r="W82" s="550"/>
      <c r="X82" s="550"/>
      <c r="Y82" s="550"/>
    </row>
    <row r="83" spans="1:25">
      <c r="A83" s="548"/>
      <c r="B83" s="551" t="s">
        <v>1179</v>
      </c>
      <c r="C83" s="780"/>
      <c r="D83" s="780"/>
      <c r="E83" s="780"/>
      <c r="F83" s="780"/>
      <c r="G83" s="780"/>
      <c r="H83" s="780"/>
      <c r="I83" s="780"/>
      <c r="J83" s="550">
        <f>'Tan Thuan'!E167</f>
        <v>0</v>
      </c>
      <c r="K83" s="550">
        <f>'Tan Thuan'!F167</f>
        <v>0</v>
      </c>
      <c r="L83" s="550">
        <f>'Tan Thuan'!G167</f>
        <v>-39774.240000000005</v>
      </c>
      <c r="M83" s="550">
        <f>'Tan Thuan'!H167</f>
        <v>-5423.7600000000011</v>
      </c>
      <c r="N83" s="550">
        <f>'Tan Thuan'!I167</f>
        <v>0</v>
      </c>
      <c r="O83" s="550">
        <f>'Tan Thuan'!J167</f>
        <v>0</v>
      </c>
      <c r="P83" s="550">
        <f>'Tan Thuan'!K167</f>
        <v>0</v>
      </c>
      <c r="R83" s="551"/>
      <c r="S83" s="550"/>
      <c r="T83" s="550"/>
      <c r="U83" s="550"/>
      <c r="V83" s="550"/>
      <c r="W83" s="550"/>
      <c r="X83" s="550"/>
      <c r="Y83" s="550"/>
    </row>
    <row r="84" spans="1:25">
      <c r="A84" s="548"/>
      <c r="B84" s="551"/>
      <c r="C84" s="780"/>
      <c r="D84" s="780"/>
      <c r="E84" s="780"/>
      <c r="F84" s="780"/>
      <c r="G84" s="780"/>
      <c r="H84" s="780"/>
      <c r="I84" s="780"/>
      <c r="J84" s="550"/>
      <c r="K84" s="550"/>
      <c r="L84" s="550"/>
      <c r="M84" s="550"/>
      <c r="N84" s="550"/>
      <c r="O84" s="550"/>
      <c r="P84" s="550"/>
      <c r="R84" s="551"/>
      <c r="S84" s="550"/>
      <c r="T84" s="550"/>
      <c r="U84" s="550"/>
      <c r="V84" s="550"/>
      <c r="W84" s="550"/>
      <c r="X84" s="550"/>
      <c r="Y84" s="550"/>
    </row>
    <row r="85" spans="1:25" s="557" customFormat="1" ht="5.25" customHeight="1">
      <c r="A85" s="558"/>
      <c r="B85" s="561"/>
      <c r="C85" s="561"/>
      <c r="D85" s="561"/>
      <c r="E85" s="561"/>
      <c r="F85" s="561"/>
      <c r="G85" s="561"/>
      <c r="H85" s="561"/>
      <c r="I85" s="561"/>
      <c r="J85" s="562"/>
      <c r="K85" s="562"/>
      <c r="L85" s="562"/>
      <c r="M85" s="562"/>
      <c r="N85" s="562"/>
      <c r="O85" s="562"/>
      <c r="P85" s="562"/>
      <c r="R85" s="561"/>
      <c r="S85" s="562"/>
      <c r="T85" s="562"/>
      <c r="U85" s="562"/>
      <c r="V85" s="562"/>
      <c r="W85" s="562"/>
      <c r="X85" s="562"/>
      <c r="Y85" s="562"/>
    </row>
    <row r="86" spans="1:25">
      <c r="A86" s="563" t="s">
        <v>979</v>
      </c>
      <c r="B86" s="551"/>
      <c r="C86" s="784">
        <f>C$2</f>
        <v>2007</v>
      </c>
      <c r="D86" s="784">
        <f t="shared" ref="D86:I86" si="42">D$2</f>
        <v>2008</v>
      </c>
      <c r="E86" s="784">
        <f t="shared" si="42"/>
        <v>2009</v>
      </c>
      <c r="F86" s="784">
        <f t="shared" si="42"/>
        <v>2010</v>
      </c>
      <c r="G86" s="784">
        <f t="shared" si="42"/>
        <v>2011</v>
      </c>
      <c r="H86" s="784">
        <f t="shared" si="42"/>
        <v>2012</v>
      </c>
      <c r="I86" s="784">
        <f t="shared" si="42"/>
        <v>2013</v>
      </c>
      <c r="J86" s="548">
        <v>2014</v>
      </c>
      <c r="K86" s="548">
        <v>2015</v>
      </c>
      <c r="L86" s="548">
        <v>2016</v>
      </c>
      <c r="M86" s="548">
        <v>2017</v>
      </c>
      <c r="N86" s="548">
        <v>2018</v>
      </c>
      <c r="O86" s="548">
        <v>2019</v>
      </c>
      <c r="P86" s="548">
        <v>2020</v>
      </c>
      <c r="R86" s="551"/>
      <c r="S86" s="550"/>
      <c r="T86" s="550"/>
      <c r="U86" s="550"/>
      <c r="V86" s="550"/>
      <c r="W86" s="550"/>
      <c r="X86" s="550"/>
      <c r="Y86" s="550"/>
    </row>
    <row r="87" spans="1:25">
      <c r="A87" s="548"/>
      <c r="B87" s="552" t="s">
        <v>980</v>
      </c>
      <c r="C87" s="785">
        <f t="shared" ref="C87:J87" si="43">SUM(C88:C93)</f>
        <v>0</v>
      </c>
      <c r="D87" s="785">
        <f t="shared" si="43"/>
        <v>0</v>
      </c>
      <c r="E87" s="785">
        <f t="shared" si="43"/>
        <v>0</v>
      </c>
      <c r="F87" s="785">
        <f t="shared" si="43"/>
        <v>6871</v>
      </c>
      <c r="G87" s="785">
        <f t="shared" si="43"/>
        <v>17464</v>
      </c>
      <c r="H87" s="785">
        <f t="shared" si="43"/>
        <v>3259</v>
      </c>
      <c r="I87" s="785">
        <f t="shared" si="43"/>
        <v>54953</v>
      </c>
      <c r="J87" s="553">
        <f t="shared" si="43"/>
        <v>73431.447669137226</v>
      </c>
      <c r="K87" s="553">
        <f t="shared" ref="K87:P87" si="44">SUM(K88:K93)</f>
        <v>27708.746175129589</v>
      </c>
      <c r="L87" s="553">
        <f t="shared" si="44"/>
        <v>27768.224837635193</v>
      </c>
      <c r="M87" s="553">
        <f t="shared" si="44"/>
        <v>26855.25602609519</v>
      </c>
      <c r="N87" s="553">
        <f t="shared" si="44"/>
        <v>24887.09535594959</v>
      </c>
      <c r="O87" s="553">
        <f t="shared" si="44"/>
        <v>25698.751443830086</v>
      </c>
      <c r="P87" s="553">
        <f t="shared" si="44"/>
        <v>-2410.4960616329995</v>
      </c>
      <c r="R87" s="551"/>
      <c r="S87" s="550"/>
      <c r="T87" s="550"/>
      <c r="U87" s="550"/>
      <c r="V87" s="550"/>
      <c r="W87" s="550"/>
      <c r="X87" s="550"/>
      <c r="Y87" s="550"/>
    </row>
    <row r="88" spans="1:25">
      <c r="A88" s="548"/>
      <c r="B88" s="547" t="s">
        <v>981</v>
      </c>
      <c r="C88" s="789">
        <v>0</v>
      </c>
      <c r="D88" s="789">
        <v>0</v>
      </c>
      <c r="E88" s="789">
        <v>0</v>
      </c>
      <c r="F88" s="789">
        <v>0</v>
      </c>
      <c r="G88" s="789">
        <v>0</v>
      </c>
      <c r="H88" s="789">
        <v>0</v>
      </c>
      <c r="I88" s="789">
        <v>0</v>
      </c>
      <c r="J88" s="550">
        <v>0</v>
      </c>
      <c r="K88" s="550">
        <v>0</v>
      </c>
      <c r="L88" s="550">
        <v>0</v>
      </c>
      <c r="M88" s="550">
        <v>0</v>
      </c>
      <c r="N88" s="550">
        <v>0</v>
      </c>
      <c r="O88" s="550">
        <v>0</v>
      </c>
      <c r="P88" s="550">
        <v>0</v>
      </c>
      <c r="R88" s="551"/>
      <c r="S88" s="550"/>
      <c r="T88" s="550"/>
      <c r="U88" s="550"/>
      <c r="V88" s="550"/>
      <c r="W88" s="550"/>
      <c r="X88" s="550"/>
      <c r="Y88" s="550"/>
    </row>
    <row r="89" spans="1:25">
      <c r="A89" s="548"/>
      <c r="B89" s="547" t="s">
        <v>982</v>
      </c>
      <c r="C89" s="789"/>
      <c r="D89" s="789"/>
      <c r="E89" s="789"/>
      <c r="F89" s="789">
        <v>6871</v>
      </c>
      <c r="G89" s="789">
        <v>17464</v>
      </c>
      <c r="H89" s="789">
        <v>3217</v>
      </c>
      <c r="I89" s="789">
        <v>6009</v>
      </c>
      <c r="J89" s="550"/>
      <c r="K89" s="550"/>
      <c r="L89" s="550"/>
      <c r="M89" s="550"/>
      <c r="N89" s="550"/>
      <c r="O89" s="550"/>
      <c r="P89" s="550"/>
      <c r="R89" s="551"/>
      <c r="S89" s="550"/>
      <c r="T89" s="550"/>
      <c r="U89" s="550"/>
      <c r="V89" s="550"/>
      <c r="W89" s="550"/>
      <c r="X89" s="550"/>
      <c r="Y89" s="550"/>
    </row>
    <row r="90" spans="1:25">
      <c r="A90" s="548"/>
      <c r="B90" s="551" t="s">
        <v>992</v>
      </c>
      <c r="C90" s="789"/>
      <c r="D90" s="789"/>
      <c r="E90" s="789"/>
      <c r="F90" s="789"/>
      <c r="G90" s="789"/>
      <c r="H90" s="789"/>
      <c r="I90" s="789"/>
      <c r="J90" s="550"/>
      <c r="K90" s="550"/>
      <c r="L90" s="550"/>
      <c r="M90" s="550"/>
      <c r="N90" s="550"/>
      <c r="O90" s="550"/>
      <c r="P90" s="550"/>
      <c r="R90" s="551"/>
      <c r="S90" s="550"/>
      <c r="T90" s="550"/>
      <c r="U90" s="550"/>
      <c r="V90" s="550"/>
      <c r="W90" s="550"/>
      <c r="X90" s="550"/>
      <c r="Y90" s="550"/>
    </row>
    <row r="91" spans="1:25">
      <c r="A91" s="548"/>
      <c r="B91" s="547" t="s">
        <v>983</v>
      </c>
      <c r="C91" s="789">
        <v>0</v>
      </c>
      <c r="D91" s="789">
        <v>0</v>
      </c>
      <c r="E91" s="789">
        <v>0</v>
      </c>
      <c r="F91" s="789">
        <v>0</v>
      </c>
      <c r="G91" s="789">
        <v>0</v>
      </c>
      <c r="H91" s="789">
        <v>0</v>
      </c>
      <c r="I91" s="789">
        <v>48944</v>
      </c>
      <c r="J91" s="550">
        <v>66700</v>
      </c>
      <c r="K91" s="550">
        <v>0</v>
      </c>
      <c r="L91" s="550">
        <v>0</v>
      </c>
      <c r="M91" s="550">
        <v>0</v>
      </c>
      <c r="N91" s="550">
        <v>0</v>
      </c>
      <c r="O91" s="550">
        <v>0</v>
      </c>
      <c r="P91" s="550">
        <v>0</v>
      </c>
      <c r="R91" s="551"/>
      <c r="S91" s="550"/>
      <c r="T91" s="550"/>
      <c r="U91" s="550"/>
      <c r="V91" s="550"/>
      <c r="W91" s="550"/>
      <c r="X91" s="550"/>
      <c r="Y91" s="550"/>
    </row>
    <row r="92" spans="1:25">
      <c r="A92" s="548"/>
      <c r="B92" s="547" t="s">
        <v>990</v>
      </c>
      <c r="C92" s="789">
        <v>0</v>
      </c>
      <c r="D92" s="789">
        <v>0</v>
      </c>
      <c r="E92" s="789">
        <v>0</v>
      </c>
      <c r="F92" s="789">
        <v>0</v>
      </c>
      <c r="G92" s="789">
        <v>0</v>
      </c>
      <c r="H92" s="789">
        <v>42</v>
      </c>
      <c r="I92" s="789">
        <v>0</v>
      </c>
      <c r="J92" s="550">
        <v>0</v>
      </c>
      <c r="K92" s="550">
        <v>0</v>
      </c>
      <c r="L92" s="550">
        <v>0</v>
      </c>
      <c r="M92" s="550">
        <v>0</v>
      </c>
      <c r="N92" s="550">
        <v>0</v>
      </c>
      <c r="O92" s="550">
        <v>0</v>
      </c>
      <c r="P92" s="550">
        <v>0</v>
      </c>
      <c r="R92" s="551"/>
      <c r="S92" s="550"/>
      <c r="T92" s="550"/>
      <c r="U92" s="550"/>
      <c r="V92" s="550"/>
      <c r="W92" s="550"/>
      <c r="X92" s="550"/>
      <c r="Y92" s="550"/>
    </row>
    <row r="93" spans="1:25">
      <c r="A93" s="548"/>
      <c r="B93" s="547" t="s">
        <v>665</v>
      </c>
      <c r="C93" s="789">
        <v>0</v>
      </c>
      <c r="D93" s="789">
        <v>0</v>
      </c>
      <c r="E93" s="789">
        <v>0</v>
      </c>
      <c r="F93" s="789">
        <v>0</v>
      </c>
      <c r="G93" s="789">
        <v>0</v>
      </c>
      <c r="H93" s="789">
        <v>0</v>
      </c>
      <c r="I93" s="789">
        <v>0</v>
      </c>
      <c r="J93" s="550">
        <f>'Viva City'!F183*0.447</f>
        <v>6731.4476691372211</v>
      </c>
      <c r="K93" s="550">
        <f>'Viva City'!G183*0.447</f>
        <v>27708.746175129589</v>
      </c>
      <c r="L93" s="550">
        <f>'Viva City'!H183*0.447</f>
        <v>27768.224837635193</v>
      </c>
      <c r="M93" s="550">
        <f>'Viva City'!I183*0.447</f>
        <v>26855.25602609519</v>
      </c>
      <c r="N93" s="550">
        <f>'Viva City'!J183*0.447</f>
        <v>24887.09535594959</v>
      </c>
      <c r="O93" s="550">
        <f>'Viva City'!K183*0.447</f>
        <v>25698.751443830086</v>
      </c>
      <c r="P93" s="550">
        <f>'Viva City'!L183*0.447</f>
        <v>-2410.4960616329995</v>
      </c>
      <c r="R93" s="551"/>
      <c r="S93" s="550"/>
      <c r="T93" s="550"/>
      <c r="U93" s="550"/>
      <c r="V93" s="550"/>
      <c r="W93" s="550"/>
      <c r="X93" s="550"/>
      <c r="Y93" s="550"/>
    </row>
    <row r="94" spans="1:25">
      <c r="A94" s="548"/>
      <c r="C94" s="789"/>
      <c r="D94" s="789"/>
      <c r="E94" s="789"/>
      <c r="F94" s="789"/>
      <c r="G94" s="789"/>
      <c r="H94" s="789"/>
      <c r="I94" s="789"/>
      <c r="J94" s="550"/>
      <c r="K94" s="550"/>
      <c r="L94" s="550"/>
      <c r="M94" s="550"/>
      <c r="N94" s="550"/>
      <c r="O94" s="550"/>
      <c r="P94" s="550"/>
      <c r="R94" s="551"/>
      <c r="S94" s="550"/>
      <c r="T94" s="550"/>
      <c r="U94" s="550"/>
      <c r="V94" s="550"/>
      <c r="W94" s="550"/>
      <c r="X94" s="550"/>
      <c r="Y94" s="550"/>
    </row>
    <row r="95" spans="1:25">
      <c r="A95" s="548"/>
      <c r="C95" s="789"/>
      <c r="D95" s="789"/>
      <c r="E95" s="789"/>
      <c r="F95" s="789"/>
      <c r="G95" s="789"/>
      <c r="H95" s="789"/>
      <c r="I95" s="789"/>
      <c r="J95" s="550"/>
      <c r="K95" s="550"/>
      <c r="L95" s="550"/>
      <c r="M95" s="550"/>
      <c r="N95" s="550"/>
      <c r="O95" s="550"/>
      <c r="P95" s="550"/>
      <c r="R95" s="551"/>
      <c r="S95" s="550"/>
      <c r="T95" s="550"/>
      <c r="U95" s="550"/>
      <c r="V95" s="550"/>
      <c r="W95" s="550"/>
      <c r="X95" s="550"/>
      <c r="Y95" s="550"/>
    </row>
    <row r="96" spans="1:25">
      <c r="A96" s="548"/>
      <c r="B96" s="552" t="s">
        <v>984</v>
      </c>
      <c r="C96" s="785">
        <f>SUM(C97:C99)</f>
        <v>0</v>
      </c>
      <c r="D96" s="785">
        <f t="shared" ref="D96:I96" si="45">SUM(D97:D99)</f>
        <v>0</v>
      </c>
      <c r="E96" s="785">
        <f t="shared" si="45"/>
        <v>0</v>
      </c>
      <c r="F96" s="785">
        <f t="shared" si="45"/>
        <v>-1035</v>
      </c>
      <c r="G96" s="785">
        <f t="shared" si="45"/>
        <v>-38554</v>
      </c>
      <c r="H96" s="785">
        <f t="shared" si="45"/>
        <v>-6622</v>
      </c>
      <c r="I96" s="785">
        <f t="shared" si="45"/>
        <v>-343</v>
      </c>
      <c r="J96" s="553">
        <f>SUM(J97,J99)</f>
        <v>0</v>
      </c>
      <c r="K96" s="553">
        <f t="shared" ref="K96:P96" si="46">SUM(K97,K99)</f>
        <v>0</v>
      </c>
      <c r="L96" s="553">
        <f t="shared" si="46"/>
        <v>0</v>
      </c>
      <c r="M96" s="553">
        <f t="shared" si="46"/>
        <v>0</v>
      </c>
      <c r="N96" s="553">
        <f t="shared" si="46"/>
        <v>0</v>
      </c>
      <c r="O96" s="553">
        <f t="shared" si="46"/>
        <v>0</v>
      </c>
      <c r="P96" s="553">
        <f t="shared" si="46"/>
        <v>0</v>
      </c>
      <c r="R96" s="551"/>
      <c r="S96" s="550"/>
      <c r="T96" s="550"/>
      <c r="U96" s="550"/>
      <c r="V96" s="550"/>
      <c r="W96" s="550"/>
      <c r="X96" s="550"/>
      <c r="Y96" s="550"/>
    </row>
    <row r="97" spans="1:25">
      <c r="A97" s="548"/>
      <c r="B97" s="547" t="s">
        <v>805</v>
      </c>
      <c r="C97" s="789">
        <v>0</v>
      </c>
      <c r="D97" s="789">
        <v>0</v>
      </c>
      <c r="E97" s="789">
        <v>0</v>
      </c>
      <c r="F97" s="789">
        <v>-1035</v>
      </c>
      <c r="G97" s="789">
        <v>-38554</v>
      </c>
      <c r="H97" s="789">
        <v>-6616</v>
      </c>
      <c r="I97" s="789">
        <v>-343</v>
      </c>
      <c r="J97" s="550"/>
      <c r="K97" s="550"/>
      <c r="L97" s="550"/>
      <c r="M97" s="550"/>
      <c r="N97" s="550"/>
      <c r="O97" s="550"/>
      <c r="P97" s="550"/>
      <c r="R97" s="551"/>
      <c r="S97" s="550"/>
      <c r="T97" s="550"/>
      <c r="U97" s="550"/>
      <c r="V97" s="550"/>
      <c r="W97" s="550"/>
      <c r="X97" s="550"/>
      <c r="Y97" s="550"/>
    </row>
    <row r="98" spans="1:25">
      <c r="A98" s="548"/>
      <c r="B98" s="551" t="s">
        <v>985</v>
      </c>
      <c r="C98" s="780"/>
      <c r="D98" s="780"/>
      <c r="E98" s="780"/>
      <c r="F98" s="780"/>
      <c r="G98" s="780"/>
      <c r="H98" s="780"/>
      <c r="I98" s="780"/>
      <c r="J98" s="556">
        <v>0.1</v>
      </c>
      <c r="K98" s="556">
        <v>0.1</v>
      </c>
      <c r="L98" s="556">
        <v>0.1</v>
      </c>
      <c r="M98" s="556">
        <v>0.1</v>
      </c>
      <c r="N98" s="556">
        <v>0.1</v>
      </c>
      <c r="O98" s="556">
        <v>0.1</v>
      </c>
      <c r="P98" s="556">
        <v>0.1</v>
      </c>
      <c r="R98" s="551"/>
      <c r="S98" s="550"/>
      <c r="T98" s="550"/>
      <c r="U98" s="550"/>
      <c r="V98" s="550"/>
      <c r="W98" s="550"/>
      <c r="X98" s="550"/>
      <c r="Y98" s="550"/>
    </row>
    <row r="99" spans="1:25">
      <c r="A99" s="548"/>
      <c r="B99" s="547" t="s">
        <v>589</v>
      </c>
      <c r="C99" s="789">
        <v>0</v>
      </c>
      <c r="D99" s="789">
        <v>0</v>
      </c>
      <c r="E99" s="789">
        <v>0</v>
      </c>
      <c r="F99" s="789">
        <v>0</v>
      </c>
      <c r="G99" s="789">
        <v>0</v>
      </c>
      <c r="H99" s="789">
        <v>-6</v>
      </c>
      <c r="I99" s="789">
        <v>0</v>
      </c>
      <c r="J99" s="786">
        <v>0</v>
      </c>
      <c r="K99" s="786">
        <v>0</v>
      </c>
      <c r="L99" s="786">
        <v>0</v>
      </c>
      <c r="M99" s="786">
        <v>0</v>
      </c>
      <c r="N99" s="786">
        <v>0</v>
      </c>
      <c r="O99" s="786">
        <v>0</v>
      </c>
      <c r="P99" s="786">
        <v>0</v>
      </c>
      <c r="R99" s="551"/>
      <c r="S99" s="550"/>
      <c r="T99" s="550"/>
      <c r="U99" s="550"/>
      <c r="V99" s="550"/>
      <c r="W99" s="550"/>
      <c r="X99" s="550"/>
      <c r="Y99" s="550"/>
    </row>
    <row r="100" spans="1:25">
      <c r="A100" s="548"/>
      <c r="B100" s="551"/>
      <c r="C100" s="787"/>
      <c r="D100" s="787"/>
      <c r="E100" s="787"/>
      <c r="F100" s="787"/>
      <c r="G100" s="787"/>
      <c r="H100" s="787"/>
      <c r="I100" s="787"/>
      <c r="J100" s="556"/>
      <c r="K100" s="556"/>
      <c r="L100" s="556"/>
      <c r="M100" s="556"/>
      <c r="N100" s="556"/>
      <c r="O100" s="556"/>
      <c r="P100" s="556"/>
      <c r="R100" s="551"/>
      <c r="S100" s="550"/>
      <c r="T100" s="550"/>
      <c r="U100" s="550"/>
      <c r="V100" s="550"/>
      <c r="W100" s="550"/>
      <c r="X100" s="550"/>
      <c r="Y100" s="550"/>
    </row>
    <row r="101" spans="1:25">
      <c r="A101" s="548"/>
      <c r="B101" s="552" t="s">
        <v>991</v>
      </c>
      <c r="C101" s="785">
        <f>C87+C96</f>
        <v>0</v>
      </c>
      <c r="D101" s="785">
        <f t="shared" ref="D101:I101" si="47">D87+D96</f>
        <v>0</v>
      </c>
      <c r="E101" s="785">
        <f t="shared" si="47"/>
        <v>0</v>
      </c>
      <c r="F101" s="785">
        <f t="shared" si="47"/>
        <v>5836</v>
      </c>
      <c r="G101" s="785">
        <f t="shared" si="47"/>
        <v>-21090</v>
      </c>
      <c r="H101" s="785">
        <f t="shared" si="47"/>
        <v>-3363</v>
      </c>
      <c r="I101" s="785">
        <f t="shared" si="47"/>
        <v>54610</v>
      </c>
      <c r="J101" s="790">
        <f>J87+J96</f>
        <v>73431.447669137226</v>
      </c>
      <c r="K101" s="790">
        <f t="shared" ref="K101:P101" si="48">K87+K96</f>
        <v>27708.746175129589</v>
      </c>
      <c r="L101" s="790">
        <f t="shared" si="48"/>
        <v>27768.224837635193</v>
      </c>
      <c r="M101" s="790">
        <f t="shared" si="48"/>
        <v>26855.25602609519</v>
      </c>
      <c r="N101" s="790">
        <f t="shared" si="48"/>
        <v>24887.09535594959</v>
      </c>
      <c r="O101" s="790">
        <f t="shared" si="48"/>
        <v>25698.751443830086</v>
      </c>
      <c r="P101" s="790">
        <f t="shared" si="48"/>
        <v>-2410.4960616329995</v>
      </c>
      <c r="R101" s="551"/>
      <c r="S101" s="550"/>
      <c r="T101" s="550"/>
      <c r="U101" s="550"/>
      <c r="V101" s="550"/>
      <c r="W101" s="550"/>
      <c r="X101" s="550"/>
      <c r="Y101" s="550"/>
    </row>
    <row r="102" spans="1:25">
      <c r="A102" s="548"/>
      <c r="B102" s="551"/>
      <c r="C102" s="780"/>
      <c r="D102" s="780"/>
      <c r="E102" s="780"/>
      <c r="F102" s="780"/>
      <c r="G102" s="780"/>
      <c r="H102" s="780"/>
      <c r="I102" s="780"/>
      <c r="J102" s="550"/>
      <c r="K102" s="550"/>
      <c r="L102" s="550"/>
      <c r="M102" s="550"/>
      <c r="N102" s="550"/>
      <c r="O102" s="550"/>
      <c r="P102" s="550"/>
      <c r="R102" s="551"/>
      <c r="S102" s="550"/>
      <c r="T102" s="550"/>
      <c r="U102" s="550"/>
      <c r="V102" s="550"/>
      <c r="W102" s="550"/>
      <c r="X102" s="550"/>
      <c r="Y102" s="550"/>
    </row>
    <row r="103" spans="1:25" s="557" customFormat="1" ht="7.5" customHeight="1">
      <c r="A103" s="558"/>
      <c r="B103" s="561"/>
      <c r="C103" s="561"/>
      <c r="D103" s="561"/>
      <c r="E103" s="561"/>
      <c r="F103" s="561"/>
      <c r="G103" s="561"/>
      <c r="H103" s="561"/>
      <c r="I103" s="561"/>
      <c r="J103" s="562"/>
      <c r="K103" s="562"/>
      <c r="L103" s="562"/>
      <c r="M103" s="562"/>
      <c r="N103" s="562"/>
      <c r="O103" s="562"/>
      <c r="P103" s="562"/>
      <c r="R103" s="561"/>
      <c r="S103" s="562"/>
      <c r="T103" s="562"/>
      <c r="U103" s="562"/>
      <c r="V103" s="562"/>
      <c r="W103" s="562"/>
      <c r="X103" s="562"/>
      <c r="Y103" s="562"/>
    </row>
    <row r="104" spans="1:25">
      <c r="A104" s="563" t="s">
        <v>986</v>
      </c>
      <c r="B104" s="551"/>
      <c r="C104" s="784">
        <f>C$2</f>
        <v>2007</v>
      </c>
      <c r="D104" s="784">
        <f t="shared" ref="D104:I104" si="49">D$2</f>
        <v>2008</v>
      </c>
      <c r="E104" s="784">
        <f t="shared" si="49"/>
        <v>2009</v>
      </c>
      <c r="F104" s="784">
        <f t="shared" si="49"/>
        <v>2010</v>
      </c>
      <c r="G104" s="784">
        <f t="shared" si="49"/>
        <v>2011</v>
      </c>
      <c r="H104" s="784">
        <f t="shared" si="49"/>
        <v>2012</v>
      </c>
      <c r="I104" s="784">
        <f t="shared" si="49"/>
        <v>2013</v>
      </c>
      <c r="J104" s="548">
        <v>2014</v>
      </c>
      <c r="K104" s="548">
        <v>2015</v>
      </c>
      <c r="L104" s="548">
        <v>2016</v>
      </c>
      <c r="M104" s="548">
        <v>2017</v>
      </c>
      <c r="N104" s="548">
        <v>2018</v>
      </c>
      <c r="O104" s="548">
        <v>2019</v>
      </c>
      <c r="P104" s="548">
        <v>2020</v>
      </c>
      <c r="R104" s="551"/>
      <c r="S104" s="550"/>
      <c r="T104" s="550"/>
      <c r="U104" s="550"/>
      <c r="V104" s="550"/>
      <c r="W104" s="550"/>
      <c r="X104" s="550"/>
      <c r="Y104" s="550"/>
    </row>
    <row r="105" spans="1:25">
      <c r="B105" s="551"/>
      <c r="C105" s="780"/>
      <c r="D105" s="780"/>
      <c r="E105" s="780"/>
      <c r="F105" s="780"/>
      <c r="G105" s="780"/>
      <c r="H105" s="780"/>
      <c r="I105" s="780"/>
      <c r="J105" s="550"/>
      <c r="K105" s="550"/>
      <c r="L105" s="550"/>
      <c r="M105" s="550"/>
      <c r="N105" s="550"/>
      <c r="O105" s="550"/>
      <c r="P105" s="550"/>
      <c r="R105" s="551"/>
      <c r="S105" s="550"/>
      <c r="T105" s="550"/>
      <c r="U105" s="550"/>
      <c r="V105" s="550"/>
      <c r="W105" s="550"/>
      <c r="X105" s="550"/>
      <c r="Y105" s="550"/>
    </row>
    <row r="106" spans="1:25">
      <c r="A106" s="548"/>
      <c r="B106" s="547" t="s">
        <v>987</v>
      </c>
      <c r="C106" s="785">
        <f>SUM(C107:C108)</f>
        <v>0</v>
      </c>
      <c r="D106" s="785">
        <f t="shared" ref="D106:I106" si="50">SUM(D107:D108)</f>
        <v>0</v>
      </c>
      <c r="E106" s="785">
        <f t="shared" si="50"/>
        <v>0</v>
      </c>
      <c r="F106" s="785">
        <f t="shared" si="50"/>
        <v>25094</v>
      </c>
      <c r="G106" s="785">
        <f t="shared" si="50"/>
        <v>845</v>
      </c>
      <c r="H106" s="785">
        <f t="shared" si="50"/>
        <v>1334</v>
      </c>
      <c r="I106" s="785">
        <f t="shared" si="50"/>
        <v>1566</v>
      </c>
      <c r="J106" s="788">
        <f>SUM(J107:J108)</f>
        <v>2517.666666666667</v>
      </c>
      <c r="K106" s="788">
        <f t="shared" ref="K106:P106" si="51">SUM(K107:K108)</f>
        <v>2517.666666666667</v>
      </c>
      <c r="L106" s="788">
        <f t="shared" si="51"/>
        <v>2517.666666666667</v>
      </c>
      <c r="M106" s="788">
        <f t="shared" si="51"/>
        <v>2517.666666666667</v>
      </c>
      <c r="N106" s="788">
        <f t="shared" si="51"/>
        <v>2517.666666666667</v>
      </c>
      <c r="O106" s="788">
        <f t="shared" si="51"/>
        <v>2517.666666666667</v>
      </c>
      <c r="P106" s="788">
        <f t="shared" si="51"/>
        <v>2517.666666666667</v>
      </c>
      <c r="R106" s="551"/>
      <c r="S106" s="550"/>
      <c r="T106" s="550"/>
      <c r="U106" s="550"/>
      <c r="V106" s="550"/>
      <c r="W106" s="550"/>
      <c r="X106" s="550"/>
      <c r="Y106" s="550"/>
    </row>
    <row r="107" spans="1:25">
      <c r="A107" s="548"/>
      <c r="B107" s="551" t="s">
        <v>988</v>
      </c>
      <c r="C107" s="787"/>
      <c r="D107" s="787"/>
      <c r="E107" s="787"/>
      <c r="F107" s="787">
        <v>26098</v>
      </c>
      <c r="G107" s="787">
        <v>5241</v>
      </c>
      <c r="H107" s="787">
        <v>4710</v>
      </c>
      <c r="I107" s="787">
        <v>3548</v>
      </c>
      <c r="J107" s="786">
        <f>AVERAGE(G107:I107)</f>
        <v>4499.666666666667</v>
      </c>
      <c r="K107" s="550">
        <f t="shared" ref="K107:P108" si="52">J107</f>
        <v>4499.666666666667</v>
      </c>
      <c r="L107" s="550">
        <f t="shared" si="52"/>
        <v>4499.666666666667</v>
      </c>
      <c r="M107" s="550">
        <f t="shared" si="52"/>
        <v>4499.666666666667</v>
      </c>
      <c r="N107" s="550">
        <f t="shared" si="52"/>
        <v>4499.666666666667</v>
      </c>
      <c r="O107" s="550">
        <f t="shared" si="52"/>
        <v>4499.666666666667</v>
      </c>
      <c r="P107" s="550">
        <f t="shared" si="52"/>
        <v>4499.666666666667</v>
      </c>
      <c r="R107" s="551"/>
      <c r="S107" s="550"/>
      <c r="T107" s="550"/>
      <c r="U107" s="550"/>
      <c r="V107" s="550"/>
      <c r="W107" s="550"/>
      <c r="X107" s="550"/>
      <c r="Y107" s="550"/>
    </row>
    <row r="108" spans="1:25">
      <c r="A108" s="548"/>
      <c r="B108" s="551" t="s">
        <v>989</v>
      </c>
      <c r="C108" s="787"/>
      <c r="D108" s="787"/>
      <c r="E108" s="787"/>
      <c r="F108" s="787">
        <v>-1004</v>
      </c>
      <c r="G108" s="787">
        <v>-4396</v>
      </c>
      <c r="H108" s="787">
        <v>-3376</v>
      </c>
      <c r="I108" s="787">
        <v>-1982</v>
      </c>
      <c r="J108" s="786">
        <f>I108</f>
        <v>-1982</v>
      </c>
      <c r="K108" s="550">
        <f t="shared" si="52"/>
        <v>-1982</v>
      </c>
      <c r="L108" s="550">
        <f t="shared" si="52"/>
        <v>-1982</v>
      </c>
      <c r="M108" s="550">
        <f t="shared" si="52"/>
        <v>-1982</v>
      </c>
      <c r="N108" s="550">
        <f t="shared" si="52"/>
        <v>-1982</v>
      </c>
      <c r="O108" s="550">
        <f t="shared" si="52"/>
        <v>-1982</v>
      </c>
      <c r="P108" s="550">
        <f t="shared" si="52"/>
        <v>-1982</v>
      </c>
      <c r="R108" s="551"/>
      <c r="S108" s="550"/>
      <c r="T108" s="550"/>
      <c r="U108" s="550"/>
      <c r="V108" s="550"/>
      <c r="W108" s="550"/>
      <c r="X108" s="550"/>
      <c r="Y108" s="550"/>
    </row>
    <row r="109" spans="1:25">
      <c r="A109" s="548"/>
      <c r="B109" s="552"/>
      <c r="C109" s="781"/>
      <c r="D109" s="781"/>
      <c r="E109" s="781"/>
      <c r="F109" s="781"/>
      <c r="G109" s="781"/>
      <c r="H109" s="781"/>
      <c r="I109" s="781"/>
      <c r="J109" s="553"/>
      <c r="K109" s="553"/>
      <c r="L109" s="553"/>
      <c r="M109" s="553"/>
      <c r="N109" s="553"/>
      <c r="O109" s="553"/>
      <c r="P109" s="553"/>
      <c r="R109" s="551"/>
      <c r="S109" s="550"/>
      <c r="T109" s="550"/>
      <c r="U109" s="550"/>
      <c r="V109" s="550"/>
      <c r="W109" s="550"/>
      <c r="X109" s="550"/>
      <c r="Y109" s="550"/>
    </row>
    <row r="110" spans="1:25" s="557" customFormat="1" ht="6" customHeight="1">
      <c r="B110" s="559"/>
      <c r="C110" s="559"/>
      <c r="D110" s="559"/>
      <c r="E110" s="559"/>
      <c r="F110" s="559"/>
      <c r="G110" s="559"/>
      <c r="H110" s="559"/>
      <c r="I110" s="559"/>
      <c r="J110" s="560"/>
      <c r="K110" s="560"/>
      <c r="L110" s="560"/>
      <c r="M110" s="560"/>
      <c r="N110" s="560"/>
      <c r="O110" s="560"/>
      <c r="P110" s="560"/>
    </row>
    <row r="111" spans="1:25">
      <c r="A111" s="563" t="s">
        <v>661</v>
      </c>
      <c r="B111" s="552"/>
      <c r="C111" s="784">
        <f>C$2</f>
        <v>2007</v>
      </c>
      <c r="D111" s="784">
        <f t="shared" ref="D111:I111" si="53">D$2</f>
        <v>2008</v>
      </c>
      <c r="E111" s="784">
        <f t="shared" si="53"/>
        <v>2009</v>
      </c>
      <c r="F111" s="784">
        <f t="shared" si="53"/>
        <v>2010</v>
      </c>
      <c r="G111" s="784">
        <f t="shared" si="53"/>
        <v>2011</v>
      </c>
      <c r="H111" s="784">
        <f t="shared" si="53"/>
        <v>2012</v>
      </c>
      <c r="I111" s="784">
        <f t="shared" si="53"/>
        <v>2013</v>
      </c>
      <c r="J111" s="548">
        <v>2014</v>
      </c>
      <c r="K111" s="548">
        <v>2015</v>
      </c>
      <c r="L111" s="548">
        <v>2016</v>
      </c>
      <c r="M111" s="548">
        <v>2017</v>
      </c>
      <c r="N111" s="548">
        <v>2018</v>
      </c>
      <c r="O111" s="548">
        <v>2019</v>
      </c>
      <c r="P111" s="548">
        <v>2020</v>
      </c>
      <c r="S111" s="548">
        <v>2014</v>
      </c>
      <c r="T111" s="548">
        <v>2015</v>
      </c>
      <c r="U111" s="548">
        <v>2016</v>
      </c>
      <c r="V111" s="548">
        <v>2017</v>
      </c>
      <c r="W111" s="548">
        <v>2018</v>
      </c>
      <c r="X111" s="548">
        <v>2019</v>
      </c>
      <c r="Y111" s="548">
        <v>2020</v>
      </c>
    </row>
    <row r="112" spans="1:25">
      <c r="B112" s="551" t="s">
        <v>654</v>
      </c>
      <c r="C112" s="780"/>
      <c r="D112" s="780"/>
      <c r="E112" s="780"/>
      <c r="F112" s="780"/>
      <c r="G112" s="780"/>
      <c r="H112" s="780"/>
      <c r="I112" s="780"/>
      <c r="J112" s="550">
        <f t="shared" ref="J112:P112" si="54">J10</f>
        <v>118113.80286451201</v>
      </c>
      <c r="K112" s="550">
        <f t="shared" si="54"/>
        <v>129925.18315096322</v>
      </c>
      <c r="L112" s="550">
        <f t="shared" si="54"/>
        <v>142917.70146605955</v>
      </c>
      <c r="M112" s="550">
        <f t="shared" si="54"/>
        <v>157209.47161266551</v>
      </c>
      <c r="N112" s="550">
        <f t="shared" si="54"/>
        <v>172930.41877393206</v>
      </c>
      <c r="O112" s="550">
        <f t="shared" si="54"/>
        <v>190223.46065132529</v>
      </c>
      <c r="P112" s="550">
        <f t="shared" si="54"/>
        <v>209245.80671645782</v>
      </c>
      <c r="R112" s="547" t="s">
        <v>654</v>
      </c>
      <c r="S112" s="550">
        <v>56694.625374965763</v>
      </c>
      <c r="T112" s="550">
        <v>62364.087912462339</v>
      </c>
      <c r="U112" s="550">
        <v>68600.496703708588</v>
      </c>
      <c r="V112" s="550">
        <v>75460.546374079451</v>
      </c>
      <c r="W112" s="550">
        <v>83006.601011487393</v>
      </c>
      <c r="X112" s="550">
        <v>91307.261112636144</v>
      </c>
      <c r="Y112" s="550">
        <v>100437.98722389978</v>
      </c>
    </row>
    <row r="113" spans="2:25">
      <c r="B113" s="551" t="s">
        <v>662</v>
      </c>
      <c r="C113" s="780"/>
      <c r="D113" s="780"/>
      <c r="E113" s="780"/>
      <c r="F113" s="780"/>
      <c r="G113" s="780"/>
      <c r="H113" s="780"/>
      <c r="I113" s="780"/>
      <c r="J113" s="550">
        <f t="shared" ref="J113:P113" si="55">J41</f>
        <v>3705</v>
      </c>
      <c r="K113" s="550">
        <f t="shared" si="55"/>
        <v>4623.5280000000002</v>
      </c>
      <c r="L113" s="550">
        <f t="shared" si="55"/>
        <v>6010.5864000000001</v>
      </c>
      <c r="M113" s="550">
        <f t="shared" si="55"/>
        <v>7813.7623200000007</v>
      </c>
      <c r="N113" s="550">
        <f t="shared" si="55"/>
        <v>10157.891016000001</v>
      </c>
      <c r="O113" s="550">
        <f t="shared" si="55"/>
        <v>13205.258320800003</v>
      </c>
      <c r="P113" s="550">
        <f t="shared" si="55"/>
        <v>17166.835817040006</v>
      </c>
      <c r="R113" s="551" t="s">
        <v>663</v>
      </c>
      <c r="S113" s="550">
        <f>SUM(S116:S120)</f>
        <v>99445.771997885749</v>
      </c>
      <c r="T113" s="550">
        <f t="shared" ref="T113:Y113" si="56">SUM(T116:T120)</f>
        <v>131571.3807794647</v>
      </c>
      <c r="U113" s="550">
        <f t="shared" si="56"/>
        <v>390125.26273881609</v>
      </c>
      <c r="V113" s="550">
        <f t="shared" si="56"/>
        <v>576375.12728643091</v>
      </c>
      <c r="W113" s="550">
        <f t="shared" si="56"/>
        <v>314562.33254055103</v>
      </c>
      <c r="X113" s="550">
        <f t="shared" si="56"/>
        <v>121577.30804201601</v>
      </c>
      <c r="Y113" s="550">
        <f t="shared" si="56"/>
        <v>87133.323541952006</v>
      </c>
    </row>
    <row r="114" spans="2:25">
      <c r="B114" s="551" t="s">
        <v>664</v>
      </c>
      <c r="C114" s="780"/>
      <c r="D114" s="780"/>
      <c r="E114" s="780"/>
      <c r="F114" s="780"/>
      <c r="G114" s="780"/>
      <c r="H114" s="780"/>
      <c r="I114" s="780"/>
      <c r="J114" s="549" t="e">
        <f>#REF!</f>
        <v>#REF!</v>
      </c>
      <c r="K114" s="549" t="e">
        <f>#REF!</f>
        <v>#REF!</v>
      </c>
      <c r="L114" s="549" t="e">
        <f>#REF!</f>
        <v>#REF!</v>
      </c>
      <c r="M114" s="549" t="e">
        <f>#REF!</f>
        <v>#REF!</v>
      </c>
      <c r="N114" s="549" t="e">
        <f>#REF!</f>
        <v>#REF!</v>
      </c>
      <c r="O114" s="549" t="e">
        <f>#REF!</f>
        <v>#REF!</v>
      </c>
      <c r="P114" s="549" t="e">
        <f>#REF!</f>
        <v>#REF!</v>
      </c>
      <c r="R114" s="547" t="s">
        <v>662</v>
      </c>
      <c r="S114" s="550">
        <v>1000</v>
      </c>
      <c r="T114" s="550">
        <v>1200</v>
      </c>
      <c r="U114" s="550">
        <v>1440</v>
      </c>
      <c r="V114" s="550">
        <v>1728</v>
      </c>
      <c r="W114" s="550">
        <v>2073.6</v>
      </c>
      <c r="X114" s="550">
        <v>2488.3200000000002</v>
      </c>
      <c r="Y114" s="550">
        <v>2985.9840000000004</v>
      </c>
    </row>
    <row r="115" spans="2:25">
      <c r="B115" s="551" t="s">
        <v>665</v>
      </c>
      <c r="C115" s="780"/>
      <c r="D115" s="780"/>
      <c r="E115" s="780"/>
      <c r="F115" s="780"/>
      <c r="G115" s="780"/>
      <c r="H115" s="780"/>
      <c r="I115" s="780"/>
      <c r="J115" s="549">
        <f>'Viva City'!F185</f>
        <v>11746.150295138776</v>
      </c>
      <c r="K115" s="549">
        <f>'Viva City'!G185</f>
        <v>48350.832251903987</v>
      </c>
      <c r="L115" s="549">
        <f>'Viva City'!H185</f>
        <v>49697.046689279989</v>
      </c>
      <c r="M115" s="549">
        <f>'Viva City'!I185</f>
        <v>48063.098033279988</v>
      </c>
      <c r="N115" s="549">
        <f>'Viva City'!J185</f>
        <v>44540.662829439985</v>
      </c>
      <c r="O115" s="549">
        <f>'Viva City'!K185</f>
        <v>45993.291174639977</v>
      </c>
      <c r="P115" s="549">
        <f>'Viva City'!L185</f>
        <v>-5392.6086389999991</v>
      </c>
      <c r="S115" s="548">
        <v>2014</v>
      </c>
      <c r="T115" s="548">
        <v>2015</v>
      </c>
      <c r="U115" s="548">
        <v>2016</v>
      </c>
      <c r="V115" s="548">
        <v>2017</v>
      </c>
      <c r="W115" s="548">
        <v>2018</v>
      </c>
      <c r="X115" s="548">
        <v>2019</v>
      </c>
      <c r="Y115" s="548">
        <v>2020</v>
      </c>
    </row>
    <row r="116" spans="2:25">
      <c r="B116" s="551" t="s">
        <v>666</v>
      </c>
      <c r="C116" s="780"/>
      <c r="D116" s="780"/>
      <c r="E116" s="780"/>
      <c r="F116" s="780"/>
      <c r="G116" s="780"/>
      <c r="H116" s="780"/>
      <c r="I116" s="780"/>
      <c r="J116" s="549" t="e">
        <f>#REF!</f>
        <v>#REF!</v>
      </c>
      <c r="K116" s="549" t="e">
        <f>#REF!</f>
        <v>#REF!</v>
      </c>
      <c r="L116" s="549" t="e">
        <f>#REF!</f>
        <v>#REF!</v>
      </c>
      <c r="M116" s="549" t="e">
        <f>#REF!</f>
        <v>#REF!</v>
      </c>
      <c r="N116" s="549" t="e">
        <f>#REF!</f>
        <v>#REF!</v>
      </c>
      <c r="O116" s="549" t="e">
        <f>#REF!</f>
        <v>#REF!</v>
      </c>
      <c r="P116" s="549" t="e">
        <f>#REF!</f>
        <v>#REF!</v>
      </c>
      <c r="R116" s="547" t="s">
        <v>664</v>
      </c>
      <c r="S116" s="550">
        <v>81956.784633725751</v>
      </c>
      <c r="T116" s="550">
        <v>48813.631303266455</v>
      </c>
      <c r="U116" s="550">
        <v>53218.862875145081</v>
      </c>
      <c r="V116" s="550">
        <v>0</v>
      </c>
      <c r="W116" s="550">
        <v>0</v>
      </c>
      <c r="X116" s="550">
        <v>0</v>
      </c>
      <c r="Y116" s="550">
        <v>0</v>
      </c>
    </row>
    <row r="117" spans="2:25">
      <c r="B117" s="551" t="s">
        <v>667</v>
      </c>
      <c r="C117" s="780"/>
      <c r="D117" s="780"/>
      <c r="E117" s="780"/>
      <c r="F117" s="780"/>
      <c r="G117" s="780"/>
      <c r="H117" s="780"/>
      <c r="I117" s="780"/>
      <c r="J117" s="549" t="e">
        <f>#REF!</f>
        <v>#REF!</v>
      </c>
      <c r="K117" s="549" t="e">
        <f>#REF!</f>
        <v>#REF!</v>
      </c>
      <c r="L117" s="549" t="e">
        <f>#REF!</f>
        <v>#REF!</v>
      </c>
      <c r="M117" s="549" t="e">
        <f>#REF!</f>
        <v>#REF!</v>
      </c>
      <c r="N117" s="549" t="e">
        <f>#REF!</f>
        <v>#REF!</v>
      </c>
      <c r="O117" s="549" t="e">
        <f>#REF!</f>
        <v>#REF!</v>
      </c>
      <c r="P117" s="549" t="e">
        <f>#REF!</f>
        <v>#REF!</v>
      </c>
      <c r="R117" s="547" t="s">
        <v>665</v>
      </c>
      <c r="S117" s="550">
        <v>17488.987364159999</v>
      </c>
      <c r="T117" s="550">
        <v>65726.876785439992</v>
      </c>
      <c r="U117" s="550">
        <v>101298.41367039998</v>
      </c>
      <c r="V117" s="550">
        <v>100898.92087039998</v>
      </c>
      <c r="W117" s="550">
        <v>100898.92087039998</v>
      </c>
      <c r="X117" s="550">
        <v>102497.25847039999</v>
      </c>
      <c r="Y117" s="550">
        <v>95821.438141952007</v>
      </c>
    </row>
    <row r="118" spans="2:25">
      <c r="B118" s="551" t="s">
        <v>668</v>
      </c>
      <c r="C118" s="780"/>
      <c r="D118" s="780"/>
      <c r="E118" s="780"/>
      <c r="F118" s="780"/>
      <c r="G118" s="780"/>
      <c r="H118" s="780"/>
      <c r="I118" s="780"/>
      <c r="J118" s="549" t="e">
        <f>#REF!</f>
        <v>#REF!</v>
      </c>
      <c r="K118" s="549" t="e">
        <f>#REF!</f>
        <v>#REF!</v>
      </c>
      <c r="L118" s="549" t="e">
        <f>#REF!</f>
        <v>#REF!</v>
      </c>
      <c r="M118" s="549" t="e">
        <f>#REF!</f>
        <v>#REF!</v>
      </c>
      <c r="N118" s="549" t="e">
        <f>#REF!</f>
        <v>#REF!</v>
      </c>
      <c r="O118" s="549" t="e">
        <f>#REF!</f>
        <v>#REF!</v>
      </c>
      <c r="P118" s="549" t="e">
        <f>#REF!</f>
        <v>#REF!</v>
      </c>
      <c r="R118" s="547" t="s">
        <v>666</v>
      </c>
      <c r="S118" s="550">
        <v>0</v>
      </c>
      <c r="T118" s="550">
        <v>17030.872690758271</v>
      </c>
      <c r="U118" s="550">
        <v>25566.233316471051</v>
      </c>
      <c r="V118" s="550">
        <v>30748.555376031054</v>
      </c>
      <c r="W118" s="550">
        <v>40629.891158151055</v>
      </c>
      <c r="X118" s="550">
        <v>34612.240571616036</v>
      </c>
      <c r="Y118" s="550"/>
    </row>
    <row r="119" spans="2:25">
      <c r="B119" s="552" t="s">
        <v>661</v>
      </c>
      <c r="C119" s="781"/>
      <c r="D119" s="781"/>
      <c r="E119" s="781"/>
      <c r="F119" s="781"/>
      <c r="G119" s="781"/>
      <c r="H119" s="781"/>
      <c r="I119" s="781"/>
      <c r="J119" s="553" t="e">
        <f>SUM(J112:J118)</f>
        <v>#REF!</v>
      </c>
      <c r="K119" s="553" t="e">
        <f t="shared" ref="K119:P119" si="57">SUM(K112:K118)</f>
        <v>#REF!</v>
      </c>
      <c r="L119" s="553" t="e">
        <f t="shared" si="57"/>
        <v>#REF!</v>
      </c>
      <c r="M119" s="553" t="e">
        <f t="shared" si="57"/>
        <v>#REF!</v>
      </c>
      <c r="N119" s="553" t="e">
        <f t="shared" si="57"/>
        <v>#REF!</v>
      </c>
      <c r="O119" s="553" t="e">
        <f t="shared" si="57"/>
        <v>#REF!</v>
      </c>
      <c r="P119" s="553" t="e">
        <f t="shared" si="57"/>
        <v>#REF!</v>
      </c>
      <c r="R119" s="547" t="s">
        <v>667</v>
      </c>
      <c r="S119" s="550">
        <v>0</v>
      </c>
      <c r="T119" s="550">
        <v>0</v>
      </c>
      <c r="U119" s="550">
        <v>52266.239999999991</v>
      </c>
      <c r="V119" s="550">
        <v>160959.35999999999</v>
      </c>
      <c r="W119" s="550">
        <v>81998.400000000009</v>
      </c>
      <c r="X119" s="550">
        <v>-6312.0000000000009</v>
      </c>
      <c r="Y119" s="550">
        <v>-3156.0000000000005</v>
      </c>
    </row>
    <row r="120" spans="2:25">
      <c r="R120" s="547" t="s">
        <v>668</v>
      </c>
      <c r="S120" s="550">
        <v>0</v>
      </c>
      <c r="T120" s="550">
        <v>0</v>
      </c>
      <c r="U120" s="550">
        <v>157775.51287679997</v>
      </c>
      <c r="V120" s="550">
        <v>283768.29103999998</v>
      </c>
      <c r="W120" s="550">
        <v>91035.120511999994</v>
      </c>
      <c r="X120" s="550">
        <v>-9220.1910000000044</v>
      </c>
      <c r="Y120" s="550">
        <v>-5532.1146000000044</v>
      </c>
    </row>
    <row r="121" spans="2:25">
      <c r="J121" s="549">
        <f>1411795+125000</f>
        <v>1536795</v>
      </c>
      <c r="K121" s="550" t="e">
        <f>J121+K119</f>
        <v>#REF!</v>
      </c>
    </row>
    <row r="122" spans="2:25">
      <c r="J122" s="554">
        <f>125000/J121</f>
        <v>8.1338109507123585E-2</v>
      </c>
      <c r="K122" s="547" t="e">
        <f>K119/K121</f>
        <v>#REF!</v>
      </c>
    </row>
    <row r="159" spans="2:15">
      <c r="B159" s="550"/>
      <c r="C159" s="782"/>
      <c r="D159" s="782"/>
      <c r="E159" s="782"/>
      <c r="F159" s="782"/>
      <c r="G159" s="782"/>
      <c r="H159" s="782"/>
      <c r="I159" s="782"/>
      <c r="J159" s="550"/>
      <c r="K159" s="550"/>
      <c r="L159" s="550"/>
      <c r="M159" s="550"/>
      <c r="N159" s="550"/>
      <c r="O159" s="550"/>
    </row>
    <row r="172" spans="2:11">
      <c r="B172" s="552"/>
      <c r="C172" s="781"/>
      <c r="D172" s="781"/>
      <c r="E172" s="781"/>
      <c r="F172" s="781"/>
      <c r="G172" s="781"/>
      <c r="H172" s="781"/>
      <c r="I172" s="781"/>
      <c r="J172" s="552"/>
      <c r="K172" s="552"/>
    </row>
    <row r="173" spans="2:11">
      <c r="B173" s="555"/>
      <c r="C173" s="783"/>
      <c r="D173" s="783"/>
      <c r="E173" s="783"/>
      <c r="F173" s="783"/>
      <c r="G173" s="783"/>
      <c r="H173" s="783"/>
      <c r="I173" s="783"/>
      <c r="J173" s="555"/>
      <c r="K173" s="555"/>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A2:K52"/>
  <sheetViews>
    <sheetView topLeftCell="A23" zoomScale="130" zoomScaleNormal="130" workbookViewId="0">
      <selection activeCell="F31" sqref="F31"/>
    </sheetView>
  </sheetViews>
  <sheetFormatPr defaultColWidth="9.140625" defaultRowHeight="11.25"/>
  <cols>
    <col min="1" max="1" width="3.140625" style="96" customWidth="1"/>
    <col min="2" max="2" width="29.7109375" style="96" customWidth="1"/>
    <col min="3" max="3" width="14" style="96" customWidth="1"/>
    <col min="4" max="5" width="12.140625" style="96" bestFit="1" customWidth="1"/>
    <col min="6" max="6" width="16.85546875" style="96" customWidth="1"/>
    <col min="7" max="7" width="16.140625" style="96" customWidth="1"/>
    <col min="8" max="8" width="18.85546875" style="96" customWidth="1"/>
    <col min="9" max="13" width="9.140625" style="96"/>
    <col min="14" max="14" width="9.140625" style="96" customWidth="1"/>
    <col min="15" max="16" width="9.140625" style="96"/>
    <col min="17" max="17" width="9.140625" style="96" customWidth="1"/>
    <col min="18" max="16384" width="9.140625" style="96"/>
  </cols>
  <sheetData>
    <row r="2" spans="1:8">
      <c r="A2" s="14"/>
    </row>
    <row r="3" spans="1:8" ht="22.5">
      <c r="B3" s="677" t="s">
        <v>681</v>
      </c>
      <c r="C3" s="888" t="s">
        <v>642</v>
      </c>
      <c r="D3" s="887" t="s">
        <v>1100</v>
      </c>
      <c r="E3" s="677">
        <v>2014</v>
      </c>
      <c r="F3" s="677">
        <v>2015</v>
      </c>
      <c r="G3" s="677">
        <v>2016</v>
      </c>
      <c r="H3" s="677">
        <v>2017</v>
      </c>
    </row>
    <row r="4" spans="1:8">
      <c r="B4" s="633" t="s">
        <v>1101</v>
      </c>
      <c r="C4" s="684">
        <f t="shared" ref="C4:H4" si="0">C6+C8+C10+C12+C14+C16+C18+C20+C22+C24+C26</f>
        <v>399075</v>
      </c>
      <c r="D4" s="684">
        <f t="shared" si="0"/>
        <v>191809.25</v>
      </c>
      <c r="E4" s="684">
        <f t="shared" si="0"/>
        <v>42680.75</v>
      </c>
      <c r="F4" s="684">
        <f t="shared" si="0"/>
        <v>164585</v>
      </c>
      <c r="G4" s="684">
        <f t="shared" si="0"/>
        <v>0</v>
      </c>
      <c r="H4" s="684">
        <f t="shared" si="0"/>
        <v>0</v>
      </c>
    </row>
    <row r="5" spans="1:8">
      <c r="B5" s="633"/>
      <c r="C5" s="684"/>
      <c r="D5" s="691"/>
      <c r="E5" s="691"/>
      <c r="F5" s="691"/>
      <c r="G5" s="691"/>
      <c r="H5" s="670"/>
    </row>
    <row r="6" spans="1:8">
      <c r="B6" s="884" t="s">
        <v>929</v>
      </c>
      <c r="C6" s="684">
        <f>'SI_Control sheet'!K4</f>
        <v>45500</v>
      </c>
      <c r="D6" s="691">
        <f>$C$6*D7</f>
        <v>45500</v>
      </c>
      <c r="E6" s="691">
        <f>$C$6*E7</f>
        <v>0</v>
      </c>
      <c r="F6" s="691">
        <f>$C$6*F7</f>
        <v>0</v>
      </c>
      <c r="G6" s="691"/>
      <c r="H6" s="691"/>
    </row>
    <row r="7" spans="1:8">
      <c r="B7" s="654" t="s">
        <v>792</v>
      </c>
      <c r="C7" s="693">
        <f>SUM(D7:R7)</f>
        <v>1</v>
      </c>
      <c r="D7" s="337">
        <v>1</v>
      </c>
      <c r="E7" s="889">
        <v>0</v>
      </c>
      <c r="F7" s="889">
        <v>0</v>
      </c>
      <c r="G7" s="889"/>
      <c r="H7" s="889"/>
    </row>
    <row r="8" spans="1:8">
      <c r="B8" s="884" t="s">
        <v>1054</v>
      </c>
      <c r="C8" s="684">
        <f>'SI_Control sheet'!K5</f>
        <v>53530</v>
      </c>
      <c r="D8" s="809">
        <f>$C$8*D9</f>
        <v>38809.25</v>
      </c>
      <c r="E8" s="809">
        <f>$C$8*E9</f>
        <v>14720.750000000002</v>
      </c>
      <c r="F8" s="809">
        <f>$C$8*F9</f>
        <v>0</v>
      </c>
      <c r="G8" s="809"/>
      <c r="H8" s="809"/>
    </row>
    <row r="9" spans="1:8">
      <c r="B9" s="654" t="s">
        <v>792</v>
      </c>
      <c r="C9" s="693">
        <f>SUM(D9:R9)</f>
        <v>1</v>
      </c>
      <c r="D9" s="337">
        <f>203/280</f>
        <v>0.72499999999999998</v>
      </c>
      <c r="E9" s="889">
        <v>0.27500000000000002</v>
      </c>
      <c r="F9" s="889">
        <v>0</v>
      </c>
      <c r="G9" s="889"/>
      <c r="H9" s="889"/>
    </row>
    <row r="10" spans="1:8">
      <c r="B10" s="884" t="s">
        <v>1057</v>
      </c>
      <c r="C10" s="684">
        <f>'SI_Control sheet'!K6</f>
        <v>60300</v>
      </c>
      <c r="D10" s="809">
        <f>$C$10*D11</f>
        <v>0</v>
      </c>
      <c r="E10" s="809">
        <f>$C$10*E11</f>
        <v>0</v>
      </c>
      <c r="F10" s="809">
        <f>$C$10*F11</f>
        <v>60300</v>
      </c>
      <c r="G10" s="809"/>
      <c r="H10" s="809"/>
    </row>
    <row r="11" spans="1:8">
      <c r="B11" s="654" t="s">
        <v>792</v>
      </c>
      <c r="C11" s="693">
        <f>SUM(D11:R11)</f>
        <v>1</v>
      </c>
      <c r="D11" s="889">
        <v>0</v>
      </c>
      <c r="E11" s="889">
        <v>0</v>
      </c>
      <c r="F11" s="889">
        <v>1</v>
      </c>
      <c r="G11" s="889"/>
      <c r="H11" s="889"/>
    </row>
    <row r="12" spans="1:8">
      <c r="B12" s="884" t="s">
        <v>1064</v>
      </c>
      <c r="C12" s="684">
        <f>'SI_Control sheet'!K9</f>
        <v>45000</v>
      </c>
      <c r="D12" s="809">
        <f>$C$12*D13</f>
        <v>45000</v>
      </c>
      <c r="E12" s="809">
        <f>$C$12*E13</f>
        <v>0</v>
      </c>
      <c r="F12" s="809">
        <f>$C$12*F13</f>
        <v>0</v>
      </c>
      <c r="G12" s="809"/>
      <c r="H12" s="809"/>
    </row>
    <row r="13" spans="1:8">
      <c r="B13" s="654" t="s">
        <v>792</v>
      </c>
      <c r="C13" s="693">
        <f>SUM(D13:R13)</f>
        <v>1</v>
      </c>
      <c r="D13" s="337">
        <v>1</v>
      </c>
      <c r="E13" s="889">
        <v>0</v>
      </c>
      <c r="F13" s="889">
        <v>0</v>
      </c>
      <c r="G13" s="889"/>
      <c r="H13" s="889"/>
    </row>
    <row r="14" spans="1:8">
      <c r="B14" s="884" t="s">
        <v>1067</v>
      </c>
      <c r="C14" s="684">
        <f>'SI_Control sheet'!K10</f>
        <v>9500</v>
      </c>
      <c r="D14" s="691">
        <f>$C$14*D15</f>
        <v>0</v>
      </c>
      <c r="E14" s="691">
        <f>$C$14*E15</f>
        <v>1900</v>
      </c>
      <c r="F14" s="691">
        <f>$C$14*F15</f>
        <v>7600</v>
      </c>
      <c r="G14" s="691"/>
      <c r="H14" s="691"/>
    </row>
    <row r="15" spans="1:8">
      <c r="B15" s="654" t="s">
        <v>792</v>
      </c>
      <c r="C15" s="693">
        <f>SUM(D15:R15)</f>
        <v>1</v>
      </c>
      <c r="D15" s="694">
        <v>0</v>
      </c>
      <c r="E15" s="695">
        <v>0.2</v>
      </c>
      <c r="F15" s="695">
        <v>0.8</v>
      </c>
      <c r="G15" s="695"/>
      <c r="H15" s="640"/>
    </row>
    <row r="16" spans="1:8">
      <c r="B16" s="884" t="s">
        <v>1070</v>
      </c>
      <c r="C16" s="684">
        <f>'SI_Control sheet'!K11</f>
        <v>47500</v>
      </c>
      <c r="D16" s="691">
        <f>$C$16*D17</f>
        <v>38000</v>
      </c>
      <c r="E16" s="691">
        <f>$C$16*E17</f>
        <v>9500</v>
      </c>
      <c r="F16" s="691">
        <f>$C$16*F17</f>
        <v>0</v>
      </c>
      <c r="G16" s="691"/>
      <c r="H16" s="691"/>
    </row>
    <row r="17" spans="2:8">
      <c r="B17" s="654" t="s">
        <v>792</v>
      </c>
      <c r="C17" s="693">
        <f>SUM(D17:R17)</f>
        <v>1</v>
      </c>
      <c r="D17" s="694">
        <v>0.8</v>
      </c>
      <c r="E17" s="695">
        <v>0.2</v>
      </c>
      <c r="F17" s="695">
        <v>0</v>
      </c>
      <c r="G17" s="695"/>
      <c r="H17" s="640"/>
    </row>
    <row r="18" spans="2:8">
      <c r="B18" s="885" t="s">
        <v>1077</v>
      </c>
      <c r="C18" s="684">
        <f>'SI_Control sheet'!K14</f>
        <v>4200</v>
      </c>
      <c r="D18" s="691">
        <f>$C$18*D19</f>
        <v>4200</v>
      </c>
      <c r="E18" s="691">
        <f>$C$18*E19</f>
        <v>0</v>
      </c>
      <c r="F18" s="691">
        <f>$C$18*F19</f>
        <v>0</v>
      </c>
      <c r="G18" s="691"/>
      <c r="H18" s="691"/>
    </row>
    <row r="19" spans="2:8">
      <c r="B19" s="654" t="s">
        <v>792</v>
      </c>
      <c r="C19" s="693">
        <f>SUM(D19:R19)</f>
        <v>1</v>
      </c>
      <c r="D19" s="694">
        <v>1</v>
      </c>
      <c r="E19" s="695">
        <v>0</v>
      </c>
      <c r="F19" s="695">
        <v>0</v>
      </c>
      <c r="G19" s="695"/>
      <c r="H19" s="640"/>
    </row>
    <row r="20" spans="2:8">
      <c r="B20" s="884" t="s">
        <v>668</v>
      </c>
      <c r="C20" s="684">
        <f>'SI_Control sheet'!K15</f>
        <v>40600</v>
      </c>
      <c r="D20" s="691">
        <f>$C$20*D21</f>
        <v>20300</v>
      </c>
      <c r="E20" s="691">
        <f>$C$20*E21</f>
        <v>8120</v>
      </c>
      <c r="F20" s="691">
        <f>$C$20*F21</f>
        <v>12180</v>
      </c>
      <c r="G20" s="691"/>
      <c r="H20" s="691"/>
    </row>
    <row r="21" spans="2:8">
      <c r="B21" s="654" t="s">
        <v>792</v>
      </c>
      <c r="C21" s="693">
        <f>SUM(D21:R21)</f>
        <v>1</v>
      </c>
      <c r="D21" s="694">
        <v>0.5</v>
      </c>
      <c r="E21" s="695">
        <v>0.2</v>
      </c>
      <c r="F21" s="695">
        <v>0.3</v>
      </c>
      <c r="G21" s="695"/>
      <c r="H21" s="640"/>
    </row>
    <row r="22" spans="2:8">
      <c r="B22" s="886" t="s">
        <v>1060</v>
      </c>
      <c r="C22" s="684">
        <f>'SI_Control sheet'!K7</f>
        <v>50745</v>
      </c>
      <c r="D22" s="691">
        <f>$C$22*D23</f>
        <v>0</v>
      </c>
      <c r="E22" s="691">
        <f>$C$22*E23</f>
        <v>0</v>
      </c>
      <c r="F22" s="691">
        <f>$C$22*F23</f>
        <v>50745</v>
      </c>
      <c r="G22" s="691"/>
      <c r="H22" s="691"/>
    </row>
    <row r="23" spans="2:8">
      <c r="B23" s="654" t="s">
        <v>792</v>
      </c>
      <c r="C23" s="693">
        <f>SUM(D23:R23)</f>
        <v>1</v>
      </c>
      <c r="D23" s="694">
        <v>0</v>
      </c>
      <c r="E23" s="695">
        <v>0</v>
      </c>
      <c r="F23" s="695">
        <v>1</v>
      </c>
      <c r="G23" s="695"/>
      <c r="H23" s="640"/>
    </row>
    <row r="24" spans="2:8">
      <c r="B24" s="886" t="s">
        <v>1073</v>
      </c>
      <c r="C24" s="684">
        <f>'SI_Control sheet'!K12</f>
        <v>24200</v>
      </c>
      <c r="D24" s="691">
        <f>$C$24*D25</f>
        <v>0</v>
      </c>
      <c r="E24" s="691">
        <f>$C$24*E25</f>
        <v>4840</v>
      </c>
      <c r="F24" s="691">
        <f>$C$24*F25</f>
        <v>19360</v>
      </c>
      <c r="G24" s="691"/>
      <c r="H24" s="691"/>
    </row>
    <row r="25" spans="2:8">
      <c r="B25" s="654" t="s">
        <v>792</v>
      </c>
      <c r="C25" s="693">
        <f>SUM(D25:R25)</f>
        <v>1</v>
      </c>
      <c r="D25" s="694">
        <v>0</v>
      </c>
      <c r="E25" s="695">
        <v>0.2</v>
      </c>
      <c r="F25" s="695">
        <v>0.8</v>
      </c>
      <c r="G25" s="695"/>
      <c r="H25" s="640"/>
    </row>
    <row r="26" spans="2:8">
      <c r="B26" s="886" t="s">
        <v>1083</v>
      </c>
      <c r="C26" s="684">
        <f>'SI_Control sheet'!K17</f>
        <v>18000</v>
      </c>
      <c r="D26" s="691">
        <f>$C$26*D27</f>
        <v>0</v>
      </c>
      <c r="E26" s="691">
        <f>$C$26*E27</f>
        <v>3600</v>
      </c>
      <c r="F26" s="691">
        <f>$C$26*F27</f>
        <v>14400</v>
      </c>
      <c r="G26" s="691"/>
      <c r="H26" s="691"/>
    </row>
    <row r="27" spans="2:8">
      <c r="B27" s="654" t="s">
        <v>792</v>
      </c>
      <c r="C27" s="693">
        <f>SUM(D27:R27)</f>
        <v>1</v>
      </c>
      <c r="D27" s="694">
        <v>0</v>
      </c>
      <c r="E27" s="695">
        <v>0.2</v>
      </c>
      <c r="F27" s="695">
        <v>0.8</v>
      </c>
      <c r="G27" s="695"/>
      <c r="H27" s="640"/>
    </row>
    <row r="28" spans="2:8">
      <c r="B28" s="654"/>
      <c r="C28" s="693"/>
      <c r="D28" s="694"/>
      <c r="E28" s="695"/>
      <c r="F28" s="695"/>
      <c r="G28" s="695"/>
      <c r="H28" s="640"/>
    </row>
    <row r="29" spans="2:8">
      <c r="B29" s="654" t="s">
        <v>798</v>
      </c>
      <c r="C29" s="693">
        <v>0.5</v>
      </c>
      <c r="D29" s="694"/>
      <c r="E29" s="695"/>
      <c r="F29" s="695"/>
      <c r="G29" s="695"/>
      <c r="H29" s="640"/>
    </row>
    <row r="30" spans="2:8">
      <c r="B30" s="654" t="s">
        <v>799</v>
      </c>
      <c r="C30" s="693">
        <v>0.4</v>
      </c>
      <c r="D30" s="694"/>
      <c r="E30" s="695"/>
      <c r="F30" s="695"/>
      <c r="G30" s="695"/>
      <c r="H30" s="640"/>
    </row>
    <row r="31" spans="2:8">
      <c r="B31" s="654" t="s">
        <v>800</v>
      </c>
      <c r="C31" s="693">
        <v>0.1</v>
      </c>
      <c r="D31" s="694"/>
      <c r="E31" s="695"/>
      <c r="F31" s="695"/>
      <c r="G31" s="695"/>
      <c r="H31" s="640"/>
    </row>
    <row r="32" spans="2:8">
      <c r="B32" s="687" t="s">
        <v>1102</v>
      </c>
      <c r="C32" s="633"/>
      <c r="D32" s="688"/>
      <c r="E32" s="691"/>
      <c r="F32" s="688"/>
      <c r="G32" s="688"/>
      <c r="H32" s="688"/>
    </row>
    <row r="33" spans="2:11">
      <c r="B33" s="884" t="s">
        <v>929</v>
      </c>
      <c r="C33" s="670">
        <f>SUM(D33:H33)</f>
        <v>45500</v>
      </c>
      <c r="D33" s="688">
        <f>$D$6*D34</f>
        <v>13650</v>
      </c>
      <c r="E33" s="688">
        <f>$D$6*E34</f>
        <v>9100</v>
      </c>
      <c r="F33" s="688">
        <f>$D6*C30</f>
        <v>18200</v>
      </c>
      <c r="G33" s="688">
        <f>$D6*C31</f>
        <v>4550</v>
      </c>
      <c r="H33" s="688"/>
    </row>
    <row r="34" spans="2:11">
      <c r="B34" s="654" t="s">
        <v>1103</v>
      </c>
      <c r="C34" s="693"/>
      <c r="D34" s="807">
        <v>0.3</v>
      </c>
      <c r="E34" s="807">
        <v>0.2</v>
      </c>
      <c r="F34" s="807"/>
      <c r="G34" s="807"/>
      <c r="H34" s="807"/>
    </row>
    <row r="35" spans="2:11" ht="13.5" thickBot="1">
      <c r="B35" s="884" t="s">
        <v>1054</v>
      </c>
      <c r="C35" s="670">
        <f>SUM(D35:H35)</f>
        <v>53530</v>
      </c>
      <c r="D35" s="688">
        <f>D36*D8</f>
        <v>13583.237499999999</v>
      </c>
      <c r="E35" s="688">
        <f>D8*E36+E8*D36</f>
        <v>10973.650000000001</v>
      </c>
      <c r="F35" s="688">
        <f>D8*C30+E8*(C30-E36)</f>
        <v>19203.887500000001</v>
      </c>
      <c r="G35" s="688">
        <f>D8*C31+E8*40%</f>
        <v>9769.2250000000022</v>
      </c>
      <c r="H35" s="688"/>
      <c r="J35" s="547"/>
      <c r="K35" s="655">
        <v>2014</v>
      </c>
    </row>
    <row r="36" spans="2:11">
      <c r="B36" s="654" t="s">
        <v>1103</v>
      </c>
      <c r="C36" s="693"/>
      <c r="D36" s="807">
        <v>0.35</v>
      </c>
      <c r="E36" s="807">
        <v>0.15</v>
      </c>
      <c r="F36" s="807"/>
      <c r="G36" s="807"/>
      <c r="H36" s="807"/>
      <c r="J36" s="656" t="s">
        <v>756</v>
      </c>
      <c r="K36" s="658">
        <v>1</v>
      </c>
    </row>
    <row r="37" spans="2:11">
      <c r="B37" s="884" t="s">
        <v>1057</v>
      </c>
      <c r="C37" s="670">
        <f>SUM(D37:H37)</f>
        <v>60300</v>
      </c>
      <c r="D37" s="688"/>
      <c r="E37" s="691"/>
      <c r="F37" s="688">
        <f>F10*C29</f>
        <v>30150</v>
      </c>
      <c r="G37" s="688">
        <f>F10*C30</f>
        <v>24120</v>
      </c>
      <c r="H37" s="688">
        <f>F10*C31</f>
        <v>6030</v>
      </c>
      <c r="J37" s="641" t="s">
        <v>610</v>
      </c>
      <c r="K37" s="659">
        <v>1.5</v>
      </c>
    </row>
    <row r="38" spans="2:11">
      <c r="B38" s="884" t="s">
        <v>1064</v>
      </c>
      <c r="C38" s="670">
        <f>SUM(D38:H38)</f>
        <v>45000</v>
      </c>
      <c r="D38" s="688">
        <f>D12*D39</f>
        <v>24750.000000000004</v>
      </c>
      <c r="E38" s="691">
        <f>D12*E39</f>
        <v>4500</v>
      </c>
      <c r="F38" s="688">
        <f>D12*(1-SUM(D39:E39))</f>
        <v>15749.999999999998</v>
      </c>
      <c r="G38" s="688"/>
      <c r="H38" s="688"/>
      <c r="J38" s="641" t="s">
        <v>757</v>
      </c>
      <c r="K38" s="800">
        <v>8.5000000000000006E-2</v>
      </c>
    </row>
    <row r="39" spans="2:11">
      <c r="B39" s="654" t="s">
        <v>1103</v>
      </c>
      <c r="C39" s="693"/>
      <c r="D39" s="807">
        <v>0.55000000000000004</v>
      </c>
      <c r="E39" s="807">
        <v>0.1</v>
      </c>
      <c r="F39" s="807"/>
      <c r="G39" s="807"/>
      <c r="H39" s="807"/>
      <c r="J39" s="641" t="s">
        <v>609</v>
      </c>
      <c r="K39" s="801">
        <v>7.0000000000000007E-2</v>
      </c>
    </row>
    <row r="40" spans="2:11">
      <c r="B40" s="884" t="s">
        <v>1067</v>
      </c>
      <c r="C40" s="670">
        <f>SUM(D40:H40)</f>
        <v>9500</v>
      </c>
      <c r="D40" s="688">
        <v>0</v>
      </c>
      <c r="E40" s="691">
        <f>E14*C29</f>
        <v>950</v>
      </c>
      <c r="F40" s="688">
        <f>E14*C30+F14*C29</f>
        <v>4560</v>
      </c>
      <c r="G40" s="688">
        <f>E14*C31+F14*C30</f>
        <v>3230</v>
      </c>
      <c r="H40" s="688">
        <f>F14*C31</f>
        <v>760</v>
      </c>
      <c r="J40" s="641" t="s">
        <v>758</v>
      </c>
      <c r="K40" s="799">
        <f>K37*K39+K38</f>
        <v>0.19</v>
      </c>
    </row>
    <row r="41" spans="2:11">
      <c r="B41" s="884" t="s">
        <v>1070</v>
      </c>
      <c r="C41" s="670">
        <f>SUM(D41:H41)</f>
        <v>47500</v>
      </c>
      <c r="D41" s="688">
        <f>D42*D16</f>
        <v>11400</v>
      </c>
      <c r="E41" s="691">
        <f>D16*E42+E16*D42</f>
        <v>10450</v>
      </c>
      <c r="F41" s="688">
        <f>D16*C30+E16*C30</f>
        <v>19000</v>
      </c>
      <c r="G41" s="688">
        <f>D16*C31+E16*30%</f>
        <v>6650</v>
      </c>
      <c r="H41" s="688"/>
      <c r="J41" s="641" t="s">
        <v>759</v>
      </c>
      <c r="K41" s="661">
        <v>0</v>
      </c>
    </row>
    <row r="42" spans="2:11">
      <c r="B42" s="654" t="s">
        <v>1103</v>
      </c>
      <c r="C42" s="693"/>
      <c r="D42" s="807">
        <v>0.3</v>
      </c>
      <c r="E42" s="807">
        <v>0.2</v>
      </c>
      <c r="F42" s="807"/>
      <c r="G42" s="807"/>
      <c r="H42" s="807"/>
      <c r="J42" s="641" t="s">
        <v>760</v>
      </c>
      <c r="K42" s="662">
        <v>0.1</v>
      </c>
    </row>
    <row r="43" spans="2:11" ht="12" thickBot="1">
      <c r="B43" s="885" t="s">
        <v>1077</v>
      </c>
      <c r="C43" s="670">
        <f>SUM(D43:H43)</f>
        <v>4200</v>
      </c>
      <c r="D43" s="688">
        <f>D18</f>
        <v>4200</v>
      </c>
      <c r="E43" s="688">
        <f>E18</f>
        <v>0</v>
      </c>
      <c r="F43" s="688">
        <f>F18</f>
        <v>0</v>
      </c>
      <c r="G43" s="688">
        <f>G18</f>
        <v>0</v>
      </c>
      <c r="H43" s="688">
        <f>H18</f>
        <v>0</v>
      </c>
      <c r="J43" s="644" t="s">
        <v>14</v>
      </c>
      <c r="K43" s="664">
        <f>K36*K40+(1-0.22)*K41*K42</f>
        <v>0.19</v>
      </c>
    </row>
    <row r="44" spans="2:11">
      <c r="B44" s="884" t="s">
        <v>668</v>
      </c>
      <c r="C44" s="670">
        <f>SUM(D44:H44)</f>
        <v>40600</v>
      </c>
      <c r="D44" s="688">
        <f>D20</f>
        <v>20300</v>
      </c>
      <c r="E44" s="688">
        <f>E20</f>
        <v>8120</v>
      </c>
      <c r="F44" s="688">
        <f>F20</f>
        <v>12180</v>
      </c>
      <c r="G44" s="688">
        <f>G20</f>
        <v>0</v>
      </c>
      <c r="H44" s="688">
        <f>H20</f>
        <v>0</v>
      </c>
    </row>
    <row r="45" spans="2:11">
      <c r="B45" s="886" t="s">
        <v>1060</v>
      </c>
      <c r="C45" s="670">
        <f>SUM(D45:H45)</f>
        <v>50745</v>
      </c>
      <c r="D45" s="688">
        <v>0</v>
      </c>
      <c r="E45" s="691">
        <v>0</v>
      </c>
      <c r="F45" s="688">
        <f>F22*C29</f>
        <v>25372.5</v>
      </c>
      <c r="G45" s="688">
        <f>F22*C30</f>
        <v>20298</v>
      </c>
      <c r="H45" s="688">
        <f>F22*C31</f>
        <v>5074.5</v>
      </c>
    </row>
    <row r="46" spans="2:11">
      <c r="B46" s="886" t="s">
        <v>1073</v>
      </c>
      <c r="C46" s="670">
        <f>SUM(D46:H46)</f>
        <v>24200</v>
      </c>
      <c r="D46" s="688">
        <v>0</v>
      </c>
      <c r="E46" s="691">
        <f>E24*C29</f>
        <v>2420</v>
      </c>
      <c r="F46" s="688">
        <f>E24*C30+F24*C29</f>
        <v>11616</v>
      </c>
      <c r="G46" s="688">
        <f>E24*C31+F24*C30</f>
        <v>8228</v>
      </c>
      <c r="H46" s="688">
        <f>F24*C31</f>
        <v>1936</v>
      </c>
    </row>
    <row r="47" spans="2:11">
      <c r="B47" s="886" t="s">
        <v>1083</v>
      </c>
      <c r="C47" s="670">
        <f>SUM(D47:H47)</f>
        <v>18000</v>
      </c>
      <c r="D47" s="688"/>
      <c r="E47" s="691">
        <f>E26*C29</f>
        <v>1800</v>
      </c>
      <c r="F47" s="688">
        <f>E26*C30+F26*C29</f>
        <v>8640</v>
      </c>
      <c r="G47" s="688">
        <f>E26*C31+F26*C30</f>
        <v>6120</v>
      </c>
      <c r="H47" s="688">
        <f>F26*C31</f>
        <v>1440</v>
      </c>
    </row>
    <row r="49" spans="3:8">
      <c r="C49" s="890">
        <f t="shared" ref="C49:H49" si="1">SUM(C33,C35,C37,C38,C40,C41,C43,C44)</f>
        <v>306130</v>
      </c>
      <c r="D49" s="890">
        <f t="shared" si="1"/>
        <v>87883.237500000003</v>
      </c>
      <c r="E49" s="890">
        <f t="shared" si="1"/>
        <v>44093.65</v>
      </c>
      <c r="F49" s="890">
        <f t="shared" si="1"/>
        <v>119043.8875</v>
      </c>
      <c r="G49" s="890">
        <f t="shared" si="1"/>
        <v>48319.225000000006</v>
      </c>
      <c r="H49" s="890">
        <f t="shared" si="1"/>
        <v>6790</v>
      </c>
    </row>
    <row r="50" spans="3:8">
      <c r="E50" s="891">
        <f>(1+$K$43)^(4/12)</f>
        <v>1.0596985021248149</v>
      </c>
      <c r="F50" s="891">
        <f>E50*(1+$K$43)^(16/12)</f>
        <v>1.3363234893326355</v>
      </c>
      <c r="G50" s="891">
        <f>F50*(1+$K$43)^(28/12)</f>
        <v>2.0053392099999998</v>
      </c>
      <c r="H50" s="891">
        <f>G50*(1+$K$43)^(40/12)</f>
        <v>3.5810554864334101</v>
      </c>
    </row>
    <row r="51" spans="3:8">
      <c r="E51" s="816">
        <f>E49/E50</f>
        <v>41609.618124010995</v>
      </c>
      <c r="F51" s="816">
        <f>F49/F50</f>
        <v>89083.136269235925</v>
      </c>
      <c r="G51" s="816">
        <f>G49/G50</f>
        <v>24095.28759974728</v>
      </c>
      <c r="H51" s="816">
        <f>H49/H50</f>
        <v>1896.0890233964433</v>
      </c>
    </row>
    <row r="52" spans="3:8">
      <c r="E52" s="817">
        <f>SUM(E51:H51)</f>
        <v>156684.13101639063</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sheetPr>
  <dimension ref="A1:Q87"/>
  <sheetViews>
    <sheetView topLeftCell="A67" zoomScaleNormal="100" workbookViewId="0">
      <selection activeCell="A76" sqref="A76"/>
    </sheetView>
  </sheetViews>
  <sheetFormatPr defaultColWidth="9.140625" defaultRowHeight="12.75"/>
  <cols>
    <col min="1" max="1" width="23.42578125" style="879" customWidth="1"/>
    <col min="2" max="2" width="24.42578125" style="879" customWidth="1"/>
    <col min="3" max="3" width="14" style="879" customWidth="1"/>
    <col min="4" max="4" width="20.42578125" style="879" customWidth="1"/>
    <col min="5" max="5" width="13.140625" style="879" customWidth="1"/>
    <col min="6" max="6" width="17" style="879" customWidth="1"/>
    <col min="7" max="7" width="15.7109375" style="879" customWidth="1"/>
    <col min="8" max="8" width="15.85546875" style="879" customWidth="1"/>
    <col min="9" max="9" width="9.85546875" style="879" customWidth="1"/>
    <col min="10" max="10" width="15.140625" style="879" customWidth="1"/>
    <col min="11" max="11" width="24.42578125" style="879" customWidth="1"/>
    <col min="12" max="12" width="10" style="879" bestFit="1" customWidth="1"/>
    <col min="13" max="13" width="9.140625" style="879" customWidth="1"/>
    <col min="14" max="14" width="14.5703125" style="879" customWidth="1"/>
    <col min="15" max="15" width="16.140625" style="879" customWidth="1"/>
    <col min="16" max="16" width="23" style="879" customWidth="1"/>
    <col min="17" max="16384" width="9.140625" style="879"/>
  </cols>
  <sheetData>
    <row r="1" spans="1:16">
      <c r="E1" s="882">
        <v>41883</v>
      </c>
    </row>
    <row r="2" spans="1:16" ht="38.25">
      <c r="A2" s="861" t="s">
        <v>1038</v>
      </c>
      <c r="B2" s="861" t="s">
        <v>1039</v>
      </c>
      <c r="C2" s="861" t="s">
        <v>1087</v>
      </c>
      <c r="D2" s="861" t="s">
        <v>1086</v>
      </c>
      <c r="E2" s="861" t="s">
        <v>1088</v>
      </c>
      <c r="F2" s="861" t="s">
        <v>1040</v>
      </c>
      <c r="G2" s="861" t="s">
        <v>1041</v>
      </c>
      <c r="H2" s="861" t="s">
        <v>1042</v>
      </c>
      <c r="I2" s="861" t="s">
        <v>1043</v>
      </c>
      <c r="J2" s="861" t="s">
        <v>1044</v>
      </c>
      <c r="K2" s="861" t="s">
        <v>1045</v>
      </c>
      <c r="L2" s="861" t="s">
        <v>1046</v>
      </c>
      <c r="M2" s="861"/>
      <c r="N2" s="861" t="s">
        <v>1047</v>
      </c>
      <c r="O2" s="861" t="s">
        <v>1048</v>
      </c>
      <c r="P2" s="861" t="s">
        <v>1049</v>
      </c>
    </row>
    <row r="3" spans="1:16">
      <c r="A3" s="862" t="s">
        <v>1050</v>
      </c>
      <c r="B3" s="863"/>
      <c r="C3" s="863"/>
      <c r="D3" s="863"/>
      <c r="E3" s="863"/>
      <c r="F3" s="864"/>
      <c r="G3" s="865"/>
      <c r="H3" s="865"/>
      <c r="I3" s="865"/>
      <c r="J3" s="865"/>
      <c r="K3" s="865"/>
      <c r="L3" s="865"/>
      <c r="M3" s="865"/>
      <c r="N3" s="865"/>
      <c r="O3" s="865"/>
      <c r="P3" s="866"/>
    </row>
    <row r="4" spans="1:16" ht="51">
      <c r="A4" s="867" t="s">
        <v>929</v>
      </c>
      <c r="B4" s="868" t="s">
        <v>1051</v>
      </c>
      <c r="C4" s="868" t="s">
        <v>1090</v>
      </c>
      <c r="D4" s="868" t="s">
        <v>1089</v>
      </c>
      <c r="E4" s="868" t="s">
        <v>1094</v>
      </c>
      <c r="F4" s="869" t="s">
        <v>1052</v>
      </c>
      <c r="G4" s="870">
        <v>204</v>
      </c>
      <c r="H4" s="871">
        <v>440000.00000000006</v>
      </c>
      <c r="I4" s="871">
        <f>H4/G4</f>
        <v>2156.8627450980393</v>
      </c>
      <c r="J4" s="872">
        <f>K4/H4</f>
        <v>0.10340909090909089</v>
      </c>
      <c r="K4" s="871">
        <v>45500</v>
      </c>
      <c r="L4" s="871">
        <v>204</v>
      </c>
      <c r="M4" s="871"/>
      <c r="N4" s="871">
        <f>L4*I4</f>
        <v>440000</v>
      </c>
      <c r="O4" s="871">
        <f>N4*J4</f>
        <v>45499.999999999993</v>
      </c>
      <c r="P4" s="870" t="s">
        <v>1053</v>
      </c>
    </row>
    <row r="5" spans="1:16" ht="51">
      <c r="A5" s="867" t="s">
        <v>1450</v>
      </c>
      <c r="B5" s="868" t="s">
        <v>1055</v>
      </c>
      <c r="C5" s="868" t="s">
        <v>1092</v>
      </c>
      <c r="D5" s="868" t="s">
        <v>1091</v>
      </c>
      <c r="E5" s="868" t="s">
        <v>1093</v>
      </c>
      <c r="F5" s="869" t="s">
        <v>1052</v>
      </c>
      <c r="G5" s="870">
        <v>280</v>
      </c>
      <c r="H5" s="871">
        <v>583000</v>
      </c>
      <c r="I5" s="871">
        <f t="shared" ref="I5:I17" si="0">H5/G5</f>
        <v>2082.1428571428573</v>
      </c>
      <c r="J5" s="872">
        <f t="shared" ref="J5:J17" si="1">K5/H5</f>
        <v>9.1818181818181813E-2</v>
      </c>
      <c r="K5" s="871">
        <v>53530</v>
      </c>
      <c r="L5" s="871">
        <v>203</v>
      </c>
      <c r="M5" s="871"/>
      <c r="N5" s="871">
        <f>L5*I5</f>
        <v>422675.00000000006</v>
      </c>
      <c r="O5" s="871">
        <f>N5*J5</f>
        <v>38809.25</v>
      </c>
      <c r="P5" s="870" t="s">
        <v>1056</v>
      </c>
    </row>
    <row r="6" spans="1:16">
      <c r="A6" s="867" t="s">
        <v>1057</v>
      </c>
      <c r="B6" s="868" t="s">
        <v>1058</v>
      </c>
      <c r="C6" s="868"/>
      <c r="D6" s="868"/>
      <c r="E6" s="868"/>
      <c r="F6" s="869" t="s">
        <v>1052</v>
      </c>
      <c r="G6" s="870">
        <v>381</v>
      </c>
      <c r="H6" s="871">
        <v>420000</v>
      </c>
      <c r="I6" s="871">
        <f t="shared" si="0"/>
        <v>1102.3622047244094</v>
      </c>
      <c r="J6" s="872">
        <f t="shared" si="1"/>
        <v>0.14357142857142857</v>
      </c>
      <c r="K6" s="871">
        <v>60300</v>
      </c>
      <c r="L6" s="871">
        <v>0</v>
      </c>
      <c r="M6" s="871"/>
      <c r="N6" s="871"/>
      <c r="O6" s="871"/>
      <c r="P6" s="870" t="s">
        <v>1059</v>
      </c>
    </row>
    <row r="7" spans="1:16">
      <c r="A7" s="873" t="s">
        <v>1060</v>
      </c>
      <c r="B7" s="874" t="s">
        <v>1061</v>
      </c>
      <c r="C7" s="874"/>
      <c r="D7" s="874"/>
      <c r="E7" s="874"/>
      <c r="F7" s="875" t="s">
        <v>1062</v>
      </c>
      <c r="G7" s="876">
        <v>248</v>
      </c>
      <c r="H7" s="877">
        <v>375000</v>
      </c>
      <c r="I7" s="877">
        <f t="shared" si="0"/>
        <v>1512.0967741935483</v>
      </c>
      <c r="J7" s="878">
        <f t="shared" si="1"/>
        <v>0.13532</v>
      </c>
      <c r="K7" s="877">
        <v>50745</v>
      </c>
      <c r="L7" s="877"/>
      <c r="M7" s="877"/>
      <c r="N7" s="877"/>
      <c r="O7" s="877"/>
      <c r="P7" s="876" t="s">
        <v>1059</v>
      </c>
    </row>
    <row r="8" spans="1:16">
      <c r="A8" s="862" t="s">
        <v>1063</v>
      </c>
      <c r="B8" s="868"/>
      <c r="C8" s="868"/>
      <c r="D8" s="868"/>
      <c r="E8" s="868"/>
      <c r="F8" s="869"/>
      <c r="G8" s="870"/>
      <c r="H8" s="871"/>
      <c r="I8" s="871"/>
      <c r="J8" s="872"/>
      <c r="K8" s="871"/>
      <c r="L8" s="871"/>
      <c r="M8" s="871"/>
      <c r="N8" s="871"/>
      <c r="O8" s="871"/>
      <c r="P8" s="870"/>
    </row>
    <row r="9" spans="1:16" ht="89.25">
      <c r="A9" s="867" t="s">
        <v>1064</v>
      </c>
      <c r="B9" s="868" t="s">
        <v>1065</v>
      </c>
      <c r="C9" s="868" t="s">
        <v>1098</v>
      </c>
      <c r="D9" s="868" t="s">
        <v>1097</v>
      </c>
      <c r="E9" s="874" t="s">
        <v>1099</v>
      </c>
      <c r="F9" s="869" t="s">
        <v>1052</v>
      </c>
      <c r="G9" s="870">
        <v>323</v>
      </c>
      <c r="H9" s="871">
        <v>303600</v>
      </c>
      <c r="I9" s="871">
        <f t="shared" si="0"/>
        <v>939.93808049535608</v>
      </c>
      <c r="J9" s="872">
        <f t="shared" si="1"/>
        <v>0.14822134387351779</v>
      </c>
      <c r="K9" s="871">
        <v>45000</v>
      </c>
      <c r="L9" s="871">
        <v>323</v>
      </c>
      <c r="M9" s="871"/>
      <c r="N9" s="871">
        <f>L9*I9</f>
        <v>303600</v>
      </c>
      <c r="O9" s="871">
        <f>N9*J9</f>
        <v>45000</v>
      </c>
      <c r="P9" s="880" t="s">
        <v>1066</v>
      </c>
    </row>
    <row r="10" spans="1:16" ht="25.5">
      <c r="A10" s="867" t="s">
        <v>1067</v>
      </c>
      <c r="B10" s="868" t="s">
        <v>1068</v>
      </c>
      <c r="C10" s="868"/>
      <c r="D10" s="868"/>
      <c r="E10" s="868"/>
      <c r="F10" s="869" t="s">
        <v>1052</v>
      </c>
      <c r="G10" s="870">
        <v>125</v>
      </c>
      <c r="H10" s="871">
        <v>105600.00000000001</v>
      </c>
      <c r="I10" s="871">
        <f t="shared" si="0"/>
        <v>844.80000000000007</v>
      </c>
      <c r="J10" s="872">
        <f t="shared" si="1"/>
        <v>8.9962121212121202E-2</v>
      </c>
      <c r="K10" s="871">
        <v>9500</v>
      </c>
      <c r="L10" s="871">
        <v>0</v>
      </c>
      <c r="M10" s="871"/>
      <c r="N10" s="871"/>
      <c r="O10" s="871"/>
      <c r="P10" s="880" t="s">
        <v>1069</v>
      </c>
    </row>
    <row r="11" spans="1:16" ht="63.75">
      <c r="A11" s="867" t="s">
        <v>1070</v>
      </c>
      <c r="B11" s="868" t="s">
        <v>1071</v>
      </c>
      <c r="C11" s="868" t="s">
        <v>1096</v>
      </c>
      <c r="D11" s="868" t="s">
        <v>1095</v>
      </c>
      <c r="E11" s="868" t="s">
        <v>1093</v>
      </c>
      <c r="F11" s="869" t="s">
        <v>1052</v>
      </c>
      <c r="G11" s="870">
        <v>407</v>
      </c>
      <c r="H11" s="871">
        <v>437800.00000000006</v>
      </c>
      <c r="I11" s="871">
        <f t="shared" si="0"/>
        <v>1075.6756756756758</v>
      </c>
      <c r="J11" s="872">
        <f t="shared" si="1"/>
        <v>0.10849703060758335</v>
      </c>
      <c r="K11" s="871">
        <v>47500</v>
      </c>
      <c r="L11" s="871">
        <v>326</v>
      </c>
      <c r="M11" s="871"/>
      <c r="N11" s="871">
        <f>L11*I11</f>
        <v>350670.27027027035</v>
      </c>
      <c r="O11" s="871">
        <f>N11*J11</f>
        <v>38046.683046683051</v>
      </c>
      <c r="P11" s="880" t="s">
        <v>1072</v>
      </c>
    </row>
    <row r="12" spans="1:16" ht="25.5">
      <c r="A12" s="873" t="s">
        <v>1073</v>
      </c>
      <c r="B12" s="874" t="s">
        <v>1074</v>
      </c>
      <c r="C12" s="874"/>
      <c r="D12" s="874"/>
      <c r="E12" s="874"/>
      <c r="F12" s="875" t="s">
        <v>1062</v>
      </c>
      <c r="G12" s="876">
        <v>129</v>
      </c>
      <c r="H12" s="877">
        <v>157300</v>
      </c>
      <c r="I12" s="877">
        <f t="shared" si="0"/>
        <v>1219.3798449612402</v>
      </c>
      <c r="J12" s="878">
        <f t="shared" si="1"/>
        <v>0.15384615384615385</v>
      </c>
      <c r="K12" s="877">
        <v>24200</v>
      </c>
      <c r="L12" s="877"/>
      <c r="M12" s="877"/>
      <c r="N12" s="877"/>
      <c r="O12" s="877"/>
      <c r="P12" s="881" t="s">
        <v>1075</v>
      </c>
    </row>
    <row r="13" spans="1:16">
      <c r="A13" s="862" t="s">
        <v>1076</v>
      </c>
      <c r="B13" s="868"/>
      <c r="C13" s="868"/>
      <c r="D13" s="868"/>
      <c r="E13" s="868"/>
      <c r="F13" s="869"/>
      <c r="G13" s="870"/>
      <c r="H13" s="871"/>
      <c r="I13" s="871"/>
      <c r="J13" s="872"/>
      <c r="K13" s="871"/>
      <c r="L13" s="871"/>
      <c r="M13" s="871"/>
      <c r="N13" s="871"/>
      <c r="O13" s="871"/>
      <c r="P13" s="870"/>
    </row>
    <row r="14" spans="1:16" ht="51">
      <c r="A14" s="883" t="s">
        <v>1077</v>
      </c>
      <c r="B14" s="868" t="s">
        <v>1078</v>
      </c>
      <c r="C14" s="868"/>
      <c r="D14" s="868"/>
      <c r="E14" s="868"/>
      <c r="F14" s="869" t="s">
        <v>1052</v>
      </c>
      <c r="G14" s="870">
        <v>80</v>
      </c>
      <c r="H14" s="871">
        <f>1900*G14*10%</f>
        <v>15200</v>
      </c>
      <c r="I14" s="871">
        <f t="shared" si="0"/>
        <v>190</v>
      </c>
      <c r="J14" s="872">
        <f t="shared" si="1"/>
        <v>0.27631578947368424</v>
      </c>
      <c r="K14" s="871">
        <v>4200</v>
      </c>
      <c r="L14" s="871">
        <v>80</v>
      </c>
      <c r="M14" s="871"/>
      <c r="N14" s="871">
        <f>L14*I14</f>
        <v>15200</v>
      </c>
      <c r="O14" s="871">
        <f>N14*J14</f>
        <v>4200</v>
      </c>
      <c r="P14" s="880" t="s">
        <v>1079</v>
      </c>
    </row>
    <row r="15" spans="1:16" ht="25.5">
      <c r="A15" s="867" t="s">
        <v>668</v>
      </c>
      <c r="B15" s="868" t="s">
        <v>1080</v>
      </c>
      <c r="C15" s="868"/>
      <c r="D15" s="868"/>
      <c r="E15" s="868"/>
      <c r="F15" s="869" t="s">
        <v>1052</v>
      </c>
      <c r="G15" s="870">
        <v>387</v>
      </c>
      <c r="H15" s="871">
        <v>121000</v>
      </c>
      <c r="I15" s="871">
        <f t="shared" si="0"/>
        <v>312.66149870801036</v>
      </c>
      <c r="J15" s="872">
        <f t="shared" si="1"/>
        <v>0.33553719008264465</v>
      </c>
      <c r="K15" s="871">
        <v>40600</v>
      </c>
      <c r="L15" s="871">
        <f>G15/2</f>
        <v>193.5</v>
      </c>
      <c r="M15" s="871"/>
      <c r="N15" s="871">
        <f>L15*I15</f>
        <v>60500.000000000007</v>
      </c>
      <c r="O15" s="871">
        <f>N15*J15</f>
        <v>20300.000000000004</v>
      </c>
      <c r="P15" s="880" t="s">
        <v>1081</v>
      </c>
    </row>
    <row r="16" spans="1:16">
      <c r="A16" s="862" t="s">
        <v>1082</v>
      </c>
      <c r="B16" s="868"/>
      <c r="C16" s="868"/>
      <c r="D16" s="868"/>
      <c r="E16" s="868"/>
      <c r="F16" s="869"/>
      <c r="G16" s="870"/>
      <c r="H16" s="871"/>
      <c r="I16" s="871"/>
      <c r="J16" s="872"/>
      <c r="K16" s="871"/>
      <c r="L16" s="871"/>
      <c r="M16" s="871"/>
      <c r="N16" s="871"/>
      <c r="O16" s="871"/>
      <c r="P16" s="870"/>
    </row>
    <row r="17" spans="1:17" ht="25.5">
      <c r="A17" s="873" t="s">
        <v>1083</v>
      </c>
      <c r="B17" s="874" t="s">
        <v>1084</v>
      </c>
      <c r="C17" s="874"/>
      <c r="D17" s="874"/>
      <c r="E17" s="874"/>
      <c r="F17" s="875" t="s">
        <v>1062</v>
      </c>
      <c r="G17" s="876">
        <v>150</v>
      </c>
      <c r="H17" s="877">
        <v>120000</v>
      </c>
      <c r="I17" s="877">
        <f t="shared" si="0"/>
        <v>800</v>
      </c>
      <c r="J17" s="878">
        <f t="shared" si="1"/>
        <v>0.15</v>
      </c>
      <c r="K17" s="877">
        <v>18000</v>
      </c>
      <c r="L17" s="877"/>
      <c r="M17" s="877"/>
      <c r="N17" s="877"/>
      <c r="O17" s="877"/>
      <c r="P17" s="881" t="s">
        <v>1085</v>
      </c>
    </row>
    <row r="22" spans="1:17" ht="13.5" thickBot="1"/>
    <row r="23" spans="1:17" ht="39" thickBot="1">
      <c r="A23" s="1018" t="s">
        <v>1232</v>
      </c>
      <c r="B23" s="1019" t="s">
        <v>1019</v>
      </c>
      <c r="C23" s="1019" t="s">
        <v>1233</v>
      </c>
      <c r="D23" s="1019" t="s">
        <v>1234</v>
      </c>
      <c r="E23" s="1019" t="s">
        <v>1235</v>
      </c>
      <c r="F23" s="1020" t="s">
        <v>1236</v>
      </c>
      <c r="G23" s="1020" t="s">
        <v>1270</v>
      </c>
      <c r="H23" s="1020" t="s">
        <v>1269</v>
      </c>
    </row>
    <row r="24" spans="1:17" ht="13.5" thickBot="1">
      <c r="A24" s="1021"/>
      <c r="B24" s="1022" t="s">
        <v>1237</v>
      </c>
      <c r="C24" s="1022"/>
      <c r="D24" s="1024">
        <v>1712</v>
      </c>
      <c r="E24" s="1026"/>
      <c r="F24" s="1027">
        <v>170.1</v>
      </c>
      <c r="G24" s="1047">
        <f>SUM(G25:G30)</f>
        <v>287.45238095238096</v>
      </c>
      <c r="L24" s="879" t="s">
        <v>1259</v>
      </c>
      <c r="M24" s="879" t="s">
        <v>1260</v>
      </c>
      <c r="N24" s="879" t="s">
        <v>1261</v>
      </c>
      <c r="O24" s="879" t="s">
        <v>1265</v>
      </c>
      <c r="P24" s="879" t="s">
        <v>1266</v>
      </c>
      <c r="Q24" s="879" t="s">
        <v>1267</v>
      </c>
    </row>
    <row r="25" spans="1:17" ht="13.5" thickBot="1">
      <c r="A25" s="1028">
        <v>1</v>
      </c>
      <c r="B25" s="1029" t="s">
        <v>926</v>
      </c>
      <c r="C25" s="1030">
        <v>0.7</v>
      </c>
      <c r="D25" s="1031">
        <v>280</v>
      </c>
      <c r="E25" s="1029" t="s">
        <v>1238</v>
      </c>
      <c r="F25" s="1032">
        <v>37.299999999999997</v>
      </c>
      <c r="G25" s="1046">
        <f>F25/C25</f>
        <v>53.285714285714285</v>
      </c>
      <c r="H25" s="882">
        <v>41671</v>
      </c>
      <c r="K25" s="879" t="s">
        <v>1268</v>
      </c>
      <c r="L25" s="879">
        <f>D33+D36</f>
        <v>605</v>
      </c>
      <c r="M25" s="1052">
        <f>D32+D37+D39</f>
        <v>1323</v>
      </c>
      <c r="N25" s="879">
        <f>D26+D27+D28</f>
        <v>837</v>
      </c>
      <c r="O25" s="879">
        <f>D30+D38</f>
        <v>741</v>
      </c>
      <c r="P25" s="879">
        <f>D40</f>
        <v>202</v>
      </c>
      <c r="Q25" s="879">
        <f>D35+D41</f>
        <v>220</v>
      </c>
    </row>
    <row r="26" spans="1:17" ht="13.5" thickBot="1">
      <c r="A26" s="1033">
        <v>2</v>
      </c>
      <c r="B26" s="1034" t="s">
        <v>1239</v>
      </c>
      <c r="C26" s="1035">
        <v>0.6</v>
      </c>
      <c r="D26" s="1025">
        <v>381</v>
      </c>
      <c r="E26" s="1034" t="s">
        <v>1238</v>
      </c>
      <c r="F26" s="1036">
        <v>36.9</v>
      </c>
      <c r="G26" s="1046">
        <f t="shared" ref="G26:G41" si="2">F26/C26</f>
        <v>61.5</v>
      </c>
      <c r="H26" s="879" t="s">
        <v>1261</v>
      </c>
    </row>
    <row r="27" spans="1:17" ht="13.5" thickBot="1">
      <c r="A27" s="1028">
        <v>3</v>
      </c>
      <c r="B27" s="1029" t="s">
        <v>1240</v>
      </c>
      <c r="C27" s="1030">
        <v>0.6</v>
      </c>
      <c r="D27" s="1031">
        <v>256</v>
      </c>
      <c r="E27" s="1029" t="s">
        <v>1238</v>
      </c>
      <c r="F27" s="1032">
        <v>37</v>
      </c>
      <c r="G27" s="1046">
        <f t="shared" si="2"/>
        <v>61.666666666666671</v>
      </c>
      <c r="H27" s="879" t="s">
        <v>1271</v>
      </c>
    </row>
    <row r="28" spans="1:17" ht="13.5" thickBot="1">
      <c r="A28" s="1033">
        <v>4</v>
      </c>
      <c r="B28" s="1034" t="s">
        <v>1241</v>
      </c>
      <c r="C28" s="1035">
        <v>0.6</v>
      </c>
      <c r="D28" s="1025">
        <v>200</v>
      </c>
      <c r="E28" s="1034" t="s">
        <v>1238</v>
      </c>
      <c r="F28" s="1036">
        <v>7</v>
      </c>
      <c r="G28" s="1046">
        <f t="shared" si="2"/>
        <v>11.666666666666668</v>
      </c>
      <c r="H28" s="879" t="s">
        <v>1271</v>
      </c>
    </row>
    <row r="29" spans="1:17" ht="13.5" thickBot="1">
      <c r="A29" s="1028">
        <v>5</v>
      </c>
      <c r="B29" s="1029" t="s">
        <v>1242</v>
      </c>
      <c r="C29" s="1030">
        <v>0.6</v>
      </c>
      <c r="D29" s="1031">
        <v>156</v>
      </c>
      <c r="E29" s="1029" t="s">
        <v>1238</v>
      </c>
      <c r="F29" s="1032">
        <v>36.5</v>
      </c>
      <c r="G29" s="1046">
        <f t="shared" si="2"/>
        <v>60.833333333333336</v>
      </c>
      <c r="H29" s="879" t="s">
        <v>1272</v>
      </c>
    </row>
    <row r="30" spans="1:17" ht="13.5" thickBot="1">
      <c r="A30" s="1033">
        <v>6</v>
      </c>
      <c r="B30" s="1034" t="s">
        <v>1243</v>
      </c>
      <c r="C30" s="1035">
        <v>0.4</v>
      </c>
      <c r="D30" s="1025">
        <v>439</v>
      </c>
      <c r="E30" s="1034" t="s">
        <v>1238</v>
      </c>
      <c r="F30" s="1036">
        <v>15.4</v>
      </c>
      <c r="G30" s="1046">
        <f t="shared" si="2"/>
        <v>38.5</v>
      </c>
      <c r="H30" s="879" t="s">
        <v>1280</v>
      </c>
    </row>
    <row r="31" spans="1:17" ht="13.5" thickBot="1">
      <c r="A31" s="1037"/>
      <c r="B31" s="1038" t="s">
        <v>1244</v>
      </c>
      <c r="C31" s="1038"/>
      <c r="D31" s="1040">
        <v>297</v>
      </c>
      <c r="E31" s="1040"/>
      <c r="F31" s="1041">
        <v>120.6</v>
      </c>
      <c r="G31" s="1040">
        <v>120.6</v>
      </c>
    </row>
    <row r="32" spans="1:17" ht="13.5" thickBot="1">
      <c r="A32" s="1033">
        <v>1</v>
      </c>
      <c r="B32" s="1034" t="s">
        <v>1245</v>
      </c>
      <c r="C32" s="1035">
        <v>0</v>
      </c>
      <c r="D32" s="1025">
        <v>99</v>
      </c>
      <c r="E32" s="1034" t="s">
        <v>695</v>
      </c>
      <c r="F32" s="1036">
        <v>56.8</v>
      </c>
      <c r="G32" s="1046">
        <f>F32</f>
        <v>56.8</v>
      </c>
      <c r="H32" s="879" t="s">
        <v>1273</v>
      </c>
    </row>
    <row r="33" spans="1:14" ht="13.5" thickBot="1">
      <c r="A33" s="1028">
        <v>2</v>
      </c>
      <c r="B33" s="1029" t="s">
        <v>668</v>
      </c>
      <c r="C33" s="1030">
        <v>0</v>
      </c>
      <c r="D33" s="1031">
        <v>198</v>
      </c>
      <c r="E33" s="1029" t="s">
        <v>695</v>
      </c>
      <c r="F33" s="1032">
        <v>63.8</v>
      </c>
      <c r="G33" s="1046">
        <f>F33</f>
        <v>63.8</v>
      </c>
      <c r="H33" s="879" t="s">
        <v>1274</v>
      </c>
    </row>
    <row r="34" spans="1:14" ht="13.5" thickBot="1">
      <c r="A34" s="1021"/>
      <c r="B34" s="1022" t="s">
        <v>1246</v>
      </c>
      <c r="C34" s="1022"/>
      <c r="D34" s="1024">
        <v>2355</v>
      </c>
      <c r="E34" s="1026"/>
      <c r="F34" s="1027">
        <v>156.4</v>
      </c>
      <c r="G34" s="1047">
        <f>SUM(G35:G41)</f>
        <v>275.35714285714289</v>
      </c>
    </row>
    <row r="35" spans="1:14" ht="13.5" thickBot="1">
      <c r="A35" s="1028">
        <v>1</v>
      </c>
      <c r="B35" s="1039" t="s">
        <v>1247</v>
      </c>
      <c r="C35" s="1030">
        <v>0.6</v>
      </c>
      <c r="D35" s="1031">
        <v>120</v>
      </c>
      <c r="E35" s="1042" t="s">
        <v>1238</v>
      </c>
      <c r="F35" s="1032">
        <v>21.6</v>
      </c>
      <c r="G35" s="1046">
        <f t="shared" si="2"/>
        <v>36.000000000000007</v>
      </c>
      <c r="H35" s="879" t="s">
        <v>1267</v>
      </c>
    </row>
    <row r="36" spans="1:14" ht="13.5" thickBot="1">
      <c r="A36" s="1033">
        <v>2</v>
      </c>
      <c r="B36" s="1023" t="s">
        <v>932</v>
      </c>
      <c r="C36" s="1035">
        <v>0.5</v>
      </c>
      <c r="D36" s="1025">
        <v>407</v>
      </c>
      <c r="E36" s="1043" t="s">
        <v>1238</v>
      </c>
      <c r="F36" s="1036">
        <v>25.2</v>
      </c>
      <c r="G36" s="1046">
        <f t="shared" si="2"/>
        <v>50.4</v>
      </c>
      <c r="H36" s="879" t="s">
        <v>1275</v>
      </c>
    </row>
    <row r="37" spans="1:14" ht="13.5" thickBot="1">
      <c r="A37" s="1028">
        <v>3</v>
      </c>
      <c r="B37" s="1039" t="s">
        <v>1248</v>
      </c>
      <c r="C37" s="1030">
        <v>0.5</v>
      </c>
      <c r="D37" s="1044">
        <v>1032</v>
      </c>
      <c r="E37" s="1042" t="s">
        <v>1238</v>
      </c>
      <c r="F37" s="1032">
        <v>28.5</v>
      </c>
      <c r="G37" s="1046">
        <f t="shared" si="2"/>
        <v>57</v>
      </c>
      <c r="H37" s="879" t="s">
        <v>1276</v>
      </c>
    </row>
    <row r="38" spans="1:14" ht="13.5" thickBot="1">
      <c r="A38" s="1033">
        <v>4</v>
      </c>
      <c r="B38" s="1023" t="s">
        <v>1249</v>
      </c>
      <c r="C38" s="1035">
        <v>0.5</v>
      </c>
      <c r="D38" s="1025">
        <v>302</v>
      </c>
      <c r="E38" s="1043" t="s">
        <v>1238</v>
      </c>
      <c r="F38" s="1036">
        <v>30.3</v>
      </c>
      <c r="G38" s="1046">
        <f t="shared" si="2"/>
        <v>60.6</v>
      </c>
      <c r="H38" s="879" t="s">
        <v>1277</v>
      </c>
    </row>
    <row r="39" spans="1:14" ht="13.5" thickBot="1">
      <c r="A39" s="1028">
        <v>5</v>
      </c>
      <c r="B39" s="1039" t="s">
        <v>1250</v>
      </c>
      <c r="C39" s="1030">
        <v>0.7</v>
      </c>
      <c r="D39" s="1031">
        <v>192</v>
      </c>
      <c r="E39" s="1042" t="s">
        <v>1238</v>
      </c>
      <c r="F39" s="1032">
        <v>13.2</v>
      </c>
      <c r="G39" s="1046">
        <f t="shared" si="2"/>
        <v>18.857142857142858</v>
      </c>
      <c r="H39" s="879" t="s">
        <v>1273</v>
      </c>
    </row>
    <row r="40" spans="1:14" ht="13.5" thickBot="1">
      <c r="A40" s="1033">
        <v>6</v>
      </c>
      <c r="B40" s="1023" t="s">
        <v>1251</v>
      </c>
      <c r="C40" s="1035">
        <v>1</v>
      </c>
      <c r="D40" s="1025">
        <v>202</v>
      </c>
      <c r="E40" s="1043" t="s">
        <v>1238</v>
      </c>
      <c r="F40" s="1036">
        <v>22.5</v>
      </c>
      <c r="G40" s="1046">
        <f t="shared" si="2"/>
        <v>22.5</v>
      </c>
      <c r="H40" s="879" t="s">
        <v>1278</v>
      </c>
    </row>
    <row r="41" spans="1:14" ht="13.5" thickBot="1">
      <c r="A41" s="1028">
        <v>7</v>
      </c>
      <c r="B41" s="1039" t="s">
        <v>1252</v>
      </c>
      <c r="C41" s="1030">
        <v>0.5</v>
      </c>
      <c r="D41" s="1031">
        <v>100</v>
      </c>
      <c r="E41" s="1042" t="s">
        <v>1238</v>
      </c>
      <c r="F41" s="1032">
        <v>15</v>
      </c>
      <c r="G41" s="1046">
        <f t="shared" si="2"/>
        <v>30</v>
      </c>
      <c r="H41" s="879" t="s">
        <v>1279</v>
      </c>
    </row>
    <row r="42" spans="1:14" ht="13.5" thickBot="1">
      <c r="A42" s="1033"/>
      <c r="B42" s="1022" t="s">
        <v>642</v>
      </c>
      <c r="C42" s="1025"/>
      <c r="D42" s="1024">
        <v>4364</v>
      </c>
      <c r="E42" s="1045"/>
      <c r="F42" s="1027">
        <v>447.1</v>
      </c>
      <c r="G42" s="1048">
        <f>G34+G31+G24</f>
        <v>683.40952380952388</v>
      </c>
      <c r="H42" s="1051"/>
    </row>
    <row r="48" spans="1:14">
      <c r="B48" s="865" t="s">
        <v>1253</v>
      </c>
      <c r="C48" s="865" t="s">
        <v>1254</v>
      </c>
      <c r="D48" s="865" t="s">
        <v>1255</v>
      </c>
      <c r="E48" s="865" t="s">
        <v>1256</v>
      </c>
      <c r="F48" s="865" t="s">
        <v>1257</v>
      </c>
      <c r="G48" s="865" t="s">
        <v>1258</v>
      </c>
      <c r="H48" s="865" t="s">
        <v>1259</v>
      </c>
      <c r="I48" s="865" t="s">
        <v>1260</v>
      </c>
      <c r="J48" s="865" t="s">
        <v>1261</v>
      </c>
      <c r="K48" s="865" t="s">
        <v>1265</v>
      </c>
      <c r="L48" s="865" t="s">
        <v>1266</v>
      </c>
      <c r="M48" s="865" t="s">
        <v>1267</v>
      </c>
      <c r="N48" s="865" t="s">
        <v>1263</v>
      </c>
    </row>
    <row r="49" spans="1:14">
      <c r="A49" s="879" t="s">
        <v>1262</v>
      </c>
      <c r="B49" s="879">
        <v>24.9</v>
      </c>
      <c r="C49" s="879">
        <v>25.9</v>
      </c>
      <c r="D49" s="879">
        <v>31.4</v>
      </c>
      <c r="E49" s="879">
        <v>95.9</v>
      </c>
      <c r="F49" s="879">
        <v>24.1</v>
      </c>
      <c r="G49" s="879">
        <v>115.8</v>
      </c>
      <c r="H49" s="879">
        <v>55.7</v>
      </c>
      <c r="I49" s="879">
        <v>130.4</v>
      </c>
      <c r="J49" s="879">
        <v>155.6</v>
      </c>
      <c r="K49" s="1046">
        <f>'Rev_NPAT (new)'!E193/10^3</f>
        <v>167.977</v>
      </c>
      <c r="L49" s="1046">
        <f>'Rev_NPAT (new)'!F193/10^3</f>
        <v>110.78181430271995</v>
      </c>
      <c r="M49" s="1046">
        <f>'Rev_NPAT (new)'!G193/10^3</f>
        <v>110.78181430271995</v>
      </c>
      <c r="N49" s="879">
        <v>363</v>
      </c>
    </row>
    <row r="50" spans="1:14">
      <c r="A50" s="879" t="s">
        <v>28</v>
      </c>
      <c r="B50" s="1046">
        <f>B49-B53</f>
        <v>18.599999999999998</v>
      </c>
      <c r="C50" s="1046">
        <f t="shared" ref="C50:J50" si="3">C49-C53</f>
        <v>19.399999999999999</v>
      </c>
      <c r="D50" s="1046">
        <f t="shared" si="3"/>
        <v>25.799999999999997</v>
      </c>
      <c r="E50" s="1046">
        <f t="shared" si="3"/>
        <v>67.900000000000006</v>
      </c>
      <c r="F50" s="1046">
        <f t="shared" si="3"/>
        <v>12.500000000000002</v>
      </c>
      <c r="G50" s="1046">
        <f t="shared" si="3"/>
        <v>84.5</v>
      </c>
      <c r="H50" s="1046">
        <f t="shared" si="3"/>
        <v>48.1</v>
      </c>
      <c r="I50" s="1046">
        <f t="shared" si="3"/>
        <v>98.300000000000011</v>
      </c>
      <c r="J50" s="1046">
        <f t="shared" si="3"/>
        <v>99.6</v>
      </c>
      <c r="K50" s="1046">
        <f>'Rev_NPAT (new)'!E215/10^3</f>
        <v>133.53274999999999</v>
      </c>
      <c r="L50" s="1046">
        <f>'Rev_NPAT (new)'!F215/10^3</f>
        <v>88.636360727039971</v>
      </c>
      <c r="M50" s="1046">
        <f>'Rev_NPAT (new)'!G215/10^3</f>
        <v>87.08636072703996</v>
      </c>
      <c r="N50" s="879">
        <f>N49-91</f>
        <v>272</v>
      </c>
    </row>
    <row r="51" spans="1:14">
      <c r="A51" s="879" t="s">
        <v>197</v>
      </c>
      <c r="B51" s="1049">
        <f t="shared" ref="B51:M51" si="4">B50/B49</f>
        <v>0.74698795180722888</v>
      </c>
      <c r="C51" s="1049">
        <f t="shared" si="4"/>
        <v>0.74903474903474898</v>
      </c>
      <c r="D51" s="1049">
        <f t="shared" si="4"/>
        <v>0.82165605095541394</v>
      </c>
      <c r="E51" s="1049">
        <f t="shared" si="4"/>
        <v>0.70802919708029199</v>
      </c>
      <c r="F51" s="1049">
        <f t="shared" si="4"/>
        <v>0.51867219917012453</v>
      </c>
      <c r="G51" s="1049">
        <f t="shared" si="4"/>
        <v>0.72970639032815199</v>
      </c>
      <c r="H51" s="1049">
        <f t="shared" si="4"/>
        <v>0.86355475763016154</v>
      </c>
      <c r="I51" s="1049">
        <f t="shared" si="4"/>
        <v>0.75383435582822089</v>
      </c>
      <c r="J51" s="1049">
        <f t="shared" si="4"/>
        <v>0.64010282776349614</v>
      </c>
      <c r="K51" s="1049">
        <f t="shared" si="4"/>
        <v>0.7949466295980997</v>
      </c>
      <c r="L51" s="1049">
        <f t="shared" si="4"/>
        <v>0.80009847541252754</v>
      </c>
      <c r="M51" s="1049">
        <f t="shared" si="4"/>
        <v>0.78610700930632604</v>
      </c>
      <c r="N51" s="1049">
        <f>N50/N49</f>
        <v>0.74931129476584024</v>
      </c>
    </row>
    <row r="53" spans="1:14">
      <c r="A53" s="879" t="s">
        <v>432</v>
      </c>
      <c r="B53" s="879">
        <v>6.3</v>
      </c>
      <c r="C53" s="879">
        <v>6.5</v>
      </c>
      <c r="D53" s="879">
        <v>5.6</v>
      </c>
      <c r="E53" s="879">
        <v>28</v>
      </c>
      <c r="F53" s="879">
        <v>11.6</v>
      </c>
      <c r="G53" s="879">
        <v>31.3</v>
      </c>
      <c r="H53" s="879">
        <v>7.6</v>
      </c>
      <c r="I53" s="879">
        <v>32.1</v>
      </c>
      <c r="J53" s="879">
        <v>56</v>
      </c>
    </row>
    <row r="80" spans="2:15">
      <c r="B80" s="1249" t="s">
        <v>700</v>
      </c>
      <c r="C80" s="1249" t="s">
        <v>1019</v>
      </c>
      <c r="D80" s="1249" t="s">
        <v>1140</v>
      </c>
      <c r="E80" s="1250" t="s">
        <v>1309</v>
      </c>
      <c r="F80" s="1250" t="s">
        <v>1310</v>
      </c>
      <c r="G80" s="1250" t="s">
        <v>1311</v>
      </c>
      <c r="H80" s="1250" t="s">
        <v>1234</v>
      </c>
      <c r="I80" s="1250" t="s">
        <v>1495</v>
      </c>
      <c r="J80" s="1258" t="s">
        <v>1115</v>
      </c>
      <c r="K80" s="1261" t="s">
        <v>1496</v>
      </c>
      <c r="L80" s="1261" t="s">
        <v>1497</v>
      </c>
      <c r="M80" s="1261" t="s">
        <v>1498</v>
      </c>
      <c r="N80" s="1261" t="s">
        <v>1499</v>
      </c>
      <c r="O80" s="1261" t="s">
        <v>1500</v>
      </c>
    </row>
    <row r="81" spans="2:15">
      <c r="B81" s="1251">
        <v>1</v>
      </c>
      <c r="C81" s="1252" t="s">
        <v>1312</v>
      </c>
      <c r="D81" s="1253" t="s">
        <v>1313</v>
      </c>
      <c r="E81" s="1254">
        <v>1</v>
      </c>
      <c r="F81" s="1256">
        <v>8250</v>
      </c>
      <c r="G81" s="1256">
        <v>38600</v>
      </c>
      <c r="H81" s="1256">
        <v>463</v>
      </c>
      <c r="I81" s="1256">
        <v>443</v>
      </c>
      <c r="J81" s="1259">
        <v>575</v>
      </c>
      <c r="K81" s="1262"/>
      <c r="L81" s="1262"/>
      <c r="M81" s="1262">
        <v>10</v>
      </c>
      <c r="N81" s="1262"/>
      <c r="O81" s="1262"/>
    </row>
    <row r="82" spans="2:15">
      <c r="B82" s="1251">
        <v>2</v>
      </c>
      <c r="C82" s="1252" t="s">
        <v>1314</v>
      </c>
      <c r="D82" s="1253" t="s">
        <v>1313</v>
      </c>
      <c r="E82" s="1254">
        <v>1</v>
      </c>
      <c r="F82" s="1256">
        <v>12678</v>
      </c>
      <c r="G82" s="1256">
        <v>76068</v>
      </c>
      <c r="H82" s="1256">
        <v>913</v>
      </c>
      <c r="I82" s="1256">
        <v>888</v>
      </c>
      <c r="J82" s="1259">
        <v>1072</v>
      </c>
      <c r="K82" s="1262"/>
      <c r="L82" s="1262"/>
      <c r="M82" s="1262">
        <v>14.5</v>
      </c>
      <c r="N82" s="1262">
        <v>111</v>
      </c>
      <c r="O82" s="1262"/>
    </row>
    <row r="83" spans="2:15">
      <c r="B83" s="1251">
        <v>3</v>
      </c>
      <c r="C83" s="1252" t="s">
        <v>1315</v>
      </c>
      <c r="D83" s="1253" t="s">
        <v>1316</v>
      </c>
      <c r="E83" s="1254">
        <v>1</v>
      </c>
      <c r="F83" s="1256">
        <v>15996</v>
      </c>
      <c r="G83" s="1256">
        <v>64000</v>
      </c>
      <c r="H83" s="1256">
        <v>406</v>
      </c>
      <c r="I83" s="1256">
        <v>646</v>
      </c>
      <c r="J83" s="1259">
        <v>785</v>
      </c>
      <c r="K83" s="1262"/>
      <c r="L83" s="1262">
        <v>47.7</v>
      </c>
      <c r="M83" s="1262"/>
      <c r="N83" s="1262"/>
      <c r="O83" s="1262"/>
    </row>
    <row r="84" spans="2:15">
      <c r="B84" s="1251">
        <v>4</v>
      </c>
      <c r="C84" s="1252" t="s">
        <v>1317</v>
      </c>
      <c r="D84" s="1253" t="s">
        <v>1318</v>
      </c>
      <c r="E84" s="1254">
        <v>1</v>
      </c>
      <c r="F84" s="1256">
        <v>7481</v>
      </c>
      <c r="G84" s="1256">
        <v>39706</v>
      </c>
      <c r="H84" s="1256">
        <v>300</v>
      </c>
      <c r="I84" s="1256">
        <v>503</v>
      </c>
      <c r="J84" s="1259">
        <v>681</v>
      </c>
      <c r="K84" s="1262">
        <v>30</v>
      </c>
      <c r="L84" s="1262"/>
      <c r="M84" s="1262"/>
      <c r="N84" s="1262"/>
      <c r="O84" s="1262"/>
    </row>
    <row r="85" spans="2:15">
      <c r="B85" s="1251">
        <v>5</v>
      </c>
      <c r="C85" s="1252" t="s">
        <v>1494</v>
      </c>
      <c r="D85" s="1253" t="s">
        <v>1320</v>
      </c>
      <c r="E85" s="1254">
        <v>1</v>
      </c>
      <c r="F85" s="1256">
        <v>12318</v>
      </c>
      <c r="G85" s="1256">
        <v>87465</v>
      </c>
      <c r="H85" s="1256">
        <v>512</v>
      </c>
      <c r="I85" s="1256">
        <v>854</v>
      </c>
      <c r="J85" s="1259">
        <v>972</v>
      </c>
      <c r="K85" s="1262"/>
      <c r="L85" s="1262"/>
      <c r="M85" s="1262"/>
      <c r="N85" s="1262">
        <f>33</f>
        <v>33</v>
      </c>
      <c r="O85" s="1262">
        <v>143</v>
      </c>
    </row>
    <row r="86" spans="2:15">
      <c r="B86" s="1251">
        <v>6</v>
      </c>
      <c r="C86" s="1252" t="s">
        <v>1447</v>
      </c>
      <c r="D86" s="1253" t="s">
        <v>1318</v>
      </c>
      <c r="E86" s="1254">
        <v>1</v>
      </c>
      <c r="F86" s="1256">
        <v>8526</v>
      </c>
      <c r="G86" s="1256">
        <v>66588</v>
      </c>
      <c r="H86" s="1256"/>
      <c r="I86" s="1256">
        <v>872</v>
      </c>
      <c r="J86" s="1259">
        <v>958</v>
      </c>
      <c r="K86" s="1262"/>
      <c r="L86" s="1262"/>
      <c r="M86" s="1262"/>
      <c r="N86" s="1262"/>
      <c r="O86" s="1262"/>
    </row>
    <row r="87" spans="2:15">
      <c r="B87" s="1251"/>
      <c r="C87" s="1251" t="s">
        <v>642</v>
      </c>
      <c r="D87" s="1255"/>
      <c r="E87" s="1251"/>
      <c r="F87" s="1257">
        <f>SUM(F81:F86)</f>
        <v>65249</v>
      </c>
      <c r="G87" s="1257">
        <f>SUM(G81:G86)</f>
        <v>372427</v>
      </c>
      <c r="H87" s="1257">
        <v>2594</v>
      </c>
      <c r="I87" s="1257">
        <f t="shared" ref="I87:O87" si="5">SUM(I81:I86)</f>
        <v>4206</v>
      </c>
      <c r="J87" s="1260">
        <f t="shared" si="5"/>
        <v>5043</v>
      </c>
      <c r="K87" s="1263">
        <f t="shared" si="5"/>
        <v>30</v>
      </c>
      <c r="L87" s="1263">
        <f t="shared" si="5"/>
        <v>47.7</v>
      </c>
      <c r="M87" s="1263">
        <f t="shared" si="5"/>
        <v>24.5</v>
      </c>
      <c r="N87" s="1263">
        <f t="shared" si="5"/>
        <v>144</v>
      </c>
      <c r="O87" s="1263">
        <f t="shared" si="5"/>
        <v>143</v>
      </c>
    </row>
  </sheetData>
  <pageMargins left="0.7" right="0.7" top="0.75" bottom="0.75" header="0.3" footer="0.3"/>
  <pageSetup paperSize="9"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253"/>
  <sheetViews>
    <sheetView zoomScale="95" zoomScaleNormal="95" workbookViewId="0">
      <pane xSplit="2" ySplit="2" topLeftCell="J3" activePane="bottomRight" state="frozen"/>
      <selection pane="topRight" activeCell="C1" sqref="C1"/>
      <selection pane="bottomLeft" activeCell="A3" sqref="A3"/>
      <selection pane="bottomRight" activeCell="L3" sqref="L3"/>
    </sheetView>
  </sheetViews>
  <sheetFormatPr defaultRowHeight="12.75" outlineLevelRow="1" outlineLevelCol="1"/>
  <cols>
    <col min="1" max="1" width="12.5703125" style="547" customWidth="1"/>
    <col min="2" max="2" width="27.140625" style="547" customWidth="1"/>
    <col min="3" max="3" width="11.140625" style="773" customWidth="1" outlineLevel="1"/>
    <col min="4" max="4" width="10.140625" style="773" customWidth="1" outlineLevel="1"/>
    <col min="5" max="5" width="10" style="773" customWidth="1" outlineLevel="1"/>
    <col min="6" max="6" width="9.7109375" style="773" customWidth="1" outlineLevel="1"/>
    <col min="7" max="7" width="11.5703125" style="773" customWidth="1" outlineLevel="1"/>
    <col min="8" max="8" width="9.85546875" style="773" customWidth="1" outlineLevel="1"/>
    <col min="9" max="9" width="17.140625" style="773" customWidth="1" outlineLevel="1"/>
    <col min="10" max="10" width="13.5703125" style="547" bestFit="1" customWidth="1"/>
    <col min="11" max="11" width="15" style="547" bestFit="1" customWidth="1"/>
    <col min="12" max="12" width="12.140625" style="547" bestFit="1" customWidth="1"/>
    <col min="13" max="13" width="11.85546875" style="547" bestFit="1" customWidth="1"/>
    <col min="14" max="14" width="12" style="547" bestFit="1" customWidth="1"/>
    <col min="15" max="15" width="10.85546875" style="547" customWidth="1"/>
    <col min="16" max="16" width="12.140625" style="547" customWidth="1"/>
    <col min="17" max="17" width="19.5703125" style="547" customWidth="1"/>
    <col min="18" max="18" width="18.7109375" style="547" bestFit="1" customWidth="1"/>
    <col min="19" max="20" width="13.42578125" style="547" bestFit="1" customWidth="1"/>
    <col min="21" max="23" width="11.7109375" style="547" bestFit="1" customWidth="1"/>
    <col min="24" max="24" width="10.140625" style="547" bestFit="1" customWidth="1"/>
    <col min="25" max="25" width="10.5703125" style="547" bestFit="1" customWidth="1"/>
    <col min="26" max="26" width="9.140625" style="547" bestFit="1" customWidth="1"/>
    <col min="27" max="28" width="11.5703125" style="547" bestFit="1" customWidth="1"/>
    <col min="29" max="263" width="9.140625" style="547"/>
    <col min="264" max="264" width="14.42578125" style="547" customWidth="1"/>
    <col min="265" max="265" width="18.140625" style="547" customWidth="1"/>
    <col min="266" max="266" width="13.140625" style="547" bestFit="1" customWidth="1"/>
    <col min="267" max="270" width="10.5703125" style="547" bestFit="1" customWidth="1"/>
    <col min="271" max="271" width="9.140625" style="547"/>
    <col min="272" max="272" width="10.5703125" style="547" bestFit="1" customWidth="1"/>
    <col min="273" max="273" width="11.7109375" style="547" bestFit="1" customWidth="1"/>
    <col min="274" max="274" width="18.7109375" style="547" bestFit="1" customWidth="1"/>
    <col min="275" max="276" width="13.42578125" style="547" bestFit="1" customWidth="1"/>
    <col min="277" max="279" width="11.7109375" style="547" bestFit="1" customWidth="1"/>
    <col min="280" max="280" width="10.140625" style="547" bestFit="1" customWidth="1"/>
    <col min="281" max="284" width="9.140625" style="547" bestFit="1" customWidth="1"/>
    <col min="285" max="519" width="9.140625" style="547"/>
    <col min="520" max="520" width="14.42578125" style="547" customWidth="1"/>
    <col min="521" max="521" width="18.140625" style="547" customWidth="1"/>
    <col min="522" max="522" width="13.140625" style="547" bestFit="1" customWidth="1"/>
    <col min="523" max="526" width="10.5703125" style="547" bestFit="1" customWidth="1"/>
    <col min="527" max="527" width="9.140625" style="547"/>
    <col min="528" max="528" width="10.5703125" style="547" bestFit="1" customWidth="1"/>
    <col min="529" max="529" width="11.7109375" style="547" bestFit="1" customWidth="1"/>
    <col min="530" max="530" width="18.7109375" style="547" bestFit="1" customWidth="1"/>
    <col min="531" max="532" width="13.42578125" style="547" bestFit="1" customWidth="1"/>
    <col min="533" max="535" width="11.7109375" style="547" bestFit="1" customWidth="1"/>
    <col min="536" max="536" width="10.140625" style="547" bestFit="1" customWidth="1"/>
    <col min="537" max="540" width="9.140625" style="547" bestFit="1" customWidth="1"/>
    <col min="541" max="775" width="9.140625" style="547"/>
    <col min="776" max="776" width="14.42578125" style="547" customWidth="1"/>
    <col min="777" max="777" width="18.140625" style="547" customWidth="1"/>
    <col min="778" max="778" width="13.140625" style="547" bestFit="1" customWidth="1"/>
    <col min="779" max="782" width="10.5703125" style="547" bestFit="1" customWidth="1"/>
    <col min="783" max="783" width="9.140625" style="547"/>
    <col min="784" max="784" width="10.5703125" style="547" bestFit="1" customWidth="1"/>
    <col min="785" max="785" width="11.7109375" style="547" bestFit="1" customWidth="1"/>
    <col min="786" max="786" width="18.7109375" style="547" bestFit="1" customWidth="1"/>
    <col min="787" max="788" width="13.42578125" style="547" bestFit="1" customWidth="1"/>
    <col min="789" max="791" width="11.7109375" style="547" bestFit="1" customWidth="1"/>
    <col min="792" max="792" width="10.140625" style="547" bestFit="1" customWidth="1"/>
    <col min="793" max="796" width="9.140625" style="547" bestFit="1" customWidth="1"/>
    <col min="797" max="1031" width="9.140625" style="547"/>
    <col min="1032" max="1032" width="14.42578125" style="547" customWidth="1"/>
    <col min="1033" max="1033" width="18.140625" style="547" customWidth="1"/>
    <col min="1034" max="1034" width="13.140625" style="547" bestFit="1" customWidth="1"/>
    <col min="1035" max="1038" width="10.5703125" style="547" bestFit="1" customWidth="1"/>
    <col min="1039" max="1039" width="9.140625" style="547"/>
    <col min="1040" max="1040" width="10.5703125" style="547" bestFit="1" customWidth="1"/>
    <col min="1041" max="1041" width="11.7109375" style="547" bestFit="1" customWidth="1"/>
    <col min="1042" max="1042" width="18.7109375" style="547" bestFit="1" customWidth="1"/>
    <col min="1043" max="1044" width="13.42578125" style="547" bestFit="1" customWidth="1"/>
    <col min="1045" max="1047" width="11.7109375" style="547" bestFit="1" customWidth="1"/>
    <col min="1048" max="1048" width="10.140625" style="547" bestFit="1" customWidth="1"/>
    <col min="1049" max="1052" width="9.140625" style="547" bestFit="1" customWidth="1"/>
    <col min="1053" max="1287" width="9.140625" style="547"/>
    <col min="1288" max="1288" width="14.42578125" style="547" customWidth="1"/>
    <col min="1289" max="1289" width="18.140625" style="547" customWidth="1"/>
    <col min="1290" max="1290" width="13.140625" style="547" bestFit="1" customWidth="1"/>
    <col min="1291" max="1294" width="10.5703125" style="547" bestFit="1" customWidth="1"/>
    <col min="1295" max="1295" width="9.140625" style="547"/>
    <col min="1296" max="1296" width="10.5703125" style="547" bestFit="1" customWidth="1"/>
    <col min="1297" max="1297" width="11.7109375" style="547" bestFit="1" customWidth="1"/>
    <col min="1298" max="1298" width="18.7109375" style="547" bestFit="1" customWidth="1"/>
    <col min="1299" max="1300" width="13.42578125" style="547" bestFit="1" customWidth="1"/>
    <col min="1301" max="1303" width="11.7109375" style="547" bestFit="1" customWidth="1"/>
    <col min="1304" max="1304" width="10.140625" style="547" bestFit="1" customWidth="1"/>
    <col min="1305" max="1308" width="9.140625" style="547" bestFit="1" customWidth="1"/>
    <col min="1309" max="1543" width="9.140625" style="547"/>
    <col min="1544" max="1544" width="14.42578125" style="547" customWidth="1"/>
    <col min="1545" max="1545" width="18.140625" style="547" customWidth="1"/>
    <col min="1546" max="1546" width="13.140625" style="547" bestFit="1" customWidth="1"/>
    <col min="1547" max="1550" width="10.5703125" style="547" bestFit="1" customWidth="1"/>
    <col min="1551" max="1551" width="9.140625" style="547"/>
    <col min="1552" max="1552" width="10.5703125" style="547" bestFit="1" customWidth="1"/>
    <col min="1553" max="1553" width="11.7109375" style="547" bestFit="1" customWidth="1"/>
    <col min="1554" max="1554" width="18.7109375" style="547" bestFit="1" customWidth="1"/>
    <col min="1555" max="1556" width="13.42578125" style="547" bestFit="1" customWidth="1"/>
    <col min="1557" max="1559" width="11.7109375" style="547" bestFit="1" customWidth="1"/>
    <col min="1560" max="1560" width="10.140625" style="547" bestFit="1" customWidth="1"/>
    <col min="1561" max="1564" width="9.140625" style="547" bestFit="1" customWidth="1"/>
    <col min="1565" max="1799" width="9.140625" style="547"/>
    <col min="1800" max="1800" width="14.42578125" style="547" customWidth="1"/>
    <col min="1801" max="1801" width="18.140625" style="547" customWidth="1"/>
    <col min="1802" max="1802" width="13.140625" style="547" bestFit="1" customWidth="1"/>
    <col min="1803" max="1806" width="10.5703125" style="547" bestFit="1" customWidth="1"/>
    <col min="1807" max="1807" width="9.140625" style="547"/>
    <col min="1808" max="1808" width="10.5703125" style="547" bestFit="1" customWidth="1"/>
    <col min="1809" max="1809" width="11.7109375" style="547" bestFit="1" customWidth="1"/>
    <col min="1810" max="1810" width="18.7109375" style="547" bestFit="1" customWidth="1"/>
    <col min="1811" max="1812" width="13.42578125" style="547" bestFit="1" customWidth="1"/>
    <col min="1813" max="1815" width="11.7109375" style="547" bestFit="1" customWidth="1"/>
    <col min="1816" max="1816" width="10.140625" style="547" bestFit="1" customWidth="1"/>
    <col min="1817" max="1820" width="9.140625" style="547" bestFit="1" customWidth="1"/>
    <col min="1821" max="2055" width="9.140625" style="547"/>
    <col min="2056" max="2056" width="14.42578125" style="547" customWidth="1"/>
    <col min="2057" max="2057" width="18.140625" style="547" customWidth="1"/>
    <col min="2058" max="2058" width="13.140625" style="547" bestFit="1" customWidth="1"/>
    <col min="2059" max="2062" width="10.5703125" style="547" bestFit="1" customWidth="1"/>
    <col min="2063" max="2063" width="9.140625" style="547"/>
    <col min="2064" max="2064" width="10.5703125" style="547" bestFit="1" customWidth="1"/>
    <col min="2065" max="2065" width="11.7109375" style="547" bestFit="1" customWidth="1"/>
    <col min="2066" max="2066" width="18.7109375" style="547" bestFit="1" customWidth="1"/>
    <col min="2067" max="2068" width="13.42578125" style="547" bestFit="1" customWidth="1"/>
    <col min="2069" max="2071" width="11.7109375" style="547" bestFit="1" customWidth="1"/>
    <col min="2072" max="2072" width="10.140625" style="547" bestFit="1" customWidth="1"/>
    <col min="2073" max="2076" width="9.140625" style="547" bestFit="1" customWidth="1"/>
    <col min="2077" max="2311" width="9.140625" style="547"/>
    <col min="2312" max="2312" width="14.42578125" style="547" customWidth="1"/>
    <col min="2313" max="2313" width="18.140625" style="547" customWidth="1"/>
    <col min="2314" max="2314" width="13.140625" style="547" bestFit="1" customWidth="1"/>
    <col min="2315" max="2318" width="10.5703125" style="547" bestFit="1" customWidth="1"/>
    <col min="2319" max="2319" width="9.140625" style="547"/>
    <col min="2320" max="2320" width="10.5703125" style="547" bestFit="1" customWidth="1"/>
    <col min="2321" max="2321" width="11.7109375" style="547" bestFit="1" customWidth="1"/>
    <col min="2322" max="2322" width="18.7109375" style="547" bestFit="1" customWidth="1"/>
    <col min="2323" max="2324" width="13.42578125" style="547" bestFit="1" customWidth="1"/>
    <col min="2325" max="2327" width="11.7109375" style="547" bestFit="1" customWidth="1"/>
    <col min="2328" max="2328" width="10.140625" style="547" bestFit="1" customWidth="1"/>
    <col min="2329" max="2332" width="9.140625" style="547" bestFit="1" customWidth="1"/>
    <col min="2333" max="2567" width="9.140625" style="547"/>
    <col min="2568" max="2568" width="14.42578125" style="547" customWidth="1"/>
    <col min="2569" max="2569" width="18.140625" style="547" customWidth="1"/>
    <col min="2570" max="2570" width="13.140625" style="547" bestFit="1" customWidth="1"/>
    <col min="2571" max="2574" width="10.5703125" style="547" bestFit="1" customWidth="1"/>
    <col min="2575" max="2575" width="9.140625" style="547"/>
    <col min="2576" max="2576" width="10.5703125" style="547" bestFit="1" customWidth="1"/>
    <col min="2577" max="2577" width="11.7109375" style="547" bestFit="1" customWidth="1"/>
    <col min="2578" max="2578" width="18.7109375" style="547" bestFit="1" customWidth="1"/>
    <col min="2579" max="2580" width="13.42578125" style="547" bestFit="1" customWidth="1"/>
    <col min="2581" max="2583" width="11.7109375" style="547" bestFit="1" customWidth="1"/>
    <col min="2584" max="2584" width="10.140625" style="547" bestFit="1" customWidth="1"/>
    <col min="2585" max="2588" width="9.140625" style="547" bestFit="1" customWidth="1"/>
    <col min="2589" max="2823" width="9.140625" style="547"/>
    <col min="2824" max="2824" width="14.42578125" style="547" customWidth="1"/>
    <col min="2825" max="2825" width="18.140625" style="547" customWidth="1"/>
    <col min="2826" max="2826" width="13.140625" style="547" bestFit="1" customWidth="1"/>
    <col min="2827" max="2830" width="10.5703125" style="547" bestFit="1" customWidth="1"/>
    <col min="2831" max="2831" width="9.140625" style="547"/>
    <col min="2832" max="2832" width="10.5703125" style="547" bestFit="1" customWidth="1"/>
    <col min="2833" max="2833" width="11.7109375" style="547" bestFit="1" customWidth="1"/>
    <col min="2834" max="2834" width="18.7109375" style="547" bestFit="1" customWidth="1"/>
    <col min="2835" max="2836" width="13.42578125" style="547" bestFit="1" customWidth="1"/>
    <col min="2837" max="2839" width="11.7109375" style="547" bestFit="1" customWidth="1"/>
    <col min="2840" max="2840" width="10.140625" style="547" bestFit="1" customWidth="1"/>
    <col min="2841" max="2844" width="9.140625" style="547" bestFit="1" customWidth="1"/>
    <col min="2845" max="3079" width="9.140625" style="547"/>
    <col min="3080" max="3080" width="14.42578125" style="547" customWidth="1"/>
    <col min="3081" max="3081" width="18.140625" style="547" customWidth="1"/>
    <col min="3082" max="3082" width="13.140625" style="547" bestFit="1" customWidth="1"/>
    <col min="3083" max="3086" width="10.5703125" style="547" bestFit="1" customWidth="1"/>
    <col min="3087" max="3087" width="9.140625" style="547"/>
    <col min="3088" max="3088" width="10.5703125" style="547" bestFit="1" customWidth="1"/>
    <col min="3089" max="3089" width="11.7109375" style="547" bestFit="1" customWidth="1"/>
    <col min="3090" max="3090" width="18.7109375" style="547" bestFit="1" customWidth="1"/>
    <col min="3091" max="3092" width="13.42578125" style="547" bestFit="1" customWidth="1"/>
    <col min="3093" max="3095" width="11.7109375" style="547" bestFit="1" customWidth="1"/>
    <col min="3096" max="3096" width="10.140625" style="547" bestFit="1" customWidth="1"/>
    <col min="3097" max="3100" width="9.140625" style="547" bestFit="1" customWidth="1"/>
    <col min="3101" max="3335" width="9.140625" style="547"/>
    <col min="3336" max="3336" width="14.42578125" style="547" customWidth="1"/>
    <col min="3337" max="3337" width="18.140625" style="547" customWidth="1"/>
    <col min="3338" max="3338" width="13.140625" style="547" bestFit="1" customWidth="1"/>
    <col min="3339" max="3342" width="10.5703125" style="547" bestFit="1" customWidth="1"/>
    <col min="3343" max="3343" width="9.140625" style="547"/>
    <col min="3344" max="3344" width="10.5703125" style="547" bestFit="1" customWidth="1"/>
    <col min="3345" max="3345" width="11.7109375" style="547" bestFit="1" customWidth="1"/>
    <col min="3346" max="3346" width="18.7109375" style="547" bestFit="1" customWidth="1"/>
    <col min="3347" max="3348" width="13.42578125" style="547" bestFit="1" customWidth="1"/>
    <col min="3349" max="3351" width="11.7109375" style="547" bestFit="1" customWidth="1"/>
    <col min="3352" max="3352" width="10.140625" style="547" bestFit="1" customWidth="1"/>
    <col min="3353" max="3356" width="9.140625" style="547" bestFit="1" customWidth="1"/>
    <col min="3357" max="3591" width="9.140625" style="547"/>
    <col min="3592" max="3592" width="14.42578125" style="547" customWidth="1"/>
    <col min="3593" max="3593" width="18.140625" style="547" customWidth="1"/>
    <col min="3594" max="3594" width="13.140625" style="547" bestFit="1" customWidth="1"/>
    <col min="3595" max="3598" width="10.5703125" style="547" bestFit="1" customWidth="1"/>
    <col min="3599" max="3599" width="9.140625" style="547"/>
    <col min="3600" max="3600" width="10.5703125" style="547" bestFit="1" customWidth="1"/>
    <col min="3601" max="3601" width="11.7109375" style="547" bestFit="1" customWidth="1"/>
    <col min="3602" max="3602" width="18.7109375" style="547" bestFit="1" customWidth="1"/>
    <col min="3603" max="3604" width="13.42578125" style="547" bestFit="1" customWidth="1"/>
    <col min="3605" max="3607" width="11.7109375" style="547" bestFit="1" customWidth="1"/>
    <col min="3608" max="3608" width="10.140625" style="547" bestFit="1" customWidth="1"/>
    <col min="3609" max="3612" width="9.140625" style="547" bestFit="1" customWidth="1"/>
    <col min="3613" max="3847" width="9.140625" style="547"/>
    <col min="3848" max="3848" width="14.42578125" style="547" customWidth="1"/>
    <col min="3849" max="3849" width="18.140625" style="547" customWidth="1"/>
    <col min="3850" max="3850" width="13.140625" style="547" bestFit="1" customWidth="1"/>
    <col min="3851" max="3854" width="10.5703125" style="547" bestFit="1" customWidth="1"/>
    <col min="3855" max="3855" width="9.140625" style="547"/>
    <col min="3856" max="3856" width="10.5703125" style="547" bestFit="1" customWidth="1"/>
    <col min="3857" max="3857" width="11.7109375" style="547" bestFit="1" customWidth="1"/>
    <col min="3858" max="3858" width="18.7109375" style="547" bestFit="1" customWidth="1"/>
    <col min="3859" max="3860" width="13.42578125" style="547" bestFit="1" customWidth="1"/>
    <col min="3861" max="3863" width="11.7109375" style="547" bestFit="1" customWidth="1"/>
    <col min="3864" max="3864" width="10.140625" style="547" bestFit="1" customWidth="1"/>
    <col min="3865" max="3868" width="9.140625" style="547" bestFit="1" customWidth="1"/>
    <col min="3869" max="4103" width="9.140625" style="547"/>
    <col min="4104" max="4104" width="14.42578125" style="547" customWidth="1"/>
    <col min="4105" max="4105" width="18.140625" style="547" customWidth="1"/>
    <col min="4106" max="4106" width="13.140625" style="547" bestFit="1" customWidth="1"/>
    <col min="4107" max="4110" width="10.5703125" style="547" bestFit="1" customWidth="1"/>
    <col min="4111" max="4111" width="9.140625" style="547"/>
    <col min="4112" max="4112" width="10.5703125" style="547" bestFit="1" customWidth="1"/>
    <col min="4113" max="4113" width="11.7109375" style="547" bestFit="1" customWidth="1"/>
    <col min="4114" max="4114" width="18.7109375" style="547" bestFit="1" customWidth="1"/>
    <col min="4115" max="4116" width="13.42578125" style="547" bestFit="1" customWidth="1"/>
    <col min="4117" max="4119" width="11.7109375" style="547" bestFit="1" customWidth="1"/>
    <col min="4120" max="4120" width="10.140625" style="547" bestFit="1" customWidth="1"/>
    <col min="4121" max="4124" width="9.140625" style="547" bestFit="1" customWidth="1"/>
    <col min="4125" max="4359" width="9.140625" style="547"/>
    <col min="4360" max="4360" width="14.42578125" style="547" customWidth="1"/>
    <col min="4361" max="4361" width="18.140625" style="547" customWidth="1"/>
    <col min="4362" max="4362" width="13.140625" style="547" bestFit="1" customWidth="1"/>
    <col min="4363" max="4366" width="10.5703125" style="547" bestFit="1" customWidth="1"/>
    <col min="4367" max="4367" width="9.140625" style="547"/>
    <col min="4368" max="4368" width="10.5703125" style="547" bestFit="1" customWidth="1"/>
    <col min="4369" max="4369" width="11.7109375" style="547" bestFit="1" customWidth="1"/>
    <col min="4370" max="4370" width="18.7109375" style="547" bestFit="1" customWidth="1"/>
    <col min="4371" max="4372" width="13.42578125" style="547" bestFit="1" customWidth="1"/>
    <col min="4373" max="4375" width="11.7109375" style="547" bestFit="1" customWidth="1"/>
    <col min="4376" max="4376" width="10.140625" style="547" bestFit="1" customWidth="1"/>
    <col min="4377" max="4380" width="9.140625" style="547" bestFit="1" customWidth="1"/>
    <col min="4381" max="4615" width="9.140625" style="547"/>
    <col min="4616" max="4616" width="14.42578125" style="547" customWidth="1"/>
    <col min="4617" max="4617" width="18.140625" style="547" customWidth="1"/>
    <col min="4618" max="4618" width="13.140625" style="547" bestFit="1" customWidth="1"/>
    <col min="4619" max="4622" width="10.5703125" style="547" bestFit="1" customWidth="1"/>
    <col min="4623" max="4623" width="9.140625" style="547"/>
    <col min="4624" max="4624" width="10.5703125" style="547" bestFit="1" customWidth="1"/>
    <col min="4625" max="4625" width="11.7109375" style="547" bestFit="1" customWidth="1"/>
    <col min="4626" max="4626" width="18.7109375" style="547" bestFit="1" customWidth="1"/>
    <col min="4627" max="4628" width="13.42578125" style="547" bestFit="1" customWidth="1"/>
    <col min="4629" max="4631" width="11.7109375" style="547" bestFit="1" customWidth="1"/>
    <col min="4632" max="4632" width="10.140625" style="547" bestFit="1" customWidth="1"/>
    <col min="4633" max="4636" width="9.140625" style="547" bestFit="1" customWidth="1"/>
    <col min="4637" max="4871" width="9.140625" style="547"/>
    <col min="4872" max="4872" width="14.42578125" style="547" customWidth="1"/>
    <col min="4873" max="4873" width="18.140625" style="547" customWidth="1"/>
    <col min="4874" max="4874" width="13.140625" style="547" bestFit="1" customWidth="1"/>
    <col min="4875" max="4878" width="10.5703125" style="547" bestFit="1" customWidth="1"/>
    <col min="4879" max="4879" width="9.140625" style="547"/>
    <col min="4880" max="4880" width="10.5703125" style="547" bestFit="1" customWidth="1"/>
    <col min="4881" max="4881" width="11.7109375" style="547" bestFit="1" customWidth="1"/>
    <col min="4882" max="4882" width="18.7109375" style="547" bestFit="1" customWidth="1"/>
    <col min="4883" max="4884" width="13.42578125" style="547" bestFit="1" customWidth="1"/>
    <col min="4885" max="4887" width="11.7109375" style="547" bestFit="1" customWidth="1"/>
    <col min="4888" max="4888" width="10.140625" style="547" bestFit="1" customWidth="1"/>
    <col min="4889" max="4892" width="9.140625" style="547" bestFit="1" customWidth="1"/>
    <col min="4893" max="5127" width="9.140625" style="547"/>
    <col min="5128" max="5128" width="14.42578125" style="547" customWidth="1"/>
    <col min="5129" max="5129" width="18.140625" style="547" customWidth="1"/>
    <col min="5130" max="5130" width="13.140625" style="547" bestFit="1" customWidth="1"/>
    <col min="5131" max="5134" width="10.5703125" style="547" bestFit="1" customWidth="1"/>
    <col min="5135" max="5135" width="9.140625" style="547"/>
    <col min="5136" max="5136" width="10.5703125" style="547" bestFit="1" customWidth="1"/>
    <col min="5137" max="5137" width="11.7109375" style="547" bestFit="1" customWidth="1"/>
    <col min="5138" max="5138" width="18.7109375" style="547" bestFit="1" customWidth="1"/>
    <col min="5139" max="5140" width="13.42578125" style="547" bestFit="1" customWidth="1"/>
    <col min="5141" max="5143" width="11.7109375" style="547" bestFit="1" customWidth="1"/>
    <col min="5144" max="5144" width="10.140625" style="547" bestFit="1" customWidth="1"/>
    <col min="5145" max="5148" width="9.140625" style="547" bestFit="1" customWidth="1"/>
    <col min="5149" max="5383" width="9.140625" style="547"/>
    <col min="5384" max="5384" width="14.42578125" style="547" customWidth="1"/>
    <col min="5385" max="5385" width="18.140625" style="547" customWidth="1"/>
    <col min="5386" max="5386" width="13.140625" style="547" bestFit="1" customWidth="1"/>
    <col min="5387" max="5390" width="10.5703125" style="547" bestFit="1" customWidth="1"/>
    <col min="5391" max="5391" width="9.140625" style="547"/>
    <col min="5392" max="5392" width="10.5703125" style="547" bestFit="1" customWidth="1"/>
    <col min="5393" max="5393" width="11.7109375" style="547" bestFit="1" customWidth="1"/>
    <col min="5394" max="5394" width="18.7109375" style="547" bestFit="1" customWidth="1"/>
    <col min="5395" max="5396" width="13.42578125" style="547" bestFit="1" customWidth="1"/>
    <col min="5397" max="5399" width="11.7109375" style="547" bestFit="1" customWidth="1"/>
    <col min="5400" max="5400" width="10.140625" style="547" bestFit="1" customWidth="1"/>
    <col min="5401" max="5404" width="9.140625" style="547" bestFit="1" customWidth="1"/>
    <col min="5405" max="5639" width="9.140625" style="547"/>
    <col min="5640" max="5640" width="14.42578125" style="547" customWidth="1"/>
    <col min="5641" max="5641" width="18.140625" style="547" customWidth="1"/>
    <col min="5642" max="5642" width="13.140625" style="547" bestFit="1" customWidth="1"/>
    <col min="5643" max="5646" width="10.5703125" style="547" bestFit="1" customWidth="1"/>
    <col min="5647" max="5647" width="9.140625" style="547"/>
    <col min="5648" max="5648" width="10.5703125" style="547" bestFit="1" customWidth="1"/>
    <col min="5649" max="5649" width="11.7109375" style="547" bestFit="1" customWidth="1"/>
    <col min="5650" max="5650" width="18.7109375" style="547" bestFit="1" customWidth="1"/>
    <col min="5651" max="5652" width="13.42578125" style="547" bestFit="1" customWidth="1"/>
    <col min="5653" max="5655" width="11.7109375" style="547" bestFit="1" customWidth="1"/>
    <col min="5656" max="5656" width="10.140625" style="547" bestFit="1" customWidth="1"/>
    <col min="5657" max="5660" width="9.140625" style="547" bestFit="1" customWidth="1"/>
    <col min="5661" max="5895" width="9.140625" style="547"/>
    <col min="5896" max="5896" width="14.42578125" style="547" customWidth="1"/>
    <col min="5897" max="5897" width="18.140625" style="547" customWidth="1"/>
    <col min="5898" max="5898" width="13.140625" style="547" bestFit="1" customWidth="1"/>
    <col min="5899" max="5902" width="10.5703125" style="547" bestFit="1" customWidth="1"/>
    <col min="5903" max="5903" width="9.140625" style="547"/>
    <col min="5904" max="5904" width="10.5703125" style="547" bestFit="1" customWidth="1"/>
    <col min="5905" max="5905" width="11.7109375" style="547" bestFit="1" customWidth="1"/>
    <col min="5906" max="5906" width="18.7109375" style="547" bestFit="1" customWidth="1"/>
    <col min="5907" max="5908" width="13.42578125" style="547" bestFit="1" customWidth="1"/>
    <col min="5909" max="5911" width="11.7109375" style="547" bestFit="1" customWidth="1"/>
    <col min="5912" max="5912" width="10.140625" style="547" bestFit="1" customWidth="1"/>
    <col min="5913" max="5916" width="9.140625" style="547" bestFit="1" customWidth="1"/>
    <col min="5917" max="6151" width="9.140625" style="547"/>
    <col min="6152" max="6152" width="14.42578125" style="547" customWidth="1"/>
    <col min="6153" max="6153" width="18.140625" style="547" customWidth="1"/>
    <col min="6154" max="6154" width="13.140625" style="547" bestFit="1" customWidth="1"/>
    <col min="6155" max="6158" width="10.5703125" style="547" bestFit="1" customWidth="1"/>
    <col min="6159" max="6159" width="9.140625" style="547"/>
    <col min="6160" max="6160" width="10.5703125" style="547" bestFit="1" customWidth="1"/>
    <col min="6161" max="6161" width="11.7109375" style="547" bestFit="1" customWidth="1"/>
    <col min="6162" max="6162" width="18.7109375" style="547" bestFit="1" customWidth="1"/>
    <col min="6163" max="6164" width="13.42578125" style="547" bestFit="1" customWidth="1"/>
    <col min="6165" max="6167" width="11.7109375" style="547" bestFit="1" customWidth="1"/>
    <col min="6168" max="6168" width="10.140625" style="547" bestFit="1" customWidth="1"/>
    <col min="6169" max="6172" width="9.140625" style="547" bestFit="1" customWidth="1"/>
    <col min="6173" max="6407" width="9.140625" style="547"/>
    <col min="6408" max="6408" width="14.42578125" style="547" customWidth="1"/>
    <col min="6409" max="6409" width="18.140625" style="547" customWidth="1"/>
    <col min="6410" max="6410" width="13.140625" style="547" bestFit="1" customWidth="1"/>
    <col min="6411" max="6414" width="10.5703125" style="547" bestFit="1" customWidth="1"/>
    <col min="6415" max="6415" width="9.140625" style="547"/>
    <col min="6416" max="6416" width="10.5703125" style="547" bestFit="1" customWidth="1"/>
    <col min="6417" max="6417" width="11.7109375" style="547" bestFit="1" customWidth="1"/>
    <col min="6418" max="6418" width="18.7109375" style="547" bestFit="1" customWidth="1"/>
    <col min="6419" max="6420" width="13.42578125" style="547" bestFit="1" customWidth="1"/>
    <col min="6421" max="6423" width="11.7109375" style="547" bestFit="1" customWidth="1"/>
    <col min="6424" max="6424" width="10.140625" style="547" bestFit="1" customWidth="1"/>
    <col min="6425" max="6428" width="9.140625" style="547" bestFit="1" customWidth="1"/>
    <col min="6429" max="6663" width="9.140625" style="547"/>
    <col min="6664" max="6664" width="14.42578125" style="547" customWidth="1"/>
    <col min="6665" max="6665" width="18.140625" style="547" customWidth="1"/>
    <col min="6666" max="6666" width="13.140625" style="547" bestFit="1" customWidth="1"/>
    <col min="6667" max="6670" width="10.5703125" style="547" bestFit="1" customWidth="1"/>
    <col min="6671" max="6671" width="9.140625" style="547"/>
    <col min="6672" max="6672" width="10.5703125" style="547" bestFit="1" customWidth="1"/>
    <col min="6673" max="6673" width="11.7109375" style="547" bestFit="1" customWidth="1"/>
    <col min="6674" max="6674" width="18.7109375" style="547" bestFit="1" customWidth="1"/>
    <col min="6675" max="6676" width="13.42578125" style="547" bestFit="1" customWidth="1"/>
    <col min="6677" max="6679" width="11.7109375" style="547" bestFit="1" customWidth="1"/>
    <col min="6680" max="6680" width="10.140625" style="547" bestFit="1" customWidth="1"/>
    <col min="6681" max="6684" width="9.140625" style="547" bestFit="1" customWidth="1"/>
    <col min="6685" max="6919" width="9.140625" style="547"/>
    <col min="6920" max="6920" width="14.42578125" style="547" customWidth="1"/>
    <col min="6921" max="6921" width="18.140625" style="547" customWidth="1"/>
    <col min="6922" max="6922" width="13.140625" style="547" bestFit="1" customWidth="1"/>
    <col min="6923" max="6926" width="10.5703125" style="547" bestFit="1" customWidth="1"/>
    <col min="6927" max="6927" width="9.140625" style="547"/>
    <col min="6928" max="6928" width="10.5703125" style="547" bestFit="1" customWidth="1"/>
    <col min="6929" max="6929" width="11.7109375" style="547" bestFit="1" customWidth="1"/>
    <col min="6930" max="6930" width="18.7109375" style="547" bestFit="1" customWidth="1"/>
    <col min="6931" max="6932" width="13.42578125" style="547" bestFit="1" customWidth="1"/>
    <col min="6933" max="6935" width="11.7109375" style="547" bestFit="1" customWidth="1"/>
    <col min="6936" max="6936" width="10.140625" style="547" bestFit="1" customWidth="1"/>
    <col min="6937" max="6940" width="9.140625" style="547" bestFit="1" customWidth="1"/>
    <col min="6941" max="7175" width="9.140625" style="547"/>
    <col min="7176" max="7176" width="14.42578125" style="547" customWidth="1"/>
    <col min="7177" max="7177" width="18.140625" style="547" customWidth="1"/>
    <col min="7178" max="7178" width="13.140625" style="547" bestFit="1" customWidth="1"/>
    <col min="7179" max="7182" width="10.5703125" style="547" bestFit="1" customWidth="1"/>
    <col min="7183" max="7183" width="9.140625" style="547"/>
    <col min="7184" max="7184" width="10.5703125" style="547" bestFit="1" customWidth="1"/>
    <col min="7185" max="7185" width="11.7109375" style="547" bestFit="1" customWidth="1"/>
    <col min="7186" max="7186" width="18.7109375" style="547" bestFit="1" customWidth="1"/>
    <col min="7187" max="7188" width="13.42578125" style="547" bestFit="1" customWidth="1"/>
    <col min="7189" max="7191" width="11.7109375" style="547" bestFit="1" customWidth="1"/>
    <col min="7192" max="7192" width="10.140625" style="547" bestFit="1" customWidth="1"/>
    <col min="7193" max="7196" width="9.140625" style="547" bestFit="1" customWidth="1"/>
    <col min="7197" max="7431" width="9.140625" style="547"/>
    <col min="7432" max="7432" width="14.42578125" style="547" customWidth="1"/>
    <col min="7433" max="7433" width="18.140625" style="547" customWidth="1"/>
    <col min="7434" max="7434" width="13.140625" style="547" bestFit="1" customWidth="1"/>
    <col min="7435" max="7438" width="10.5703125" style="547" bestFit="1" customWidth="1"/>
    <col min="7439" max="7439" width="9.140625" style="547"/>
    <col min="7440" max="7440" width="10.5703125" style="547" bestFit="1" customWidth="1"/>
    <col min="7441" max="7441" width="11.7109375" style="547" bestFit="1" customWidth="1"/>
    <col min="7442" max="7442" width="18.7109375" style="547" bestFit="1" customWidth="1"/>
    <col min="7443" max="7444" width="13.42578125" style="547" bestFit="1" customWidth="1"/>
    <col min="7445" max="7447" width="11.7109375" style="547" bestFit="1" customWidth="1"/>
    <col min="7448" max="7448" width="10.140625" style="547" bestFit="1" customWidth="1"/>
    <col min="7449" max="7452" width="9.140625" style="547" bestFit="1" customWidth="1"/>
    <col min="7453" max="7687" width="9.140625" style="547"/>
    <col min="7688" max="7688" width="14.42578125" style="547" customWidth="1"/>
    <col min="7689" max="7689" width="18.140625" style="547" customWidth="1"/>
    <col min="7690" max="7690" width="13.140625" style="547" bestFit="1" customWidth="1"/>
    <col min="7691" max="7694" width="10.5703125" style="547" bestFit="1" customWidth="1"/>
    <col min="7695" max="7695" width="9.140625" style="547"/>
    <col min="7696" max="7696" width="10.5703125" style="547" bestFit="1" customWidth="1"/>
    <col min="7697" max="7697" width="11.7109375" style="547" bestFit="1" customWidth="1"/>
    <col min="7698" max="7698" width="18.7109375" style="547" bestFit="1" customWidth="1"/>
    <col min="7699" max="7700" width="13.42578125" style="547" bestFit="1" customWidth="1"/>
    <col min="7701" max="7703" width="11.7109375" style="547" bestFit="1" customWidth="1"/>
    <col min="7704" max="7704" width="10.140625" style="547" bestFit="1" customWidth="1"/>
    <col min="7705" max="7708" width="9.140625" style="547" bestFit="1" customWidth="1"/>
    <col min="7709" max="7943" width="9.140625" style="547"/>
    <col min="7944" max="7944" width="14.42578125" style="547" customWidth="1"/>
    <col min="7945" max="7945" width="18.140625" style="547" customWidth="1"/>
    <col min="7946" max="7946" width="13.140625" style="547" bestFit="1" customWidth="1"/>
    <col min="7947" max="7950" width="10.5703125" style="547" bestFit="1" customWidth="1"/>
    <col min="7951" max="7951" width="9.140625" style="547"/>
    <col min="7952" max="7952" width="10.5703125" style="547" bestFit="1" customWidth="1"/>
    <col min="7953" max="7953" width="11.7109375" style="547" bestFit="1" customWidth="1"/>
    <col min="7954" max="7954" width="18.7109375" style="547" bestFit="1" customWidth="1"/>
    <col min="7955" max="7956" width="13.42578125" style="547" bestFit="1" customWidth="1"/>
    <col min="7957" max="7959" width="11.7109375" style="547" bestFit="1" customWidth="1"/>
    <col min="7960" max="7960" width="10.140625" style="547" bestFit="1" customWidth="1"/>
    <col min="7961" max="7964" width="9.140625" style="547" bestFit="1" customWidth="1"/>
    <col min="7965" max="8199" width="9.140625" style="547"/>
    <col min="8200" max="8200" width="14.42578125" style="547" customWidth="1"/>
    <col min="8201" max="8201" width="18.140625" style="547" customWidth="1"/>
    <col min="8202" max="8202" width="13.140625" style="547" bestFit="1" customWidth="1"/>
    <col min="8203" max="8206" width="10.5703125" style="547" bestFit="1" customWidth="1"/>
    <col min="8207" max="8207" width="9.140625" style="547"/>
    <col min="8208" max="8208" width="10.5703125" style="547" bestFit="1" customWidth="1"/>
    <col min="8209" max="8209" width="11.7109375" style="547" bestFit="1" customWidth="1"/>
    <col min="8210" max="8210" width="18.7109375" style="547" bestFit="1" customWidth="1"/>
    <col min="8211" max="8212" width="13.42578125" style="547" bestFit="1" customWidth="1"/>
    <col min="8213" max="8215" width="11.7109375" style="547" bestFit="1" customWidth="1"/>
    <col min="8216" max="8216" width="10.140625" style="547" bestFit="1" customWidth="1"/>
    <col min="8217" max="8220" width="9.140625" style="547" bestFit="1" customWidth="1"/>
    <col min="8221" max="8455" width="9.140625" style="547"/>
    <col min="8456" max="8456" width="14.42578125" style="547" customWidth="1"/>
    <col min="8457" max="8457" width="18.140625" style="547" customWidth="1"/>
    <col min="8458" max="8458" width="13.140625" style="547" bestFit="1" customWidth="1"/>
    <col min="8459" max="8462" width="10.5703125" style="547" bestFit="1" customWidth="1"/>
    <col min="8463" max="8463" width="9.140625" style="547"/>
    <col min="8464" max="8464" width="10.5703125" style="547" bestFit="1" customWidth="1"/>
    <col min="8465" max="8465" width="11.7109375" style="547" bestFit="1" customWidth="1"/>
    <col min="8466" max="8466" width="18.7109375" style="547" bestFit="1" customWidth="1"/>
    <col min="8467" max="8468" width="13.42578125" style="547" bestFit="1" customWidth="1"/>
    <col min="8469" max="8471" width="11.7109375" style="547" bestFit="1" customWidth="1"/>
    <col min="8472" max="8472" width="10.140625" style="547" bestFit="1" customWidth="1"/>
    <col min="8473" max="8476" width="9.140625" style="547" bestFit="1" customWidth="1"/>
    <col min="8477" max="8711" width="9.140625" style="547"/>
    <col min="8712" max="8712" width="14.42578125" style="547" customWidth="1"/>
    <col min="8713" max="8713" width="18.140625" style="547" customWidth="1"/>
    <col min="8714" max="8714" width="13.140625" style="547" bestFit="1" customWidth="1"/>
    <col min="8715" max="8718" width="10.5703125" style="547" bestFit="1" customWidth="1"/>
    <col min="8719" max="8719" width="9.140625" style="547"/>
    <col min="8720" max="8720" width="10.5703125" style="547" bestFit="1" customWidth="1"/>
    <col min="8721" max="8721" width="11.7109375" style="547" bestFit="1" customWidth="1"/>
    <col min="8722" max="8722" width="18.7109375" style="547" bestFit="1" customWidth="1"/>
    <col min="8723" max="8724" width="13.42578125" style="547" bestFit="1" customWidth="1"/>
    <col min="8725" max="8727" width="11.7109375" style="547" bestFit="1" customWidth="1"/>
    <col min="8728" max="8728" width="10.140625" style="547" bestFit="1" customWidth="1"/>
    <col min="8729" max="8732" width="9.140625" style="547" bestFit="1" customWidth="1"/>
    <col min="8733" max="8967" width="9.140625" style="547"/>
    <col min="8968" max="8968" width="14.42578125" style="547" customWidth="1"/>
    <col min="8969" max="8969" width="18.140625" style="547" customWidth="1"/>
    <col min="8970" max="8970" width="13.140625" style="547" bestFit="1" customWidth="1"/>
    <col min="8971" max="8974" width="10.5703125" style="547" bestFit="1" customWidth="1"/>
    <col min="8975" max="8975" width="9.140625" style="547"/>
    <col min="8976" max="8976" width="10.5703125" style="547" bestFit="1" customWidth="1"/>
    <col min="8977" max="8977" width="11.7109375" style="547" bestFit="1" customWidth="1"/>
    <col min="8978" max="8978" width="18.7109375" style="547" bestFit="1" customWidth="1"/>
    <col min="8979" max="8980" width="13.42578125" style="547" bestFit="1" customWidth="1"/>
    <col min="8981" max="8983" width="11.7109375" style="547" bestFit="1" customWidth="1"/>
    <col min="8984" max="8984" width="10.140625" style="547" bestFit="1" customWidth="1"/>
    <col min="8985" max="8988" width="9.140625" style="547" bestFit="1" customWidth="1"/>
    <col min="8989" max="9223" width="9.140625" style="547"/>
    <col min="9224" max="9224" width="14.42578125" style="547" customWidth="1"/>
    <col min="9225" max="9225" width="18.140625" style="547" customWidth="1"/>
    <col min="9226" max="9226" width="13.140625" style="547" bestFit="1" customWidth="1"/>
    <col min="9227" max="9230" width="10.5703125" style="547" bestFit="1" customWidth="1"/>
    <col min="9231" max="9231" width="9.140625" style="547"/>
    <col min="9232" max="9232" width="10.5703125" style="547" bestFit="1" customWidth="1"/>
    <col min="9233" max="9233" width="11.7109375" style="547" bestFit="1" customWidth="1"/>
    <col min="9234" max="9234" width="18.7109375" style="547" bestFit="1" customWidth="1"/>
    <col min="9235" max="9236" width="13.42578125" style="547" bestFit="1" customWidth="1"/>
    <col min="9237" max="9239" width="11.7109375" style="547" bestFit="1" customWidth="1"/>
    <col min="9240" max="9240" width="10.140625" style="547" bestFit="1" customWidth="1"/>
    <col min="9241" max="9244" width="9.140625" style="547" bestFit="1" customWidth="1"/>
    <col min="9245" max="9479" width="9.140625" style="547"/>
    <col min="9480" max="9480" width="14.42578125" style="547" customWidth="1"/>
    <col min="9481" max="9481" width="18.140625" style="547" customWidth="1"/>
    <col min="9482" max="9482" width="13.140625" style="547" bestFit="1" customWidth="1"/>
    <col min="9483" max="9486" width="10.5703125" style="547" bestFit="1" customWidth="1"/>
    <col min="9487" max="9487" width="9.140625" style="547"/>
    <col min="9488" max="9488" width="10.5703125" style="547" bestFit="1" customWidth="1"/>
    <col min="9489" max="9489" width="11.7109375" style="547" bestFit="1" customWidth="1"/>
    <col min="9490" max="9490" width="18.7109375" style="547" bestFit="1" customWidth="1"/>
    <col min="9491" max="9492" width="13.42578125" style="547" bestFit="1" customWidth="1"/>
    <col min="9493" max="9495" width="11.7109375" style="547" bestFit="1" customWidth="1"/>
    <col min="9496" max="9496" width="10.140625" style="547" bestFit="1" customWidth="1"/>
    <col min="9497" max="9500" width="9.140625" style="547" bestFit="1" customWidth="1"/>
    <col min="9501" max="9735" width="9.140625" style="547"/>
    <col min="9736" max="9736" width="14.42578125" style="547" customWidth="1"/>
    <col min="9737" max="9737" width="18.140625" style="547" customWidth="1"/>
    <col min="9738" max="9738" width="13.140625" style="547" bestFit="1" customWidth="1"/>
    <col min="9739" max="9742" width="10.5703125" style="547" bestFit="1" customWidth="1"/>
    <col min="9743" max="9743" width="9.140625" style="547"/>
    <col min="9744" max="9744" width="10.5703125" style="547" bestFit="1" customWidth="1"/>
    <col min="9745" max="9745" width="11.7109375" style="547" bestFit="1" customWidth="1"/>
    <col min="9746" max="9746" width="18.7109375" style="547" bestFit="1" customWidth="1"/>
    <col min="9747" max="9748" width="13.42578125" style="547" bestFit="1" customWidth="1"/>
    <col min="9749" max="9751" width="11.7109375" style="547" bestFit="1" customWidth="1"/>
    <col min="9752" max="9752" width="10.140625" style="547" bestFit="1" customWidth="1"/>
    <col min="9753" max="9756" width="9.140625" style="547" bestFit="1" customWidth="1"/>
    <col min="9757" max="9991" width="9.140625" style="547"/>
    <col min="9992" max="9992" width="14.42578125" style="547" customWidth="1"/>
    <col min="9993" max="9993" width="18.140625" style="547" customWidth="1"/>
    <col min="9994" max="9994" width="13.140625" style="547" bestFit="1" customWidth="1"/>
    <col min="9995" max="9998" width="10.5703125" style="547" bestFit="1" customWidth="1"/>
    <col min="9999" max="9999" width="9.140625" style="547"/>
    <col min="10000" max="10000" width="10.5703125" style="547" bestFit="1" customWidth="1"/>
    <col min="10001" max="10001" width="11.7109375" style="547" bestFit="1" customWidth="1"/>
    <col min="10002" max="10002" width="18.7109375" style="547" bestFit="1" customWidth="1"/>
    <col min="10003" max="10004" width="13.42578125" style="547" bestFit="1" customWidth="1"/>
    <col min="10005" max="10007" width="11.7109375" style="547" bestFit="1" customWidth="1"/>
    <col min="10008" max="10008" width="10.140625" style="547" bestFit="1" customWidth="1"/>
    <col min="10009" max="10012" width="9.140625" style="547" bestFit="1" customWidth="1"/>
    <col min="10013" max="10247" width="9.140625" style="547"/>
    <col min="10248" max="10248" width="14.42578125" style="547" customWidth="1"/>
    <col min="10249" max="10249" width="18.140625" style="547" customWidth="1"/>
    <col min="10250" max="10250" width="13.140625" style="547" bestFit="1" customWidth="1"/>
    <col min="10251" max="10254" width="10.5703125" style="547" bestFit="1" customWidth="1"/>
    <col min="10255" max="10255" width="9.140625" style="547"/>
    <col min="10256" max="10256" width="10.5703125" style="547" bestFit="1" customWidth="1"/>
    <col min="10257" max="10257" width="11.7109375" style="547" bestFit="1" customWidth="1"/>
    <col min="10258" max="10258" width="18.7109375" style="547" bestFit="1" customWidth="1"/>
    <col min="10259" max="10260" width="13.42578125" style="547" bestFit="1" customWidth="1"/>
    <col min="10261" max="10263" width="11.7109375" style="547" bestFit="1" customWidth="1"/>
    <col min="10264" max="10264" width="10.140625" style="547" bestFit="1" customWidth="1"/>
    <col min="10265" max="10268" width="9.140625" style="547" bestFit="1" customWidth="1"/>
    <col min="10269" max="10503" width="9.140625" style="547"/>
    <col min="10504" max="10504" width="14.42578125" style="547" customWidth="1"/>
    <col min="10505" max="10505" width="18.140625" style="547" customWidth="1"/>
    <col min="10506" max="10506" width="13.140625" style="547" bestFit="1" customWidth="1"/>
    <col min="10507" max="10510" width="10.5703125" style="547" bestFit="1" customWidth="1"/>
    <col min="10511" max="10511" width="9.140625" style="547"/>
    <col min="10512" max="10512" width="10.5703125" style="547" bestFit="1" customWidth="1"/>
    <col min="10513" max="10513" width="11.7109375" style="547" bestFit="1" customWidth="1"/>
    <col min="10514" max="10514" width="18.7109375" style="547" bestFit="1" customWidth="1"/>
    <col min="10515" max="10516" width="13.42578125" style="547" bestFit="1" customWidth="1"/>
    <col min="10517" max="10519" width="11.7109375" style="547" bestFit="1" customWidth="1"/>
    <col min="10520" max="10520" width="10.140625" style="547" bestFit="1" customWidth="1"/>
    <col min="10521" max="10524" width="9.140625" style="547" bestFit="1" customWidth="1"/>
    <col min="10525" max="10759" width="9.140625" style="547"/>
    <col min="10760" max="10760" width="14.42578125" style="547" customWidth="1"/>
    <col min="10761" max="10761" width="18.140625" style="547" customWidth="1"/>
    <col min="10762" max="10762" width="13.140625" style="547" bestFit="1" customWidth="1"/>
    <col min="10763" max="10766" width="10.5703125" style="547" bestFit="1" customWidth="1"/>
    <col min="10767" max="10767" width="9.140625" style="547"/>
    <col min="10768" max="10768" width="10.5703125" style="547" bestFit="1" customWidth="1"/>
    <col min="10769" max="10769" width="11.7109375" style="547" bestFit="1" customWidth="1"/>
    <col min="10770" max="10770" width="18.7109375" style="547" bestFit="1" customWidth="1"/>
    <col min="10771" max="10772" width="13.42578125" style="547" bestFit="1" customWidth="1"/>
    <col min="10773" max="10775" width="11.7109375" style="547" bestFit="1" customWidth="1"/>
    <col min="10776" max="10776" width="10.140625" style="547" bestFit="1" customWidth="1"/>
    <col min="10777" max="10780" width="9.140625" style="547" bestFit="1" customWidth="1"/>
    <col min="10781" max="11015" width="9.140625" style="547"/>
    <col min="11016" max="11016" width="14.42578125" style="547" customWidth="1"/>
    <col min="11017" max="11017" width="18.140625" style="547" customWidth="1"/>
    <col min="11018" max="11018" width="13.140625" style="547" bestFit="1" customWidth="1"/>
    <col min="11019" max="11022" width="10.5703125" style="547" bestFit="1" customWidth="1"/>
    <col min="11023" max="11023" width="9.140625" style="547"/>
    <col min="11024" max="11024" width="10.5703125" style="547" bestFit="1" customWidth="1"/>
    <col min="11025" max="11025" width="11.7109375" style="547" bestFit="1" customWidth="1"/>
    <col min="11026" max="11026" width="18.7109375" style="547" bestFit="1" customWidth="1"/>
    <col min="11027" max="11028" width="13.42578125" style="547" bestFit="1" customWidth="1"/>
    <col min="11029" max="11031" width="11.7109375" style="547" bestFit="1" customWidth="1"/>
    <col min="11032" max="11032" width="10.140625" style="547" bestFit="1" customWidth="1"/>
    <col min="11033" max="11036" width="9.140625" style="547" bestFit="1" customWidth="1"/>
    <col min="11037" max="11271" width="9.140625" style="547"/>
    <col min="11272" max="11272" width="14.42578125" style="547" customWidth="1"/>
    <col min="11273" max="11273" width="18.140625" style="547" customWidth="1"/>
    <col min="11274" max="11274" width="13.140625" style="547" bestFit="1" customWidth="1"/>
    <col min="11275" max="11278" width="10.5703125" style="547" bestFit="1" customWidth="1"/>
    <col min="11279" max="11279" width="9.140625" style="547"/>
    <col min="11280" max="11280" width="10.5703125" style="547" bestFit="1" customWidth="1"/>
    <col min="11281" max="11281" width="11.7109375" style="547" bestFit="1" customWidth="1"/>
    <col min="11282" max="11282" width="18.7109375" style="547" bestFit="1" customWidth="1"/>
    <col min="11283" max="11284" width="13.42578125" style="547" bestFit="1" customWidth="1"/>
    <col min="11285" max="11287" width="11.7109375" style="547" bestFit="1" customWidth="1"/>
    <col min="11288" max="11288" width="10.140625" style="547" bestFit="1" customWidth="1"/>
    <col min="11289" max="11292" width="9.140625" style="547" bestFit="1" customWidth="1"/>
    <col min="11293" max="11527" width="9.140625" style="547"/>
    <col min="11528" max="11528" width="14.42578125" style="547" customWidth="1"/>
    <col min="11529" max="11529" width="18.140625" style="547" customWidth="1"/>
    <col min="11530" max="11530" width="13.140625" style="547" bestFit="1" customWidth="1"/>
    <col min="11531" max="11534" width="10.5703125" style="547" bestFit="1" customWidth="1"/>
    <col min="11535" max="11535" width="9.140625" style="547"/>
    <col min="11536" max="11536" width="10.5703125" style="547" bestFit="1" customWidth="1"/>
    <col min="11537" max="11537" width="11.7109375" style="547" bestFit="1" customWidth="1"/>
    <col min="11538" max="11538" width="18.7109375" style="547" bestFit="1" customWidth="1"/>
    <col min="11539" max="11540" width="13.42578125" style="547" bestFit="1" customWidth="1"/>
    <col min="11541" max="11543" width="11.7109375" style="547" bestFit="1" customWidth="1"/>
    <col min="11544" max="11544" width="10.140625" style="547" bestFit="1" customWidth="1"/>
    <col min="11545" max="11548" width="9.140625" style="547" bestFit="1" customWidth="1"/>
    <col min="11549" max="11783" width="9.140625" style="547"/>
    <col min="11784" max="11784" width="14.42578125" style="547" customWidth="1"/>
    <col min="11785" max="11785" width="18.140625" style="547" customWidth="1"/>
    <col min="11786" max="11786" width="13.140625" style="547" bestFit="1" customWidth="1"/>
    <col min="11787" max="11790" width="10.5703125" style="547" bestFit="1" customWidth="1"/>
    <col min="11791" max="11791" width="9.140625" style="547"/>
    <col min="11792" max="11792" width="10.5703125" style="547" bestFit="1" customWidth="1"/>
    <col min="11793" max="11793" width="11.7109375" style="547" bestFit="1" customWidth="1"/>
    <col min="11794" max="11794" width="18.7109375" style="547" bestFit="1" customWidth="1"/>
    <col min="11795" max="11796" width="13.42578125" style="547" bestFit="1" customWidth="1"/>
    <col min="11797" max="11799" width="11.7109375" style="547" bestFit="1" customWidth="1"/>
    <col min="11800" max="11800" width="10.140625" style="547" bestFit="1" customWidth="1"/>
    <col min="11801" max="11804" width="9.140625" style="547" bestFit="1" customWidth="1"/>
    <col min="11805" max="12039" width="9.140625" style="547"/>
    <col min="12040" max="12040" width="14.42578125" style="547" customWidth="1"/>
    <col min="12041" max="12041" width="18.140625" style="547" customWidth="1"/>
    <col min="12042" max="12042" width="13.140625" style="547" bestFit="1" customWidth="1"/>
    <col min="12043" max="12046" width="10.5703125" style="547" bestFit="1" customWidth="1"/>
    <col min="12047" max="12047" width="9.140625" style="547"/>
    <col min="12048" max="12048" width="10.5703125" style="547" bestFit="1" customWidth="1"/>
    <col min="12049" max="12049" width="11.7109375" style="547" bestFit="1" customWidth="1"/>
    <col min="12050" max="12050" width="18.7109375" style="547" bestFit="1" customWidth="1"/>
    <col min="12051" max="12052" width="13.42578125" style="547" bestFit="1" customWidth="1"/>
    <col min="12053" max="12055" width="11.7109375" style="547" bestFit="1" customWidth="1"/>
    <col min="12056" max="12056" width="10.140625" style="547" bestFit="1" customWidth="1"/>
    <col min="12057" max="12060" width="9.140625" style="547" bestFit="1" customWidth="1"/>
    <col min="12061" max="12295" width="9.140625" style="547"/>
    <col min="12296" max="12296" width="14.42578125" style="547" customWidth="1"/>
    <col min="12297" max="12297" width="18.140625" style="547" customWidth="1"/>
    <col min="12298" max="12298" width="13.140625" style="547" bestFit="1" customWidth="1"/>
    <col min="12299" max="12302" width="10.5703125" style="547" bestFit="1" customWidth="1"/>
    <col min="12303" max="12303" width="9.140625" style="547"/>
    <col min="12304" max="12304" width="10.5703125" style="547" bestFit="1" customWidth="1"/>
    <col min="12305" max="12305" width="11.7109375" style="547" bestFit="1" customWidth="1"/>
    <col min="12306" max="12306" width="18.7109375" style="547" bestFit="1" customWidth="1"/>
    <col min="12307" max="12308" width="13.42578125" style="547" bestFit="1" customWidth="1"/>
    <col min="12309" max="12311" width="11.7109375" style="547" bestFit="1" customWidth="1"/>
    <col min="12312" max="12312" width="10.140625" style="547" bestFit="1" customWidth="1"/>
    <col min="12313" max="12316" width="9.140625" style="547" bestFit="1" customWidth="1"/>
    <col min="12317" max="12551" width="9.140625" style="547"/>
    <col min="12552" max="12552" width="14.42578125" style="547" customWidth="1"/>
    <col min="12553" max="12553" width="18.140625" style="547" customWidth="1"/>
    <col min="12554" max="12554" width="13.140625" style="547" bestFit="1" customWidth="1"/>
    <col min="12555" max="12558" width="10.5703125" style="547" bestFit="1" customWidth="1"/>
    <col min="12559" max="12559" width="9.140625" style="547"/>
    <col min="12560" max="12560" width="10.5703125" style="547" bestFit="1" customWidth="1"/>
    <col min="12561" max="12561" width="11.7109375" style="547" bestFit="1" customWidth="1"/>
    <col min="12562" max="12562" width="18.7109375" style="547" bestFit="1" customWidth="1"/>
    <col min="12563" max="12564" width="13.42578125" style="547" bestFit="1" customWidth="1"/>
    <col min="12565" max="12567" width="11.7109375" style="547" bestFit="1" customWidth="1"/>
    <col min="12568" max="12568" width="10.140625" style="547" bestFit="1" customWidth="1"/>
    <col min="12569" max="12572" width="9.140625" style="547" bestFit="1" customWidth="1"/>
    <col min="12573" max="12807" width="9.140625" style="547"/>
    <col min="12808" max="12808" width="14.42578125" style="547" customWidth="1"/>
    <col min="12809" max="12809" width="18.140625" style="547" customWidth="1"/>
    <col min="12810" max="12810" width="13.140625" style="547" bestFit="1" customWidth="1"/>
    <col min="12811" max="12814" width="10.5703125" style="547" bestFit="1" customWidth="1"/>
    <col min="12815" max="12815" width="9.140625" style="547"/>
    <col min="12816" max="12816" width="10.5703125" style="547" bestFit="1" customWidth="1"/>
    <col min="12817" max="12817" width="11.7109375" style="547" bestFit="1" customWidth="1"/>
    <col min="12818" max="12818" width="18.7109375" style="547" bestFit="1" customWidth="1"/>
    <col min="12819" max="12820" width="13.42578125" style="547" bestFit="1" customWidth="1"/>
    <col min="12821" max="12823" width="11.7109375" style="547" bestFit="1" customWidth="1"/>
    <col min="12824" max="12824" width="10.140625" style="547" bestFit="1" customWidth="1"/>
    <col min="12825" max="12828" width="9.140625" style="547" bestFit="1" customWidth="1"/>
    <col min="12829" max="13063" width="9.140625" style="547"/>
    <col min="13064" max="13064" width="14.42578125" style="547" customWidth="1"/>
    <col min="13065" max="13065" width="18.140625" style="547" customWidth="1"/>
    <col min="13066" max="13066" width="13.140625" style="547" bestFit="1" customWidth="1"/>
    <col min="13067" max="13070" width="10.5703125" style="547" bestFit="1" customWidth="1"/>
    <col min="13071" max="13071" width="9.140625" style="547"/>
    <col min="13072" max="13072" width="10.5703125" style="547" bestFit="1" customWidth="1"/>
    <col min="13073" max="13073" width="11.7109375" style="547" bestFit="1" customWidth="1"/>
    <col min="13074" max="13074" width="18.7109375" style="547" bestFit="1" customWidth="1"/>
    <col min="13075" max="13076" width="13.42578125" style="547" bestFit="1" customWidth="1"/>
    <col min="13077" max="13079" width="11.7109375" style="547" bestFit="1" customWidth="1"/>
    <col min="13080" max="13080" width="10.140625" style="547" bestFit="1" customWidth="1"/>
    <col min="13081" max="13084" width="9.140625" style="547" bestFit="1" customWidth="1"/>
    <col min="13085" max="13319" width="9.140625" style="547"/>
    <col min="13320" max="13320" width="14.42578125" style="547" customWidth="1"/>
    <col min="13321" max="13321" width="18.140625" style="547" customWidth="1"/>
    <col min="13322" max="13322" width="13.140625" style="547" bestFit="1" customWidth="1"/>
    <col min="13323" max="13326" width="10.5703125" style="547" bestFit="1" customWidth="1"/>
    <col min="13327" max="13327" width="9.140625" style="547"/>
    <col min="13328" max="13328" width="10.5703125" style="547" bestFit="1" customWidth="1"/>
    <col min="13329" max="13329" width="11.7109375" style="547" bestFit="1" customWidth="1"/>
    <col min="13330" max="13330" width="18.7109375" style="547" bestFit="1" customWidth="1"/>
    <col min="13331" max="13332" width="13.42578125" style="547" bestFit="1" customWidth="1"/>
    <col min="13333" max="13335" width="11.7109375" style="547" bestFit="1" customWidth="1"/>
    <col min="13336" max="13336" width="10.140625" style="547" bestFit="1" customWidth="1"/>
    <col min="13337" max="13340" width="9.140625" style="547" bestFit="1" customWidth="1"/>
    <col min="13341" max="13575" width="9.140625" style="547"/>
    <col min="13576" max="13576" width="14.42578125" style="547" customWidth="1"/>
    <col min="13577" max="13577" width="18.140625" style="547" customWidth="1"/>
    <col min="13578" max="13578" width="13.140625" style="547" bestFit="1" customWidth="1"/>
    <col min="13579" max="13582" width="10.5703125" style="547" bestFit="1" customWidth="1"/>
    <col min="13583" max="13583" width="9.140625" style="547"/>
    <col min="13584" max="13584" width="10.5703125" style="547" bestFit="1" customWidth="1"/>
    <col min="13585" max="13585" width="11.7109375" style="547" bestFit="1" customWidth="1"/>
    <col min="13586" max="13586" width="18.7109375" style="547" bestFit="1" customWidth="1"/>
    <col min="13587" max="13588" width="13.42578125" style="547" bestFit="1" customWidth="1"/>
    <col min="13589" max="13591" width="11.7109375" style="547" bestFit="1" customWidth="1"/>
    <col min="13592" max="13592" width="10.140625" style="547" bestFit="1" customWidth="1"/>
    <col min="13593" max="13596" width="9.140625" style="547" bestFit="1" customWidth="1"/>
    <col min="13597" max="13831" width="9.140625" style="547"/>
    <col min="13832" max="13832" width="14.42578125" style="547" customWidth="1"/>
    <col min="13833" max="13833" width="18.140625" style="547" customWidth="1"/>
    <col min="13834" max="13834" width="13.140625" style="547" bestFit="1" customWidth="1"/>
    <col min="13835" max="13838" width="10.5703125" style="547" bestFit="1" customWidth="1"/>
    <col min="13839" max="13839" width="9.140625" style="547"/>
    <col min="13840" max="13840" width="10.5703125" style="547" bestFit="1" customWidth="1"/>
    <col min="13841" max="13841" width="11.7109375" style="547" bestFit="1" customWidth="1"/>
    <col min="13842" max="13842" width="18.7109375" style="547" bestFit="1" customWidth="1"/>
    <col min="13843" max="13844" width="13.42578125" style="547" bestFit="1" customWidth="1"/>
    <col min="13845" max="13847" width="11.7109375" style="547" bestFit="1" customWidth="1"/>
    <col min="13848" max="13848" width="10.140625" style="547" bestFit="1" customWidth="1"/>
    <col min="13849" max="13852" width="9.140625" style="547" bestFit="1" customWidth="1"/>
    <col min="13853" max="14087" width="9.140625" style="547"/>
    <col min="14088" max="14088" width="14.42578125" style="547" customWidth="1"/>
    <col min="14089" max="14089" width="18.140625" style="547" customWidth="1"/>
    <col min="14090" max="14090" width="13.140625" style="547" bestFit="1" customWidth="1"/>
    <col min="14091" max="14094" width="10.5703125" style="547" bestFit="1" customWidth="1"/>
    <col min="14095" max="14095" width="9.140625" style="547"/>
    <col min="14096" max="14096" width="10.5703125" style="547" bestFit="1" customWidth="1"/>
    <col min="14097" max="14097" width="11.7109375" style="547" bestFit="1" customWidth="1"/>
    <col min="14098" max="14098" width="18.7109375" style="547" bestFit="1" customWidth="1"/>
    <col min="14099" max="14100" width="13.42578125" style="547" bestFit="1" customWidth="1"/>
    <col min="14101" max="14103" width="11.7109375" style="547" bestFit="1" customWidth="1"/>
    <col min="14104" max="14104" width="10.140625" style="547" bestFit="1" customWidth="1"/>
    <col min="14105" max="14108" width="9.140625" style="547" bestFit="1" customWidth="1"/>
    <col min="14109" max="14343" width="9.140625" style="547"/>
    <col min="14344" max="14344" width="14.42578125" style="547" customWidth="1"/>
    <col min="14345" max="14345" width="18.140625" style="547" customWidth="1"/>
    <col min="14346" max="14346" width="13.140625" style="547" bestFit="1" customWidth="1"/>
    <col min="14347" max="14350" width="10.5703125" style="547" bestFit="1" customWidth="1"/>
    <col min="14351" max="14351" width="9.140625" style="547"/>
    <col min="14352" max="14352" width="10.5703125" style="547" bestFit="1" customWidth="1"/>
    <col min="14353" max="14353" width="11.7109375" style="547" bestFit="1" customWidth="1"/>
    <col min="14354" max="14354" width="18.7109375" style="547" bestFit="1" customWidth="1"/>
    <col min="14355" max="14356" width="13.42578125" style="547" bestFit="1" customWidth="1"/>
    <col min="14357" max="14359" width="11.7109375" style="547" bestFit="1" customWidth="1"/>
    <col min="14360" max="14360" width="10.140625" style="547" bestFit="1" customWidth="1"/>
    <col min="14361" max="14364" width="9.140625" style="547" bestFit="1" customWidth="1"/>
    <col min="14365" max="14599" width="9.140625" style="547"/>
    <col min="14600" max="14600" width="14.42578125" style="547" customWidth="1"/>
    <col min="14601" max="14601" width="18.140625" style="547" customWidth="1"/>
    <col min="14602" max="14602" width="13.140625" style="547" bestFit="1" customWidth="1"/>
    <col min="14603" max="14606" width="10.5703125" style="547" bestFit="1" customWidth="1"/>
    <col min="14607" max="14607" width="9.140625" style="547"/>
    <col min="14608" max="14608" width="10.5703125" style="547" bestFit="1" customWidth="1"/>
    <col min="14609" max="14609" width="11.7109375" style="547" bestFit="1" customWidth="1"/>
    <col min="14610" max="14610" width="18.7109375" style="547" bestFit="1" customWidth="1"/>
    <col min="14611" max="14612" width="13.42578125" style="547" bestFit="1" customWidth="1"/>
    <col min="14613" max="14615" width="11.7109375" style="547" bestFit="1" customWidth="1"/>
    <col min="14616" max="14616" width="10.140625" style="547" bestFit="1" customWidth="1"/>
    <col min="14617" max="14620" width="9.140625" style="547" bestFit="1" customWidth="1"/>
    <col min="14621" max="14855" width="9.140625" style="547"/>
    <col min="14856" max="14856" width="14.42578125" style="547" customWidth="1"/>
    <col min="14857" max="14857" width="18.140625" style="547" customWidth="1"/>
    <col min="14858" max="14858" width="13.140625" style="547" bestFit="1" customWidth="1"/>
    <col min="14859" max="14862" width="10.5703125" style="547" bestFit="1" customWidth="1"/>
    <col min="14863" max="14863" width="9.140625" style="547"/>
    <col min="14864" max="14864" width="10.5703125" style="547" bestFit="1" customWidth="1"/>
    <col min="14865" max="14865" width="11.7109375" style="547" bestFit="1" customWidth="1"/>
    <col min="14866" max="14866" width="18.7109375" style="547" bestFit="1" customWidth="1"/>
    <col min="14867" max="14868" width="13.42578125" style="547" bestFit="1" customWidth="1"/>
    <col min="14869" max="14871" width="11.7109375" style="547" bestFit="1" customWidth="1"/>
    <col min="14872" max="14872" width="10.140625" style="547" bestFit="1" customWidth="1"/>
    <col min="14873" max="14876" width="9.140625" style="547" bestFit="1" customWidth="1"/>
    <col min="14877" max="15111" width="9.140625" style="547"/>
    <col min="15112" max="15112" width="14.42578125" style="547" customWidth="1"/>
    <col min="15113" max="15113" width="18.140625" style="547" customWidth="1"/>
    <col min="15114" max="15114" width="13.140625" style="547" bestFit="1" customWidth="1"/>
    <col min="15115" max="15118" width="10.5703125" style="547" bestFit="1" customWidth="1"/>
    <col min="15119" max="15119" width="9.140625" style="547"/>
    <col min="15120" max="15120" width="10.5703125" style="547" bestFit="1" customWidth="1"/>
    <col min="15121" max="15121" width="11.7109375" style="547" bestFit="1" customWidth="1"/>
    <col min="15122" max="15122" width="18.7109375" style="547" bestFit="1" customWidth="1"/>
    <col min="15123" max="15124" width="13.42578125" style="547" bestFit="1" customWidth="1"/>
    <col min="15125" max="15127" width="11.7109375" style="547" bestFit="1" customWidth="1"/>
    <col min="15128" max="15128" width="10.140625" style="547" bestFit="1" customWidth="1"/>
    <col min="15129" max="15132" width="9.140625" style="547" bestFit="1" customWidth="1"/>
    <col min="15133" max="15367" width="9.140625" style="547"/>
    <col min="15368" max="15368" width="14.42578125" style="547" customWidth="1"/>
    <col min="15369" max="15369" width="18.140625" style="547" customWidth="1"/>
    <col min="15370" max="15370" width="13.140625" style="547" bestFit="1" customWidth="1"/>
    <col min="15371" max="15374" width="10.5703125" style="547" bestFit="1" customWidth="1"/>
    <col min="15375" max="15375" width="9.140625" style="547"/>
    <col min="15376" max="15376" width="10.5703125" style="547" bestFit="1" customWidth="1"/>
    <col min="15377" max="15377" width="11.7109375" style="547" bestFit="1" customWidth="1"/>
    <col min="15378" max="15378" width="18.7109375" style="547" bestFit="1" customWidth="1"/>
    <col min="15379" max="15380" width="13.42578125" style="547" bestFit="1" customWidth="1"/>
    <col min="15381" max="15383" width="11.7109375" style="547" bestFit="1" customWidth="1"/>
    <col min="15384" max="15384" width="10.140625" style="547" bestFit="1" customWidth="1"/>
    <col min="15385" max="15388" width="9.140625" style="547" bestFit="1" customWidth="1"/>
    <col min="15389" max="15623" width="9.140625" style="547"/>
    <col min="15624" max="15624" width="14.42578125" style="547" customWidth="1"/>
    <col min="15625" max="15625" width="18.140625" style="547" customWidth="1"/>
    <col min="15626" max="15626" width="13.140625" style="547" bestFit="1" customWidth="1"/>
    <col min="15627" max="15630" width="10.5703125" style="547" bestFit="1" customWidth="1"/>
    <col min="15631" max="15631" width="9.140625" style="547"/>
    <col min="15632" max="15632" width="10.5703125" style="547" bestFit="1" customWidth="1"/>
    <col min="15633" max="15633" width="11.7109375" style="547" bestFit="1" customWidth="1"/>
    <col min="15634" max="15634" width="18.7109375" style="547" bestFit="1" customWidth="1"/>
    <col min="15635" max="15636" width="13.42578125" style="547" bestFit="1" customWidth="1"/>
    <col min="15637" max="15639" width="11.7109375" style="547" bestFit="1" customWidth="1"/>
    <col min="15640" max="15640" width="10.140625" style="547" bestFit="1" customWidth="1"/>
    <col min="15641" max="15644" width="9.140625" style="547" bestFit="1" customWidth="1"/>
    <col min="15645" max="15879" width="9.140625" style="547"/>
    <col min="15880" max="15880" width="14.42578125" style="547" customWidth="1"/>
    <col min="15881" max="15881" width="18.140625" style="547" customWidth="1"/>
    <col min="15882" max="15882" width="13.140625" style="547" bestFit="1" customWidth="1"/>
    <col min="15883" max="15886" width="10.5703125" style="547" bestFit="1" customWidth="1"/>
    <col min="15887" max="15887" width="9.140625" style="547"/>
    <col min="15888" max="15888" width="10.5703125" style="547" bestFit="1" customWidth="1"/>
    <col min="15889" max="15889" width="11.7109375" style="547" bestFit="1" customWidth="1"/>
    <col min="15890" max="15890" width="18.7109375" style="547" bestFit="1" customWidth="1"/>
    <col min="15891" max="15892" width="13.42578125" style="547" bestFit="1" customWidth="1"/>
    <col min="15893" max="15895" width="11.7109375" style="547" bestFit="1" customWidth="1"/>
    <col min="15896" max="15896" width="10.140625" style="547" bestFit="1" customWidth="1"/>
    <col min="15897" max="15900" width="9.140625" style="547" bestFit="1" customWidth="1"/>
    <col min="15901" max="16135" width="9.140625" style="547"/>
    <col min="16136" max="16136" width="14.42578125" style="547" customWidth="1"/>
    <col min="16137" max="16137" width="18.140625" style="547" customWidth="1"/>
    <col min="16138" max="16138" width="13.140625" style="547" bestFit="1" customWidth="1"/>
    <col min="16139" max="16142" width="10.5703125" style="547" bestFit="1" customWidth="1"/>
    <col min="16143" max="16143" width="9.140625" style="547"/>
    <col min="16144" max="16144" width="10.5703125" style="547" bestFit="1" customWidth="1"/>
    <col min="16145" max="16145" width="11.7109375" style="547" bestFit="1" customWidth="1"/>
    <col min="16146" max="16146" width="18.7109375" style="547" bestFit="1" customWidth="1"/>
    <col min="16147" max="16148" width="13.42578125" style="547" bestFit="1" customWidth="1"/>
    <col min="16149" max="16151" width="11.7109375" style="547" bestFit="1" customWidth="1"/>
    <col min="16152" max="16152" width="10.140625" style="547" bestFit="1" customWidth="1"/>
    <col min="16153" max="16156" width="9.140625" style="547" bestFit="1" customWidth="1"/>
    <col min="16157" max="16384" width="9.140625" style="547"/>
  </cols>
  <sheetData>
    <row r="1" spans="1:33">
      <c r="G1" s="774">
        <f>((G3/C3)^(1/5))-1</f>
        <v>0.44670241847556569</v>
      </c>
      <c r="H1" s="774">
        <f>((H3/D3)^(1/5))-1</f>
        <v>0.41559405126396376</v>
      </c>
      <c r="I1" s="774">
        <f>((I3/E3)^(1/5))-1</f>
        <v>0.15975501551591886</v>
      </c>
      <c r="J1" s="538">
        <f>((J3/F3)^(1/5))-1</f>
        <v>0.23903014930525512</v>
      </c>
      <c r="K1" s="538">
        <f>((O3/K3)^(1/4))-1</f>
        <v>0.11229241061522099</v>
      </c>
    </row>
    <row r="2" spans="1:33" ht="13.5" thickBot="1">
      <c r="A2" s="548" t="s">
        <v>654</v>
      </c>
      <c r="B2" s="765"/>
      <c r="C2" s="775">
        <v>2007</v>
      </c>
      <c r="D2" s="775">
        <v>2008</v>
      </c>
      <c r="E2" s="775">
        <v>2009</v>
      </c>
      <c r="F2" s="775">
        <v>2010</v>
      </c>
      <c r="G2" s="775">
        <v>2011</v>
      </c>
      <c r="H2" s="775">
        <v>2012</v>
      </c>
      <c r="I2" s="775">
        <v>2013</v>
      </c>
      <c r="J2" s="766">
        <v>2014</v>
      </c>
      <c r="K2" s="766">
        <v>2015</v>
      </c>
      <c r="L2" s="766">
        <v>2016</v>
      </c>
      <c r="M2" s="766">
        <v>2017</v>
      </c>
      <c r="N2" s="766">
        <v>2018</v>
      </c>
      <c r="O2" s="766">
        <v>2019</v>
      </c>
      <c r="P2" s="766">
        <v>2020</v>
      </c>
      <c r="Q2" s="766" t="s">
        <v>861</v>
      </c>
      <c r="R2" s="767" t="s">
        <v>655</v>
      </c>
      <c r="T2" s="634"/>
      <c r="U2" s="655">
        <v>2014</v>
      </c>
      <c r="V2" s="655">
        <f t="shared" ref="V2:AG2" si="0">U2+1</f>
        <v>2015</v>
      </c>
      <c r="W2" s="655">
        <f t="shared" si="0"/>
        <v>2016</v>
      </c>
      <c r="X2" s="655">
        <f t="shared" si="0"/>
        <v>2017</v>
      </c>
      <c r="Y2" s="655">
        <f t="shared" si="0"/>
        <v>2018</v>
      </c>
      <c r="Z2" s="655">
        <f t="shared" si="0"/>
        <v>2019</v>
      </c>
      <c r="AA2" s="655">
        <f t="shared" si="0"/>
        <v>2020</v>
      </c>
      <c r="AB2" s="655">
        <f t="shared" si="0"/>
        <v>2021</v>
      </c>
      <c r="AC2" s="655">
        <f t="shared" si="0"/>
        <v>2022</v>
      </c>
      <c r="AD2" s="655">
        <f t="shared" si="0"/>
        <v>2023</v>
      </c>
      <c r="AE2" s="655">
        <f t="shared" si="0"/>
        <v>2024</v>
      </c>
      <c r="AF2" s="655">
        <f t="shared" si="0"/>
        <v>2025</v>
      </c>
      <c r="AG2" s="655">
        <f t="shared" si="0"/>
        <v>2026</v>
      </c>
    </row>
    <row r="3" spans="1:33">
      <c r="B3" s="765" t="s">
        <v>26</v>
      </c>
      <c r="C3" s="776">
        <v>28607.37138</v>
      </c>
      <c r="D3" s="776">
        <v>28610.676713000001</v>
      </c>
      <c r="E3" s="776">
        <v>84909.410818000004</v>
      </c>
      <c r="F3" s="776">
        <v>103711.442446</v>
      </c>
      <c r="G3" s="776">
        <v>181290.059461</v>
      </c>
      <c r="H3" s="776">
        <v>162637.90627199999</v>
      </c>
      <c r="I3" s="776">
        <v>178150.532224</v>
      </c>
      <c r="J3" s="768">
        <f>I3*1.7</f>
        <v>302855.90478079999</v>
      </c>
      <c r="K3" s="768">
        <f>J3*(1.2+0.6)</f>
        <v>545140.62860543991</v>
      </c>
      <c r="L3" s="768">
        <f>K3*1.15</f>
        <v>626911.7228962559</v>
      </c>
      <c r="M3" s="768">
        <f>L3*1.1</f>
        <v>689602.89518588153</v>
      </c>
      <c r="N3" s="768">
        <f>M3*1.1</f>
        <v>758563.18470446975</v>
      </c>
      <c r="O3" s="768">
        <f>N3*1.1</f>
        <v>834419.50317491684</v>
      </c>
      <c r="P3" s="768">
        <f>O3*1.1</f>
        <v>917861.45349240862</v>
      </c>
      <c r="Q3" s="768"/>
      <c r="R3" s="769">
        <f>AVERAGE(G3:I3)</f>
        <v>174026.16598566665</v>
      </c>
      <c r="T3" s="656" t="s">
        <v>756</v>
      </c>
      <c r="U3" s="657">
        <f t="shared" ref="U3:AG3" si="1">1-U8</f>
        <v>0.8</v>
      </c>
      <c r="V3" s="657">
        <f t="shared" si="1"/>
        <v>0.66666666666666674</v>
      </c>
      <c r="W3" s="657">
        <f t="shared" si="1"/>
        <v>0.66666666666666674</v>
      </c>
      <c r="X3" s="657">
        <f t="shared" si="1"/>
        <v>0.66666666666666674</v>
      </c>
      <c r="Y3" s="657">
        <f t="shared" si="1"/>
        <v>0.66666666666666674</v>
      </c>
      <c r="Z3" s="657">
        <f t="shared" si="1"/>
        <v>0.66666666666666674</v>
      </c>
      <c r="AA3" s="657">
        <f t="shared" si="1"/>
        <v>0.66666666666666674</v>
      </c>
      <c r="AB3" s="657">
        <f t="shared" si="1"/>
        <v>0.66666666666666674</v>
      </c>
      <c r="AC3" s="657">
        <f t="shared" si="1"/>
        <v>0.66666666666666674</v>
      </c>
      <c r="AD3" s="657">
        <f t="shared" si="1"/>
        <v>0.66666666666666674</v>
      </c>
      <c r="AE3" s="657">
        <f t="shared" si="1"/>
        <v>0.66666666666666674</v>
      </c>
      <c r="AF3" s="657">
        <f t="shared" si="1"/>
        <v>0.66666666666666674</v>
      </c>
      <c r="AG3" s="657">
        <f t="shared" si="1"/>
        <v>0.66666666666666674</v>
      </c>
    </row>
    <row r="4" spans="1:33">
      <c r="B4" s="765" t="s">
        <v>432</v>
      </c>
      <c r="C4" s="776">
        <v>3518.221376</v>
      </c>
      <c r="D4" s="776">
        <v>4046.6697389999999</v>
      </c>
      <c r="E4" s="776">
        <v>6118.7113820000004</v>
      </c>
      <c r="F4" s="776">
        <v>17243.130611</v>
      </c>
      <c r="G4" s="776">
        <v>21834.334036</v>
      </c>
      <c r="H4" s="776">
        <v>34934.806834000003</v>
      </c>
      <c r="I4" s="776">
        <v>46431.682643</v>
      </c>
      <c r="J4" s="768">
        <f>(1-J5)*J3</f>
        <v>75713.976195199997</v>
      </c>
      <c r="K4" s="768">
        <f t="shared" ref="K4:P4" si="2">K3*(1-K5)</f>
        <v>136285.15715135998</v>
      </c>
      <c r="L4" s="768">
        <f t="shared" si="2"/>
        <v>156727.93072406398</v>
      </c>
      <c r="M4" s="768">
        <f t="shared" si="2"/>
        <v>172400.72379647038</v>
      </c>
      <c r="N4" s="768">
        <f t="shared" si="2"/>
        <v>189640.79617611744</v>
      </c>
      <c r="O4" s="768">
        <f t="shared" si="2"/>
        <v>208604.87579372921</v>
      </c>
      <c r="P4" s="768">
        <f t="shared" si="2"/>
        <v>229465.36337310215</v>
      </c>
      <c r="Q4" s="768"/>
      <c r="R4" s="765"/>
      <c r="T4" s="641" t="s">
        <v>610</v>
      </c>
      <c r="U4" s="802">
        <v>1.5</v>
      </c>
      <c r="V4" s="802">
        <f t="shared" ref="V4:AG4" si="3">U4</f>
        <v>1.5</v>
      </c>
      <c r="W4" s="802">
        <f t="shared" si="3"/>
        <v>1.5</v>
      </c>
      <c r="X4" s="802">
        <f t="shared" si="3"/>
        <v>1.5</v>
      </c>
      <c r="Y4" s="802">
        <f t="shared" si="3"/>
        <v>1.5</v>
      </c>
      <c r="Z4" s="802">
        <f t="shared" si="3"/>
        <v>1.5</v>
      </c>
      <c r="AA4" s="802">
        <f t="shared" si="3"/>
        <v>1.5</v>
      </c>
      <c r="AB4" s="802">
        <f t="shared" si="3"/>
        <v>1.5</v>
      </c>
      <c r="AC4" s="659">
        <f t="shared" si="3"/>
        <v>1.5</v>
      </c>
      <c r="AD4" s="659">
        <f t="shared" si="3"/>
        <v>1.5</v>
      </c>
      <c r="AE4" s="659">
        <f t="shared" si="3"/>
        <v>1.5</v>
      </c>
      <c r="AF4" s="659">
        <f t="shared" si="3"/>
        <v>1.5</v>
      </c>
      <c r="AG4" s="659">
        <f t="shared" si="3"/>
        <v>1.5</v>
      </c>
    </row>
    <row r="5" spans="1:33">
      <c r="B5" s="765" t="s">
        <v>197</v>
      </c>
      <c r="C5" s="777">
        <f t="shared" ref="C5:H5" si="4">1-C4/C3</f>
        <v>0.87701696428985221</v>
      </c>
      <c r="D5" s="777">
        <f t="shared" si="4"/>
        <v>0.85856085196470411</v>
      </c>
      <c r="E5" s="777">
        <f t="shared" si="4"/>
        <v>0.92793836015285491</v>
      </c>
      <c r="F5" s="777">
        <f t="shared" si="4"/>
        <v>0.83373936178760533</v>
      </c>
      <c r="G5" s="777">
        <f t="shared" si="4"/>
        <v>0.87956132784711727</v>
      </c>
      <c r="H5" s="777">
        <f t="shared" si="4"/>
        <v>0.78519886516754522</v>
      </c>
      <c r="I5" s="777">
        <f>1-I4/I3</f>
        <v>0.73936826310112569</v>
      </c>
      <c r="J5" s="770">
        <v>0.75</v>
      </c>
      <c r="K5" s="770">
        <v>0.75</v>
      </c>
      <c r="L5" s="770">
        <f>K5</f>
        <v>0.75</v>
      </c>
      <c r="M5" s="770">
        <f>L5</f>
        <v>0.75</v>
      </c>
      <c r="N5" s="770">
        <f>M5</f>
        <v>0.75</v>
      </c>
      <c r="O5" s="770">
        <f>N5</f>
        <v>0.75</v>
      </c>
      <c r="P5" s="770">
        <f>O5</f>
        <v>0.75</v>
      </c>
      <c r="Q5" s="770"/>
      <c r="R5" s="771">
        <f>I5</f>
        <v>0.73936826310112569</v>
      </c>
      <c r="T5" s="641" t="s">
        <v>757</v>
      </c>
      <c r="U5" s="803">
        <v>5.5E-2</v>
      </c>
      <c r="V5" s="803">
        <v>5.5E-2</v>
      </c>
      <c r="W5" s="803">
        <v>5.5E-2</v>
      </c>
      <c r="X5" s="803">
        <v>5.5E-2</v>
      </c>
      <c r="Y5" s="803">
        <v>5.5E-2</v>
      </c>
      <c r="Z5" s="803">
        <v>5.5E-2</v>
      </c>
      <c r="AA5" s="803">
        <v>5.5E-2</v>
      </c>
      <c r="AB5" s="803">
        <v>5.5E-2</v>
      </c>
      <c r="AC5" s="803">
        <v>5.5E-2</v>
      </c>
      <c r="AD5" s="803">
        <v>5.5E-2</v>
      </c>
      <c r="AE5" s="803">
        <v>5.5E-2</v>
      </c>
      <c r="AF5" s="803">
        <v>5.5E-2</v>
      </c>
      <c r="AG5" s="803">
        <v>5.5E-2</v>
      </c>
    </row>
    <row r="6" spans="1:33" outlineLevel="1">
      <c r="B6" s="765" t="s">
        <v>656</v>
      </c>
      <c r="C6" s="776">
        <f>5283.724015+4482.122432</f>
        <v>9765.8464469999999</v>
      </c>
      <c r="D6" s="776">
        <f>7905.58879+8711.750827</f>
        <v>16617.339616999998</v>
      </c>
      <c r="E6" s="776">
        <f>18678.027708+23742.199102</f>
        <v>42420.22681</v>
      </c>
      <c r="F6" s="776"/>
      <c r="G6" s="776"/>
      <c r="H6" s="776"/>
      <c r="I6" s="776"/>
      <c r="J6" s="765"/>
      <c r="K6" s="765"/>
      <c r="L6" s="765"/>
      <c r="M6" s="765"/>
      <c r="N6" s="765"/>
      <c r="O6" s="765"/>
      <c r="P6" s="765"/>
      <c r="Q6" s="765"/>
      <c r="R6" s="765"/>
      <c r="T6" s="641" t="s">
        <v>609</v>
      </c>
      <c r="U6" s="803">
        <v>7.0000000000000007E-2</v>
      </c>
      <c r="V6" s="803">
        <v>7.0000000000000007E-2</v>
      </c>
      <c r="W6" s="803">
        <v>7.0000000000000007E-2</v>
      </c>
      <c r="X6" s="803">
        <v>7.0000000000000007E-2</v>
      </c>
      <c r="Y6" s="803">
        <v>7.0000000000000007E-2</v>
      </c>
      <c r="Z6" s="803">
        <v>7.0000000000000007E-2</v>
      </c>
      <c r="AA6" s="803">
        <v>7.0000000000000007E-2</v>
      </c>
      <c r="AB6" s="803">
        <v>7.0000000000000007E-2</v>
      </c>
      <c r="AC6" s="662">
        <v>7.0000000000000007E-2</v>
      </c>
      <c r="AD6" s="662">
        <v>7.0000000000000007E-2</v>
      </c>
      <c r="AE6" s="662">
        <v>7.0000000000000007E-2</v>
      </c>
      <c r="AF6" s="662">
        <v>7.0000000000000007E-2</v>
      </c>
      <c r="AG6" s="663">
        <v>7.0000000000000007E-2</v>
      </c>
    </row>
    <row r="7" spans="1:33" outlineLevel="1">
      <c r="B7" s="765" t="s">
        <v>287</v>
      </c>
      <c r="C7" s="776">
        <f>C3-C4-C6</f>
        <v>15323.303556999999</v>
      </c>
      <c r="D7" s="776">
        <f>D3-D4-D6</f>
        <v>7946.6673570000021</v>
      </c>
      <c r="E7" s="776">
        <f>E3-E4-E6</f>
        <v>36370.47262600001</v>
      </c>
      <c r="F7" s="776"/>
      <c r="G7" s="776"/>
      <c r="H7" s="776"/>
      <c r="I7" s="776"/>
      <c r="J7" s="768">
        <f>J8*J3</f>
        <v>181713.54286848</v>
      </c>
      <c r="K7" s="768">
        <f t="shared" ref="K7:P7" si="5">K8*K3</f>
        <v>327084.37716326391</v>
      </c>
      <c r="L7" s="768">
        <f t="shared" si="5"/>
        <v>376147.03373775352</v>
      </c>
      <c r="M7" s="768">
        <f t="shared" si="5"/>
        <v>413761.73711152893</v>
      </c>
      <c r="N7" s="768">
        <f t="shared" si="5"/>
        <v>455137.91082268185</v>
      </c>
      <c r="O7" s="768">
        <f t="shared" si="5"/>
        <v>500651.70190495008</v>
      </c>
      <c r="P7" s="768">
        <f t="shared" si="5"/>
        <v>550716.87209544517</v>
      </c>
      <c r="Q7" s="768"/>
      <c r="R7" s="768">
        <f>R3*R8</f>
        <v>59868.660247900181</v>
      </c>
      <c r="T7" s="641" t="s">
        <v>758</v>
      </c>
      <c r="U7" s="898">
        <f t="shared" ref="U7:AG7" si="6">U4*U6+U5</f>
        <v>0.16</v>
      </c>
      <c r="V7" s="898">
        <f t="shared" si="6"/>
        <v>0.16</v>
      </c>
      <c r="W7" s="898">
        <f t="shared" si="6"/>
        <v>0.16</v>
      </c>
      <c r="X7" s="898">
        <f t="shared" si="6"/>
        <v>0.16</v>
      </c>
      <c r="Y7" s="898">
        <f t="shared" si="6"/>
        <v>0.16</v>
      </c>
      <c r="Z7" s="898">
        <f t="shared" si="6"/>
        <v>0.16</v>
      </c>
      <c r="AA7" s="898">
        <f t="shared" si="6"/>
        <v>0.16</v>
      </c>
      <c r="AB7" s="898">
        <f t="shared" si="6"/>
        <v>0.16</v>
      </c>
      <c r="AC7" s="898">
        <f t="shared" si="6"/>
        <v>0.16</v>
      </c>
      <c r="AD7" s="898">
        <f t="shared" si="6"/>
        <v>0.16</v>
      </c>
      <c r="AE7" s="898">
        <f t="shared" si="6"/>
        <v>0.16</v>
      </c>
      <c r="AF7" s="898">
        <f t="shared" si="6"/>
        <v>0.16</v>
      </c>
      <c r="AG7" s="898">
        <f t="shared" si="6"/>
        <v>0.16</v>
      </c>
    </row>
    <row r="8" spans="1:33" outlineLevel="1">
      <c r="B8" s="765" t="s">
        <v>657</v>
      </c>
      <c r="C8" s="777">
        <f>C7/C3</f>
        <v>0.53564178803624141</v>
      </c>
      <c r="D8" s="777">
        <f>D7/D3</f>
        <v>0.27775181400687488</v>
      </c>
      <c r="E8" s="777">
        <f>E7/E3</f>
        <v>0.42834442349339452</v>
      </c>
      <c r="F8" s="776"/>
      <c r="G8" s="776"/>
      <c r="H8" s="776"/>
      <c r="I8" s="978"/>
      <c r="J8" s="772">
        <v>0.6</v>
      </c>
      <c r="K8" s="772">
        <f t="shared" ref="K8:P8" si="7">J8</f>
        <v>0.6</v>
      </c>
      <c r="L8" s="772">
        <f t="shared" si="7"/>
        <v>0.6</v>
      </c>
      <c r="M8" s="772">
        <f t="shared" si="7"/>
        <v>0.6</v>
      </c>
      <c r="N8" s="772">
        <f t="shared" si="7"/>
        <v>0.6</v>
      </c>
      <c r="O8" s="772">
        <f t="shared" si="7"/>
        <v>0.6</v>
      </c>
      <c r="P8" s="772">
        <f t="shared" si="7"/>
        <v>0.6</v>
      </c>
      <c r="Q8" s="772"/>
      <c r="R8" s="771">
        <f>R9*R5</f>
        <v>0.34402102642904375</v>
      </c>
      <c r="T8" s="641" t="s">
        <v>759</v>
      </c>
      <c r="U8" s="661">
        <v>0.2</v>
      </c>
      <c r="V8" s="661">
        <f>1/3</f>
        <v>0.33333333333333331</v>
      </c>
      <c r="W8" s="661">
        <f t="shared" ref="W8:AG9" si="8">V8</f>
        <v>0.33333333333333331</v>
      </c>
      <c r="X8" s="661">
        <f t="shared" si="8"/>
        <v>0.33333333333333331</v>
      </c>
      <c r="Y8" s="661">
        <f t="shared" si="8"/>
        <v>0.33333333333333331</v>
      </c>
      <c r="Z8" s="661">
        <f t="shared" si="8"/>
        <v>0.33333333333333331</v>
      </c>
      <c r="AA8" s="661">
        <f t="shared" si="8"/>
        <v>0.33333333333333331</v>
      </c>
      <c r="AB8" s="661">
        <f t="shared" si="8"/>
        <v>0.33333333333333331</v>
      </c>
      <c r="AC8" s="661">
        <f t="shared" si="8"/>
        <v>0.33333333333333331</v>
      </c>
      <c r="AD8" s="661">
        <f t="shared" si="8"/>
        <v>0.33333333333333331</v>
      </c>
      <c r="AE8" s="661">
        <f t="shared" si="8"/>
        <v>0.33333333333333331</v>
      </c>
      <c r="AF8" s="661">
        <f t="shared" si="8"/>
        <v>0.33333333333333331</v>
      </c>
      <c r="AG8" s="661">
        <f t="shared" si="8"/>
        <v>0.33333333333333331</v>
      </c>
    </row>
    <row r="9" spans="1:33" outlineLevel="1">
      <c r="B9" s="765" t="s">
        <v>658</v>
      </c>
      <c r="C9" s="777">
        <f>C8/C5</f>
        <v>0.61075419273100051</v>
      </c>
      <c r="D9" s="777">
        <f>D8/D5</f>
        <v>0.32350859391186565</v>
      </c>
      <c r="E9" s="777">
        <f>E8/E5</f>
        <v>0.46160870364582768</v>
      </c>
      <c r="F9" s="777"/>
      <c r="G9" s="777"/>
      <c r="H9" s="777"/>
      <c r="I9" s="777"/>
      <c r="J9" s="765"/>
      <c r="K9" s="765"/>
      <c r="L9" s="765"/>
      <c r="M9" s="765"/>
      <c r="N9" s="765"/>
      <c r="O9" s="765"/>
      <c r="P9" s="765"/>
      <c r="Q9" s="765"/>
      <c r="R9" s="771">
        <f>AVERAGE(C9:E9)</f>
        <v>0.46529049676289791</v>
      </c>
      <c r="T9" s="641" t="s">
        <v>760</v>
      </c>
      <c r="U9" s="801">
        <v>0.12</v>
      </c>
      <c r="V9" s="801">
        <f>U9-1%</f>
        <v>0.11</v>
      </c>
      <c r="W9" s="801">
        <f>V9-1%</f>
        <v>0.1</v>
      </c>
      <c r="X9" s="801">
        <v>0.1</v>
      </c>
      <c r="Y9" s="801">
        <f>X9</f>
        <v>0.1</v>
      </c>
      <c r="Z9" s="801">
        <f t="shared" si="8"/>
        <v>0.1</v>
      </c>
      <c r="AA9" s="801">
        <f t="shared" si="8"/>
        <v>0.1</v>
      </c>
      <c r="AB9" s="801">
        <f t="shared" si="8"/>
        <v>0.1</v>
      </c>
      <c r="AC9" s="801">
        <f t="shared" si="8"/>
        <v>0.1</v>
      </c>
      <c r="AD9" s="801">
        <f t="shared" si="8"/>
        <v>0.1</v>
      </c>
      <c r="AE9" s="801">
        <f t="shared" si="8"/>
        <v>0.1</v>
      </c>
      <c r="AF9" s="801">
        <f t="shared" si="8"/>
        <v>0.1</v>
      </c>
      <c r="AG9" s="801">
        <f t="shared" si="8"/>
        <v>0.1</v>
      </c>
    </row>
    <row r="10" spans="1:33" ht="13.5" outlineLevel="1" thickBot="1">
      <c r="B10" s="765" t="s">
        <v>659</v>
      </c>
      <c r="C10" s="776"/>
      <c r="D10" s="776"/>
      <c r="E10" s="776"/>
      <c r="F10" s="776"/>
      <c r="G10" s="776"/>
      <c r="H10" s="776"/>
      <c r="I10" s="776"/>
      <c r="J10" s="768">
        <f>J7*0.78</f>
        <v>141736.56343741441</v>
      </c>
      <c r="K10" s="768">
        <f t="shared" ref="K10:P10" si="9">K7*0.78</f>
        <v>255125.81418734585</v>
      </c>
      <c r="L10" s="768">
        <f t="shared" si="9"/>
        <v>293394.68631544773</v>
      </c>
      <c r="M10" s="768">
        <f t="shared" si="9"/>
        <v>322734.15494699258</v>
      </c>
      <c r="N10" s="768">
        <f t="shared" si="9"/>
        <v>355007.57044169185</v>
      </c>
      <c r="O10" s="768">
        <f t="shared" si="9"/>
        <v>390508.32748586108</v>
      </c>
      <c r="P10" s="768">
        <f t="shared" si="9"/>
        <v>429559.16023444722</v>
      </c>
      <c r="Q10" s="768">
        <f>P10*1.02/(U10-0.02)</f>
        <v>3457625.8162810612</v>
      </c>
      <c r="R10" s="768">
        <f>R7*(1-22%)</f>
        <v>46697.554993362144</v>
      </c>
      <c r="T10" s="644" t="s">
        <v>14</v>
      </c>
      <c r="U10" s="664">
        <f t="shared" ref="U10:AG10" si="10">U3*U7+(1-0.22)*U8*U9</f>
        <v>0.14672000000000002</v>
      </c>
      <c r="V10" s="664">
        <f t="shared" si="10"/>
        <v>0.1352666666666667</v>
      </c>
      <c r="W10" s="664">
        <f t="shared" si="10"/>
        <v>0.13266666666666668</v>
      </c>
      <c r="X10" s="664">
        <f t="shared" si="10"/>
        <v>0.13266666666666668</v>
      </c>
      <c r="Y10" s="664">
        <f t="shared" si="10"/>
        <v>0.13266666666666668</v>
      </c>
      <c r="Z10" s="664">
        <f t="shared" si="10"/>
        <v>0.13266666666666668</v>
      </c>
      <c r="AA10" s="664">
        <f t="shared" si="10"/>
        <v>0.13266666666666668</v>
      </c>
      <c r="AB10" s="664">
        <f t="shared" si="10"/>
        <v>0.13266666666666668</v>
      </c>
      <c r="AC10" s="664">
        <f t="shared" si="10"/>
        <v>0.13266666666666668</v>
      </c>
      <c r="AD10" s="664">
        <f t="shared" si="10"/>
        <v>0.13266666666666668</v>
      </c>
      <c r="AE10" s="664">
        <f t="shared" si="10"/>
        <v>0.13266666666666668</v>
      </c>
      <c r="AF10" s="664">
        <f t="shared" si="10"/>
        <v>0.13266666666666668</v>
      </c>
      <c r="AG10" s="664">
        <f t="shared" si="10"/>
        <v>0.13266666666666668</v>
      </c>
    </row>
    <row r="11" spans="1:33" outlineLevel="1">
      <c r="B11" s="765" t="s">
        <v>13</v>
      </c>
      <c r="C11" s="776"/>
      <c r="D11" s="776"/>
      <c r="E11" s="776"/>
      <c r="F11" s="776"/>
      <c r="G11" s="776"/>
      <c r="H11" s="776"/>
      <c r="I11" s="776"/>
      <c r="J11" s="824" t="e">
        <f>#REF!</f>
        <v>#REF!</v>
      </c>
      <c r="K11" s="824" t="e">
        <f>#REF!</f>
        <v>#REF!</v>
      </c>
      <c r="L11" s="824" t="e">
        <f>#REF!</f>
        <v>#REF!</v>
      </c>
      <c r="M11" s="824" t="e">
        <f>#REF!</f>
        <v>#REF!</v>
      </c>
      <c r="N11" s="824" t="e">
        <f>#REF!</f>
        <v>#REF!</v>
      </c>
      <c r="O11" s="824" t="e">
        <f>#REF!</f>
        <v>#REF!</v>
      </c>
      <c r="P11" s="824" t="e">
        <f>#REF!</f>
        <v>#REF!</v>
      </c>
      <c r="Q11" s="824" t="e">
        <f>P11</f>
        <v>#REF!</v>
      </c>
    </row>
    <row r="12" spans="1:33" outlineLevel="1">
      <c r="C12" s="778"/>
      <c r="D12" s="778"/>
      <c r="E12" s="778"/>
      <c r="F12" s="778"/>
      <c r="G12" s="778"/>
      <c r="H12" s="778"/>
      <c r="I12" s="778"/>
      <c r="J12" s="825" t="e">
        <f t="shared" ref="J12:Q12" si="11">J10/J11</f>
        <v>#REF!</v>
      </c>
      <c r="K12" s="825" t="e">
        <f t="shared" si="11"/>
        <v>#REF!</v>
      </c>
      <c r="L12" s="825" t="e">
        <f t="shared" si="11"/>
        <v>#REF!</v>
      </c>
      <c r="M12" s="825" t="e">
        <f t="shared" si="11"/>
        <v>#REF!</v>
      </c>
      <c r="N12" s="825" t="e">
        <f t="shared" si="11"/>
        <v>#REF!</v>
      </c>
      <c r="O12" s="825" t="e">
        <f t="shared" si="11"/>
        <v>#REF!</v>
      </c>
      <c r="P12" s="825" t="e">
        <f t="shared" si="11"/>
        <v>#REF!</v>
      </c>
      <c r="Q12" s="825" t="e">
        <f t="shared" si="11"/>
        <v>#REF!</v>
      </c>
    </row>
    <row r="13" spans="1:33" outlineLevel="1">
      <c r="C13" s="778"/>
      <c r="D13" s="778"/>
      <c r="E13" s="778"/>
      <c r="F13" s="778"/>
      <c r="G13" s="778"/>
      <c r="H13" s="778">
        <f>K3*0.6</f>
        <v>327084.37716326391</v>
      </c>
      <c r="I13" s="778"/>
      <c r="J13" s="825"/>
      <c r="K13" s="825"/>
      <c r="L13" s="825"/>
      <c r="M13" s="825"/>
      <c r="N13" s="825"/>
      <c r="O13" s="825"/>
      <c r="P13" s="825"/>
      <c r="Q13" s="825"/>
    </row>
    <row r="14" spans="1:33" outlineLevel="1">
      <c r="B14" s="547" t="s">
        <v>910</v>
      </c>
      <c r="C14" s="778"/>
      <c r="D14" s="778"/>
      <c r="E14" s="778"/>
      <c r="F14" s="778"/>
      <c r="G14" s="778"/>
      <c r="H14" s="778"/>
      <c r="I14" s="778"/>
      <c r="J14" s="825">
        <v>70000</v>
      </c>
      <c r="K14" s="825">
        <f t="shared" ref="K14:P14" si="12">J14*1.1</f>
        <v>77000</v>
      </c>
      <c r="L14" s="825">
        <f t="shared" si="12"/>
        <v>84700</v>
      </c>
      <c r="M14" s="825">
        <f t="shared" si="12"/>
        <v>93170.000000000015</v>
      </c>
      <c r="N14" s="825">
        <f t="shared" si="12"/>
        <v>102487.00000000003</v>
      </c>
      <c r="O14" s="825">
        <f t="shared" si="12"/>
        <v>112735.70000000004</v>
      </c>
      <c r="P14" s="825">
        <f t="shared" si="12"/>
        <v>124009.27000000005</v>
      </c>
      <c r="Q14" s="825">
        <f>P14/U10</f>
        <v>845210.40076335904</v>
      </c>
    </row>
    <row r="15" spans="1:33" outlineLevel="1">
      <c r="C15" s="778"/>
      <c r="D15" s="778"/>
      <c r="E15" s="778"/>
      <c r="F15" s="778"/>
      <c r="G15" s="778"/>
      <c r="H15" s="778"/>
      <c r="I15" s="778"/>
      <c r="J15" s="825" t="e">
        <f t="shared" ref="J15:Q15" si="13">J14/J11</f>
        <v>#REF!</v>
      </c>
      <c r="K15" s="825" t="e">
        <f t="shared" si="13"/>
        <v>#REF!</v>
      </c>
      <c r="L15" s="825" t="e">
        <f t="shared" si="13"/>
        <v>#REF!</v>
      </c>
      <c r="M15" s="825" t="e">
        <f t="shared" si="13"/>
        <v>#REF!</v>
      </c>
      <c r="N15" s="825" t="e">
        <f t="shared" si="13"/>
        <v>#REF!</v>
      </c>
      <c r="O15" s="825" t="e">
        <f t="shared" si="13"/>
        <v>#REF!</v>
      </c>
      <c r="P15" s="825" t="e">
        <f t="shared" si="13"/>
        <v>#REF!</v>
      </c>
      <c r="Q15" s="825" t="e">
        <f t="shared" si="13"/>
        <v>#REF!</v>
      </c>
    </row>
    <row r="16" spans="1:33" outlineLevel="1">
      <c r="B16" s="767" t="s">
        <v>1104</v>
      </c>
      <c r="C16" s="778"/>
      <c r="D16" s="778"/>
      <c r="E16" s="778"/>
      <c r="F16" s="778"/>
      <c r="G16" s="778"/>
      <c r="H16" s="778"/>
      <c r="I16" s="778"/>
      <c r="J16" s="825" t="e">
        <f>SUM(J12:Q12)</f>
        <v>#REF!</v>
      </c>
      <c r="K16" s="825"/>
      <c r="L16" s="825"/>
      <c r="M16" s="825"/>
      <c r="N16" s="825"/>
      <c r="O16" s="825"/>
      <c r="P16" s="825"/>
      <c r="Q16" s="825"/>
    </row>
    <row r="17" spans="2:17" outlineLevel="1">
      <c r="B17" s="767"/>
      <c r="C17" s="778"/>
      <c r="D17" s="778"/>
      <c r="E17" s="778"/>
      <c r="F17" s="778"/>
      <c r="G17" s="778"/>
      <c r="H17" s="778"/>
      <c r="I17" s="778"/>
      <c r="J17" s="825"/>
      <c r="K17" s="825"/>
      <c r="L17" s="825"/>
      <c r="M17" s="825"/>
      <c r="N17" s="825"/>
      <c r="O17" s="825"/>
      <c r="P17" s="825"/>
      <c r="Q17" s="825"/>
    </row>
    <row r="18" spans="2:17">
      <c r="B18" s="767"/>
      <c r="C18" s="778"/>
      <c r="D18" s="778"/>
      <c r="E18" s="778"/>
      <c r="F18" s="778"/>
      <c r="G18" s="778"/>
      <c r="H18" s="778"/>
      <c r="I18" s="778"/>
      <c r="J18" s="825"/>
      <c r="K18" s="825"/>
      <c r="L18" s="825"/>
      <c r="M18" s="825"/>
      <c r="N18" s="825"/>
      <c r="O18" s="825"/>
      <c r="P18" s="825"/>
      <c r="Q18" s="825"/>
    </row>
    <row r="19" spans="2:17">
      <c r="B19" s="767"/>
      <c r="C19" s="778"/>
      <c r="D19" s="778"/>
      <c r="E19" s="778"/>
      <c r="F19" s="778"/>
      <c r="G19" s="778"/>
      <c r="H19" s="778"/>
      <c r="I19" s="778"/>
      <c r="J19" s="896">
        <f>J22/J23</f>
        <v>0.58103269758169562</v>
      </c>
      <c r="K19" s="825"/>
      <c r="L19" s="825"/>
      <c r="M19" s="825"/>
      <c r="N19" s="825"/>
      <c r="O19" s="825"/>
      <c r="P19" s="825"/>
      <c r="Q19" s="825"/>
    </row>
    <row r="20" spans="2:17">
      <c r="B20" s="767"/>
      <c r="C20" s="778"/>
      <c r="D20" s="778"/>
      <c r="E20" s="778"/>
      <c r="F20" s="778"/>
      <c r="G20" s="778"/>
      <c r="H20" s="778"/>
      <c r="I20" s="778"/>
      <c r="J20" s="825"/>
      <c r="K20" s="538"/>
      <c r="L20" s="825"/>
      <c r="M20" s="825"/>
      <c r="N20" s="825"/>
      <c r="O20" s="825"/>
      <c r="P20" s="825"/>
      <c r="Q20" s="825"/>
    </row>
    <row r="21" spans="2:17">
      <c r="B21" s="767" t="s">
        <v>654</v>
      </c>
      <c r="C21" s="778"/>
      <c r="D21" s="778"/>
      <c r="E21" s="778"/>
      <c r="F21" s="778"/>
      <c r="G21" s="778"/>
      <c r="H21" s="778"/>
      <c r="I21" s="778"/>
      <c r="J21" s="825">
        <f>J23-J22</f>
        <v>95165.04108559998</v>
      </c>
      <c r="K21" s="825">
        <f t="shared" ref="K21:P21" si="14">J21</f>
        <v>95165.04108559998</v>
      </c>
      <c r="L21" s="825">
        <f t="shared" si="14"/>
        <v>95165.04108559998</v>
      </c>
      <c r="M21" s="825">
        <f t="shared" si="14"/>
        <v>95165.04108559998</v>
      </c>
      <c r="N21" s="825">
        <f t="shared" si="14"/>
        <v>95165.04108559998</v>
      </c>
      <c r="O21" s="825">
        <f t="shared" si="14"/>
        <v>95165.04108559998</v>
      </c>
      <c r="P21" s="825">
        <f t="shared" si="14"/>
        <v>95165.04108559998</v>
      </c>
      <c r="Q21" s="825"/>
    </row>
    <row r="22" spans="2:17">
      <c r="B22" s="767" t="s">
        <v>1105</v>
      </c>
      <c r="C22" s="778"/>
      <c r="D22" s="778"/>
      <c r="E22" s="778"/>
      <c r="F22" s="778"/>
      <c r="G22" s="778"/>
      <c r="H22" s="778"/>
      <c r="I22" s="778"/>
      <c r="J22" s="825">
        <f>'SI forecast'!D49+'SI forecast'!E49</f>
        <v>131976.88750000001</v>
      </c>
      <c r="K22" s="825">
        <f t="shared" ref="K22:P22" si="15">K23-K21</f>
        <v>313690.43036847998</v>
      </c>
      <c r="L22" s="825">
        <f t="shared" si="15"/>
        <v>375018.75108659192</v>
      </c>
      <c r="M22" s="825">
        <f t="shared" si="15"/>
        <v>422037.13030381117</v>
      </c>
      <c r="N22" s="825">
        <f t="shared" si="15"/>
        <v>473757.34744275239</v>
      </c>
      <c r="O22" s="825">
        <f t="shared" si="15"/>
        <v>530649.58629558771</v>
      </c>
      <c r="P22" s="825">
        <f t="shared" si="15"/>
        <v>593231.04903370654</v>
      </c>
      <c r="Q22" s="825"/>
    </row>
    <row r="23" spans="2:17">
      <c r="B23" s="767" t="s">
        <v>1104</v>
      </c>
      <c r="C23" s="778"/>
      <c r="D23" s="778"/>
      <c r="E23" s="778"/>
      <c r="F23" s="778"/>
      <c r="G23" s="778"/>
      <c r="H23" s="778"/>
      <c r="I23" s="778"/>
      <c r="J23" s="825">
        <f t="shared" ref="J23:P23" si="16">J3-J4</f>
        <v>227141.92858559999</v>
      </c>
      <c r="K23" s="825">
        <f t="shared" si="16"/>
        <v>408855.47145407996</v>
      </c>
      <c r="L23" s="825">
        <f t="shared" si="16"/>
        <v>470183.7921721919</v>
      </c>
      <c r="M23" s="825">
        <f t="shared" si="16"/>
        <v>517202.17138941115</v>
      </c>
      <c r="N23" s="825">
        <f t="shared" si="16"/>
        <v>568922.38852835237</v>
      </c>
      <c r="O23" s="825">
        <f t="shared" si="16"/>
        <v>625814.62738118763</v>
      </c>
      <c r="P23" s="825">
        <f t="shared" si="16"/>
        <v>688396.09011930646</v>
      </c>
      <c r="Q23" s="825"/>
    </row>
    <row r="24" spans="2:17">
      <c r="B24" s="767"/>
      <c r="C24" s="778"/>
      <c r="D24" s="778"/>
      <c r="E24" s="778"/>
      <c r="F24" s="778"/>
      <c r="G24" s="778"/>
      <c r="H24" s="778"/>
      <c r="I24" s="778"/>
      <c r="J24" s="825"/>
      <c r="K24" s="825"/>
      <c r="L24" s="825"/>
      <c r="M24" s="825"/>
      <c r="N24" s="825"/>
      <c r="O24" s="825"/>
      <c r="P24" s="825"/>
      <c r="Q24" s="825"/>
    </row>
    <row r="25" spans="2:17">
      <c r="B25" s="767"/>
      <c r="C25" s="778"/>
      <c r="D25" s="778"/>
      <c r="E25" s="778"/>
      <c r="F25" s="778"/>
      <c r="G25" s="778"/>
      <c r="H25" s="778"/>
      <c r="I25" s="778"/>
      <c r="J25" s="825"/>
      <c r="Q25" s="825"/>
    </row>
    <row r="26" spans="2:17">
      <c r="B26" s="767"/>
      <c r="C26" s="778"/>
      <c r="D26" s="778"/>
      <c r="E26" s="778"/>
      <c r="F26" s="778"/>
      <c r="G26" s="778"/>
      <c r="H26" s="778"/>
      <c r="I26" s="778"/>
      <c r="J26" s="825"/>
      <c r="K26" s="896"/>
      <c r="L26" s="825"/>
      <c r="M26" s="825"/>
      <c r="N26" s="825"/>
      <c r="O26" s="825"/>
      <c r="P26" s="825"/>
      <c r="Q26" s="825"/>
    </row>
    <row r="27" spans="2:17">
      <c r="B27" s="767"/>
      <c r="C27" s="778"/>
      <c r="D27" s="778"/>
      <c r="E27" s="778"/>
      <c r="F27" s="778"/>
      <c r="G27" s="778" t="s">
        <v>654</v>
      </c>
      <c r="H27" s="778"/>
      <c r="I27" s="778" t="s">
        <v>822</v>
      </c>
      <c r="J27" s="825">
        <f>J21/0.75*0.5</f>
        <v>63443.36072373332</v>
      </c>
      <c r="K27" s="825">
        <f>K21/0.75*0.5</f>
        <v>63443.36072373332</v>
      </c>
      <c r="L27" s="825">
        <f>L21/0.75*0.5</f>
        <v>63443.36072373332</v>
      </c>
      <c r="M27" s="825">
        <f>M21/0.75*0.5</f>
        <v>63443.36072373332</v>
      </c>
      <c r="N27" s="825">
        <f>N21/0.75*0.5</f>
        <v>63443.36072373332</v>
      </c>
      <c r="O27" s="825"/>
      <c r="P27" s="825"/>
      <c r="Q27" s="825"/>
    </row>
    <row r="28" spans="2:17">
      <c r="B28" s="767"/>
      <c r="C28" s="778"/>
      <c r="D28" s="778"/>
      <c r="E28" s="778"/>
      <c r="F28" s="778"/>
      <c r="G28" s="778"/>
      <c r="H28" s="778"/>
      <c r="I28" s="778" t="s">
        <v>661</v>
      </c>
      <c r="J28" s="825">
        <f>J27*0.78</f>
        <v>49485.82136451199</v>
      </c>
      <c r="K28" s="825">
        <f>K27*0.78</f>
        <v>49485.82136451199</v>
      </c>
      <c r="L28" s="825">
        <f>L27*0.78</f>
        <v>49485.82136451199</v>
      </c>
      <c r="M28" s="825">
        <f>M27*0.78</f>
        <v>49485.82136451199</v>
      </c>
      <c r="N28" s="825">
        <f>N27*0.78</f>
        <v>49485.82136451199</v>
      </c>
      <c r="O28" s="825"/>
      <c r="P28" s="825"/>
      <c r="Q28" s="893"/>
    </row>
    <row r="29" spans="2:17">
      <c r="B29" s="767"/>
      <c r="C29" s="778"/>
      <c r="D29" s="778"/>
      <c r="E29" s="778"/>
      <c r="F29" s="778"/>
      <c r="G29" s="778"/>
      <c r="H29" s="778"/>
      <c r="I29" s="778" t="s">
        <v>1113</v>
      </c>
      <c r="J29" s="896">
        <f>J3/1000/'P&amp;L'!G10*0.6</f>
        <v>0.35898950340369334</v>
      </c>
      <c r="K29" s="896">
        <f>K3/1000/'P&amp;L'!H10*0.5</f>
        <v>195.39090631019351</v>
      </c>
      <c r="L29" s="896">
        <f>L3/1000/'P&amp;L'!I10*0.4</f>
        <v>100.04508384300948</v>
      </c>
      <c r="M29" s="896">
        <f>M3/1000/'P&amp;L'!J10*0.3</f>
        <v>71.852561330251177</v>
      </c>
      <c r="N29" s="896">
        <f>N3/1000/'P&amp;L'!K10*0.3</f>
        <v>48.988880385267073</v>
      </c>
      <c r="O29" s="896"/>
      <c r="P29" s="896"/>
      <c r="Q29" s="893"/>
    </row>
    <row r="30" spans="2:17">
      <c r="B30" s="767"/>
      <c r="C30" s="778"/>
      <c r="D30" s="778"/>
      <c r="E30" s="778"/>
      <c r="F30" s="778"/>
      <c r="G30" s="778"/>
      <c r="H30" s="778"/>
      <c r="I30" s="778" t="s">
        <v>243</v>
      </c>
      <c r="J30" s="825" t="e">
        <f>#REF!*J29*1000</f>
        <v>#REF!</v>
      </c>
      <c r="K30" s="825" t="e">
        <f>#REF!*K29*1000</f>
        <v>#REF!</v>
      </c>
      <c r="L30" s="825" t="e">
        <f>#REF!*L29*1000</f>
        <v>#REF!</v>
      </c>
      <c r="M30" s="825" t="e">
        <f>#REF!*M29*1000</f>
        <v>#REF!</v>
      </c>
      <c r="N30" s="825" t="e">
        <f>#REF!*N29*1000</f>
        <v>#REF!</v>
      </c>
      <c r="O30" s="825"/>
      <c r="P30" s="825"/>
      <c r="Q30" s="893"/>
    </row>
    <row r="31" spans="2:17">
      <c r="B31" s="767"/>
      <c r="C31" s="778"/>
      <c r="D31" s="778"/>
      <c r="E31" s="778"/>
      <c r="F31" s="778"/>
      <c r="G31" s="778"/>
      <c r="H31" s="778"/>
      <c r="I31" s="778" t="s">
        <v>1112</v>
      </c>
      <c r="J31" s="825">
        <f>-'P&amp;L'!G23*(1-0.22)*1000*'Rev_NPAT (new)'!J29</f>
        <v>22.202136625405501</v>
      </c>
      <c r="K31" s="825">
        <f>-'P&amp;L'!H23*(1-0.22)*1000*'Rev_NPAT (new)'!K29</f>
        <v>1371.6441622975583</v>
      </c>
      <c r="L31" s="825">
        <f>-'P&amp;L'!I23*(1-0.22)*1000*'Rev_NPAT (new)'!L29</f>
        <v>2551.9520759195689</v>
      </c>
      <c r="M31" s="825">
        <f>-'P&amp;L'!J23*(1-0.22)*1000*'Rev_NPAT (new)'!M29</f>
        <v>3512.0535705718539</v>
      </c>
      <c r="N31" s="825">
        <f>-'P&amp;L'!K23*(1-0.22)*1000*'Rev_NPAT (new)'!N29</f>
        <v>7288.9834331070488</v>
      </c>
      <c r="O31" s="825"/>
      <c r="P31" s="825"/>
      <c r="Q31" s="893"/>
    </row>
    <row r="32" spans="2:17">
      <c r="B32" s="788">
        <f>B33/0.75</f>
        <v>306.66666666666669</v>
      </c>
      <c r="C32" s="778"/>
      <c r="D32" s="778"/>
      <c r="E32" s="778"/>
      <c r="F32" s="778"/>
      <c r="G32" s="778"/>
      <c r="H32" s="778"/>
      <c r="I32" s="778" t="s">
        <v>587</v>
      </c>
      <c r="J32" s="825" t="e">
        <f>-#REF!*'Rev_NPAT (new)'!J29*1000</f>
        <v>#REF!</v>
      </c>
      <c r="K32" s="825" t="e">
        <f>-#REF!*'Rev_NPAT (new)'!K29*1000</f>
        <v>#REF!</v>
      </c>
      <c r="L32" s="825" t="e">
        <f>-#REF!*'Rev_NPAT (new)'!L29*1000</f>
        <v>#REF!</v>
      </c>
      <c r="M32" s="825" t="e">
        <f>-#REF!*'Rev_NPAT (new)'!M29*1000</f>
        <v>#REF!</v>
      </c>
      <c r="N32" s="825" t="e">
        <f>-#REF!*'Rev_NPAT (new)'!N29*1000</f>
        <v>#REF!</v>
      </c>
      <c r="O32" s="825"/>
      <c r="P32" s="825"/>
      <c r="Q32" s="893"/>
    </row>
    <row r="33" spans="2:17">
      <c r="B33" s="767">
        <v>230</v>
      </c>
      <c r="C33" s="778"/>
      <c r="D33" s="778"/>
      <c r="E33" s="778"/>
      <c r="F33" s="778"/>
      <c r="G33" s="778"/>
      <c r="H33" s="778"/>
      <c r="I33" s="778" t="s">
        <v>1118</v>
      </c>
      <c r="J33" s="825">
        <v>0</v>
      </c>
      <c r="K33" s="825">
        <v>0</v>
      </c>
      <c r="L33" s="825">
        <v>0</v>
      </c>
      <c r="M33" s="825">
        <v>0</v>
      </c>
      <c r="N33" s="825">
        <v>0</v>
      </c>
      <c r="O33" s="825"/>
      <c r="P33" s="825"/>
      <c r="Q33" s="893"/>
    </row>
    <row r="34" spans="2:17">
      <c r="B34" s="767"/>
      <c r="C34" s="778"/>
      <c r="D34" s="778"/>
      <c r="E34" s="778"/>
      <c r="F34" s="778"/>
      <c r="G34" s="778"/>
      <c r="H34" s="778"/>
      <c r="I34" s="778" t="s">
        <v>234</v>
      </c>
      <c r="J34" s="825" t="e">
        <f>J28+J30+J31+J32+J33</f>
        <v>#REF!</v>
      </c>
      <c r="K34" s="825" t="e">
        <f>K28+K30+K31+K32+K33</f>
        <v>#REF!</v>
      </c>
      <c r="L34" s="825" t="e">
        <f>L28+L30+L31+L32+L33</f>
        <v>#REF!</v>
      </c>
      <c r="M34" s="825" t="e">
        <f>M28+M30+M31+M32+M33</f>
        <v>#REF!</v>
      </c>
      <c r="N34" s="825" t="e">
        <f>N28+N30+N31+N32+N33</f>
        <v>#REF!</v>
      </c>
      <c r="O34" s="825"/>
      <c r="P34" s="825"/>
      <c r="Q34" s="893" t="e">
        <f>N34/V10</f>
        <v>#REF!</v>
      </c>
    </row>
    <row r="35" spans="2:17">
      <c r="B35" s="767"/>
      <c r="C35" s="778"/>
      <c r="D35" s="778"/>
      <c r="E35" s="778"/>
      <c r="F35" s="778"/>
      <c r="G35" s="778"/>
      <c r="H35" s="778"/>
      <c r="I35" s="778"/>
      <c r="J35" s="897">
        <v>1</v>
      </c>
      <c r="K35" s="897">
        <f>J35*(1+V10)</f>
        <v>1.1352666666666666</v>
      </c>
      <c r="L35" s="897">
        <f>K35*(1+W10)</f>
        <v>1.2858787111111112</v>
      </c>
      <c r="M35" s="897">
        <f>L35*(1+X10)</f>
        <v>1.456471953451852</v>
      </c>
      <c r="N35" s="897">
        <f>M35*(1+Y10)</f>
        <v>1.6496972326097978</v>
      </c>
      <c r="O35" s="897"/>
      <c r="P35" s="897"/>
      <c r="Q35" s="893"/>
    </row>
    <row r="36" spans="2:17">
      <c r="B36" s="767"/>
      <c r="C36" s="778"/>
      <c r="D36" s="778"/>
      <c r="E36" s="778"/>
      <c r="F36" s="778"/>
      <c r="G36" s="778"/>
      <c r="H36" s="778"/>
      <c r="I36" s="778"/>
      <c r="J36" s="825" t="e">
        <f>J34/J35</f>
        <v>#REF!</v>
      </c>
      <c r="K36" s="825" t="e">
        <f>K34/K35</f>
        <v>#REF!</v>
      </c>
      <c r="L36" s="825" t="e">
        <f>L34/L35</f>
        <v>#REF!</v>
      </c>
      <c r="M36" s="825" t="e">
        <f>M34/M35</f>
        <v>#REF!</v>
      </c>
      <c r="N36" s="825" t="e">
        <f>N34/N35</f>
        <v>#REF!</v>
      </c>
      <c r="O36" s="825"/>
      <c r="P36" s="825"/>
      <c r="Q36" s="825" t="e">
        <f>Q34/N35</f>
        <v>#REF!</v>
      </c>
    </row>
    <row r="37" spans="2:17">
      <c r="B37" s="767"/>
      <c r="C37" s="778"/>
      <c r="D37" s="778"/>
      <c r="E37" s="778"/>
      <c r="F37" s="778"/>
      <c r="G37" s="778" t="e">
        <f>J37+J49</f>
        <v>#REF!</v>
      </c>
      <c r="H37" s="778"/>
      <c r="I37" s="778"/>
      <c r="J37" s="825" t="e">
        <f>SUM(K36:Q36)</f>
        <v>#REF!</v>
      </c>
      <c r="K37" s="825"/>
      <c r="L37" s="825"/>
      <c r="M37" s="825"/>
      <c r="N37" s="825"/>
      <c r="O37" s="825"/>
      <c r="P37" s="825"/>
      <c r="Q37" s="825"/>
    </row>
    <row r="38" spans="2:17">
      <c r="B38" s="767"/>
      <c r="C38" s="778"/>
      <c r="D38" s="778"/>
      <c r="E38" s="778"/>
      <c r="F38" s="778"/>
      <c r="G38" s="778"/>
      <c r="H38" s="778"/>
      <c r="I38" s="778"/>
      <c r="J38" s="825"/>
      <c r="K38" s="825"/>
      <c r="L38" s="825"/>
      <c r="M38" s="825"/>
      <c r="N38" s="825"/>
      <c r="O38" s="825"/>
      <c r="P38" s="825"/>
      <c r="Q38" s="893"/>
    </row>
    <row r="39" spans="2:17">
      <c r="B39" s="767"/>
      <c r="C39" s="778"/>
      <c r="D39" s="778"/>
      <c r="E39" s="778"/>
      <c r="F39" s="778"/>
      <c r="G39" s="778" t="s">
        <v>1105</v>
      </c>
      <c r="H39" s="778"/>
      <c r="I39" s="778" t="s">
        <v>26</v>
      </c>
      <c r="J39" s="825">
        <f>J22/0.75</f>
        <v>175969.18333333335</v>
      </c>
      <c r="K39" s="825">
        <f t="shared" ref="K39:P39" si="17">K22/0.75</f>
        <v>418253.90715797333</v>
      </c>
      <c r="L39" s="825">
        <f t="shared" si="17"/>
        <v>500025.0014487892</v>
      </c>
      <c r="M39" s="825">
        <f t="shared" si="17"/>
        <v>562716.17373841489</v>
      </c>
      <c r="N39" s="825">
        <f t="shared" si="17"/>
        <v>631676.46325700323</v>
      </c>
      <c r="O39" s="825">
        <f t="shared" si="17"/>
        <v>707532.78172745032</v>
      </c>
      <c r="P39" s="825">
        <f t="shared" si="17"/>
        <v>790974.73204494209</v>
      </c>
      <c r="Q39" s="893"/>
    </row>
    <row r="40" spans="2:17">
      <c r="B40" s="767"/>
      <c r="C40" s="778"/>
      <c r="D40" s="778"/>
      <c r="E40" s="778"/>
      <c r="F40" s="778"/>
      <c r="G40" s="778"/>
      <c r="H40" s="778"/>
      <c r="I40" s="778" t="s">
        <v>822</v>
      </c>
      <c r="J40" s="825">
        <f>J22/0.75*0.5</f>
        <v>87984.591666666674</v>
      </c>
      <c r="K40" s="825">
        <f t="shared" ref="K40:P40" si="18">K22/0.75*0.5</f>
        <v>209126.95357898666</v>
      </c>
      <c r="L40" s="825">
        <f t="shared" si="18"/>
        <v>250012.5007243946</v>
      </c>
      <c r="M40" s="825">
        <f t="shared" si="18"/>
        <v>281358.08686920744</v>
      </c>
      <c r="N40" s="825">
        <f t="shared" si="18"/>
        <v>315838.23162850161</v>
      </c>
      <c r="O40" s="825">
        <f t="shared" si="18"/>
        <v>353766.39086372516</v>
      </c>
      <c r="P40" s="825">
        <f t="shared" si="18"/>
        <v>395487.36602247105</v>
      </c>
      <c r="Q40" s="825"/>
    </row>
    <row r="41" spans="2:17">
      <c r="B41" s="767"/>
      <c r="C41" s="778"/>
      <c r="D41" s="778"/>
      <c r="E41" s="778"/>
      <c r="F41" s="778"/>
      <c r="G41" s="778"/>
      <c r="H41" s="778"/>
      <c r="I41" s="778" t="s">
        <v>661</v>
      </c>
      <c r="J41" s="825">
        <f>J40*0.78</f>
        <v>68627.981500000009</v>
      </c>
      <c r="K41" s="825">
        <f t="shared" ref="K41:P41" si="19">K40*0.78</f>
        <v>163119.02379160959</v>
      </c>
      <c r="L41" s="825">
        <f t="shared" si="19"/>
        <v>195009.75056502779</v>
      </c>
      <c r="M41" s="825">
        <f>M40*0.78</f>
        <v>219459.30775798182</v>
      </c>
      <c r="N41" s="825">
        <f>N40*0.78</f>
        <v>246353.82067023127</v>
      </c>
      <c r="O41" s="825">
        <f t="shared" si="19"/>
        <v>275937.78487370565</v>
      </c>
      <c r="P41" s="825">
        <f t="shared" si="19"/>
        <v>308480.14549752744</v>
      </c>
      <c r="Q41" s="825"/>
    </row>
    <row r="42" spans="2:17">
      <c r="B42" s="767"/>
      <c r="C42" s="778"/>
      <c r="D42" s="778"/>
      <c r="E42" s="778"/>
      <c r="F42" s="778"/>
      <c r="G42" s="778"/>
      <c r="H42" s="778"/>
      <c r="I42" s="778" t="s">
        <v>1113</v>
      </c>
      <c r="J42" s="896">
        <f>J3/'P&amp;L'!G10/1000*0.4</f>
        <v>0.23932633560246225</v>
      </c>
      <c r="K42" s="896">
        <f>K3/'P&amp;L'!H10/1000*0.5</f>
        <v>195.39090631019351</v>
      </c>
      <c r="L42" s="896">
        <f>L3/'P&amp;L'!I10/1000*0.6</f>
        <v>150.06762576451422</v>
      </c>
      <c r="M42" s="896">
        <f>M3/'P&amp;L'!J10/1000*0.7</f>
        <v>167.65597643725275</v>
      </c>
      <c r="N42" s="896">
        <f>N3/'P&amp;L'!K10/1000*0.7</f>
        <v>114.30738756562316</v>
      </c>
      <c r="O42" s="896">
        <f>O3/'P&amp;L'!L10/1000*0.7</f>
        <v>100.47060160657594</v>
      </c>
      <c r="P42" s="896" t="e">
        <f>P3/'P&amp;L'!M10/1000*0.7</f>
        <v>#DIV/0!</v>
      </c>
      <c r="Q42" s="825"/>
    </row>
    <row r="43" spans="2:17">
      <c r="B43" s="767"/>
      <c r="C43" s="778"/>
      <c r="D43" s="778"/>
      <c r="E43" s="778"/>
      <c r="F43" s="778"/>
      <c r="G43" s="778"/>
      <c r="H43" s="778"/>
      <c r="I43" s="778" t="s">
        <v>243</v>
      </c>
      <c r="J43" s="825" t="e">
        <f>#REF!*'Rev_NPAT (new)'!J42*1000</f>
        <v>#REF!</v>
      </c>
      <c r="K43" s="825" t="e">
        <f>#REF!*'Rev_NPAT (new)'!K42*1000</f>
        <v>#REF!</v>
      </c>
      <c r="L43" s="825" t="e">
        <f>#REF!*'Rev_NPAT (new)'!L42*1000</f>
        <v>#REF!</v>
      </c>
      <c r="M43" s="825" t="e">
        <f>#REF!*'Rev_NPAT (new)'!M42*1000</f>
        <v>#REF!</v>
      </c>
      <c r="N43" s="825" t="e">
        <f>#REF!*'Rev_NPAT (new)'!N42*1000</f>
        <v>#REF!</v>
      </c>
      <c r="O43" s="825" t="e">
        <f>#REF!*'Rev_NPAT (new)'!O42*1000</f>
        <v>#REF!</v>
      </c>
      <c r="P43" s="825" t="e">
        <f>#REF!*'Rev_NPAT (new)'!P42*1000</f>
        <v>#REF!</v>
      </c>
      <c r="Q43" s="825"/>
    </row>
    <row r="44" spans="2:17">
      <c r="B44" s="767"/>
      <c r="C44" s="778"/>
      <c r="D44" s="778"/>
      <c r="E44" s="778"/>
      <c r="F44" s="778"/>
      <c r="G44" s="778"/>
      <c r="H44" s="778"/>
      <c r="I44" s="778" t="s">
        <v>1112</v>
      </c>
      <c r="J44" s="825">
        <f>-'P&amp;L'!G23*(1-0.22)*1000*'Rev_NPAT (new)'!J42</f>
        <v>14.801424416937001</v>
      </c>
      <c r="K44" s="825">
        <f>-'P&amp;L'!H23*(1-0.22)*1000*'Rev_NPAT (new)'!K42</f>
        <v>1371.6441622975583</v>
      </c>
      <c r="L44" s="825">
        <f>-'P&amp;L'!I23*(1-0.22)*1000*'Rev_NPAT (new)'!L42</f>
        <v>3827.9281138793535</v>
      </c>
      <c r="M44" s="825">
        <f>-'P&amp;L'!J23*(1-0.22)*1000*'Rev_NPAT (new)'!M42</f>
        <v>8194.7916646676586</v>
      </c>
      <c r="N44" s="825">
        <f>-'P&amp;L'!K23*(1-0.22)*1000*'Rev_NPAT (new)'!N42</f>
        <v>17007.628010583114</v>
      </c>
      <c r="O44" s="825">
        <f>-'P&amp;L'!L23*(1-0.22)*1000*'Rev_NPAT (new)'!O42</f>
        <v>16381.149162136553</v>
      </c>
      <c r="P44" s="825" t="e">
        <f>-'P&amp;L'!M23*(1-0.22)*1000*'Rev_NPAT (new)'!P42</f>
        <v>#DIV/0!</v>
      </c>
      <c r="Q44" s="825"/>
    </row>
    <row r="45" spans="2:17">
      <c r="B45" s="767"/>
      <c r="C45" s="778"/>
      <c r="D45" s="778"/>
      <c r="E45" s="778"/>
      <c r="F45" s="778"/>
      <c r="G45" s="778"/>
      <c r="H45" s="778"/>
      <c r="I45" s="778" t="s">
        <v>587</v>
      </c>
      <c r="J45" s="825" t="e">
        <f>-#REF!*'Rev_NPAT (new)'!J42*1000</f>
        <v>#REF!</v>
      </c>
      <c r="K45" s="825" t="e">
        <f>-#REF!*'Rev_NPAT (new)'!K42*1000</f>
        <v>#REF!</v>
      </c>
      <c r="L45" s="825" t="e">
        <f>-#REF!*'Rev_NPAT (new)'!L42*1000</f>
        <v>#REF!</v>
      </c>
      <c r="M45" s="825" t="e">
        <f>-#REF!*'Rev_NPAT (new)'!M42*1000</f>
        <v>#REF!</v>
      </c>
      <c r="N45" s="825" t="e">
        <f>-#REF!*'Rev_NPAT (new)'!N42*1000</f>
        <v>#REF!</v>
      </c>
      <c r="O45" s="825" t="e">
        <f>-#REF!*'Rev_NPAT (new)'!O42*1000</f>
        <v>#REF!</v>
      </c>
      <c r="P45" s="825" t="e">
        <f>-#REF!*'Rev_NPAT (new)'!P42*1000</f>
        <v>#REF!</v>
      </c>
      <c r="Q45" s="825"/>
    </row>
    <row r="46" spans="2:17">
      <c r="B46" s="767"/>
      <c r="C46" s="778"/>
      <c r="D46" s="778"/>
      <c r="E46" s="778"/>
      <c r="F46" s="778"/>
      <c r="G46" s="778"/>
      <c r="H46" s="778"/>
      <c r="I46" s="778" t="s">
        <v>1118</v>
      </c>
      <c r="J46" s="825">
        <f>-0.15*J39</f>
        <v>-26395.377500000002</v>
      </c>
      <c r="K46" s="825">
        <f t="shared" ref="K46:P46" si="20">-0.15*K39</f>
        <v>-62738.086073695995</v>
      </c>
      <c r="L46" s="825">
        <f t="shared" si="20"/>
        <v>-75003.750217318375</v>
      </c>
      <c r="M46" s="825">
        <f t="shared" si="20"/>
        <v>-84407.426060762227</v>
      </c>
      <c r="N46" s="825">
        <f t="shared" si="20"/>
        <v>-94751.469488550487</v>
      </c>
      <c r="O46" s="825">
        <f t="shared" si="20"/>
        <v>-106129.91725911754</v>
      </c>
      <c r="P46" s="825">
        <f t="shared" si="20"/>
        <v>-118646.2098067413</v>
      </c>
      <c r="Q46" s="825"/>
    </row>
    <row r="47" spans="2:17">
      <c r="B47" s="767"/>
      <c r="C47" s="778"/>
      <c r="D47" s="778"/>
      <c r="E47" s="778"/>
      <c r="F47" s="778"/>
      <c r="G47" s="778"/>
      <c r="H47" s="778"/>
      <c r="I47" s="778" t="s">
        <v>234</v>
      </c>
      <c r="J47" s="825" t="e">
        <f>J41+J43+J44+J45+J46</f>
        <v>#REF!</v>
      </c>
      <c r="K47" s="825" t="e">
        <f>K41+K43+K44+K45+K46</f>
        <v>#REF!</v>
      </c>
      <c r="L47" s="825" t="e">
        <f>L41+L43+L44+L45+L46</f>
        <v>#REF!</v>
      </c>
      <c r="M47" s="825" t="e">
        <f>M41+M43+M44+M45+M46</f>
        <v>#REF!</v>
      </c>
      <c r="N47" s="825" t="e">
        <f>N41+N43+N44+N45+N46</f>
        <v>#REF!</v>
      </c>
      <c r="O47" s="825"/>
      <c r="P47" s="825"/>
      <c r="Q47" s="825" t="e">
        <f>N47/W10</f>
        <v>#REF!</v>
      </c>
    </row>
    <row r="48" spans="2:17">
      <c r="B48" s="767"/>
      <c r="C48" s="778"/>
      <c r="D48" s="778"/>
      <c r="E48" s="778"/>
      <c r="F48" s="778"/>
      <c r="G48" s="778"/>
      <c r="H48" s="778"/>
      <c r="I48" s="778"/>
      <c r="J48" s="825" t="e">
        <f>J47/J35</f>
        <v>#REF!</v>
      </c>
      <c r="K48" s="825" t="e">
        <f>K47/K35</f>
        <v>#REF!</v>
      </c>
      <c r="L48" s="825" t="e">
        <f>L47/L35</f>
        <v>#REF!</v>
      </c>
      <c r="M48" s="825" t="e">
        <f>M47/M35</f>
        <v>#REF!</v>
      </c>
      <c r="N48" s="825" t="e">
        <f>N47/N35</f>
        <v>#REF!</v>
      </c>
      <c r="O48" s="825"/>
      <c r="P48" s="825"/>
      <c r="Q48" s="825"/>
    </row>
    <row r="49" spans="1:28">
      <c r="B49" s="767"/>
      <c r="C49" s="778"/>
      <c r="D49" s="778"/>
      <c r="E49" s="778"/>
      <c r="F49" s="778"/>
      <c r="G49" s="778"/>
      <c r="H49" s="778"/>
      <c r="I49" s="778"/>
      <c r="J49" s="825" t="e">
        <f>SUM(K48:N48)</f>
        <v>#REF!</v>
      </c>
      <c r="K49" s="825"/>
      <c r="L49" s="825"/>
      <c r="M49" s="825"/>
      <c r="N49" s="825"/>
      <c r="O49" s="825"/>
      <c r="P49" s="825"/>
      <c r="Q49" s="825"/>
    </row>
    <row r="50" spans="1:28">
      <c r="B50" s="767"/>
      <c r="C50" s="778"/>
      <c r="D50" s="778"/>
      <c r="E50" s="778"/>
      <c r="F50" s="778"/>
      <c r="G50" s="778"/>
      <c r="H50" s="778"/>
      <c r="I50" s="778"/>
      <c r="J50" s="825"/>
      <c r="K50" s="825"/>
      <c r="L50" s="825"/>
      <c r="M50" s="825"/>
      <c r="N50" s="825"/>
      <c r="O50" s="825"/>
      <c r="P50" s="825"/>
      <c r="Q50" s="825"/>
    </row>
    <row r="51" spans="1:28">
      <c r="B51" s="767"/>
      <c r="C51" s="778"/>
      <c r="D51" s="778"/>
      <c r="E51" s="778"/>
      <c r="F51" s="778"/>
      <c r="G51" s="778"/>
      <c r="H51" s="778"/>
      <c r="I51" s="778"/>
      <c r="J51" s="1354"/>
      <c r="K51" s="825"/>
      <c r="L51" s="825"/>
      <c r="M51" s="825"/>
      <c r="N51" s="825"/>
      <c r="O51" s="825"/>
      <c r="P51" s="825"/>
      <c r="Q51" s="825"/>
    </row>
    <row r="52" spans="1:28">
      <c r="B52" s="767"/>
      <c r="C52" s="778"/>
      <c r="D52" s="778"/>
      <c r="E52" s="778"/>
      <c r="F52" s="778"/>
      <c r="G52" s="778"/>
      <c r="H52" s="778"/>
      <c r="I52" s="778"/>
      <c r="J52" s="825"/>
      <c r="K52" s="825"/>
      <c r="L52" s="1075" t="e">
        <f>(L64+L66)/21800</f>
        <v>#REF!</v>
      </c>
      <c r="M52" s="1075" t="e">
        <f>U66-L52</f>
        <v>#REF!</v>
      </c>
      <c r="N52" s="825"/>
      <c r="O52" s="825"/>
      <c r="P52" s="825"/>
      <c r="Q52" s="825"/>
    </row>
    <row r="53" spans="1:28">
      <c r="B53" s="767"/>
      <c r="C53" s="778"/>
      <c r="D53" s="778"/>
      <c r="E53" s="778"/>
      <c r="F53" s="778"/>
      <c r="G53" s="778"/>
      <c r="H53" s="778"/>
      <c r="I53" s="778"/>
      <c r="J53" s="825"/>
      <c r="K53" s="825"/>
      <c r="L53" s="825"/>
      <c r="M53" s="825"/>
      <c r="N53" s="825"/>
      <c r="O53" s="825"/>
      <c r="P53" s="825"/>
      <c r="Q53" s="825"/>
    </row>
    <row r="54" spans="1:28">
      <c r="L54" s="547">
        <f>(L55/J55)^(1/3)-1</f>
        <v>0.48124803420368534</v>
      </c>
    </row>
    <row r="55" spans="1:28">
      <c r="A55" s="548" t="s">
        <v>662</v>
      </c>
      <c r="B55" s="547" t="s">
        <v>26</v>
      </c>
      <c r="I55" s="779">
        <v>20000</v>
      </c>
      <c r="J55" s="549">
        <v>44573</v>
      </c>
      <c r="K55" s="549">
        <f>J55*2.5</f>
        <v>111432.5</v>
      </c>
      <c r="L55" s="549">
        <f>K55*1.3</f>
        <v>144862.25</v>
      </c>
      <c r="M55" s="549">
        <f>L55*1.3</f>
        <v>188320.92500000002</v>
      </c>
      <c r="N55" s="549">
        <f>M55*1.3</f>
        <v>244817.20250000004</v>
      </c>
      <c r="O55" s="549">
        <f>N55*1.3</f>
        <v>318262.36325000005</v>
      </c>
      <c r="P55" s="549">
        <f>O55*1.3</f>
        <v>413741.07222500007</v>
      </c>
      <c r="Q55" s="549"/>
    </row>
    <row r="56" spans="1:28">
      <c r="B56" s="547" t="s">
        <v>661</v>
      </c>
      <c r="I56" s="779">
        <f>I55*5%</f>
        <v>1000</v>
      </c>
      <c r="J56" s="549">
        <f t="shared" ref="J56:P56" si="21">J55*5%</f>
        <v>2228.65</v>
      </c>
      <c r="K56" s="549">
        <f t="shared" si="21"/>
        <v>5571.625</v>
      </c>
      <c r="L56" s="549">
        <f t="shared" si="21"/>
        <v>7243.1125000000002</v>
      </c>
      <c r="M56" s="549">
        <f t="shared" si="21"/>
        <v>9416.0462500000012</v>
      </c>
      <c r="N56" s="549">
        <f t="shared" si="21"/>
        <v>12240.860125000003</v>
      </c>
      <c r="O56" s="549">
        <f t="shared" si="21"/>
        <v>15913.118162500003</v>
      </c>
      <c r="P56" s="549">
        <f t="shared" si="21"/>
        <v>20687.053611250005</v>
      </c>
      <c r="Q56" s="549">
        <f>P56/U10</f>
        <v>140996.82123261999</v>
      </c>
    </row>
    <row r="57" spans="1:28">
      <c r="I57" s="779"/>
      <c r="J57" s="549" t="e">
        <f t="shared" ref="J57:Q57" si="22">J56/J11</f>
        <v>#REF!</v>
      </c>
      <c r="K57" s="549" t="e">
        <f t="shared" si="22"/>
        <v>#REF!</v>
      </c>
      <c r="L57" s="549" t="e">
        <f t="shared" si="22"/>
        <v>#REF!</v>
      </c>
      <c r="M57" s="549" t="e">
        <f t="shared" si="22"/>
        <v>#REF!</v>
      </c>
      <c r="N57" s="549" t="e">
        <f t="shared" si="22"/>
        <v>#REF!</v>
      </c>
      <c r="O57" s="549" t="e">
        <f t="shared" si="22"/>
        <v>#REF!</v>
      </c>
      <c r="P57" s="549" t="e">
        <f t="shared" si="22"/>
        <v>#REF!</v>
      </c>
      <c r="Q57" s="549" t="e">
        <f t="shared" si="22"/>
        <v>#REF!</v>
      </c>
      <c r="R57" s="831"/>
      <c r="U57" s="547">
        <f>(U62/S62)^(1/3)-1</f>
        <v>0.27445189820839944</v>
      </c>
    </row>
    <row r="58" spans="1:28">
      <c r="I58" s="779"/>
      <c r="J58" s="549" t="e">
        <f>SUM(J57:Q57)</f>
        <v>#REF!</v>
      </c>
      <c r="K58" s="549"/>
      <c r="L58" s="549"/>
      <c r="M58" s="549"/>
      <c r="N58" s="549"/>
      <c r="O58" s="549"/>
      <c r="P58" s="549"/>
      <c r="Q58" s="549"/>
      <c r="R58" s="831"/>
    </row>
    <row r="59" spans="1:28">
      <c r="P59" s="549"/>
      <c r="Q59" s="549"/>
      <c r="R59" s="549"/>
      <c r="S59" s="549"/>
      <c r="T59" s="549"/>
      <c r="U59" s="549"/>
      <c r="V59" s="549"/>
      <c r="W59" s="549"/>
    </row>
    <row r="60" spans="1:28" s="557" customFormat="1" ht="6" customHeight="1"/>
    <row r="61" spans="1:28">
      <c r="A61" s="563" t="s">
        <v>26</v>
      </c>
      <c r="C61" s="784">
        <f>C$2</f>
        <v>2007</v>
      </c>
      <c r="D61" s="784">
        <f t="shared" ref="D61:I61" si="23">D$2</f>
        <v>2008</v>
      </c>
      <c r="E61" s="784">
        <f t="shared" si="23"/>
        <v>2009</v>
      </c>
      <c r="F61" s="784">
        <f t="shared" si="23"/>
        <v>2010</v>
      </c>
      <c r="G61" s="784">
        <f t="shared" si="23"/>
        <v>2011</v>
      </c>
      <c r="H61" s="784">
        <f t="shared" si="23"/>
        <v>2012</v>
      </c>
      <c r="I61" s="784">
        <f t="shared" si="23"/>
        <v>2013</v>
      </c>
      <c r="J61" s="548">
        <v>2014</v>
      </c>
      <c r="K61" s="548">
        <v>2015</v>
      </c>
      <c r="L61" s="548">
        <v>2016</v>
      </c>
      <c r="M61" s="548">
        <v>2017</v>
      </c>
      <c r="N61" s="548">
        <v>2018</v>
      </c>
      <c r="O61" s="548">
        <v>2019</v>
      </c>
      <c r="P61" s="548">
        <v>2020</v>
      </c>
      <c r="S61" s="548">
        <v>2014</v>
      </c>
      <c r="T61" s="548">
        <v>2015</v>
      </c>
      <c r="U61" s="548">
        <v>2016</v>
      </c>
      <c r="V61" s="548">
        <v>2017</v>
      </c>
      <c r="W61" s="548">
        <v>2018</v>
      </c>
      <c r="X61" s="548">
        <v>2019</v>
      </c>
      <c r="Y61" s="548">
        <v>2020</v>
      </c>
      <c r="AA61" s="548" t="s">
        <v>915</v>
      </c>
    </row>
    <row r="62" spans="1:28">
      <c r="A62" s="548"/>
      <c r="B62" s="551" t="s">
        <v>654</v>
      </c>
      <c r="C62" s="780"/>
      <c r="D62" s="780"/>
      <c r="E62" s="780"/>
      <c r="F62" s="780"/>
      <c r="G62" s="780"/>
      <c r="H62" s="780"/>
      <c r="I62" s="780"/>
      <c r="J62" s="550">
        <f>J23</f>
        <v>227141.92858559999</v>
      </c>
      <c r="K62" s="550">
        <f t="shared" ref="K62:P62" si="24">K3</f>
        <v>545140.62860543991</v>
      </c>
      <c r="L62" s="550">
        <f t="shared" si="24"/>
        <v>626911.7228962559</v>
      </c>
      <c r="M62" s="550">
        <f t="shared" si="24"/>
        <v>689602.89518588153</v>
      </c>
      <c r="N62" s="550">
        <f t="shared" si="24"/>
        <v>758563.18470446975</v>
      </c>
      <c r="O62" s="550">
        <f t="shared" si="24"/>
        <v>834419.50317491684</v>
      </c>
      <c r="P62" s="550">
        <f t="shared" si="24"/>
        <v>917861.45349240862</v>
      </c>
      <c r="R62" s="551" t="s">
        <v>654</v>
      </c>
      <c r="S62" s="550">
        <f>J3</f>
        <v>302855.90478079999</v>
      </c>
      <c r="T62" s="550">
        <f t="shared" ref="T62:Y62" si="25">K3</f>
        <v>545140.62860543991</v>
      </c>
      <c r="U62" s="550">
        <f t="shared" si="25"/>
        <v>626911.7228962559</v>
      </c>
      <c r="V62" s="550">
        <f t="shared" si="25"/>
        <v>689602.89518588153</v>
      </c>
      <c r="W62" s="550">
        <f t="shared" si="25"/>
        <v>758563.18470446975</v>
      </c>
      <c r="X62" s="550">
        <f t="shared" si="25"/>
        <v>834419.50317491684</v>
      </c>
      <c r="Y62" s="550">
        <f t="shared" si="25"/>
        <v>917861.45349240862</v>
      </c>
      <c r="Z62" s="1050">
        <v>0.51</v>
      </c>
      <c r="AA62" s="786">
        <v>230466</v>
      </c>
      <c r="AB62" s="786">
        <f>AA62*(1-Z62)/2</f>
        <v>56464.17</v>
      </c>
    </row>
    <row r="63" spans="1:28">
      <c r="A63" s="548"/>
      <c r="B63" s="551" t="s">
        <v>662</v>
      </c>
      <c r="C63" s="780"/>
      <c r="D63" s="780"/>
      <c r="E63" s="780"/>
      <c r="F63" s="780"/>
      <c r="G63" s="780"/>
      <c r="H63" s="780"/>
      <c r="I63" s="780"/>
      <c r="J63" s="550">
        <f t="shared" ref="J63:P63" si="26">J55</f>
        <v>44573</v>
      </c>
      <c r="K63" s="550">
        <f t="shared" si="26"/>
        <v>111432.5</v>
      </c>
      <c r="L63" s="550">
        <f t="shared" si="26"/>
        <v>144862.25</v>
      </c>
      <c r="M63" s="550">
        <f t="shared" si="26"/>
        <v>188320.92500000002</v>
      </c>
      <c r="N63" s="550">
        <f t="shared" si="26"/>
        <v>244817.20250000004</v>
      </c>
      <c r="O63" s="550">
        <f t="shared" si="26"/>
        <v>318262.36325000005</v>
      </c>
      <c r="P63" s="550">
        <f t="shared" si="26"/>
        <v>413741.07222500007</v>
      </c>
      <c r="R63" s="551" t="s">
        <v>663</v>
      </c>
      <c r="S63" s="550" t="e">
        <f>SUM(J65:J76)</f>
        <v>#REF!</v>
      </c>
      <c r="T63" s="550" t="e">
        <f t="shared" ref="T63:Y63" si="27">SUM(K65:K76)</f>
        <v>#REF!</v>
      </c>
      <c r="U63" s="550" t="e">
        <f t="shared" si="27"/>
        <v>#REF!</v>
      </c>
      <c r="V63" s="550" t="e">
        <f t="shared" si="27"/>
        <v>#REF!</v>
      </c>
      <c r="W63" s="550" t="e">
        <f t="shared" si="27"/>
        <v>#REF!</v>
      </c>
      <c r="X63" s="550" t="e">
        <f t="shared" si="27"/>
        <v>#REF!</v>
      </c>
      <c r="Y63" s="550" t="e">
        <f t="shared" si="27"/>
        <v>#REF!</v>
      </c>
      <c r="Z63" s="1050">
        <v>1</v>
      </c>
      <c r="AA63" s="786">
        <v>58898</v>
      </c>
      <c r="AB63" s="786">
        <f>AA63*(1-Z63)</f>
        <v>0</v>
      </c>
    </row>
    <row r="64" spans="1:28">
      <c r="A64" s="548"/>
      <c r="L64" s="550"/>
      <c r="M64" s="550"/>
      <c r="R64" s="551" t="s">
        <v>662</v>
      </c>
      <c r="S64" s="550">
        <f>J55</f>
        <v>44573</v>
      </c>
      <c r="T64" s="550">
        <f t="shared" ref="T64:Y64" si="28">K55</f>
        <v>111432.5</v>
      </c>
      <c r="U64" s="550">
        <f t="shared" si="28"/>
        <v>144862.25</v>
      </c>
      <c r="V64" s="550">
        <f t="shared" si="28"/>
        <v>188320.92500000002</v>
      </c>
      <c r="W64" s="550">
        <f t="shared" si="28"/>
        <v>244817.20250000004</v>
      </c>
      <c r="X64" s="550">
        <f t="shared" si="28"/>
        <v>318262.36325000005</v>
      </c>
      <c r="Y64" s="550">
        <f t="shared" si="28"/>
        <v>413741.07222500007</v>
      </c>
      <c r="Z64" s="1050">
        <v>0.9</v>
      </c>
      <c r="AA64" s="786">
        <v>12450</v>
      </c>
      <c r="AB64" s="786">
        <f>AA64*(1-Z64)</f>
        <v>1244.9999999999998</v>
      </c>
    </row>
    <row r="65" spans="1:27">
      <c r="A65" s="548"/>
      <c r="B65" s="551" t="s">
        <v>664</v>
      </c>
      <c r="C65" s="780"/>
      <c r="D65" s="780"/>
      <c r="E65" s="780"/>
      <c r="F65" s="780"/>
      <c r="G65" s="780"/>
      <c r="H65" s="780"/>
      <c r="I65" s="780"/>
      <c r="J65" s="550" t="e">
        <f>#REF!</f>
        <v>#REF!</v>
      </c>
      <c r="K65" s="550" t="e">
        <f>#REF!</f>
        <v>#REF!</v>
      </c>
      <c r="L65" s="550" t="e">
        <f>#REF!</f>
        <v>#REF!</v>
      </c>
      <c r="M65" s="550" t="e">
        <f>#REF!</f>
        <v>#REF!</v>
      </c>
      <c r="N65" s="550" t="e">
        <f>#REF!</f>
        <v>#REF!</v>
      </c>
      <c r="O65" s="550" t="e">
        <f>#REF!</f>
        <v>#REF!</v>
      </c>
      <c r="P65" s="550" t="e">
        <f>#REF!</f>
        <v>#REF!</v>
      </c>
      <c r="R65" s="552" t="s">
        <v>26</v>
      </c>
      <c r="S65" s="553" t="e">
        <f>SUM(S62:S64)</f>
        <v>#REF!</v>
      </c>
      <c r="T65" s="553" t="e">
        <f t="shared" ref="T65:Y65" si="29">SUM(T62:T64)</f>
        <v>#REF!</v>
      </c>
      <c r="U65" s="553" t="e">
        <f t="shared" si="29"/>
        <v>#REF!</v>
      </c>
      <c r="V65" s="553" t="e">
        <f t="shared" si="29"/>
        <v>#REF!</v>
      </c>
      <c r="W65" s="553" t="e">
        <f t="shared" si="29"/>
        <v>#REF!</v>
      </c>
      <c r="X65" s="553" t="e">
        <f t="shared" si="29"/>
        <v>#REF!</v>
      </c>
      <c r="Y65" s="553" t="e">
        <f t="shared" si="29"/>
        <v>#REF!</v>
      </c>
      <c r="AA65" s="786">
        <f>SUM(AA62:AA64)</f>
        <v>301814</v>
      </c>
    </row>
    <row r="66" spans="1:27">
      <c r="A66" s="548"/>
      <c r="B66" s="551" t="s">
        <v>666</v>
      </c>
      <c r="C66" s="780"/>
      <c r="D66" s="780"/>
      <c r="E66" s="780"/>
      <c r="F66" s="780"/>
      <c r="G66" s="780"/>
      <c r="H66" s="780"/>
      <c r="I66" s="780"/>
      <c r="J66" s="550" t="e">
        <f>#REF!</f>
        <v>#REF!</v>
      </c>
      <c r="K66" s="550" t="e">
        <f>#REF!</f>
        <v>#REF!</v>
      </c>
      <c r="L66" s="550" t="e">
        <f>#REF!</f>
        <v>#REF!</v>
      </c>
      <c r="M66" s="550" t="e">
        <f>#REF!</f>
        <v>#REF!</v>
      </c>
      <c r="N66" s="550" t="e">
        <f>#REF!</f>
        <v>#REF!</v>
      </c>
      <c r="O66" s="550" t="e">
        <f>#REF!</f>
        <v>#REF!</v>
      </c>
      <c r="P66" s="550" t="e">
        <f>#REF!</f>
        <v>#REF!</v>
      </c>
      <c r="R66" s="551"/>
      <c r="S66" s="556" t="e">
        <f>S63/S65</f>
        <v>#REF!</v>
      </c>
      <c r="T66" s="1074" t="e">
        <f t="shared" ref="T66:Y66" si="30">T63/21800</f>
        <v>#REF!</v>
      </c>
      <c r="U66" s="1074" t="e">
        <f t="shared" si="30"/>
        <v>#REF!</v>
      </c>
      <c r="V66" s="1074" t="e">
        <f t="shared" si="30"/>
        <v>#REF!</v>
      </c>
      <c r="W66" s="1074" t="e">
        <f t="shared" si="30"/>
        <v>#REF!</v>
      </c>
      <c r="X66" s="1074" t="e">
        <f t="shared" si="30"/>
        <v>#REF!</v>
      </c>
      <c r="Y66" s="1074" t="e">
        <f t="shared" si="30"/>
        <v>#REF!</v>
      </c>
      <c r="AA66" s="786"/>
    </row>
    <row r="67" spans="1:27">
      <c r="A67" s="548"/>
      <c r="B67" s="551" t="s">
        <v>667</v>
      </c>
      <c r="C67" s="780"/>
      <c r="D67" s="780"/>
      <c r="E67" s="780"/>
      <c r="F67" s="780"/>
      <c r="G67" s="780"/>
      <c r="H67" s="780"/>
      <c r="I67" s="780"/>
      <c r="J67" s="550" t="e">
        <f>#REF!</f>
        <v>#REF!</v>
      </c>
      <c r="K67" s="550" t="e">
        <f>#REF!</f>
        <v>#REF!</v>
      </c>
      <c r="L67" s="550" t="e">
        <f>#REF!</f>
        <v>#REF!</v>
      </c>
      <c r="M67" s="550" t="e">
        <f>#REF!</f>
        <v>#REF!</v>
      </c>
      <c r="N67" s="550" t="e">
        <f>#REF!</f>
        <v>#REF!</v>
      </c>
      <c r="O67" s="550" t="e">
        <f>#REF!</f>
        <v>#REF!</v>
      </c>
      <c r="P67" s="550" t="e">
        <f>#REF!</f>
        <v>#REF!</v>
      </c>
      <c r="R67" s="551"/>
      <c r="S67" s="550"/>
      <c r="T67" s="550"/>
      <c r="U67" s="550"/>
      <c r="V67" s="550"/>
      <c r="W67" s="550"/>
      <c r="X67" s="550"/>
      <c r="Y67" s="550"/>
      <c r="Z67" s="548" t="s">
        <v>1264</v>
      </c>
      <c r="AA67" s="556">
        <f>45000/AA65</f>
        <v>0.14909845136408517</v>
      </c>
    </row>
    <row r="68" spans="1:27">
      <c r="A68" s="548"/>
      <c r="B68" s="551" t="s">
        <v>668</v>
      </c>
      <c r="C68" s="780"/>
      <c r="D68" s="780"/>
      <c r="E68" s="780"/>
      <c r="F68" s="780"/>
      <c r="G68" s="780"/>
      <c r="H68" s="780"/>
      <c r="I68" s="780"/>
      <c r="J68" s="550" t="e">
        <f>#REF!</f>
        <v>#REF!</v>
      </c>
      <c r="K68" s="550" t="e">
        <f>#REF!</f>
        <v>#REF!</v>
      </c>
      <c r="L68" s="550" t="e">
        <f>#REF!</f>
        <v>#REF!</v>
      </c>
      <c r="M68" s="550" t="e">
        <f>#REF!</f>
        <v>#REF!</v>
      </c>
      <c r="N68" s="550" t="e">
        <f>#REF!</f>
        <v>#REF!</v>
      </c>
      <c r="O68" s="550" t="e">
        <f>#REF!</f>
        <v>#REF!</v>
      </c>
      <c r="P68" s="550" t="e">
        <f>#REF!</f>
        <v>#REF!</v>
      </c>
      <c r="R68" s="551"/>
      <c r="S68" s="550"/>
      <c r="T68" s="550"/>
      <c r="U68" s="550"/>
      <c r="V68" s="538">
        <f>(V62/T62)^(1/3)-1</f>
        <v>8.1509092910457825E-2</v>
      </c>
      <c r="W68" s="550"/>
      <c r="X68" s="550"/>
      <c r="Y68" s="550"/>
    </row>
    <row r="69" spans="1:27">
      <c r="A69" s="548"/>
      <c r="B69" s="551" t="s">
        <v>1015</v>
      </c>
      <c r="C69" s="780"/>
      <c r="D69" s="780"/>
      <c r="E69" s="780"/>
      <c r="F69" s="780"/>
      <c r="G69" s="780"/>
      <c r="H69" s="780"/>
      <c r="I69" s="780"/>
      <c r="J69" s="550">
        <v>66700</v>
      </c>
      <c r="K69" s="550"/>
      <c r="L69" s="550"/>
      <c r="M69" s="550"/>
      <c r="N69" s="550"/>
      <c r="O69" s="550"/>
      <c r="P69" s="550"/>
      <c r="R69" s="551"/>
      <c r="S69" s="550"/>
      <c r="T69" s="550"/>
      <c r="U69" s="550"/>
      <c r="V69" s="550"/>
      <c r="W69" s="550"/>
      <c r="X69" s="550"/>
      <c r="Y69" s="550"/>
    </row>
    <row r="70" spans="1:27">
      <c r="A70" s="548"/>
      <c r="B70" s="551"/>
      <c r="C70" s="780"/>
      <c r="D70" s="780"/>
      <c r="E70" s="780"/>
      <c r="F70" s="780"/>
      <c r="G70" s="780"/>
      <c r="H70" s="780"/>
      <c r="I70" s="780"/>
      <c r="J70" s="550"/>
      <c r="K70" s="550"/>
      <c r="L70" s="550"/>
      <c r="M70" s="550"/>
      <c r="N70" s="550"/>
      <c r="O70" s="550"/>
      <c r="P70" s="550"/>
      <c r="R70" s="551"/>
      <c r="S70" s="550"/>
      <c r="T70" s="550"/>
      <c r="U70" s="550"/>
      <c r="V70" s="550"/>
      <c r="W70" s="550"/>
      <c r="X70" s="550"/>
      <c r="Y70" s="550"/>
    </row>
    <row r="71" spans="1:27">
      <c r="A71" s="548"/>
      <c r="B71" s="551" t="s">
        <v>1312</v>
      </c>
      <c r="C71" s="780"/>
      <c r="D71" s="780"/>
      <c r="E71" s="780"/>
      <c r="F71" s="780"/>
      <c r="G71" s="780"/>
      <c r="H71" s="780"/>
      <c r="I71" s="780"/>
      <c r="J71" s="550" t="e">
        <f>#REF!</f>
        <v>#REF!</v>
      </c>
      <c r="K71" s="550" t="e">
        <f>#REF!</f>
        <v>#REF!</v>
      </c>
      <c r="L71" s="550" t="e">
        <f>#REF!</f>
        <v>#REF!</v>
      </c>
      <c r="M71" s="550" t="e">
        <f>#REF!</f>
        <v>#REF!</v>
      </c>
      <c r="N71" s="550" t="e">
        <f>#REF!</f>
        <v>#REF!</v>
      </c>
      <c r="O71" s="550" t="e">
        <f>#REF!</f>
        <v>#REF!</v>
      </c>
      <c r="P71" s="550" t="e">
        <f>#REF!</f>
        <v>#REF!</v>
      </c>
      <c r="R71" s="551"/>
      <c r="S71" s="550"/>
      <c r="T71" s="550"/>
      <c r="U71" s="550"/>
      <c r="V71" s="550"/>
      <c r="W71" s="550"/>
      <c r="X71" s="550"/>
      <c r="Y71" s="550"/>
    </row>
    <row r="72" spans="1:27">
      <c r="A72" s="548"/>
      <c r="B72" s="551" t="s">
        <v>1314</v>
      </c>
      <c r="C72" s="780"/>
      <c r="D72" s="780"/>
      <c r="E72" s="780"/>
      <c r="F72" s="780"/>
      <c r="G72" s="780"/>
      <c r="H72" s="780"/>
      <c r="I72" s="780"/>
      <c r="J72" s="550" t="e">
        <f>#REF!</f>
        <v>#REF!</v>
      </c>
      <c r="K72" s="550" t="e">
        <f>#REF!</f>
        <v>#REF!</v>
      </c>
      <c r="L72" s="550" t="e">
        <f>#REF!</f>
        <v>#REF!</v>
      </c>
      <c r="M72" s="550" t="e">
        <f>#REF!</f>
        <v>#REF!</v>
      </c>
      <c r="N72" s="550" t="e">
        <f>#REF!</f>
        <v>#REF!</v>
      </c>
      <c r="O72" s="550" t="e">
        <f>#REF!</f>
        <v>#REF!</v>
      </c>
      <c r="P72" s="550" t="e">
        <f>#REF!</f>
        <v>#REF!</v>
      </c>
      <c r="R72" s="551"/>
      <c r="S72" s="550"/>
      <c r="T72" s="550"/>
      <c r="U72" s="550"/>
      <c r="V72" s="550"/>
      <c r="W72" s="550"/>
      <c r="X72" s="550"/>
      <c r="Y72" s="550"/>
    </row>
    <row r="73" spans="1:27">
      <c r="A73" s="548"/>
      <c r="B73" s="551" t="s">
        <v>1315</v>
      </c>
      <c r="C73" s="780"/>
      <c r="D73" s="780"/>
      <c r="E73" s="780"/>
      <c r="F73" s="780"/>
      <c r="G73" s="780"/>
      <c r="H73" s="780"/>
      <c r="I73" s="780"/>
      <c r="J73" s="550">
        <f>'CT15'!E173</f>
        <v>0</v>
      </c>
      <c r="K73" s="550">
        <f>'CT15'!F173</f>
        <v>0</v>
      </c>
      <c r="L73" s="550">
        <f>'CT15'!G173</f>
        <v>0</v>
      </c>
      <c r="M73" s="550">
        <f>'CT15'!H173</f>
        <v>235500</v>
      </c>
      <c r="N73" s="550">
        <f>'CT15'!I173</f>
        <v>549500</v>
      </c>
      <c r="O73" s="550">
        <f>'CT15'!J173</f>
        <v>0</v>
      </c>
      <c r="P73" s="550">
        <f>'CT15'!K173</f>
        <v>0</v>
      </c>
      <c r="R73" s="551"/>
      <c r="S73" s="550"/>
      <c r="T73" s="550"/>
      <c r="U73" s="550"/>
      <c r="V73" s="550"/>
      <c r="W73" s="550"/>
      <c r="X73" s="550"/>
      <c r="Y73" s="550"/>
    </row>
    <row r="74" spans="1:27">
      <c r="A74" s="548"/>
      <c r="B74" s="551" t="s">
        <v>1317</v>
      </c>
      <c r="C74" s="780"/>
      <c r="D74" s="780"/>
      <c r="E74" s="780"/>
      <c r="F74" s="780"/>
      <c r="G74" s="780"/>
      <c r="H74" s="780"/>
      <c r="I74" s="780"/>
      <c r="J74" s="550" t="e">
        <f>#REF!</f>
        <v>#REF!</v>
      </c>
      <c r="K74" s="550" t="e">
        <f>#REF!</f>
        <v>#REF!</v>
      </c>
      <c r="L74" s="550" t="e">
        <f>#REF!</f>
        <v>#REF!</v>
      </c>
      <c r="M74" s="550" t="e">
        <f>#REF!</f>
        <v>#REF!</v>
      </c>
      <c r="N74" s="550" t="e">
        <f>#REF!</f>
        <v>#REF!</v>
      </c>
      <c r="O74" s="550" t="e">
        <f>#REF!</f>
        <v>#REF!</v>
      </c>
      <c r="P74" s="550" t="e">
        <f>#REF!</f>
        <v>#REF!</v>
      </c>
      <c r="R74" s="551"/>
      <c r="S74" s="550"/>
      <c r="T74" s="550"/>
      <c r="U74" s="550"/>
      <c r="V74" s="550"/>
      <c r="W74" s="550"/>
      <c r="X74" s="550"/>
      <c r="Y74" s="550"/>
    </row>
    <row r="75" spans="1:27">
      <c r="A75" s="548"/>
      <c r="B75" s="551" t="s">
        <v>1494</v>
      </c>
      <c r="C75" s="780"/>
      <c r="D75" s="780"/>
      <c r="E75" s="780"/>
      <c r="F75" s="780"/>
      <c r="G75" s="780"/>
      <c r="H75" s="780"/>
      <c r="I75" s="780"/>
      <c r="J75" s="550" t="e">
        <f>#REF!</f>
        <v>#REF!</v>
      </c>
      <c r="K75" s="550" t="e">
        <f>#REF!</f>
        <v>#REF!</v>
      </c>
      <c r="L75" s="550" t="e">
        <f>#REF!</f>
        <v>#REF!</v>
      </c>
      <c r="M75" s="550" t="e">
        <f>#REF!</f>
        <v>#REF!</v>
      </c>
      <c r="N75" s="550" t="e">
        <f>#REF!</f>
        <v>#REF!</v>
      </c>
      <c r="O75" s="550" t="e">
        <f>#REF!</f>
        <v>#REF!</v>
      </c>
      <c r="P75" s="550" t="e">
        <f>#REF!</f>
        <v>#REF!</v>
      </c>
      <c r="R75" s="551"/>
      <c r="S75" s="550"/>
      <c r="T75" s="550"/>
      <c r="U75" s="550"/>
      <c r="V75" s="550"/>
      <c r="W75" s="550"/>
      <c r="X75" s="550"/>
      <c r="Y75" s="550"/>
    </row>
    <row r="76" spans="1:27">
      <c r="A76" s="548"/>
      <c r="B76" s="551" t="s">
        <v>1447</v>
      </c>
      <c r="C76" s="780"/>
      <c r="D76" s="780"/>
      <c r="E76" s="780"/>
      <c r="F76" s="780"/>
      <c r="G76" s="780"/>
      <c r="H76" s="780"/>
      <c r="I76" s="780"/>
      <c r="J76" s="550" t="e">
        <f>#REF!</f>
        <v>#REF!</v>
      </c>
      <c r="K76" s="550" t="e">
        <f>#REF!</f>
        <v>#REF!</v>
      </c>
      <c r="L76" s="550" t="e">
        <f>#REF!</f>
        <v>#REF!</v>
      </c>
      <c r="M76" s="550" t="e">
        <f>#REF!</f>
        <v>#REF!</v>
      </c>
      <c r="N76" s="550" t="e">
        <f>#REF!</f>
        <v>#REF!</v>
      </c>
      <c r="O76" s="550" t="e">
        <f>#REF!</f>
        <v>#REF!</v>
      </c>
      <c r="P76" s="550" t="e">
        <f>#REF!</f>
        <v>#REF!</v>
      </c>
      <c r="R76" s="551"/>
      <c r="S76" s="550"/>
      <c r="T76" s="550"/>
      <c r="U76" s="550"/>
      <c r="V76" s="550"/>
      <c r="W76" s="550"/>
      <c r="X76" s="550"/>
      <c r="Y76" s="550"/>
    </row>
    <row r="77" spans="1:27">
      <c r="A77" s="548"/>
      <c r="B77" s="552"/>
      <c r="C77" s="781"/>
      <c r="D77" s="781"/>
      <c r="E77" s="781"/>
      <c r="F77" s="781"/>
      <c r="G77" s="781"/>
      <c r="H77" s="781"/>
      <c r="I77" s="781"/>
      <c r="J77" s="553"/>
      <c r="K77" s="553"/>
      <c r="L77" s="553"/>
      <c r="M77" s="553"/>
      <c r="N77" s="553"/>
      <c r="O77" s="553"/>
      <c r="P77" s="553"/>
      <c r="R77" s="551"/>
      <c r="S77" s="550"/>
      <c r="T77" s="550"/>
      <c r="U77" s="550"/>
      <c r="V77" s="550"/>
      <c r="W77" s="550"/>
      <c r="X77" s="550"/>
      <c r="Y77" s="550"/>
    </row>
    <row r="78" spans="1:27" s="557" customFormat="1" ht="6.75" customHeight="1">
      <c r="A78" s="558"/>
      <c r="B78" s="559"/>
      <c r="C78" s="559"/>
      <c r="D78" s="559"/>
      <c r="E78" s="559"/>
      <c r="F78" s="559"/>
      <c r="G78" s="559"/>
      <c r="H78" s="559"/>
      <c r="I78" s="559"/>
      <c r="J78" s="560"/>
      <c r="K78" s="560"/>
      <c r="L78" s="560"/>
      <c r="M78" s="560"/>
      <c r="N78" s="560"/>
      <c r="O78" s="560"/>
      <c r="P78" s="560"/>
      <c r="R78" s="561"/>
      <c r="S78" s="562"/>
      <c r="T78" s="562"/>
      <c r="U78" s="562"/>
      <c r="V78" s="562"/>
      <c r="W78" s="562"/>
      <c r="X78" s="562"/>
      <c r="Y78" s="562"/>
    </row>
    <row r="79" spans="1:27">
      <c r="A79" s="563" t="s">
        <v>432</v>
      </c>
      <c r="C79" s="784">
        <f>C$2</f>
        <v>2007</v>
      </c>
      <c r="D79" s="784">
        <f t="shared" ref="D79:I79" si="31">D$2</f>
        <v>2008</v>
      </c>
      <c r="E79" s="784">
        <f t="shared" si="31"/>
        <v>2009</v>
      </c>
      <c r="F79" s="784">
        <f t="shared" si="31"/>
        <v>2010</v>
      </c>
      <c r="G79" s="784">
        <f t="shared" si="31"/>
        <v>2011</v>
      </c>
      <c r="H79" s="784">
        <f t="shared" si="31"/>
        <v>2012</v>
      </c>
      <c r="I79" s="784">
        <f t="shared" si="31"/>
        <v>2013</v>
      </c>
      <c r="J79" s="548">
        <v>2014</v>
      </c>
      <c r="K79" s="548">
        <v>2015</v>
      </c>
      <c r="L79" s="548">
        <v>2016</v>
      </c>
      <c r="M79" s="548">
        <v>2017</v>
      </c>
      <c r="N79" s="548">
        <v>2018</v>
      </c>
      <c r="O79" s="548">
        <v>2019</v>
      </c>
      <c r="P79" s="548">
        <v>2020</v>
      </c>
      <c r="S79" s="548">
        <v>2014</v>
      </c>
      <c r="T79" s="548">
        <v>2015</v>
      </c>
      <c r="U79" s="548">
        <v>2016</v>
      </c>
      <c r="V79" s="548">
        <v>2017</v>
      </c>
      <c r="W79" s="548">
        <v>2018</v>
      </c>
      <c r="X79" s="548">
        <v>2019</v>
      </c>
      <c r="Y79" s="548">
        <v>2020</v>
      </c>
    </row>
    <row r="80" spans="1:27">
      <c r="A80" s="548"/>
      <c r="B80" s="551" t="s">
        <v>654</v>
      </c>
      <c r="C80" s="780"/>
      <c r="D80" s="780"/>
      <c r="E80" s="780"/>
      <c r="F80" s="780"/>
      <c r="G80" s="780"/>
      <c r="H80" s="780"/>
      <c r="I80" s="780"/>
      <c r="J80" s="550">
        <f>(J4)*-1</f>
        <v>-75713.976195199997</v>
      </c>
      <c r="K80" s="550">
        <f t="shared" ref="K80:P80" si="32">(K4)*-1</f>
        <v>-136285.15715135998</v>
      </c>
      <c r="L80" s="550">
        <f t="shared" si="32"/>
        <v>-156727.93072406398</v>
      </c>
      <c r="M80" s="550">
        <f t="shared" si="32"/>
        <v>-172400.72379647038</v>
      </c>
      <c r="N80" s="550">
        <f t="shared" si="32"/>
        <v>-189640.79617611744</v>
      </c>
      <c r="O80" s="550">
        <f t="shared" si="32"/>
        <v>-208604.87579372921</v>
      </c>
      <c r="P80" s="550">
        <f t="shared" si="32"/>
        <v>-229465.36337310215</v>
      </c>
      <c r="R80" s="551" t="s">
        <v>654</v>
      </c>
      <c r="S80" s="550">
        <f>J80</f>
        <v>-75713.976195199997</v>
      </c>
      <c r="T80" s="550">
        <f t="shared" ref="T80:Y80" si="33">K80</f>
        <v>-136285.15715135998</v>
      </c>
      <c r="U80" s="550">
        <f t="shared" si="33"/>
        <v>-156727.93072406398</v>
      </c>
      <c r="V80" s="550">
        <f t="shared" si="33"/>
        <v>-172400.72379647038</v>
      </c>
      <c r="W80" s="550">
        <f t="shared" si="33"/>
        <v>-189640.79617611744</v>
      </c>
      <c r="X80" s="550">
        <f t="shared" si="33"/>
        <v>-208604.87579372921</v>
      </c>
      <c r="Y80" s="550">
        <f t="shared" si="33"/>
        <v>-229465.36337310215</v>
      </c>
    </row>
    <row r="81" spans="1:25">
      <c r="A81" s="548"/>
      <c r="B81" s="551" t="s">
        <v>662</v>
      </c>
      <c r="C81" s="780"/>
      <c r="D81" s="780"/>
      <c r="E81" s="780"/>
      <c r="F81" s="780"/>
      <c r="G81" s="780"/>
      <c r="H81" s="780"/>
      <c r="I81" s="780"/>
      <c r="J81" s="550">
        <f t="shared" ref="J81:P81" si="34">(J55*(1-J82))*-1</f>
        <v>-39224.239999999998</v>
      </c>
      <c r="K81" s="550">
        <f t="shared" si="34"/>
        <v>-98060.6</v>
      </c>
      <c r="L81" s="550">
        <f t="shared" si="34"/>
        <v>-127478.78</v>
      </c>
      <c r="M81" s="550">
        <f t="shared" si="34"/>
        <v>-165722.41400000002</v>
      </c>
      <c r="N81" s="550">
        <f t="shared" si="34"/>
        <v>-215439.13820000004</v>
      </c>
      <c r="O81" s="550">
        <f t="shared" si="34"/>
        <v>-280070.87966000004</v>
      </c>
      <c r="P81" s="550">
        <f t="shared" si="34"/>
        <v>-364092.14355800004</v>
      </c>
      <c r="R81" s="551" t="s">
        <v>663</v>
      </c>
      <c r="S81" s="550" t="e">
        <f>SUM(J84:J95)</f>
        <v>#REF!</v>
      </c>
      <c r="T81" s="550" t="e">
        <f t="shared" ref="T81:Y81" si="35">SUM(K84:K95)</f>
        <v>#REF!</v>
      </c>
      <c r="U81" s="550" t="e">
        <f t="shared" si="35"/>
        <v>#REF!</v>
      </c>
      <c r="V81" s="550" t="e">
        <f t="shared" si="35"/>
        <v>#REF!</v>
      </c>
      <c r="W81" s="550" t="e">
        <f t="shared" si="35"/>
        <v>#REF!</v>
      </c>
      <c r="X81" s="550" t="e">
        <f t="shared" si="35"/>
        <v>#REF!</v>
      </c>
      <c r="Y81" s="550" t="e">
        <f t="shared" si="35"/>
        <v>#REF!</v>
      </c>
    </row>
    <row r="82" spans="1:25">
      <c r="A82" s="548"/>
      <c r="B82" s="551" t="s">
        <v>669</v>
      </c>
      <c r="C82" s="780"/>
      <c r="D82" s="780"/>
      <c r="E82" s="780"/>
      <c r="F82" s="780"/>
      <c r="G82" s="780"/>
      <c r="H82" s="780"/>
      <c r="I82" s="780"/>
      <c r="J82" s="556">
        <v>0.12</v>
      </c>
      <c r="K82" s="556">
        <v>0.12</v>
      </c>
      <c r="L82" s="556">
        <v>0.12</v>
      </c>
      <c r="M82" s="556">
        <v>0.12</v>
      </c>
      <c r="N82" s="556">
        <v>0.12</v>
      </c>
      <c r="O82" s="556">
        <v>0.12</v>
      </c>
      <c r="P82" s="556">
        <v>0.12</v>
      </c>
      <c r="R82" s="551" t="s">
        <v>662</v>
      </c>
      <c r="S82" s="550">
        <f>J81</f>
        <v>-39224.239999999998</v>
      </c>
      <c r="T82" s="550">
        <f t="shared" ref="T82:Y82" si="36">K81</f>
        <v>-98060.6</v>
      </c>
      <c r="U82" s="550">
        <f t="shared" si="36"/>
        <v>-127478.78</v>
      </c>
      <c r="V82" s="550">
        <f t="shared" si="36"/>
        <v>-165722.41400000002</v>
      </c>
      <c r="W82" s="550">
        <f t="shared" si="36"/>
        <v>-215439.13820000004</v>
      </c>
      <c r="X82" s="550">
        <f t="shared" si="36"/>
        <v>-280070.87966000004</v>
      </c>
      <c r="Y82" s="550">
        <f t="shared" si="36"/>
        <v>-364092.14355800004</v>
      </c>
    </row>
    <row r="83" spans="1:25">
      <c r="A83" s="548"/>
      <c r="R83" s="548" t="s">
        <v>432</v>
      </c>
      <c r="S83" s="553" t="e">
        <f t="shared" ref="S83:Y83" si="37">SUM(S80:S82)</f>
        <v>#REF!</v>
      </c>
      <c r="T83" s="553" t="e">
        <f t="shared" si="37"/>
        <v>#REF!</v>
      </c>
      <c r="U83" s="553" t="e">
        <f t="shared" si="37"/>
        <v>#REF!</v>
      </c>
      <c r="V83" s="553" t="e">
        <f t="shared" si="37"/>
        <v>#REF!</v>
      </c>
      <c r="W83" s="553" t="e">
        <f t="shared" si="37"/>
        <v>#REF!</v>
      </c>
      <c r="X83" s="553" t="e">
        <f t="shared" si="37"/>
        <v>#REF!</v>
      </c>
      <c r="Y83" s="553" t="e">
        <f t="shared" si="37"/>
        <v>#REF!</v>
      </c>
    </row>
    <row r="84" spans="1:25">
      <c r="A84" s="548"/>
      <c r="B84" s="551" t="s">
        <v>664</v>
      </c>
      <c r="C84" s="780"/>
      <c r="D84" s="780"/>
      <c r="E84" s="780"/>
      <c r="F84" s="780"/>
      <c r="G84" s="780"/>
      <c r="H84" s="780"/>
      <c r="I84" s="780"/>
      <c r="J84" s="550" t="e">
        <f>#REF!</f>
        <v>#REF!</v>
      </c>
      <c r="K84" s="550" t="e">
        <f>#REF!</f>
        <v>#REF!</v>
      </c>
      <c r="L84" s="550" t="e">
        <f>#REF!</f>
        <v>#REF!</v>
      </c>
      <c r="M84" s="550" t="e">
        <f>#REF!</f>
        <v>#REF!</v>
      </c>
      <c r="N84" s="550" t="e">
        <f>#REF!</f>
        <v>#REF!</v>
      </c>
      <c r="O84" s="550" t="e">
        <f>#REF!</f>
        <v>#REF!</v>
      </c>
      <c r="P84" s="550" t="e">
        <f>#REF!</f>
        <v>#REF!</v>
      </c>
      <c r="R84" s="551"/>
      <c r="S84" s="550"/>
      <c r="T84" s="550"/>
      <c r="U84" s="550"/>
      <c r="V84" s="550"/>
      <c r="W84" s="550"/>
      <c r="X84" s="550"/>
      <c r="Y84" s="550"/>
    </row>
    <row r="85" spans="1:25">
      <c r="A85" s="548"/>
      <c r="B85" s="551" t="s">
        <v>666</v>
      </c>
      <c r="C85" s="780"/>
      <c r="D85" s="780"/>
      <c r="E85" s="780"/>
      <c r="F85" s="780"/>
      <c r="G85" s="780"/>
      <c r="H85" s="780"/>
      <c r="I85" s="780"/>
      <c r="J85" s="550" t="e">
        <f>#REF!</f>
        <v>#REF!</v>
      </c>
      <c r="K85" s="550" t="e">
        <f>#REF!</f>
        <v>#REF!</v>
      </c>
      <c r="L85" s="550" t="e">
        <f>#REF!</f>
        <v>#REF!</v>
      </c>
      <c r="M85" s="550" t="e">
        <f>#REF!</f>
        <v>#REF!</v>
      </c>
      <c r="N85" s="550" t="e">
        <f>#REF!</f>
        <v>#REF!</v>
      </c>
      <c r="O85" s="550" t="e">
        <f>#REF!</f>
        <v>#REF!</v>
      </c>
      <c r="P85" s="550" t="e">
        <f>#REF!</f>
        <v>#REF!</v>
      </c>
      <c r="R85" s="551"/>
      <c r="S85" s="550"/>
      <c r="T85" s="550"/>
      <c r="U85" s="550"/>
      <c r="V85" s="550"/>
      <c r="W85" s="550"/>
      <c r="X85" s="550"/>
      <c r="Y85" s="550"/>
    </row>
    <row r="86" spans="1:25">
      <c r="A86" s="548"/>
      <c r="B86" s="551" t="s">
        <v>667</v>
      </c>
      <c r="C86" s="780"/>
      <c r="D86" s="780"/>
      <c r="E86" s="780"/>
      <c r="F86" s="780"/>
      <c r="G86" s="780"/>
      <c r="H86" s="780"/>
      <c r="I86" s="780"/>
      <c r="J86" s="550" t="e">
        <f>#REF!</f>
        <v>#REF!</v>
      </c>
      <c r="K86" s="550" t="e">
        <f>#REF!</f>
        <v>#REF!</v>
      </c>
      <c r="L86" s="550" t="e">
        <f>#REF!</f>
        <v>#REF!</v>
      </c>
      <c r="M86" s="550" t="e">
        <f>#REF!</f>
        <v>#REF!</v>
      </c>
      <c r="N86" s="550" t="e">
        <f>#REF!</f>
        <v>#REF!</v>
      </c>
      <c r="O86" s="550" t="e">
        <f>#REF!</f>
        <v>#REF!</v>
      </c>
      <c r="P86" s="550" t="e">
        <f>#REF!</f>
        <v>#REF!</v>
      </c>
      <c r="R86" s="551"/>
      <c r="S86" s="550"/>
      <c r="T86" s="550"/>
      <c r="U86" s="538"/>
      <c r="V86" s="550"/>
      <c r="W86" s="550"/>
      <c r="X86" s="550"/>
      <c r="Y86" s="550"/>
    </row>
    <row r="87" spans="1:25">
      <c r="A87" s="548"/>
      <c r="B87" s="551" t="s">
        <v>668</v>
      </c>
      <c r="C87" s="780"/>
      <c r="D87" s="780"/>
      <c r="E87" s="780"/>
      <c r="F87" s="780"/>
      <c r="G87" s="780"/>
      <c r="H87" s="780"/>
      <c r="I87" s="780"/>
      <c r="J87" s="550" t="e">
        <f>#REF!</f>
        <v>#REF!</v>
      </c>
      <c r="K87" s="550" t="e">
        <f>#REF!</f>
        <v>#REF!</v>
      </c>
      <c r="L87" s="550" t="e">
        <f>#REF!</f>
        <v>#REF!</v>
      </c>
      <c r="M87" s="550" t="e">
        <f>#REF!</f>
        <v>#REF!</v>
      </c>
      <c r="N87" s="550" t="e">
        <f>#REF!</f>
        <v>#REF!</v>
      </c>
      <c r="O87" s="550" t="e">
        <f>#REF!</f>
        <v>#REF!</v>
      </c>
      <c r="P87" s="550" t="e">
        <f>#REF!</f>
        <v>#REF!</v>
      </c>
      <c r="R87" s="551"/>
      <c r="S87" s="550"/>
      <c r="T87" s="550"/>
      <c r="U87" s="550"/>
      <c r="V87" s="550"/>
      <c r="W87" s="550"/>
      <c r="X87" s="550"/>
      <c r="Y87" s="550"/>
    </row>
    <row r="88" spans="1:25">
      <c r="A88" s="548"/>
      <c r="B88" s="551" t="s">
        <v>1015</v>
      </c>
      <c r="C88" s="780"/>
      <c r="D88" s="780"/>
      <c r="E88" s="780"/>
      <c r="F88" s="780"/>
      <c r="G88" s="780"/>
      <c r="H88" s="780"/>
      <c r="I88" s="780"/>
      <c r="J88" s="550">
        <f>-J69*0.5</f>
        <v>-33350</v>
      </c>
      <c r="K88" s="550"/>
      <c r="L88" s="550"/>
      <c r="M88" s="550"/>
      <c r="N88" s="550"/>
      <c r="O88" s="550"/>
      <c r="P88" s="550"/>
      <c r="R88" s="551"/>
      <c r="S88" s="550"/>
      <c r="T88" s="550"/>
      <c r="U88" s="550"/>
      <c r="V88" s="550"/>
      <c r="W88" s="550"/>
      <c r="X88" s="550"/>
      <c r="Y88" s="550"/>
    </row>
    <row r="89" spans="1:25">
      <c r="A89" s="548"/>
      <c r="B89" s="551"/>
      <c r="C89" s="780"/>
      <c r="D89" s="780"/>
      <c r="E89" s="780"/>
      <c r="F89" s="780"/>
      <c r="G89" s="780"/>
      <c r="H89" s="780"/>
      <c r="I89" s="780"/>
      <c r="J89" s="550"/>
      <c r="K89" s="550"/>
      <c r="L89" s="550"/>
      <c r="M89" s="550"/>
      <c r="N89" s="550"/>
      <c r="O89" s="550"/>
      <c r="P89" s="550"/>
      <c r="R89" s="551"/>
      <c r="S89" s="550"/>
      <c r="T89" s="550"/>
      <c r="U89" s="550"/>
      <c r="V89" s="550"/>
      <c r="W89" s="550"/>
      <c r="X89" s="550"/>
      <c r="Y89" s="550"/>
    </row>
    <row r="90" spans="1:25">
      <c r="A90" s="548"/>
      <c r="B90" s="551" t="s">
        <v>1312</v>
      </c>
      <c r="C90" s="780"/>
      <c r="D90" s="780"/>
      <c r="E90" s="780"/>
      <c r="F90" s="780"/>
      <c r="G90" s="780"/>
      <c r="H90" s="780"/>
      <c r="I90" s="780"/>
      <c r="J90" s="550" t="e">
        <f>#REF!</f>
        <v>#REF!</v>
      </c>
      <c r="K90" s="550" t="e">
        <f>#REF!</f>
        <v>#REF!</v>
      </c>
      <c r="L90" s="550" t="e">
        <f>#REF!</f>
        <v>#REF!</v>
      </c>
      <c r="M90" s="550" t="e">
        <f>#REF!</f>
        <v>#REF!</v>
      </c>
      <c r="N90" s="550" t="e">
        <f>#REF!</f>
        <v>#REF!</v>
      </c>
      <c r="O90" s="550" t="e">
        <f>#REF!</f>
        <v>#REF!</v>
      </c>
      <c r="P90" s="550" t="e">
        <f>#REF!</f>
        <v>#REF!</v>
      </c>
      <c r="R90" s="551"/>
      <c r="S90" s="550"/>
      <c r="T90" s="550"/>
      <c r="U90" s="550"/>
      <c r="V90" s="550"/>
      <c r="W90" s="550"/>
      <c r="X90" s="550"/>
      <c r="Y90" s="550"/>
    </row>
    <row r="91" spans="1:25">
      <c r="A91" s="548"/>
      <c r="B91" s="551" t="s">
        <v>1314</v>
      </c>
      <c r="C91" s="780"/>
      <c r="D91" s="780"/>
      <c r="E91" s="780"/>
      <c r="F91" s="780"/>
      <c r="G91" s="780"/>
      <c r="H91" s="780"/>
      <c r="I91" s="780"/>
      <c r="J91" s="550" t="e">
        <f>#REF!</f>
        <v>#REF!</v>
      </c>
      <c r="K91" s="550" t="e">
        <f>#REF!</f>
        <v>#REF!</v>
      </c>
      <c r="L91" s="550" t="e">
        <f>#REF!</f>
        <v>#REF!</v>
      </c>
      <c r="M91" s="550" t="e">
        <f>#REF!</f>
        <v>#REF!</v>
      </c>
      <c r="N91" s="550" t="e">
        <f>#REF!</f>
        <v>#REF!</v>
      </c>
      <c r="O91" s="550" t="e">
        <f>#REF!</f>
        <v>#REF!</v>
      </c>
      <c r="P91" s="550" t="e">
        <f>#REF!</f>
        <v>#REF!</v>
      </c>
      <c r="R91" s="551"/>
      <c r="S91" s="550"/>
      <c r="T91" s="550"/>
      <c r="U91" s="550"/>
      <c r="V91" s="550"/>
      <c r="W91" s="550"/>
      <c r="X91" s="550"/>
      <c r="Y91" s="550"/>
    </row>
    <row r="92" spans="1:25">
      <c r="A92" s="548"/>
      <c r="B92" s="551" t="s">
        <v>1315</v>
      </c>
      <c r="C92" s="780"/>
      <c r="D92" s="780"/>
      <c r="E92" s="780"/>
      <c r="F92" s="780"/>
      <c r="G92" s="780"/>
      <c r="H92" s="780"/>
      <c r="I92" s="780"/>
      <c r="J92" s="550">
        <f>'CT15'!E174</f>
        <v>0</v>
      </c>
      <c r="K92" s="550">
        <f>'CT15'!F174</f>
        <v>0</v>
      </c>
      <c r="L92" s="550">
        <f>'CT15'!G174</f>
        <v>0</v>
      </c>
      <c r="M92" s="550">
        <f>'CT15'!H174</f>
        <v>-206288.93999999997</v>
      </c>
      <c r="N92" s="550">
        <f>'CT15'!I174</f>
        <v>-481340.85999999993</v>
      </c>
      <c r="O92" s="550">
        <f>'CT15'!J174</f>
        <v>0</v>
      </c>
      <c r="P92" s="550">
        <f>'CT15'!K174</f>
        <v>0</v>
      </c>
      <c r="R92" s="551"/>
      <c r="S92" s="550"/>
      <c r="T92" s="550"/>
      <c r="U92" s="550"/>
      <c r="V92" s="550"/>
      <c r="W92" s="550"/>
      <c r="X92" s="550"/>
      <c r="Y92" s="550"/>
    </row>
    <row r="93" spans="1:25">
      <c r="A93" s="548"/>
      <c r="B93" s="551" t="s">
        <v>1317</v>
      </c>
      <c r="C93" s="780"/>
      <c r="D93" s="780"/>
      <c r="E93" s="780"/>
      <c r="F93" s="780"/>
      <c r="G93" s="780"/>
      <c r="H93" s="780"/>
      <c r="I93" s="780"/>
      <c r="J93" s="550" t="e">
        <f>#REF!</f>
        <v>#REF!</v>
      </c>
      <c r="K93" s="550" t="e">
        <f>#REF!</f>
        <v>#REF!</v>
      </c>
      <c r="L93" s="550" t="e">
        <f>#REF!</f>
        <v>#REF!</v>
      </c>
      <c r="M93" s="550" t="e">
        <f>#REF!</f>
        <v>#REF!</v>
      </c>
      <c r="N93" s="550" t="e">
        <f>#REF!</f>
        <v>#REF!</v>
      </c>
      <c r="O93" s="550" t="e">
        <f>#REF!</f>
        <v>#REF!</v>
      </c>
      <c r="P93" s="550" t="e">
        <f>#REF!</f>
        <v>#REF!</v>
      </c>
      <c r="R93" s="551"/>
      <c r="S93" s="550"/>
      <c r="T93" s="550"/>
      <c r="U93" s="550"/>
      <c r="V93" s="550"/>
      <c r="W93" s="550"/>
      <c r="X93" s="550"/>
      <c r="Y93" s="550"/>
    </row>
    <row r="94" spans="1:25">
      <c r="A94" s="548"/>
      <c r="B94" s="551" t="s">
        <v>1494</v>
      </c>
      <c r="C94" s="780"/>
      <c r="D94" s="780"/>
      <c r="E94" s="780"/>
      <c r="F94" s="780"/>
      <c r="G94" s="780"/>
      <c r="H94" s="780"/>
      <c r="I94" s="780"/>
      <c r="J94" s="550" t="e">
        <f>#REF!</f>
        <v>#REF!</v>
      </c>
      <c r="K94" s="550" t="e">
        <f>#REF!</f>
        <v>#REF!</v>
      </c>
      <c r="L94" s="550" t="e">
        <f>#REF!</f>
        <v>#REF!</v>
      </c>
      <c r="M94" s="550" t="e">
        <f>#REF!</f>
        <v>#REF!</v>
      </c>
      <c r="N94" s="550" t="e">
        <f>#REF!</f>
        <v>#REF!</v>
      </c>
      <c r="O94" s="550" t="e">
        <f>#REF!</f>
        <v>#REF!</v>
      </c>
      <c r="P94" s="550" t="e">
        <f>#REF!</f>
        <v>#REF!</v>
      </c>
      <c r="R94" s="551"/>
      <c r="S94" s="550"/>
      <c r="T94" s="550"/>
      <c r="U94" s="550"/>
      <c r="V94" s="550"/>
      <c r="W94" s="550"/>
      <c r="X94" s="550"/>
      <c r="Y94" s="550"/>
    </row>
    <row r="95" spans="1:25">
      <c r="A95" s="548"/>
      <c r="B95" s="551" t="s">
        <v>1447</v>
      </c>
      <c r="C95" s="780"/>
      <c r="D95" s="780"/>
      <c r="E95" s="780"/>
      <c r="F95" s="780"/>
      <c r="G95" s="780"/>
      <c r="H95" s="780"/>
      <c r="I95" s="780"/>
      <c r="J95" s="550" t="e">
        <f>#REF!</f>
        <v>#REF!</v>
      </c>
      <c r="K95" s="550" t="e">
        <f>#REF!</f>
        <v>#REF!</v>
      </c>
      <c r="L95" s="550" t="e">
        <f>#REF!</f>
        <v>#REF!</v>
      </c>
      <c r="M95" s="550" t="e">
        <f>#REF!</f>
        <v>#REF!</v>
      </c>
      <c r="N95" s="550" t="e">
        <f>#REF!</f>
        <v>#REF!</v>
      </c>
      <c r="O95" s="550" t="e">
        <f>#REF!</f>
        <v>#REF!</v>
      </c>
      <c r="P95" s="550" t="e">
        <f>#REF!</f>
        <v>#REF!</v>
      </c>
      <c r="R95" s="551"/>
      <c r="S95" s="550"/>
      <c r="T95" s="550"/>
      <c r="U95" s="550"/>
      <c r="V95" s="550"/>
      <c r="W95" s="550"/>
      <c r="X95" s="550"/>
      <c r="Y95" s="550"/>
    </row>
    <row r="96" spans="1:25">
      <c r="A96" s="548"/>
      <c r="B96" s="551"/>
      <c r="C96" s="780"/>
      <c r="D96" s="780"/>
      <c r="E96" s="780"/>
      <c r="F96" s="780"/>
      <c r="G96" s="780"/>
      <c r="H96" s="780"/>
      <c r="I96" s="780"/>
      <c r="J96" s="550"/>
      <c r="K96" s="550"/>
      <c r="L96" s="550"/>
      <c r="M96" s="550"/>
      <c r="N96" s="550"/>
      <c r="O96" s="550"/>
      <c r="P96" s="550"/>
      <c r="R96" s="551"/>
      <c r="S96" s="550"/>
      <c r="T96" s="550"/>
      <c r="U96" s="550"/>
      <c r="V96" s="550"/>
      <c r="W96" s="550"/>
      <c r="X96" s="550"/>
      <c r="Y96" s="550"/>
    </row>
    <row r="97" spans="1:31">
      <c r="A97" s="558"/>
      <c r="B97" s="559"/>
      <c r="C97" s="559"/>
      <c r="D97" s="559"/>
      <c r="E97" s="559"/>
      <c r="F97" s="559"/>
      <c r="G97" s="559"/>
      <c r="H97" s="559"/>
      <c r="I97" s="559"/>
      <c r="J97" s="560"/>
      <c r="K97" s="560"/>
      <c r="L97" s="560"/>
      <c r="M97" s="560"/>
      <c r="N97" s="560"/>
      <c r="O97" s="560"/>
      <c r="P97" s="560"/>
      <c r="Q97" s="557"/>
      <c r="R97" s="561"/>
      <c r="S97" s="562"/>
      <c r="T97" s="562"/>
      <c r="U97" s="562"/>
      <c r="V97" s="562"/>
      <c r="W97" s="562"/>
      <c r="X97" s="562"/>
      <c r="Y97" s="562"/>
      <c r="Z97" s="557"/>
      <c r="AA97" s="557"/>
      <c r="AB97" s="557"/>
      <c r="AC97" s="557"/>
      <c r="AD97" s="557"/>
      <c r="AE97" s="557"/>
    </row>
    <row r="98" spans="1:31">
      <c r="A98" s="563" t="s">
        <v>28</v>
      </c>
      <c r="C98" s="784">
        <f>C$2</f>
        <v>2007</v>
      </c>
      <c r="D98" s="784">
        <f t="shared" ref="D98:I98" si="38">D$2</f>
        <v>2008</v>
      </c>
      <c r="E98" s="784">
        <f t="shared" si="38"/>
        <v>2009</v>
      </c>
      <c r="F98" s="784">
        <f t="shared" si="38"/>
        <v>2010</v>
      </c>
      <c r="G98" s="784">
        <f t="shared" si="38"/>
        <v>2011</v>
      </c>
      <c r="H98" s="784">
        <f t="shared" si="38"/>
        <v>2012</v>
      </c>
      <c r="I98" s="784">
        <f t="shared" si="38"/>
        <v>2013</v>
      </c>
      <c r="J98" s="548">
        <v>2014</v>
      </c>
      <c r="K98" s="548">
        <v>2015</v>
      </c>
      <c r="L98" s="548">
        <v>2016</v>
      </c>
      <c r="M98" s="548">
        <v>2017</v>
      </c>
      <c r="N98" s="548">
        <v>2018</v>
      </c>
      <c r="O98" s="548">
        <v>2019</v>
      </c>
      <c r="P98" s="548">
        <v>2020</v>
      </c>
      <c r="S98" s="548">
        <v>2014</v>
      </c>
      <c r="T98" s="548">
        <v>2015</v>
      </c>
      <c r="U98" s="548">
        <v>2016</v>
      </c>
      <c r="V98" s="548">
        <v>2017</v>
      </c>
      <c r="W98" s="548">
        <v>2018</v>
      </c>
      <c r="X98" s="548">
        <v>2019</v>
      </c>
      <c r="Y98" s="548">
        <v>2020</v>
      </c>
    </row>
    <row r="99" spans="1:31">
      <c r="A99" s="548"/>
      <c r="B99" s="551" t="s">
        <v>654</v>
      </c>
      <c r="C99" s="780"/>
      <c r="D99" s="780"/>
      <c r="E99" s="780"/>
      <c r="F99" s="780"/>
      <c r="G99" s="780"/>
      <c r="H99" s="780"/>
      <c r="I99" s="780"/>
      <c r="J99" s="550">
        <f t="shared" ref="J99:P100" si="39">J62+J80</f>
        <v>151427.95239039999</v>
      </c>
      <c r="K99" s="550">
        <f t="shared" si="39"/>
        <v>408855.47145407996</v>
      </c>
      <c r="L99" s="550">
        <f t="shared" si="39"/>
        <v>470183.7921721919</v>
      </c>
      <c r="M99" s="550">
        <f t="shared" si="39"/>
        <v>517202.17138941115</v>
      </c>
      <c r="N99" s="550">
        <f t="shared" si="39"/>
        <v>568922.38852835237</v>
      </c>
      <c r="O99" s="550">
        <f t="shared" si="39"/>
        <v>625814.62738118763</v>
      </c>
      <c r="P99" s="550">
        <f t="shared" si="39"/>
        <v>688396.09011930646</v>
      </c>
      <c r="Q99" s="1050">
        <f>1-(39%*49%)</f>
        <v>0.80889999999999995</v>
      </c>
      <c r="R99" s="551" t="s">
        <v>654</v>
      </c>
      <c r="S99" s="550">
        <f t="shared" ref="S99:Y101" si="40">S62+S80</f>
        <v>227141.92858559999</v>
      </c>
      <c r="T99" s="550">
        <f t="shared" si="40"/>
        <v>408855.47145407996</v>
      </c>
      <c r="U99" s="550">
        <f t="shared" si="40"/>
        <v>470183.7921721919</v>
      </c>
      <c r="V99" s="550">
        <f t="shared" si="40"/>
        <v>517202.17138941115</v>
      </c>
      <c r="W99" s="550">
        <f t="shared" si="40"/>
        <v>568922.38852835237</v>
      </c>
      <c r="X99" s="550">
        <f t="shared" si="40"/>
        <v>625814.62738118763</v>
      </c>
      <c r="Y99" s="550">
        <f t="shared" si="40"/>
        <v>688396.09011930646</v>
      </c>
    </row>
    <row r="100" spans="1:31">
      <c r="A100" s="548"/>
      <c r="B100" s="551" t="s">
        <v>662</v>
      </c>
      <c r="C100" s="780"/>
      <c r="D100" s="780"/>
      <c r="E100" s="780"/>
      <c r="F100" s="780"/>
      <c r="G100" s="780"/>
      <c r="H100" s="780"/>
      <c r="I100" s="780"/>
      <c r="J100" s="550">
        <f t="shared" si="39"/>
        <v>5348.760000000002</v>
      </c>
      <c r="K100" s="550">
        <f t="shared" si="39"/>
        <v>13371.899999999994</v>
      </c>
      <c r="L100" s="550">
        <f t="shared" si="39"/>
        <v>17383.47</v>
      </c>
      <c r="M100" s="550">
        <f t="shared" si="39"/>
        <v>22598.510999999999</v>
      </c>
      <c r="N100" s="550">
        <f t="shared" si="39"/>
        <v>29378.064299999998</v>
      </c>
      <c r="O100" s="550">
        <f t="shared" si="39"/>
        <v>38191.483590000018</v>
      </c>
      <c r="P100" s="550">
        <f t="shared" si="39"/>
        <v>49648.928667000029</v>
      </c>
      <c r="Q100" s="1050">
        <v>1</v>
      </c>
      <c r="R100" s="551" t="s">
        <v>663</v>
      </c>
      <c r="S100" s="550" t="e">
        <f t="shared" si="40"/>
        <v>#REF!</v>
      </c>
      <c r="T100" s="550" t="e">
        <f t="shared" si="40"/>
        <v>#REF!</v>
      </c>
      <c r="U100" s="550" t="e">
        <f t="shared" si="40"/>
        <v>#REF!</v>
      </c>
      <c r="V100" s="550" t="e">
        <f t="shared" si="40"/>
        <v>#REF!</v>
      </c>
      <c r="W100" s="550" t="e">
        <f t="shared" si="40"/>
        <v>#REF!</v>
      </c>
      <c r="X100" s="550" t="e">
        <f t="shared" si="40"/>
        <v>#REF!</v>
      </c>
      <c r="Y100" s="550" t="e">
        <f t="shared" si="40"/>
        <v>#REF!</v>
      </c>
    </row>
    <row r="101" spans="1:31">
      <c r="A101" s="548"/>
      <c r="B101" s="551" t="s">
        <v>669</v>
      </c>
      <c r="C101" s="780"/>
      <c r="D101" s="780"/>
      <c r="E101" s="780"/>
      <c r="F101" s="780"/>
      <c r="G101" s="780"/>
      <c r="H101" s="780"/>
      <c r="I101" s="780"/>
      <c r="J101" s="556"/>
      <c r="K101" s="556"/>
      <c r="L101" s="556"/>
      <c r="M101" s="556"/>
      <c r="N101" s="556"/>
      <c r="O101" s="556"/>
      <c r="P101" s="556"/>
      <c r="Q101" s="1050">
        <v>0.9</v>
      </c>
      <c r="R101" s="551" t="s">
        <v>662</v>
      </c>
      <c r="S101" s="550">
        <f t="shared" si="40"/>
        <v>5348.760000000002</v>
      </c>
      <c r="T101" s="550">
        <f t="shared" si="40"/>
        <v>13371.899999999994</v>
      </c>
      <c r="U101" s="550">
        <f t="shared" si="40"/>
        <v>17383.47</v>
      </c>
      <c r="V101" s="550">
        <f t="shared" si="40"/>
        <v>22598.510999999999</v>
      </c>
      <c r="W101" s="550">
        <f t="shared" si="40"/>
        <v>29378.064299999998</v>
      </c>
      <c r="X101" s="550">
        <f t="shared" si="40"/>
        <v>38191.483590000018</v>
      </c>
      <c r="Y101" s="550">
        <f t="shared" si="40"/>
        <v>49648.928667000029</v>
      </c>
    </row>
    <row r="102" spans="1:31">
      <c r="A102" s="548"/>
      <c r="R102" s="548" t="s">
        <v>432</v>
      </c>
      <c r="S102" s="553" t="e">
        <f t="shared" ref="S102:Y102" si="41">SUM(S99:S101)</f>
        <v>#REF!</v>
      </c>
      <c r="T102" s="553" t="e">
        <f t="shared" si="41"/>
        <v>#REF!</v>
      </c>
      <c r="U102" s="553" t="e">
        <f t="shared" si="41"/>
        <v>#REF!</v>
      </c>
      <c r="V102" s="553" t="e">
        <f t="shared" si="41"/>
        <v>#REF!</v>
      </c>
      <c r="W102" s="553" t="e">
        <f t="shared" si="41"/>
        <v>#REF!</v>
      </c>
      <c r="X102" s="553" t="e">
        <f t="shared" si="41"/>
        <v>#REF!</v>
      </c>
      <c r="Y102" s="553" t="e">
        <f t="shared" si="41"/>
        <v>#REF!</v>
      </c>
    </row>
    <row r="103" spans="1:31">
      <c r="A103" s="548"/>
      <c r="B103" s="551" t="s">
        <v>664</v>
      </c>
      <c r="C103" s="780"/>
      <c r="D103" s="780"/>
      <c r="E103" s="780"/>
      <c r="F103" s="780"/>
      <c r="G103" s="780"/>
      <c r="H103" s="780"/>
      <c r="I103" s="780"/>
      <c r="J103" s="550" t="e">
        <f t="shared" ref="J103:P107" si="42">J65+J84</f>
        <v>#REF!</v>
      </c>
      <c r="K103" s="550" t="e">
        <f t="shared" si="42"/>
        <v>#REF!</v>
      </c>
      <c r="L103" s="550" t="e">
        <f t="shared" si="42"/>
        <v>#REF!</v>
      </c>
      <c r="M103" s="550" t="e">
        <f t="shared" si="42"/>
        <v>#REF!</v>
      </c>
      <c r="N103" s="550" t="e">
        <f t="shared" si="42"/>
        <v>#REF!</v>
      </c>
      <c r="O103" s="550" t="e">
        <f t="shared" si="42"/>
        <v>#REF!</v>
      </c>
      <c r="P103" s="550" t="e">
        <f t="shared" si="42"/>
        <v>#REF!</v>
      </c>
      <c r="R103" s="551"/>
      <c r="S103" s="550"/>
      <c r="T103" s="550"/>
      <c r="U103" s="550"/>
      <c r="V103" s="550"/>
      <c r="W103" s="550"/>
      <c r="X103" s="550"/>
      <c r="Y103" s="550"/>
    </row>
    <row r="104" spans="1:31">
      <c r="A104" s="548"/>
      <c r="B104" s="551" t="s">
        <v>666</v>
      </c>
      <c r="C104" s="780"/>
      <c r="D104" s="780"/>
      <c r="E104" s="780"/>
      <c r="F104" s="780"/>
      <c r="G104" s="780"/>
      <c r="H104" s="780"/>
      <c r="I104" s="780"/>
      <c r="J104" s="550" t="e">
        <f t="shared" si="42"/>
        <v>#REF!</v>
      </c>
      <c r="K104" s="550" t="e">
        <f t="shared" si="42"/>
        <v>#REF!</v>
      </c>
      <c r="L104" s="550" t="e">
        <f t="shared" si="42"/>
        <v>#REF!</v>
      </c>
      <c r="M104" s="550" t="e">
        <f t="shared" si="42"/>
        <v>#REF!</v>
      </c>
      <c r="N104" s="550" t="e">
        <f t="shared" si="42"/>
        <v>#REF!</v>
      </c>
      <c r="O104" s="550" t="e">
        <f t="shared" si="42"/>
        <v>#REF!</v>
      </c>
      <c r="P104" s="550" t="e">
        <f t="shared" si="42"/>
        <v>#REF!</v>
      </c>
      <c r="R104" s="552" t="s">
        <v>1264</v>
      </c>
      <c r="S104" s="550">
        <f>S99*(1-$Q99)</f>
        <v>43406.822552708167</v>
      </c>
      <c r="T104" s="550">
        <f t="shared" ref="T104:Y104" si="43">T99*(1-$Q99)</f>
        <v>78132.280594874697</v>
      </c>
      <c r="U104" s="550">
        <f t="shared" si="43"/>
        <v>89852.122684105896</v>
      </c>
      <c r="V104" s="550">
        <f t="shared" si="43"/>
        <v>98837.334952516496</v>
      </c>
      <c r="W104" s="550">
        <f t="shared" si="43"/>
        <v>108721.06844776816</v>
      </c>
      <c r="X104" s="550">
        <f t="shared" si="43"/>
        <v>119593.17529254498</v>
      </c>
      <c r="Y104" s="550">
        <f t="shared" si="43"/>
        <v>131552.4928217995</v>
      </c>
    </row>
    <row r="105" spans="1:31">
      <c r="A105" s="548"/>
      <c r="B105" s="551" t="s">
        <v>667</v>
      </c>
      <c r="C105" s="780"/>
      <c r="D105" s="780"/>
      <c r="E105" s="780"/>
      <c r="F105" s="780"/>
      <c r="G105" s="780"/>
      <c r="H105" s="780"/>
      <c r="I105" s="780"/>
      <c r="J105" s="550" t="e">
        <f t="shared" si="42"/>
        <v>#REF!</v>
      </c>
      <c r="K105" s="550" t="e">
        <f t="shared" si="42"/>
        <v>#REF!</v>
      </c>
      <c r="L105" s="550" t="e">
        <f t="shared" si="42"/>
        <v>#REF!</v>
      </c>
      <c r="M105" s="550" t="e">
        <f t="shared" si="42"/>
        <v>#REF!</v>
      </c>
      <c r="N105" s="550" t="e">
        <f t="shared" si="42"/>
        <v>#REF!</v>
      </c>
      <c r="O105" s="550" t="e">
        <f t="shared" si="42"/>
        <v>#REF!</v>
      </c>
      <c r="P105" s="550" t="e">
        <f t="shared" si="42"/>
        <v>#REF!</v>
      </c>
      <c r="R105" s="551"/>
      <c r="S105" s="550" t="e">
        <f t="shared" ref="S105:Y105" si="44">S100*(1-$Q100)</f>
        <v>#REF!</v>
      </c>
      <c r="T105" s="550" t="e">
        <f t="shared" si="44"/>
        <v>#REF!</v>
      </c>
      <c r="U105" s="550" t="e">
        <f t="shared" si="44"/>
        <v>#REF!</v>
      </c>
      <c r="V105" s="550" t="e">
        <f t="shared" si="44"/>
        <v>#REF!</v>
      </c>
      <c r="W105" s="550" t="e">
        <f t="shared" si="44"/>
        <v>#REF!</v>
      </c>
      <c r="X105" s="550" t="e">
        <f t="shared" si="44"/>
        <v>#REF!</v>
      </c>
      <c r="Y105" s="550" t="e">
        <f t="shared" si="44"/>
        <v>#REF!</v>
      </c>
    </row>
    <row r="106" spans="1:31">
      <c r="A106" s="548"/>
      <c r="B106" s="551" t="s">
        <v>668</v>
      </c>
      <c r="C106" s="780"/>
      <c r="D106" s="780"/>
      <c r="E106" s="780"/>
      <c r="F106" s="780"/>
      <c r="G106" s="780"/>
      <c r="H106" s="780"/>
      <c r="I106" s="780"/>
      <c r="J106" s="550" t="e">
        <f t="shared" si="42"/>
        <v>#REF!</v>
      </c>
      <c r="K106" s="550" t="e">
        <f t="shared" si="42"/>
        <v>#REF!</v>
      </c>
      <c r="L106" s="550" t="e">
        <f t="shared" si="42"/>
        <v>#REF!</v>
      </c>
      <c r="M106" s="550" t="e">
        <f t="shared" si="42"/>
        <v>#REF!</v>
      </c>
      <c r="N106" s="550" t="e">
        <f t="shared" si="42"/>
        <v>#REF!</v>
      </c>
      <c r="O106" s="550" t="e">
        <f t="shared" si="42"/>
        <v>#REF!</v>
      </c>
      <c r="P106" s="550" t="e">
        <f t="shared" si="42"/>
        <v>#REF!</v>
      </c>
      <c r="R106" s="551"/>
      <c r="S106" s="550">
        <f t="shared" ref="S106:Y106" si="45">S101*(1-$Q101)</f>
        <v>534.87600000000009</v>
      </c>
      <c r="T106" s="550">
        <f t="shared" si="45"/>
        <v>1337.1899999999991</v>
      </c>
      <c r="U106" s="550">
        <f t="shared" si="45"/>
        <v>1738.3469999999998</v>
      </c>
      <c r="V106" s="550">
        <f t="shared" si="45"/>
        <v>2259.8510999999994</v>
      </c>
      <c r="W106" s="550">
        <f t="shared" si="45"/>
        <v>2937.8064299999992</v>
      </c>
      <c r="X106" s="550">
        <f t="shared" si="45"/>
        <v>3819.1483590000012</v>
      </c>
      <c r="Y106" s="550">
        <f t="shared" si="45"/>
        <v>4964.8928667000018</v>
      </c>
    </row>
    <row r="107" spans="1:31">
      <c r="A107" s="548"/>
      <c r="B107" s="551" t="s">
        <v>1015</v>
      </c>
      <c r="C107" s="780"/>
      <c r="D107" s="780"/>
      <c r="E107" s="780"/>
      <c r="F107" s="780"/>
      <c r="G107" s="780"/>
      <c r="H107" s="780"/>
      <c r="I107" s="780"/>
      <c r="J107" s="550">
        <f t="shared" si="42"/>
        <v>33350</v>
      </c>
      <c r="K107" s="550">
        <f t="shared" si="42"/>
        <v>0</v>
      </c>
      <c r="L107" s="550">
        <f t="shared" si="42"/>
        <v>0</v>
      </c>
      <c r="M107" s="550">
        <f t="shared" si="42"/>
        <v>0</v>
      </c>
      <c r="N107" s="550">
        <f t="shared" si="42"/>
        <v>0</v>
      </c>
      <c r="O107" s="550">
        <f t="shared" si="42"/>
        <v>0</v>
      </c>
      <c r="P107" s="550">
        <f t="shared" si="42"/>
        <v>0</v>
      </c>
      <c r="R107" s="551"/>
      <c r="S107" s="550" t="e">
        <f>SUM(S104:S106)</f>
        <v>#REF!</v>
      </c>
      <c r="T107" s="550" t="e">
        <f t="shared" ref="T107:Y107" si="46">SUM(T104:T106)</f>
        <v>#REF!</v>
      </c>
      <c r="U107" s="550" t="e">
        <f t="shared" si="46"/>
        <v>#REF!</v>
      </c>
      <c r="V107" s="550" t="e">
        <f t="shared" si="46"/>
        <v>#REF!</v>
      </c>
      <c r="W107" s="550" t="e">
        <f t="shared" si="46"/>
        <v>#REF!</v>
      </c>
      <c r="X107" s="550" t="e">
        <f t="shared" si="46"/>
        <v>#REF!</v>
      </c>
      <c r="Y107" s="550" t="e">
        <f t="shared" si="46"/>
        <v>#REF!</v>
      </c>
    </row>
    <row r="108" spans="1:31">
      <c r="A108" s="548"/>
      <c r="B108" s="551"/>
      <c r="C108" s="780"/>
      <c r="D108" s="780"/>
      <c r="E108" s="780"/>
      <c r="F108" s="780"/>
      <c r="G108" s="780"/>
      <c r="H108" s="780"/>
      <c r="I108" s="780"/>
      <c r="J108" s="550"/>
      <c r="K108" s="550"/>
      <c r="L108" s="550"/>
      <c r="M108" s="550"/>
      <c r="N108" s="550"/>
      <c r="O108" s="550"/>
      <c r="P108" s="550"/>
      <c r="R108" s="551"/>
      <c r="S108" s="550"/>
      <c r="T108" s="550"/>
      <c r="U108" s="550"/>
      <c r="V108" s="550"/>
      <c r="W108" s="550"/>
      <c r="X108" s="550"/>
      <c r="Y108" s="550"/>
    </row>
    <row r="109" spans="1:31">
      <c r="A109" s="548"/>
      <c r="B109" s="551" t="s">
        <v>1312</v>
      </c>
      <c r="C109" s="780"/>
      <c r="D109" s="780"/>
      <c r="E109" s="780"/>
      <c r="F109" s="780"/>
      <c r="G109" s="780"/>
      <c r="H109" s="780"/>
      <c r="I109" s="780"/>
      <c r="J109" s="550" t="e">
        <f t="shared" ref="J109:P109" si="47">J71+J90</f>
        <v>#REF!</v>
      </c>
      <c r="K109" s="550" t="e">
        <f t="shared" si="47"/>
        <v>#REF!</v>
      </c>
      <c r="L109" s="550" t="e">
        <f t="shared" si="47"/>
        <v>#REF!</v>
      </c>
      <c r="M109" s="550" t="e">
        <f t="shared" si="47"/>
        <v>#REF!</v>
      </c>
      <c r="N109" s="550" t="e">
        <f t="shared" si="47"/>
        <v>#REF!</v>
      </c>
      <c r="O109" s="550" t="e">
        <f t="shared" si="47"/>
        <v>#REF!</v>
      </c>
      <c r="P109" s="550" t="e">
        <f t="shared" si="47"/>
        <v>#REF!</v>
      </c>
      <c r="R109" s="551"/>
      <c r="S109" s="550"/>
      <c r="T109" s="550"/>
      <c r="U109" s="550"/>
      <c r="V109" s="550"/>
      <c r="W109" s="550"/>
      <c r="X109" s="550"/>
      <c r="Y109" s="550"/>
    </row>
    <row r="110" spans="1:31">
      <c r="A110" s="548"/>
      <c r="B110" s="551" t="s">
        <v>1314</v>
      </c>
      <c r="C110" s="780"/>
      <c r="D110" s="780"/>
      <c r="E110" s="780"/>
      <c r="F110" s="780"/>
      <c r="G110" s="780"/>
      <c r="H110" s="780"/>
      <c r="I110" s="780"/>
      <c r="J110" s="550" t="e">
        <f t="shared" ref="J110:P110" si="48">J72+J91</f>
        <v>#REF!</v>
      </c>
      <c r="K110" s="550" t="e">
        <f t="shared" si="48"/>
        <v>#REF!</v>
      </c>
      <c r="L110" s="550" t="e">
        <f t="shared" si="48"/>
        <v>#REF!</v>
      </c>
      <c r="M110" s="550" t="e">
        <f t="shared" si="48"/>
        <v>#REF!</v>
      </c>
      <c r="N110" s="550" t="e">
        <f t="shared" si="48"/>
        <v>#REF!</v>
      </c>
      <c r="O110" s="550" t="e">
        <f t="shared" si="48"/>
        <v>#REF!</v>
      </c>
      <c r="P110" s="550" t="e">
        <f t="shared" si="48"/>
        <v>#REF!</v>
      </c>
      <c r="R110" s="551"/>
      <c r="S110" s="550"/>
      <c r="T110" s="550"/>
      <c r="U110" s="550"/>
      <c r="V110" s="550"/>
      <c r="W110" s="550"/>
      <c r="X110" s="550"/>
      <c r="Y110" s="550"/>
    </row>
    <row r="111" spans="1:31">
      <c r="A111" s="548"/>
      <c r="B111" s="551" t="s">
        <v>1315</v>
      </c>
      <c r="C111" s="780"/>
      <c r="D111" s="780"/>
      <c r="E111" s="780"/>
      <c r="F111" s="780"/>
      <c r="G111" s="780"/>
      <c r="H111" s="780"/>
      <c r="I111" s="780"/>
      <c r="J111" s="550">
        <f t="shared" ref="J111:P111" si="49">J73+J92</f>
        <v>0</v>
      </c>
      <c r="K111" s="550">
        <f t="shared" si="49"/>
        <v>0</v>
      </c>
      <c r="L111" s="550">
        <f t="shared" si="49"/>
        <v>0</v>
      </c>
      <c r="M111" s="550">
        <f t="shared" si="49"/>
        <v>29211.060000000027</v>
      </c>
      <c r="N111" s="550">
        <f t="shared" si="49"/>
        <v>68159.140000000072</v>
      </c>
      <c r="O111" s="550">
        <f t="shared" si="49"/>
        <v>0</v>
      </c>
      <c r="P111" s="550">
        <f t="shared" si="49"/>
        <v>0</v>
      </c>
      <c r="R111" s="551"/>
      <c r="S111" s="550"/>
      <c r="T111" s="550"/>
      <c r="U111" s="550"/>
      <c r="V111" s="550"/>
      <c r="W111" s="550"/>
      <c r="X111" s="550"/>
      <c r="Y111" s="550"/>
    </row>
    <row r="112" spans="1:31">
      <c r="A112" s="548"/>
      <c r="B112" s="551" t="s">
        <v>1317</v>
      </c>
      <c r="C112" s="780"/>
      <c r="D112" s="780"/>
      <c r="E112" s="780"/>
      <c r="F112" s="780"/>
      <c r="G112" s="780"/>
      <c r="H112" s="780"/>
      <c r="I112" s="780"/>
      <c r="J112" s="550" t="e">
        <f t="shared" ref="J112:P112" si="50">J74+J93</f>
        <v>#REF!</v>
      </c>
      <c r="K112" s="550" t="e">
        <f t="shared" si="50"/>
        <v>#REF!</v>
      </c>
      <c r="L112" s="550" t="e">
        <f t="shared" si="50"/>
        <v>#REF!</v>
      </c>
      <c r="M112" s="550" t="e">
        <f t="shared" si="50"/>
        <v>#REF!</v>
      </c>
      <c r="N112" s="550" t="e">
        <f t="shared" si="50"/>
        <v>#REF!</v>
      </c>
      <c r="O112" s="550" t="e">
        <f t="shared" si="50"/>
        <v>#REF!</v>
      </c>
      <c r="P112" s="550" t="e">
        <f t="shared" si="50"/>
        <v>#REF!</v>
      </c>
      <c r="R112" s="551"/>
      <c r="S112" s="550"/>
      <c r="T112" s="550"/>
      <c r="U112" s="550"/>
      <c r="V112" s="550"/>
      <c r="W112" s="550"/>
      <c r="X112" s="550"/>
      <c r="Y112" s="550"/>
    </row>
    <row r="113" spans="1:25">
      <c r="A113" s="548"/>
      <c r="B113" s="551" t="s">
        <v>1494</v>
      </c>
      <c r="C113" s="780"/>
      <c r="D113" s="780"/>
      <c r="E113" s="780"/>
      <c r="F113" s="780"/>
      <c r="G113" s="780"/>
      <c r="H113" s="780"/>
      <c r="I113" s="780"/>
      <c r="J113" s="550" t="e">
        <f t="shared" ref="J113:P113" si="51">J75+J94</f>
        <v>#REF!</v>
      </c>
      <c r="K113" s="550" t="e">
        <f t="shared" si="51"/>
        <v>#REF!</v>
      </c>
      <c r="L113" s="550" t="e">
        <f t="shared" si="51"/>
        <v>#REF!</v>
      </c>
      <c r="M113" s="550" t="e">
        <f t="shared" si="51"/>
        <v>#REF!</v>
      </c>
      <c r="N113" s="550" t="e">
        <f t="shared" si="51"/>
        <v>#REF!</v>
      </c>
      <c r="O113" s="550" t="e">
        <f t="shared" si="51"/>
        <v>#REF!</v>
      </c>
      <c r="P113" s="550" t="e">
        <f t="shared" si="51"/>
        <v>#REF!</v>
      </c>
      <c r="R113" s="551"/>
      <c r="S113" s="550"/>
      <c r="T113" s="550"/>
      <c r="U113" s="550"/>
      <c r="V113" s="550"/>
      <c r="W113" s="550"/>
      <c r="X113" s="550"/>
      <c r="Y113" s="550"/>
    </row>
    <row r="114" spans="1:25">
      <c r="A114" s="548"/>
      <c r="B114" s="551" t="s">
        <v>1447</v>
      </c>
      <c r="C114" s="780"/>
      <c r="D114" s="780"/>
      <c r="E114" s="780"/>
      <c r="F114" s="780"/>
      <c r="G114" s="780"/>
      <c r="H114" s="780"/>
      <c r="I114" s="780"/>
      <c r="J114" s="550" t="e">
        <f t="shared" ref="J114:P114" si="52">J76+J95</f>
        <v>#REF!</v>
      </c>
      <c r="K114" s="550" t="e">
        <f t="shared" si="52"/>
        <v>#REF!</v>
      </c>
      <c r="L114" s="550" t="e">
        <f t="shared" si="52"/>
        <v>#REF!</v>
      </c>
      <c r="M114" s="550" t="e">
        <f t="shared" si="52"/>
        <v>#REF!</v>
      </c>
      <c r="N114" s="550" t="e">
        <f t="shared" si="52"/>
        <v>#REF!</v>
      </c>
      <c r="O114" s="550" t="e">
        <f t="shared" si="52"/>
        <v>#REF!</v>
      </c>
      <c r="P114" s="550" t="e">
        <f t="shared" si="52"/>
        <v>#REF!</v>
      </c>
      <c r="R114" s="551"/>
      <c r="S114" s="550"/>
      <c r="T114" s="550"/>
      <c r="U114" s="550"/>
      <c r="V114" s="550"/>
      <c r="W114" s="550"/>
      <c r="X114" s="550"/>
      <c r="Y114" s="550"/>
    </row>
    <row r="115" spans="1:25">
      <c r="A115" s="548"/>
      <c r="B115" s="551"/>
      <c r="C115" s="780"/>
      <c r="D115" s="780"/>
      <c r="E115" s="780"/>
      <c r="F115" s="780"/>
      <c r="G115" s="780"/>
      <c r="H115" s="780"/>
      <c r="I115" s="780"/>
      <c r="J115" s="550"/>
      <c r="K115" s="550"/>
      <c r="L115" s="550"/>
      <c r="M115" s="550"/>
      <c r="N115" s="550"/>
      <c r="O115" s="550"/>
      <c r="P115" s="550"/>
      <c r="R115" s="551"/>
      <c r="S115" s="550"/>
      <c r="T115" s="550"/>
      <c r="U115" s="550"/>
      <c r="V115" s="550"/>
      <c r="W115" s="550"/>
      <c r="X115" s="550"/>
      <c r="Y115" s="550"/>
    </row>
    <row r="116" spans="1:25" s="557" customFormat="1" ht="7.5" customHeight="1">
      <c r="A116" s="558"/>
      <c r="B116" s="559"/>
      <c r="C116" s="559"/>
      <c r="D116" s="559"/>
      <c r="E116" s="559"/>
      <c r="F116" s="559"/>
      <c r="G116" s="559"/>
      <c r="H116" s="559"/>
      <c r="I116" s="559"/>
      <c r="J116" s="560"/>
      <c r="K116" s="560"/>
      <c r="L116" s="560"/>
      <c r="M116" s="560"/>
      <c r="N116" s="560"/>
      <c r="O116" s="560"/>
      <c r="P116" s="560"/>
      <c r="R116" s="561"/>
      <c r="S116" s="562"/>
      <c r="T116" s="562"/>
      <c r="U116" s="562"/>
      <c r="V116" s="562"/>
      <c r="W116" s="562"/>
      <c r="X116" s="562"/>
      <c r="Y116" s="562"/>
    </row>
    <row r="117" spans="1:25" ht="17.25" customHeight="1">
      <c r="A117" s="563" t="s">
        <v>656</v>
      </c>
      <c r="B117" s="552"/>
      <c r="C117" s="784">
        <f>C$2</f>
        <v>2007</v>
      </c>
      <c r="D117" s="784">
        <f t="shared" ref="D117:I117" si="53">D$2</f>
        <v>2008</v>
      </c>
      <c r="E117" s="784">
        <f t="shared" si="53"/>
        <v>2009</v>
      </c>
      <c r="F117" s="784">
        <f t="shared" si="53"/>
        <v>2010</v>
      </c>
      <c r="G117" s="784">
        <f t="shared" si="53"/>
        <v>2011</v>
      </c>
      <c r="H117" s="784">
        <f t="shared" si="53"/>
        <v>2012</v>
      </c>
      <c r="I117" s="784">
        <f t="shared" si="53"/>
        <v>2013</v>
      </c>
      <c r="J117" s="548">
        <v>2014</v>
      </c>
      <c r="K117" s="548">
        <v>2015</v>
      </c>
      <c r="L117" s="548">
        <v>2016</v>
      </c>
      <c r="M117" s="548">
        <v>2017</v>
      </c>
      <c r="N117" s="548">
        <v>2018</v>
      </c>
      <c r="O117" s="548">
        <v>2019</v>
      </c>
      <c r="P117" s="548">
        <v>2020</v>
      </c>
      <c r="R117" s="551"/>
      <c r="S117" s="548">
        <v>2014</v>
      </c>
      <c r="T117" s="548">
        <v>2015</v>
      </c>
      <c r="U117" s="548">
        <v>2016</v>
      </c>
      <c r="V117" s="548">
        <v>2017</v>
      </c>
      <c r="W117" s="548">
        <v>2018</v>
      </c>
      <c r="X117" s="548">
        <v>2019</v>
      </c>
      <c r="Y117" s="548">
        <v>2020</v>
      </c>
    </row>
    <row r="118" spans="1:25">
      <c r="A118" s="548"/>
      <c r="B118" s="551" t="s">
        <v>654</v>
      </c>
      <c r="C118" s="780"/>
      <c r="D118" s="780"/>
      <c r="E118" s="780"/>
      <c r="F118" s="780"/>
      <c r="G118" s="780"/>
      <c r="H118" s="780"/>
      <c r="I118" s="780"/>
      <c r="J118" s="550">
        <f t="shared" ref="J118:P118" si="54">-J119*J62</f>
        <v>-34071.289287840002</v>
      </c>
      <c r="K118" s="550">
        <f t="shared" si="54"/>
        <v>-136285.15715135998</v>
      </c>
      <c r="L118" s="550">
        <f t="shared" si="54"/>
        <v>-162997.04795302654</v>
      </c>
      <c r="M118" s="550">
        <f t="shared" si="54"/>
        <v>-186192.78170018803</v>
      </c>
      <c r="N118" s="550">
        <f t="shared" si="54"/>
        <v>-212397.69171725155</v>
      </c>
      <c r="O118" s="550">
        <f t="shared" si="54"/>
        <v>-241981.65592072593</v>
      </c>
      <c r="P118" s="550">
        <f t="shared" si="54"/>
        <v>-275358.43604772264</v>
      </c>
      <c r="R118" s="551" t="s">
        <v>654</v>
      </c>
      <c r="S118" s="550">
        <f>J118</f>
        <v>-34071.289287840002</v>
      </c>
      <c r="T118" s="550">
        <f t="shared" ref="T118:Y118" si="55">K118</f>
        <v>-136285.15715135998</v>
      </c>
      <c r="U118" s="550">
        <f t="shared" si="55"/>
        <v>-162997.04795302654</v>
      </c>
      <c r="V118" s="550">
        <f t="shared" si="55"/>
        <v>-186192.78170018803</v>
      </c>
      <c r="W118" s="550">
        <f t="shared" si="55"/>
        <v>-212397.69171725155</v>
      </c>
      <c r="X118" s="550">
        <f t="shared" si="55"/>
        <v>-241981.65592072593</v>
      </c>
      <c r="Y118" s="550">
        <f t="shared" si="55"/>
        <v>-275358.43604772264</v>
      </c>
    </row>
    <row r="119" spans="1:25">
      <c r="A119" s="548"/>
      <c r="B119" s="551" t="s">
        <v>671</v>
      </c>
      <c r="C119" s="780"/>
      <c r="D119" s="780"/>
      <c r="E119" s="780"/>
      <c r="F119" s="780"/>
      <c r="G119" s="780"/>
      <c r="H119" s="780"/>
      <c r="I119" s="780"/>
      <c r="J119" s="556">
        <f>J5-J8</f>
        <v>0.15000000000000002</v>
      </c>
      <c r="K119" s="556">
        <v>0.25</v>
      </c>
      <c r="L119" s="556">
        <f>K119+1%</f>
        <v>0.26</v>
      </c>
      <c r="M119" s="556">
        <f>L119+1%</f>
        <v>0.27</v>
      </c>
      <c r="N119" s="556">
        <f>M119+1%</f>
        <v>0.28000000000000003</v>
      </c>
      <c r="O119" s="556">
        <f>N119+1%</f>
        <v>0.29000000000000004</v>
      </c>
      <c r="P119" s="556">
        <f>O119+1%</f>
        <v>0.30000000000000004</v>
      </c>
      <c r="R119" s="551" t="s">
        <v>663</v>
      </c>
      <c r="S119" s="550" t="e">
        <f>SUM(J123:J133)</f>
        <v>#REF!</v>
      </c>
      <c r="T119" s="550" t="e">
        <f t="shared" ref="T119:Y119" si="56">SUM(K123:K133)</f>
        <v>#REF!</v>
      </c>
      <c r="U119" s="550" t="e">
        <f t="shared" si="56"/>
        <v>#REF!</v>
      </c>
      <c r="V119" s="550" t="e">
        <f t="shared" si="56"/>
        <v>#REF!</v>
      </c>
      <c r="W119" s="550" t="e">
        <f t="shared" si="56"/>
        <v>#REF!</v>
      </c>
      <c r="X119" s="550" t="e">
        <f t="shared" si="56"/>
        <v>#REF!</v>
      </c>
      <c r="Y119" s="550" t="e">
        <f t="shared" si="56"/>
        <v>#REF!</v>
      </c>
    </row>
    <row r="120" spans="1:25">
      <c r="A120" s="548"/>
      <c r="B120" s="551" t="s">
        <v>662</v>
      </c>
      <c r="C120" s="780"/>
      <c r="D120" s="780"/>
      <c r="E120" s="780"/>
      <c r="F120" s="780"/>
      <c r="G120" s="780"/>
      <c r="H120" s="780"/>
      <c r="I120" s="780"/>
      <c r="J120" s="550">
        <f t="shared" ref="J120:P120" si="57">-J121*J63</f>
        <v>-891.46</v>
      </c>
      <c r="K120" s="550">
        <f t="shared" si="57"/>
        <v>-3342.9749999999999</v>
      </c>
      <c r="L120" s="550">
        <f t="shared" si="57"/>
        <v>-5794.49</v>
      </c>
      <c r="M120" s="550">
        <f t="shared" si="57"/>
        <v>-9416.0462500000012</v>
      </c>
      <c r="N120" s="550">
        <f t="shared" si="57"/>
        <v>-14689.032150000005</v>
      </c>
      <c r="O120" s="550">
        <f t="shared" si="57"/>
        <v>-22278.365427500004</v>
      </c>
      <c r="P120" s="550">
        <f t="shared" si="57"/>
        <v>-33099.285778000005</v>
      </c>
      <c r="R120" s="551" t="s">
        <v>662</v>
      </c>
      <c r="S120" s="550">
        <f>J120</f>
        <v>-891.46</v>
      </c>
      <c r="T120" s="550">
        <f t="shared" ref="T120:Y120" si="58">K120</f>
        <v>-3342.9749999999999</v>
      </c>
      <c r="U120" s="550">
        <f t="shared" si="58"/>
        <v>-5794.49</v>
      </c>
      <c r="V120" s="550">
        <f t="shared" si="58"/>
        <v>-9416.0462500000012</v>
      </c>
      <c r="W120" s="550">
        <f t="shared" si="58"/>
        <v>-14689.032150000005</v>
      </c>
      <c r="X120" s="550">
        <f t="shared" si="58"/>
        <v>-22278.365427500004</v>
      </c>
      <c r="Y120" s="550">
        <f t="shared" si="58"/>
        <v>-33099.285778000005</v>
      </c>
    </row>
    <row r="121" spans="1:25">
      <c r="A121" s="548"/>
      <c r="B121" s="551" t="s">
        <v>672</v>
      </c>
      <c r="C121" s="780"/>
      <c r="D121" s="780"/>
      <c r="E121" s="780"/>
      <c r="F121" s="780"/>
      <c r="G121" s="780"/>
      <c r="H121" s="780"/>
      <c r="I121" s="780"/>
      <c r="J121" s="556">
        <v>0.02</v>
      </c>
      <c r="K121" s="556">
        <f t="shared" ref="K121:P121" si="59">J121+1%</f>
        <v>0.03</v>
      </c>
      <c r="L121" s="556">
        <f t="shared" si="59"/>
        <v>0.04</v>
      </c>
      <c r="M121" s="556">
        <f t="shared" si="59"/>
        <v>0.05</v>
      </c>
      <c r="N121" s="556">
        <f t="shared" si="59"/>
        <v>6.0000000000000005E-2</v>
      </c>
      <c r="O121" s="556">
        <f t="shared" si="59"/>
        <v>7.0000000000000007E-2</v>
      </c>
      <c r="P121" s="556">
        <f t="shared" si="59"/>
        <v>0.08</v>
      </c>
      <c r="R121" s="551" t="s">
        <v>978</v>
      </c>
      <c r="S121" s="550" t="e">
        <f>-S65*0.09</f>
        <v>#REF!</v>
      </c>
      <c r="T121" s="550" t="e">
        <f>-T65*0.05</f>
        <v>#REF!</v>
      </c>
      <c r="U121" s="550" t="e">
        <f>-U65*0.08</f>
        <v>#REF!</v>
      </c>
      <c r="V121" s="550" t="e">
        <f>-V65*0.08</f>
        <v>#REF!</v>
      </c>
      <c r="W121" s="550" t="e">
        <f>-W65*0.08</f>
        <v>#REF!</v>
      </c>
      <c r="X121" s="550" t="e">
        <f>-X65*0.08</f>
        <v>#REF!</v>
      </c>
      <c r="Y121" s="550" t="e">
        <f>-Y65*0.08</f>
        <v>#REF!</v>
      </c>
    </row>
    <row r="122" spans="1:25">
      <c r="A122" s="548"/>
      <c r="R122" s="548" t="s">
        <v>656</v>
      </c>
      <c r="S122" s="553" t="e">
        <f t="shared" ref="S122:Y122" si="60">SUM(S118:S121)</f>
        <v>#REF!</v>
      </c>
      <c r="T122" s="553" t="e">
        <f t="shared" si="60"/>
        <v>#REF!</v>
      </c>
      <c r="U122" s="553" t="e">
        <f t="shared" si="60"/>
        <v>#REF!</v>
      </c>
      <c r="V122" s="553" t="e">
        <f t="shared" si="60"/>
        <v>#REF!</v>
      </c>
      <c r="W122" s="553" t="e">
        <f t="shared" si="60"/>
        <v>#REF!</v>
      </c>
      <c r="X122" s="553" t="e">
        <f t="shared" si="60"/>
        <v>#REF!</v>
      </c>
      <c r="Y122" s="553" t="e">
        <f t="shared" si="60"/>
        <v>#REF!</v>
      </c>
    </row>
    <row r="123" spans="1:25">
      <c r="A123" s="548"/>
      <c r="B123" s="551" t="s">
        <v>664</v>
      </c>
      <c r="C123" s="780"/>
      <c r="D123" s="780"/>
      <c r="E123" s="780"/>
      <c r="F123" s="780"/>
      <c r="G123" s="780"/>
      <c r="H123" s="780"/>
      <c r="I123" s="780"/>
      <c r="J123" s="550" t="e">
        <f>#REF!</f>
        <v>#REF!</v>
      </c>
      <c r="K123" s="550" t="e">
        <f>#REF!</f>
        <v>#REF!</v>
      </c>
      <c r="L123" s="550" t="e">
        <f>#REF!</f>
        <v>#REF!</v>
      </c>
      <c r="M123" s="550" t="e">
        <f>#REF!</f>
        <v>#REF!</v>
      </c>
      <c r="N123" s="550" t="e">
        <f>#REF!</f>
        <v>#REF!</v>
      </c>
      <c r="O123" s="550" t="e">
        <f>#REF!</f>
        <v>#REF!</v>
      </c>
      <c r="P123" s="550" t="e">
        <f>#REF!</f>
        <v>#REF!</v>
      </c>
      <c r="R123" s="551" t="s">
        <v>977</v>
      </c>
      <c r="S123" s="538" t="e">
        <f t="shared" ref="S123:Y123" si="61">S122/S65</f>
        <v>#REF!</v>
      </c>
      <c r="T123" s="538" t="e">
        <f t="shared" si="61"/>
        <v>#REF!</v>
      </c>
      <c r="U123" s="538" t="e">
        <f t="shared" si="61"/>
        <v>#REF!</v>
      </c>
      <c r="V123" s="538" t="e">
        <f t="shared" si="61"/>
        <v>#REF!</v>
      </c>
      <c r="W123" s="538" t="e">
        <f t="shared" si="61"/>
        <v>#REF!</v>
      </c>
      <c r="X123" s="538" t="e">
        <f t="shared" si="61"/>
        <v>#REF!</v>
      </c>
      <c r="Y123" s="538" t="e">
        <f t="shared" si="61"/>
        <v>#REF!</v>
      </c>
    </row>
    <row r="124" spans="1:25">
      <c r="A124" s="548"/>
      <c r="B124" s="551" t="s">
        <v>666</v>
      </c>
      <c r="C124" s="780"/>
      <c r="D124" s="780"/>
      <c r="E124" s="780"/>
      <c r="F124" s="780"/>
      <c r="G124" s="780"/>
      <c r="H124" s="780"/>
      <c r="I124" s="780"/>
      <c r="J124" s="550" t="e">
        <f>#REF!</f>
        <v>#REF!</v>
      </c>
      <c r="K124" s="550" t="e">
        <f>#REF!</f>
        <v>#REF!</v>
      </c>
      <c r="L124" s="550" t="e">
        <f>#REF!</f>
        <v>#REF!</v>
      </c>
      <c r="M124" s="550" t="e">
        <f>#REF!</f>
        <v>#REF!</v>
      </c>
      <c r="N124" s="550" t="e">
        <f>#REF!</f>
        <v>#REF!</v>
      </c>
      <c r="O124" s="550" t="e">
        <f>#REF!</f>
        <v>#REF!</v>
      </c>
      <c r="P124" s="550" t="e">
        <f>#REF!</f>
        <v>#REF!</v>
      </c>
      <c r="R124" s="551"/>
      <c r="S124" s="556"/>
      <c r="T124" s="550"/>
      <c r="U124" s="550"/>
      <c r="V124" s="550"/>
      <c r="W124" s="550"/>
      <c r="X124" s="550"/>
      <c r="Y124" s="550"/>
    </row>
    <row r="125" spans="1:25">
      <c r="A125" s="548"/>
      <c r="B125" s="551" t="s">
        <v>667</v>
      </c>
      <c r="C125" s="780"/>
      <c r="D125" s="780"/>
      <c r="E125" s="780"/>
      <c r="F125" s="780"/>
      <c r="G125" s="780"/>
      <c r="H125" s="780"/>
      <c r="I125" s="780"/>
      <c r="J125" s="550" t="e">
        <f>#REF!</f>
        <v>#REF!</v>
      </c>
      <c r="K125" s="550" t="e">
        <f>#REF!</f>
        <v>#REF!</v>
      </c>
      <c r="L125" s="550" t="e">
        <f>#REF!</f>
        <v>#REF!</v>
      </c>
      <c r="M125" s="550" t="e">
        <f>#REF!</f>
        <v>#REF!</v>
      </c>
      <c r="N125" s="550" t="e">
        <f>#REF!</f>
        <v>#REF!</v>
      </c>
      <c r="O125" s="550" t="e">
        <f>#REF!</f>
        <v>#REF!</v>
      </c>
      <c r="P125" s="550" t="e">
        <f>#REF!</f>
        <v>#REF!</v>
      </c>
      <c r="R125" s="551"/>
      <c r="S125" s="550"/>
      <c r="T125" s="550"/>
      <c r="U125" s="550"/>
      <c r="V125" s="550"/>
      <c r="W125" s="550"/>
      <c r="X125" s="550"/>
      <c r="Y125" s="550"/>
    </row>
    <row r="126" spans="1:25">
      <c r="A126" s="548"/>
      <c r="B126" s="551" t="s">
        <v>668</v>
      </c>
      <c r="C126" s="780"/>
      <c r="D126" s="780"/>
      <c r="E126" s="780"/>
      <c r="F126" s="780"/>
      <c r="G126" s="780"/>
      <c r="H126" s="780"/>
      <c r="I126" s="780"/>
      <c r="J126" s="550" t="e">
        <f>#REF!</f>
        <v>#REF!</v>
      </c>
      <c r="K126" s="550" t="e">
        <f>#REF!</f>
        <v>#REF!</v>
      </c>
      <c r="L126" s="550" t="e">
        <f>#REF!</f>
        <v>#REF!</v>
      </c>
      <c r="M126" s="550" t="e">
        <f>#REF!</f>
        <v>#REF!</v>
      </c>
      <c r="N126" s="550" t="e">
        <f>#REF!</f>
        <v>#REF!</v>
      </c>
      <c r="O126" s="550" t="e">
        <f>#REF!</f>
        <v>#REF!</v>
      </c>
      <c r="P126" s="550" t="e">
        <f>#REF!</f>
        <v>#REF!</v>
      </c>
      <c r="R126" s="551"/>
      <c r="S126" s="550"/>
      <c r="T126" s="550"/>
      <c r="U126" s="550"/>
      <c r="V126" s="550"/>
      <c r="W126" s="550"/>
      <c r="X126" s="550"/>
      <c r="Y126" s="550"/>
    </row>
    <row r="127" spans="1:25">
      <c r="A127" s="548"/>
      <c r="B127" s="551"/>
      <c r="C127" s="780"/>
      <c r="D127" s="780"/>
      <c r="E127" s="780"/>
      <c r="F127" s="780"/>
      <c r="G127" s="780"/>
      <c r="H127" s="780"/>
      <c r="I127" s="780"/>
      <c r="J127" s="550"/>
      <c r="K127" s="550"/>
      <c r="L127" s="550"/>
      <c r="M127" s="550"/>
      <c r="N127" s="550"/>
      <c r="O127" s="550"/>
      <c r="P127" s="550"/>
      <c r="R127" s="551"/>
      <c r="S127" s="550"/>
      <c r="T127" s="550"/>
      <c r="U127" s="550"/>
      <c r="V127" s="550"/>
      <c r="W127" s="550"/>
      <c r="X127" s="550"/>
      <c r="Y127" s="550"/>
    </row>
    <row r="128" spans="1:25">
      <c r="A128" s="548"/>
      <c r="B128" s="551" t="s">
        <v>1312</v>
      </c>
      <c r="C128" s="780"/>
      <c r="D128" s="780"/>
      <c r="E128" s="780"/>
      <c r="F128" s="780"/>
      <c r="G128" s="780"/>
      <c r="H128" s="780"/>
      <c r="I128" s="780"/>
      <c r="J128" s="550" t="e">
        <f>#REF!</f>
        <v>#REF!</v>
      </c>
      <c r="K128" s="550" t="e">
        <f>#REF!</f>
        <v>#REF!</v>
      </c>
      <c r="L128" s="550" t="e">
        <f>#REF!</f>
        <v>#REF!</v>
      </c>
      <c r="M128" s="550" t="e">
        <f>#REF!</f>
        <v>#REF!</v>
      </c>
      <c r="N128" s="550" t="e">
        <f>#REF!</f>
        <v>#REF!</v>
      </c>
      <c r="O128" s="550" t="e">
        <f>#REF!</f>
        <v>#REF!</v>
      </c>
      <c r="P128" s="550" t="e">
        <f>#REF!</f>
        <v>#REF!</v>
      </c>
      <c r="R128" s="551"/>
      <c r="S128" s="550"/>
      <c r="T128" s="550"/>
      <c r="U128" s="550"/>
      <c r="V128" s="550"/>
      <c r="W128" s="550"/>
      <c r="X128" s="550"/>
      <c r="Y128" s="550"/>
    </row>
    <row r="129" spans="1:25">
      <c r="A129" s="548"/>
      <c r="B129" s="551" t="s">
        <v>1314</v>
      </c>
      <c r="C129" s="780"/>
      <c r="D129" s="780"/>
      <c r="E129" s="780"/>
      <c r="F129" s="780"/>
      <c r="G129" s="780"/>
      <c r="H129" s="780"/>
      <c r="I129" s="780"/>
      <c r="J129" s="550" t="e">
        <f>#REF!</f>
        <v>#REF!</v>
      </c>
      <c r="K129" s="550" t="e">
        <f>#REF!</f>
        <v>#REF!</v>
      </c>
      <c r="L129" s="550" t="e">
        <f>#REF!</f>
        <v>#REF!</v>
      </c>
      <c r="M129" s="550" t="e">
        <f>#REF!</f>
        <v>#REF!</v>
      </c>
      <c r="N129" s="550" t="e">
        <f>#REF!</f>
        <v>#REF!</v>
      </c>
      <c r="O129" s="550" t="e">
        <f>#REF!</f>
        <v>#REF!</v>
      </c>
      <c r="P129" s="550" t="e">
        <f>#REF!</f>
        <v>#REF!</v>
      </c>
      <c r="R129" s="551"/>
      <c r="S129" s="550"/>
      <c r="T129" s="550"/>
      <c r="U129" s="550"/>
      <c r="V129" s="550"/>
      <c r="W129" s="550"/>
      <c r="X129" s="550"/>
      <c r="Y129" s="550"/>
    </row>
    <row r="130" spans="1:25">
      <c r="A130" s="548"/>
      <c r="B130" s="551" t="s">
        <v>1315</v>
      </c>
      <c r="C130" s="780"/>
      <c r="D130" s="780"/>
      <c r="E130" s="780"/>
      <c r="F130" s="780"/>
      <c r="G130" s="780"/>
      <c r="H130" s="780"/>
      <c r="I130" s="780"/>
      <c r="J130" s="550">
        <f>'CT15'!E175</f>
        <v>0</v>
      </c>
      <c r="K130" s="550">
        <f>'CT15'!F175</f>
        <v>0</v>
      </c>
      <c r="L130" s="550">
        <f>'CT15'!G175</f>
        <v>-7850</v>
      </c>
      <c r="M130" s="550">
        <f>'CT15'!H175</f>
        <v>-19625</v>
      </c>
      <c r="N130" s="550">
        <f>'CT15'!I175</f>
        <v>-11775</v>
      </c>
      <c r="O130" s="550">
        <f>'CT15'!J175</f>
        <v>0</v>
      </c>
      <c r="P130" s="550">
        <f>'CT15'!K175</f>
        <v>0</v>
      </c>
      <c r="R130" s="551"/>
      <c r="S130" s="550"/>
      <c r="T130" s="550"/>
      <c r="U130" s="550"/>
      <c r="V130" s="550"/>
      <c r="W130" s="550"/>
      <c r="X130" s="550"/>
      <c r="Y130" s="550"/>
    </row>
    <row r="131" spans="1:25">
      <c r="A131" s="548"/>
      <c r="B131" s="551" t="s">
        <v>1317</v>
      </c>
      <c r="C131" s="780"/>
      <c r="D131" s="780"/>
      <c r="E131" s="780"/>
      <c r="F131" s="780"/>
      <c r="G131" s="780"/>
      <c r="H131" s="780"/>
      <c r="I131" s="780"/>
      <c r="J131" s="550" t="e">
        <f>#REF!</f>
        <v>#REF!</v>
      </c>
      <c r="K131" s="550" t="e">
        <f>#REF!</f>
        <v>#REF!</v>
      </c>
      <c r="L131" s="550" t="e">
        <f>#REF!</f>
        <v>#REF!</v>
      </c>
      <c r="M131" s="550" t="e">
        <f>#REF!</f>
        <v>#REF!</v>
      </c>
      <c r="N131" s="550" t="e">
        <f>#REF!</f>
        <v>#REF!</v>
      </c>
      <c r="O131" s="550" t="e">
        <f>#REF!</f>
        <v>#REF!</v>
      </c>
      <c r="P131" s="550" t="e">
        <f>#REF!</f>
        <v>#REF!</v>
      </c>
      <c r="R131" s="551"/>
      <c r="S131" s="550"/>
      <c r="T131" s="550"/>
      <c r="U131" s="550"/>
      <c r="V131" s="550"/>
      <c r="W131" s="550"/>
      <c r="X131" s="550"/>
      <c r="Y131" s="550"/>
    </row>
    <row r="132" spans="1:25">
      <c r="A132" s="548"/>
      <c r="B132" s="551" t="s">
        <v>1494</v>
      </c>
      <c r="C132" s="780"/>
      <c r="D132" s="780"/>
      <c r="E132" s="780"/>
      <c r="F132" s="780"/>
      <c r="G132" s="780"/>
      <c r="H132" s="780"/>
      <c r="I132" s="780"/>
      <c r="J132" s="550" t="e">
        <f>#REF!</f>
        <v>#REF!</v>
      </c>
      <c r="K132" s="550" t="e">
        <f>#REF!</f>
        <v>#REF!</v>
      </c>
      <c r="L132" s="550" t="e">
        <f>#REF!</f>
        <v>#REF!</v>
      </c>
      <c r="M132" s="550" t="e">
        <f>#REF!</f>
        <v>#REF!</v>
      </c>
      <c r="N132" s="550" t="e">
        <f>#REF!</f>
        <v>#REF!</v>
      </c>
      <c r="O132" s="550" t="e">
        <f>#REF!</f>
        <v>#REF!</v>
      </c>
      <c r="P132" s="550" t="e">
        <f>#REF!</f>
        <v>#REF!</v>
      </c>
      <c r="R132" s="551"/>
      <c r="S132" s="550"/>
      <c r="T132" s="550"/>
      <c r="U132" s="550"/>
      <c r="V132" s="550"/>
      <c r="W132" s="550"/>
      <c r="X132" s="550"/>
      <c r="Y132" s="550"/>
    </row>
    <row r="133" spans="1:25">
      <c r="A133" s="548"/>
      <c r="B133" s="551" t="s">
        <v>1447</v>
      </c>
      <c r="C133" s="780"/>
      <c r="D133" s="780"/>
      <c r="E133" s="780"/>
      <c r="F133" s="780"/>
      <c r="G133" s="780"/>
      <c r="H133" s="780"/>
      <c r="I133" s="780"/>
      <c r="J133" s="550" t="e">
        <f>#REF!</f>
        <v>#REF!</v>
      </c>
      <c r="K133" s="550" t="e">
        <f>#REF!</f>
        <v>#REF!</v>
      </c>
      <c r="L133" s="550" t="e">
        <f>#REF!</f>
        <v>#REF!</v>
      </c>
      <c r="M133" s="550" t="e">
        <f>#REF!</f>
        <v>#REF!</v>
      </c>
      <c r="N133" s="550" t="e">
        <f>#REF!</f>
        <v>#REF!</v>
      </c>
      <c r="O133" s="550" t="e">
        <f>#REF!</f>
        <v>#REF!</v>
      </c>
      <c r="P133" s="550" t="e">
        <f>#REF!</f>
        <v>#REF!</v>
      </c>
      <c r="R133" s="551"/>
      <c r="S133" s="550"/>
      <c r="T133" s="550"/>
      <c r="U133" s="550"/>
      <c r="V133" s="550"/>
      <c r="W133" s="550"/>
      <c r="X133" s="550"/>
      <c r="Y133" s="550"/>
    </row>
    <row r="134" spans="1:25">
      <c r="A134" s="548"/>
      <c r="B134" s="551"/>
      <c r="C134" s="780"/>
      <c r="D134" s="780"/>
      <c r="E134" s="780"/>
      <c r="F134" s="780"/>
      <c r="G134" s="780"/>
      <c r="H134" s="780"/>
      <c r="I134" s="780"/>
      <c r="J134" s="550"/>
      <c r="K134" s="550"/>
      <c r="L134" s="550"/>
      <c r="M134" s="550"/>
      <c r="N134" s="550"/>
      <c r="O134" s="550"/>
      <c r="P134" s="550"/>
      <c r="R134" s="551"/>
      <c r="S134" s="550"/>
      <c r="T134" s="550"/>
      <c r="U134" s="550"/>
      <c r="V134" s="550"/>
      <c r="W134" s="550"/>
      <c r="X134" s="550"/>
      <c r="Y134" s="550"/>
    </row>
    <row r="135" spans="1:25" s="557" customFormat="1" ht="5.25" customHeight="1">
      <c r="A135" s="558"/>
      <c r="B135" s="561"/>
      <c r="C135" s="561"/>
      <c r="D135" s="561"/>
      <c r="E135" s="561"/>
      <c r="F135" s="561"/>
      <c r="G135" s="561"/>
      <c r="H135" s="561"/>
      <c r="I135" s="561"/>
      <c r="J135" s="562"/>
      <c r="K135" s="562"/>
      <c r="L135" s="562"/>
      <c r="M135" s="562"/>
      <c r="N135" s="562"/>
      <c r="O135" s="562"/>
      <c r="P135" s="562"/>
      <c r="R135" s="561"/>
      <c r="S135" s="562"/>
      <c r="T135" s="562"/>
      <c r="U135" s="562"/>
      <c r="V135" s="562"/>
      <c r="W135" s="562"/>
      <c r="X135" s="562"/>
      <c r="Y135" s="562"/>
    </row>
    <row r="136" spans="1:25">
      <c r="A136" s="563" t="s">
        <v>979</v>
      </c>
      <c r="B136" s="551"/>
      <c r="C136" s="784">
        <f>C$2</f>
        <v>2007</v>
      </c>
      <c r="D136" s="784">
        <f t="shared" ref="D136:I136" si="62">D$2</f>
        <v>2008</v>
      </c>
      <c r="E136" s="784">
        <f t="shared" si="62"/>
        <v>2009</v>
      </c>
      <c r="F136" s="784">
        <f t="shared" si="62"/>
        <v>2010</v>
      </c>
      <c r="G136" s="784">
        <f t="shared" si="62"/>
        <v>2011</v>
      </c>
      <c r="H136" s="784">
        <f t="shared" si="62"/>
        <v>2012</v>
      </c>
      <c r="I136" s="784">
        <f t="shared" si="62"/>
        <v>2013</v>
      </c>
      <c r="J136" s="548">
        <v>2014</v>
      </c>
      <c r="K136" s="548">
        <v>2015</v>
      </c>
      <c r="L136" s="548">
        <v>2016</v>
      </c>
      <c r="M136" s="548">
        <v>2017</v>
      </c>
      <c r="N136" s="548">
        <v>2018</v>
      </c>
      <c r="O136" s="548">
        <v>2019</v>
      </c>
      <c r="P136" s="548">
        <v>2020</v>
      </c>
      <c r="R136" s="551"/>
      <c r="S136" s="550"/>
      <c r="T136" s="550"/>
      <c r="U136" s="550"/>
      <c r="V136" s="550"/>
      <c r="W136" s="550"/>
      <c r="X136" s="550"/>
      <c r="Y136" s="550"/>
    </row>
    <row r="137" spans="1:25">
      <c r="A137" s="548"/>
      <c r="B137" s="552" t="s">
        <v>980</v>
      </c>
      <c r="C137" s="785">
        <f t="shared" ref="C137:P137" si="63">SUM(C138:C143)</f>
        <v>0</v>
      </c>
      <c r="D137" s="785">
        <f t="shared" si="63"/>
        <v>0</v>
      </c>
      <c r="E137" s="785">
        <f t="shared" si="63"/>
        <v>0</v>
      </c>
      <c r="F137" s="785">
        <f t="shared" si="63"/>
        <v>6871</v>
      </c>
      <c r="G137" s="785">
        <f t="shared" si="63"/>
        <v>17464</v>
      </c>
      <c r="H137" s="785">
        <f t="shared" si="63"/>
        <v>3259</v>
      </c>
      <c r="I137" s="785">
        <f t="shared" si="63"/>
        <v>54953</v>
      </c>
      <c r="J137" s="553">
        <f t="shared" si="63"/>
        <v>23231.447669137222</v>
      </c>
      <c r="K137" s="553">
        <f t="shared" si="63"/>
        <v>44208.746175129592</v>
      </c>
      <c r="L137" s="553">
        <f t="shared" si="63"/>
        <v>44268.224837635193</v>
      </c>
      <c r="M137" s="553">
        <f t="shared" si="63"/>
        <v>43355.256026095187</v>
      </c>
      <c r="N137" s="553">
        <f t="shared" si="63"/>
        <v>41387.09535594959</v>
      </c>
      <c r="O137" s="553">
        <f t="shared" si="63"/>
        <v>42198.751443830086</v>
      </c>
      <c r="P137" s="553">
        <f t="shared" si="63"/>
        <v>14089.503938367001</v>
      </c>
      <c r="R137" s="551"/>
      <c r="S137" s="550"/>
      <c r="T137" s="550"/>
      <c r="U137" s="550"/>
      <c r="V137" s="550"/>
      <c r="W137" s="550"/>
      <c r="X137" s="550"/>
      <c r="Y137" s="550"/>
    </row>
    <row r="138" spans="1:25">
      <c r="A138" s="548"/>
      <c r="B138" s="547" t="s">
        <v>981</v>
      </c>
      <c r="C138" s="789">
        <v>0</v>
      </c>
      <c r="D138" s="789">
        <v>0</v>
      </c>
      <c r="E138" s="789">
        <v>0</v>
      </c>
      <c r="F138" s="789">
        <v>0</v>
      </c>
      <c r="G138" s="789">
        <v>0</v>
      </c>
      <c r="H138" s="789">
        <v>0</v>
      </c>
      <c r="I138" s="789">
        <v>0</v>
      </c>
      <c r="J138" s="550">
        <v>16500</v>
      </c>
      <c r="K138" s="550">
        <f t="shared" ref="K138:P138" si="64">J138</f>
        <v>16500</v>
      </c>
      <c r="L138" s="550">
        <f t="shared" si="64"/>
        <v>16500</v>
      </c>
      <c r="M138" s="550">
        <f t="shared" si="64"/>
        <v>16500</v>
      </c>
      <c r="N138" s="550">
        <f t="shared" si="64"/>
        <v>16500</v>
      </c>
      <c r="O138" s="550">
        <f t="shared" si="64"/>
        <v>16500</v>
      </c>
      <c r="P138" s="550">
        <f t="shared" si="64"/>
        <v>16500</v>
      </c>
      <c r="R138" s="551"/>
      <c r="S138" s="550"/>
      <c r="T138" s="550"/>
      <c r="U138" s="550"/>
      <c r="V138" s="550"/>
      <c r="W138" s="550"/>
      <c r="X138" s="550"/>
      <c r="Y138" s="550"/>
    </row>
    <row r="139" spans="1:25">
      <c r="A139" s="548"/>
      <c r="B139" s="547" t="s">
        <v>982</v>
      </c>
      <c r="C139" s="789"/>
      <c r="D139" s="789"/>
      <c r="E139" s="789"/>
      <c r="F139" s="789">
        <v>6871</v>
      </c>
      <c r="G139" s="789">
        <v>17464</v>
      </c>
      <c r="H139" s="789">
        <v>3217</v>
      </c>
      <c r="I139" s="789">
        <v>6009</v>
      </c>
      <c r="J139" s="550"/>
      <c r="K139" s="550"/>
      <c r="L139" s="550"/>
      <c r="M139" s="550"/>
      <c r="N139" s="550"/>
      <c r="O139" s="550"/>
      <c r="P139" s="550"/>
      <c r="R139" s="551"/>
      <c r="S139" s="550"/>
      <c r="T139" s="550"/>
      <c r="U139" s="550"/>
      <c r="V139" s="550"/>
      <c r="W139" s="550"/>
      <c r="X139" s="550"/>
      <c r="Y139" s="550"/>
    </row>
    <row r="140" spans="1:25">
      <c r="A140" s="548"/>
      <c r="B140" s="551" t="s">
        <v>992</v>
      </c>
      <c r="C140" s="789"/>
      <c r="D140" s="789"/>
      <c r="E140" s="789"/>
      <c r="F140" s="789"/>
      <c r="G140" s="789"/>
      <c r="H140" s="789"/>
      <c r="I140" s="789"/>
      <c r="J140" s="550"/>
      <c r="K140" s="550"/>
      <c r="L140" s="550"/>
      <c r="M140" s="550"/>
      <c r="N140" s="550"/>
      <c r="O140" s="550"/>
      <c r="P140" s="550"/>
      <c r="R140" s="551"/>
      <c r="S140" s="550"/>
      <c r="T140" s="550"/>
      <c r="U140" s="550"/>
      <c r="V140" s="550"/>
      <c r="W140" s="550"/>
      <c r="X140" s="550"/>
      <c r="Y140" s="550"/>
    </row>
    <row r="141" spans="1:25">
      <c r="A141" s="548"/>
      <c r="B141" s="547" t="s">
        <v>983</v>
      </c>
      <c r="C141" s="789">
        <v>0</v>
      </c>
      <c r="D141" s="789">
        <v>0</v>
      </c>
      <c r="E141" s="789">
        <v>0</v>
      </c>
      <c r="F141" s="789">
        <v>0</v>
      </c>
      <c r="G141" s="789">
        <v>0</v>
      </c>
      <c r="H141" s="789">
        <v>0</v>
      </c>
      <c r="I141" s="789">
        <v>48944</v>
      </c>
      <c r="J141" s="550">
        <v>0</v>
      </c>
      <c r="K141" s="550">
        <v>0</v>
      </c>
      <c r="L141" s="550">
        <v>0</v>
      </c>
      <c r="M141" s="550">
        <v>0</v>
      </c>
      <c r="N141" s="550">
        <v>0</v>
      </c>
      <c r="O141" s="550">
        <v>0</v>
      </c>
      <c r="P141" s="550">
        <v>0</v>
      </c>
      <c r="R141" s="551"/>
      <c r="S141" s="550"/>
      <c r="T141" s="550"/>
      <c r="U141" s="550"/>
      <c r="V141" s="550"/>
      <c r="W141" s="550"/>
      <c r="X141" s="550"/>
      <c r="Y141" s="550"/>
    </row>
    <row r="142" spans="1:25">
      <c r="A142" s="548"/>
      <c r="B142" s="547" t="s">
        <v>990</v>
      </c>
      <c r="C142" s="789">
        <v>0</v>
      </c>
      <c r="D142" s="789">
        <v>0</v>
      </c>
      <c r="E142" s="789">
        <v>0</v>
      </c>
      <c r="F142" s="789">
        <v>0</v>
      </c>
      <c r="G142" s="789">
        <v>0</v>
      </c>
      <c r="H142" s="789">
        <v>42</v>
      </c>
      <c r="I142" s="789">
        <v>0</v>
      </c>
      <c r="J142" s="550">
        <v>0</v>
      </c>
      <c r="K142" s="550">
        <v>0</v>
      </c>
      <c r="L142" s="550">
        <v>0</v>
      </c>
      <c r="M142" s="550">
        <v>0</v>
      </c>
      <c r="N142" s="550">
        <v>0</v>
      </c>
      <c r="O142" s="550">
        <v>0</v>
      </c>
      <c r="P142" s="550">
        <v>0</v>
      </c>
      <c r="R142" s="551"/>
      <c r="S142" s="550"/>
      <c r="T142" s="550"/>
      <c r="U142" s="550"/>
      <c r="V142" s="550"/>
      <c r="W142" s="550"/>
      <c r="X142" s="550"/>
      <c r="Y142" s="550"/>
    </row>
    <row r="143" spans="1:25">
      <c r="A143" s="548"/>
      <c r="B143" s="547" t="s">
        <v>665</v>
      </c>
      <c r="C143" s="789">
        <v>0</v>
      </c>
      <c r="D143" s="789">
        <v>0</v>
      </c>
      <c r="E143" s="789">
        <v>0</v>
      </c>
      <c r="F143" s="789">
        <v>0</v>
      </c>
      <c r="G143" s="789">
        <v>0</v>
      </c>
      <c r="H143" s="789">
        <v>0</v>
      </c>
      <c r="I143" s="789">
        <v>0</v>
      </c>
      <c r="J143" s="550">
        <f>'Viva City'!F183*0.447</f>
        <v>6731.4476691372211</v>
      </c>
      <c r="K143" s="550">
        <f>'Viva City'!G183*0.447</f>
        <v>27708.746175129589</v>
      </c>
      <c r="L143" s="550">
        <f>'Viva City'!H183*0.447</f>
        <v>27768.224837635193</v>
      </c>
      <c r="M143" s="550">
        <f>'Viva City'!I183*0.447</f>
        <v>26855.25602609519</v>
      </c>
      <c r="N143" s="550">
        <f>'Viva City'!J183*0.447</f>
        <v>24887.09535594959</v>
      </c>
      <c r="O143" s="550">
        <f>'Viva City'!K183*0.447</f>
        <v>25698.751443830086</v>
      </c>
      <c r="P143" s="550">
        <f>'Viva City'!L183*0.447</f>
        <v>-2410.4960616329995</v>
      </c>
      <c r="R143" s="551"/>
      <c r="S143" s="550"/>
      <c r="T143" s="550"/>
      <c r="U143" s="550"/>
      <c r="V143" s="550"/>
      <c r="W143" s="550"/>
      <c r="X143" s="550"/>
      <c r="Y143" s="550"/>
    </row>
    <row r="144" spans="1:25">
      <c r="A144" s="548"/>
      <c r="C144" s="789"/>
      <c r="D144" s="789"/>
      <c r="E144" s="789"/>
      <c r="F144" s="789"/>
      <c r="G144" s="789"/>
      <c r="H144" s="789"/>
      <c r="I144" s="789"/>
      <c r="J144" s="550"/>
      <c r="K144" s="550"/>
      <c r="L144" s="550"/>
      <c r="M144" s="550"/>
      <c r="N144" s="550"/>
      <c r="O144" s="550"/>
      <c r="P144" s="550"/>
      <c r="R144" s="551"/>
      <c r="S144" s="550"/>
      <c r="T144" s="550"/>
      <c r="U144" s="550"/>
      <c r="V144" s="550"/>
      <c r="W144" s="550"/>
      <c r="X144" s="550"/>
      <c r="Y144" s="550"/>
    </row>
    <row r="145" spans="1:25">
      <c r="A145" s="548"/>
      <c r="B145" s="552" t="s">
        <v>984</v>
      </c>
      <c r="C145" s="785">
        <f>SUM(C146:C148)</f>
        <v>0</v>
      </c>
      <c r="D145" s="785">
        <f t="shared" ref="D145:I145" si="65">SUM(D146:D148)</f>
        <v>0</v>
      </c>
      <c r="E145" s="785">
        <f t="shared" si="65"/>
        <v>0</v>
      </c>
      <c r="F145" s="785">
        <f t="shared" si="65"/>
        <v>-1035</v>
      </c>
      <c r="G145" s="785">
        <f t="shared" si="65"/>
        <v>-38554</v>
      </c>
      <c r="H145" s="785">
        <f t="shared" si="65"/>
        <v>-6622</v>
      </c>
      <c r="I145" s="785">
        <f t="shared" si="65"/>
        <v>-343</v>
      </c>
      <c r="J145" s="553">
        <f>SUM(J146,J148)</f>
        <v>0</v>
      </c>
      <c r="K145" s="553">
        <f t="shared" ref="K145:P145" si="66">SUM(K146,K148)</f>
        <v>0</v>
      </c>
      <c r="L145" s="553">
        <f t="shared" si="66"/>
        <v>0</v>
      </c>
      <c r="M145" s="553">
        <f t="shared" si="66"/>
        <v>0</v>
      </c>
      <c r="N145" s="553">
        <f t="shared" si="66"/>
        <v>0</v>
      </c>
      <c r="O145" s="553">
        <f t="shared" si="66"/>
        <v>0</v>
      </c>
      <c r="P145" s="553">
        <f t="shared" si="66"/>
        <v>0</v>
      </c>
      <c r="R145" s="551"/>
      <c r="S145" s="550"/>
      <c r="T145" s="550"/>
      <c r="U145" s="550"/>
      <c r="V145" s="550"/>
      <c r="W145" s="550"/>
      <c r="X145" s="550"/>
      <c r="Y145" s="550"/>
    </row>
    <row r="146" spans="1:25">
      <c r="A146" s="548"/>
      <c r="B146" s="547" t="s">
        <v>805</v>
      </c>
      <c r="C146" s="789">
        <v>0</v>
      </c>
      <c r="D146" s="789">
        <v>0</v>
      </c>
      <c r="E146" s="789">
        <v>0</v>
      </c>
      <c r="F146" s="789">
        <v>-1035</v>
      </c>
      <c r="G146" s="789">
        <v>-38554</v>
      </c>
      <c r="H146" s="789">
        <v>-6616</v>
      </c>
      <c r="I146" s="789">
        <v>-343</v>
      </c>
      <c r="J146" s="550"/>
      <c r="K146" s="550"/>
      <c r="L146" s="550"/>
      <c r="M146" s="550"/>
      <c r="N146" s="550"/>
      <c r="O146" s="550"/>
      <c r="P146" s="550"/>
      <c r="R146" s="551"/>
      <c r="S146" s="550"/>
      <c r="T146" s="550"/>
      <c r="U146" s="550"/>
      <c r="V146" s="550"/>
      <c r="W146" s="550"/>
      <c r="X146" s="550"/>
      <c r="Y146" s="550"/>
    </row>
    <row r="147" spans="1:25">
      <c r="A147" s="548"/>
      <c r="B147" s="551" t="s">
        <v>985</v>
      </c>
      <c r="C147" s="780"/>
      <c r="D147" s="780"/>
      <c r="E147" s="780"/>
      <c r="F147" s="780"/>
      <c r="G147" s="780"/>
      <c r="H147" s="780"/>
      <c r="I147" s="780"/>
      <c r="J147" s="556">
        <v>0.1</v>
      </c>
      <c r="K147" s="556">
        <v>0.1</v>
      </c>
      <c r="L147" s="556">
        <v>0.1</v>
      </c>
      <c r="M147" s="556">
        <v>0.1</v>
      </c>
      <c r="N147" s="556">
        <v>0.1</v>
      </c>
      <c r="O147" s="556">
        <v>0.1</v>
      </c>
      <c r="P147" s="556">
        <v>0.1</v>
      </c>
      <c r="R147" s="551"/>
      <c r="S147" s="550"/>
      <c r="T147" s="550"/>
      <c r="U147" s="550"/>
      <c r="V147" s="550"/>
      <c r="W147" s="550"/>
      <c r="X147" s="550"/>
      <c r="Y147" s="550"/>
    </row>
    <row r="148" spans="1:25">
      <c r="A148" s="548"/>
      <c r="B148" s="547" t="s">
        <v>589</v>
      </c>
      <c r="C148" s="789">
        <v>0</v>
      </c>
      <c r="D148" s="789">
        <v>0</v>
      </c>
      <c r="E148" s="789">
        <v>0</v>
      </c>
      <c r="F148" s="789">
        <v>0</v>
      </c>
      <c r="G148" s="789">
        <v>0</v>
      </c>
      <c r="H148" s="789">
        <v>-6</v>
      </c>
      <c r="I148" s="789">
        <v>0</v>
      </c>
      <c r="J148" s="786">
        <v>0</v>
      </c>
      <c r="K148" s="786">
        <v>0</v>
      </c>
      <c r="L148" s="786">
        <v>0</v>
      </c>
      <c r="M148" s="786">
        <v>0</v>
      </c>
      <c r="N148" s="786">
        <v>0</v>
      </c>
      <c r="O148" s="786">
        <v>0</v>
      </c>
      <c r="P148" s="786">
        <v>0</v>
      </c>
      <c r="R148" s="551"/>
      <c r="S148" s="550"/>
      <c r="T148" s="550"/>
      <c r="U148" s="550"/>
      <c r="V148" s="550"/>
      <c r="W148" s="550"/>
      <c r="X148" s="550"/>
      <c r="Y148" s="550"/>
    </row>
    <row r="149" spans="1:25">
      <c r="A149" s="548"/>
      <c r="B149" s="551"/>
      <c r="C149" s="787"/>
      <c r="D149" s="787"/>
      <c r="E149" s="787"/>
      <c r="F149" s="787"/>
      <c r="G149" s="787"/>
      <c r="H149" s="787"/>
      <c r="I149" s="787"/>
      <c r="J149" s="556"/>
      <c r="K149" s="556"/>
      <c r="L149" s="556"/>
      <c r="M149" s="556"/>
      <c r="N149" s="556"/>
      <c r="O149" s="556"/>
      <c r="P149" s="556"/>
      <c r="R149" s="551"/>
      <c r="S149" s="550"/>
      <c r="T149" s="550"/>
      <c r="U149" s="550"/>
      <c r="V149" s="550"/>
      <c r="W149" s="550"/>
      <c r="X149" s="550"/>
      <c r="Y149" s="550"/>
    </row>
    <row r="150" spans="1:25">
      <c r="A150" s="548"/>
      <c r="B150" s="552" t="s">
        <v>991</v>
      </c>
      <c r="C150" s="785">
        <f>C137+C145</f>
        <v>0</v>
      </c>
      <c r="D150" s="785">
        <f t="shared" ref="D150:I150" si="67">D137+D145</f>
        <v>0</v>
      </c>
      <c r="E150" s="785">
        <f t="shared" si="67"/>
        <v>0</v>
      </c>
      <c r="F150" s="785">
        <f t="shared" si="67"/>
        <v>5836</v>
      </c>
      <c r="G150" s="785">
        <f t="shared" si="67"/>
        <v>-21090</v>
      </c>
      <c r="H150" s="785">
        <f t="shared" si="67"/>
        <v>-3363</v>
      </c>
      <c r="I150" s="785">
        <f t="shared" si="67"/>
        <v>54610</v>
      </c>
      <c r="J150" s="790">
        <f>J137+J145</f>
        <v>23231.447669137222</v>
      </c>
      <c r="K150" s="790">
        <f t="shared" ref="K150:P150" si="68">K137+K145</f>
        <v>44208.746175129592</v>
      </c>
      <c r="L150" s="790">
        <f t="shared" si="68"/>
        <v>44268.224837635193</v>
      </c>
      <c r="M150" s="790">
        <f t="shared" si="68"/>
        <v>43355.256026095187</v>
      </c>
      <c r="N150" s="790">
        <f t="shared" si="68"/>
        <v>41387.09535594959</v>
      </c>
      <c r="O150" s="790">
        <f t="shared" si="68"/>
        <v>42198.751443830086</v>
      </c>
      <c r="P150" s="790">
        <f t="shared" si="68"/>
        <v>14089.503938367001</v>
      </c>
      <c r="R150" s="551"/>
      <c r="S150" s="550"/>
      <c r="T150" s="550"/>
      <c r="U150" s="550"/>
      <c r="V150" s="550"/>
      <c r="W150" s="550"/>
      <c r="X150" s="550"/>
      <c r="Y150" s="550"/>
    </row>
    <row r="151" spans="1:25">
      <c r="A151" s="548"/>
      <c r="B151" s="551"/>
      <c r="C151" s="780"/>
      <c r="D151" s="780"/>
      <c r="E151" s="780"/>
      <c r="F151" s="780"/>
      <c r="G151" s="780"/>
      <c r="H151" s="780"/>
      <c r="I151" s="780"/>
      <c r="J151" s="550"/>
      <c r="K151" s="550"/>
      <c r="L151" s="550"/>
      <c r="M151" s="550"/>
      <c r="N151" s="550"/>
      <c r="O151" s="550"/>
      <c r="P151" s="550"/>
      <c r="R151" s="551"/>
      <c r="S151" s="550"/>
      <c r="T151" s="550"/>
      <c r="U151" s="550"/>
      <c r="V151" s="550"/>
      <c r="W151" s="550"/>
      <c r="X151" s="550"/>
      <c r="Y151" s="550"/>
    </row>
    <row r="152" spans="1:25" s="557" customFormat="1" ht="7.5" customHeight="1">
      <c r="A152" s="558"/>
      <c r="B152" s="561"/>
      <c r="C152" s="561"/>
      <c r="D152" s="561"/>
      <c r="E152" s="561"/>
      <c r="F152" s="561"/>
      <c r="G152" s="561"/>
      <c r="H152" s="561"/>
      <c r="I152" s="561"/>
      <c r="J152" s="562"/>
      <c r="K152" s="562"/>
      <c r="L152" s="562"/>
      <c r="M152" s="562"/>
      <c r="N152" s="562"/>
      <c r="O152" s="562"/>
      <c r="P152" s="562"/>
      <c r="R152" s="561"/>
      <c r="S152" s="562"/>
      <c r="T152" s="562"/>
      <c r="U152" s="562"/>
      <c r="V152" s="562"/>
      <c r="W152" s="562"/>
      <c r="X152" s="562"/>
      <c r="Y152" s="562"/>
    </row>
    <row r="153" spans="1:25">
      <c r="A153" s="563" t="s">
        <v>986</v>
      </c>
      <c r="B153" s="551"/>
      <c r="C153" s="784">
        <f>C$2</f>
        <v>2007</v>
      </c>
      <c r="D153" s="784">
        <f t="shared" ref="D153:I153" si="69">D$2</f>
        <v>2008</v>
      </c>
      <c r="E153" s="784">
        <f t="shared" si="69"/>
        <v>2009</v>
      </c>
      <c r="F153" s="784">
        <f t="shared" si="69"/>
        <v>2010</v>
      </c>
      <c r="G153" s="784">
        <f t="shared" si="69"/>
        <v>2011</v>
      </c>
      <c r="H153" s="784">
        <f t="shared" si="69"/>
        <v>2012</v>
      </c>
      <c r="I153" s="784">
        <f t="shared" si="69"/>
        <v>2013</v>
      </c>
      <c r="J153" s="548">
        <v>2014</v>
      </c>
      <c r="K153" s="548">
        <v>2015</v>
      </c>
      <c r="L153" s="548">
        <v>2016</v>
      </c>
      <c r="M153" s="548">
        <v>2017</v>
      </c>
      <c r="N153" s="548">
        <v>2018</v>
      </c>
      <c r="O153" s="548">
        <v>2019</v>
      </c>
      <c r="P153" s="548">
        <v>2020</v>
      </c>
      <c r="R153" s="551"/>
      <c r="S153" s="550"/>
      <c r="T153" s="550"/>
      <c r="U153" s="550"/>
      <c r="V153" s="550"/>
      <c r="W153" s="550"/>
      <c r="X153" s="550"/>
      <c r="Y153" s="550"/>
    </row>
    <row r="154" spans="1:25">
      <c r="B154" s="551"/>
      <c r="C154" s="780"/>
      <c r="D154" s="780"/>
      <c r="E154" s="780"/>
      <c r="F154" s="780"/>
      <c r="G154" s="780"/>
      <c r="H154" s="780"/>
      <c r="I154" s="780"/>
      <c r="J154" s="550"/>
      <c r="K154" s="550"/>
      <c r="L154" s="550"/>
      <c r="M154" s="550"/>
      <c r="N154" s="550"/>
      <c r="O154" s="550"/>
      <c r="P154" s="550"/>
      <c r="R154" s="551"/>
      <c r="S154" s="550"/>
      <c r="T154" s="550"/>
      <c r="U154" s="550"/>
      <c r="V154" s="550"/>
      <c r="W154" s="550"/>
      <c r="X154" s="550"/>
      <c r="Y154" s="550"/>
    </row>
    <row r="155" spans="1:25">
      <c r="A155" s="548"/>
      <c r="B155" s="547" t="s">
        <v>987</v>
      </c>
      <c r="C155" s="785">
        <f>SUM(C156:C157)</f>
        <v>0</v>
      </c>
      <c r="D155" s="785">
        <f t="shared" ref="D155:I155" si="70">SUM(D156:D157)</f>
        <v>0</v>
      </c>
      <c r="E155" s="785">
        <f t="shared" si="70"/>
        <v>0</v>
      </c>
      <c r="F155" s="785">
        <f t="shared" si="70"/>
        <v>25094</v>
      </c>
      <c r="G155" s="785">
        <f t="shared" si="70"/>
        <v>845</v>
      </c>
      <c r="H155" s="785">
        <f t="shared" si="70"/>
        <v>1334</v>
      </c>
      <c r="I155" s="785">
        <f t="shared" si="70"/>
        <v>1566</v>
      </c>
      <c r="J155" s="788">
        <f>SUM(J156:J157)</f>
        <v>2517.666666666667</v>
      </c>
      <c r="K155" s="788">
        <f t="shared" ref="K155:P155" si="71">SUM(K156:K157)</f>
        <v>2517.666666666667</v>
      </c>
      <c r="L155" s="788">
        <f t="shared" si="71"/>
        <v>2517.666666666667</v>
      </c>
      <c r="M155" s="788">
        <f t="shared" si="71"/>
        <v>2517.666666666667</v>
      </c>
      <c r="N155" s="788">
        <f t="shared" si="71"/>
        <v>2517.666666666667</v>
      </c>
      <c r="O155" s="788">
        <f t="shared" si="71"/>
        <v>2517.666666666667</v>
      </c>
      <c r="P155" s="788">
        <f t="shared" si="71"/>
        <v>2517.666666666667</v>
      </c>
      <c r="R155" s="551"/>
      <c r="S155" s="550"/>
      <c r="T155" s="550"/>
      <c r="U155" s="550"/>
      <c r="V155" s="550"/>
      <c r="W155" s="550"/>
      <c r="X155" s="550"/>
      <c r="Y155" s="550"/>
    </row>
    <row r="156" spans="1:25">
      <c r="A156" s="548"/>
      <c r="B156" s="551" t="s">
        <v>988</v>
      </c>
      <c r="C156" s="787"/>
      <c r="D156" s="787"/>
      <c r="E156" s="787"/>
      <c r="F156" s="787">
        <v>26098</v>
      </c>
      <c r="G156" s="787">
        <v>5241</v>
      </c>
      <c r="H156" s="787">
        <v>4710</v>
      </c>
      <c r="I156" s="787">
        <v>3548</v>
      </c>
      <c r="J156" s="786">
        <f>AVERAGE(G156:I156)</f>
        <v>4499.666666666667</v>
      </c>
      <c r="K156" s="550">
        <f t="shared" ref="K156:P157" si="72">J156</f>
        <v>4499.666666666667</v>
      </c>
      <c r="L156" s="550">
        <f t="shared" si="72"/>
        <v>4499.666666666667</v>
      </c>
      <c r="M156" s="550">
        <f t="shared" si="72"/>
        <v>4499.666666666667</v>
      </c>
      <c r="N156" s="550">
        <f t="shared" si="72"/>
        <v>4499.666666666667</v>
      </c>
      <c r="O156" s="550">
        <f t="shared" si="72"/>
        <v>4499.666666666667</v>
      </c>
      <c r="P156" s="550">
        <f t="shared" si="72"/>
        <v>4499.666666666667</v>
      </c>
      <c r="R156" s="551"/>
      <c r="S156" s="550"/>
      <c r="T156" s="550"/>
      <c r="U156" s="550"/>
      <c r="V156" s="550"/>
      <c r="W156" s="550"/>
      <c r="X156" s="550"/>
      <c r="Y156" s="550"/>
    </row>
    <row r="157" spans="1:25">
      <c r="A157" s="548"/>
      <c r="B157" s="551" t="s">
        <v>989</v>
      </c>
      <c r="C157" s="787"/>
      <c r="D157" s="787"/>
      <c r="E157" s="787"/>
      <c r="F157" s="787">
        <v>-1004</v>
      </c>
      <c r="G157" s="787">
        <v>-4396</v>
      </c>
      <c r="H157" s="787">
        <v>-3376</v>
      </c>
      <c r="I157" s="787">
        <v>-1982</v>
      </c>
      <c r="J157" s="786">
        <f>I157</f>
        <v>-1982</v>
      </c>
      <c r="K157" s="550">
        <f t="shared" si="72"/>
        <v>-1982</v>
      </c>
      <c r="L157" s="550">
        <f t="shared" si="72"/>
        <v>-1982</v>
      </c>
      <c r="M157" s="550">
        <f t="shared" si="72"/>
        <v>-1982</v>
      </c>
      <c r="N157" s="550">
        <f t="shared" si="72"/>
        <v>-1982</v>
      </c>
      <c r="O157" s="550">
        <f t="shared" si="72"/>
        <v>-1982</v>
      </c>
      <c r="P157" s="550">
        <f t="shared" si="72"/>
        <v>-1982</v>
      </c>
      <c r="R157" s="551"/>
      <c r="S157" s="550"/>
      <c r="T157" s="550"/>
      <c r="U157" s="550"/>
      <c r="V157" s="550"/>
      <c r="W157" s="550"/>
      <c r="X157" s="550"/>
      <c r="Y157" s="550"/>
    </row>
    <row r="158" spans="1:25">
      <c r="A158" s="548"/>
      <c r="B158" s="552"/>
      <c r="C158" s="781"/>
      <c r="D158" s="781"/>
      <c r="E158" s="781"/>
      <c r="F158" s="781"/>
      <c r="G158" s="781"/>
      <c r="H158" s="781"/>
      <c r="I158" s="781"/>
      <c r="J158" s="553"/>
      <c r="K158" s="553"/>
      <c r="L158" s="553"/>
      <c r="M158" s="553"/>
      <c r="N158" s="553"/>
      <c r="O158" s="553"/>
      <c r="P158" s="553"/>
      <c r="R158" s="551"/>
      <c r="S158" s="550"/>
      <c r="T158" s="550"/>
      <c r="U158" s="550"/>
      <c r="V158" s="550"/>
      <c r="W158" s="550"/>
      <c r="X158" s="550"/>
      <c r="Y158" s="550"/>
    </row>
    <row r="159" spans="1:25" s="557" customFormat="1" ht="6" customHeight="1" outlineLevel="1">
      <c r="B159" s="559"/>
      <c r="C159" s="559"/>
      <c r="D159" s="559"/>
      <c r="E159" s="559"/>
      <c r="F159" s="559"/>
      <c r="G159" s="559"/>
      <c r="H159" s="559"/>
      <c r="I159" s="559"/>
      <c r="J159" s="560"/>
      <c r="K159" s="560"/>
      <c r="L159" s="560"/>
      <c r="M159" s="560"/>
      <c r="N159" s="560"/>
      <c r="O159" s="560"/>
      <c r="P159" s="560"/>
    </row>
    <row r="160" spans="1:25" outlineLevel="1">
      <c r="A160" s="563" t="s">
        <v>661</v>
      </c>
      <c r="B160" s="552"/>
      <c r="C160" s="784">
        <f>C$2</f>
        <v>2007</v>
      </c>
      <c r="D160" s="784">
        <f t="shared" ref="D160:I160" si="73">D$2</f>
        <v>2008</v>
      </c>
      <c r="E160" s="784">
        <f t="shared" si="73"/>
        <v>2009</v>
      </c>
      <c r="F160" s="784">
        <f t="shared" si="73"/>
        <v>2010</v>
      </c>
      <c r="G160" s="784">
        <f t="shared" si="73"/>
        <v>2011</v>
      </c>
      <c r="H160" s="784">
        <f t="shared" si="73"/>
        <v>2012</v>
      </c>
      <c r="I160" s="784">
        <f t="shared" si="73"/>
        <v>2013</v>
      </c>
      <c r="J160" s="548">
        <v>2014</v>
      </c>
      <c r="K160" s="548">
        <v>2015</v>
      </c>
      <c r="L160" s="548">
        <v>2016</v>
      </c>
      <c r="M160" s="548">
        <v>2017</v>
      </c>
      <c r="N160" s="548">
        <v>2018</v>
      </c>
      <c r="O160" s="548">
        <v>2019</v>
      </c>
      <c r="P160" s="548">
        <v>2020</v>
      </c>
      <c r="S160" s="548">
        <v>2014</v>
      </c>
      <c r="T160" s="548">
        <v>2015</v>
      </c>
      <c r="U160" s="548">
        <v>2016</v>
      </c>
      <c r="V160" s="548">
        <v>2017</v>
      </c>
      <c r="W160" s="548">
        <v>2018</v>
      </c>
      <c r="X160" s="548">
        <v>2019</v>
      </c>
      <c r="Y160" s="548">
        <v>2020</v>
      </c>
    </row>
    <row r="161" spans="2:25" outlineLevel="1">
      <c r="B161" s="551" t="s">
        <v>654</v>
      </c>
      <c r="C161" s="780"/>
      <c r="D161" s="780"/>
      <c r="E161" s="780"/>
      <c r="F161" s="780"/>
      <c r="G161" s="780"/>
      <c r="H161" s="780"/>
      <c r="I161" s="780"/>
      <c r="J161" s="550">
        <f t="shared" ref="J161:P161" si="74">J10</f>
        <v>141736.56343741441</v>
      </c>
      <c r="K161" s="550">
        <f t="shared" si="74"/>
        <v>255125.81418734585</v>
      </c>
      <c r="L161" s="550">
        <f t="shared" si="74"/>
        <v>293394.68631544773</v>
      </c>
      <c r="M161" s="550">
        <f t="shared" si="74"/>
        <v>322734.15494699258</v>
      </c>
      <c r="N161" s="550">
        <f t="shared" si="74"/>
        <v>355007.57044169185</v>
      </c>
      <c r="O161" s="550">
        <f t="shared" si="74"/>
        <v>390508.32748586108</v>
      </c>
      <c r="P161" s="550">
        <f t="shared" si="74"/>
        <v>429559.16023444722</v>
      </c>
      <c r="R161" s="547" t="s">
        <v>654</v>
      </c>
      <c r="S161" s="550">
        <v>56694.625374965763</v>
      </c>
      <c r="T161" s="550">
        <v>62364.087912462339</v>
      </c>
      <c r="U161" s="550">
        <v>68600.496703708588</v>
      </c>
      <c r="V161" s="550">
        <v>75460.546374079451</v>
      </c>
      <c r="W161" s="550">
        <v>83006.601011487393</v>
      </c>
      <c r="X161" s="550">
        <v>91307.261112636144</v>
      </c>
      <c r="Y161" s="550">
        <v>100437.98722389978</v>
      </c>
    </row>
    <row r="162" spans="2:25" outlineLevel="1">
      <c r="B162" s="551" t="s">
        <v>662</v>
      </c>
      <c r="C162" s="780"/>
      <c r="D162" s="780"/>
      <c r="E162" s="780"/>
      <c r="F162" s="780"/>
      <c r="G162" s="780"/>
      <c r="H162" s="780"/>
      <c r="I162" s="780"/>
      <c r="J162" s="550">
        <f t="shared" ref="J162:P162" si="75">J56</f>
        <v>2228.65</v>
      </c>
      <c r="K162" s="550">
        <f t="shared" si="75"/>
        <v>5571.625</v>
      </c>
      <c r="L162" s="550">
        <f t="shared" si="75"/>
        <v>7243.1125000000002</v>
      </c>
      <c r="M162" s="550">
        <f t="shared" si="75"/>
        <v>9416.0462500000012</v>
      </c>
      <c r="N162" s="550">
        <f t="shared" si="75"/>
        <v>12240.860125000003</v>
      </c>
      <c r="O162" s="550">
        <f t="shared" si="75"/>
        <v>15913.118162500003</v>
      </c>
      <c r="P162" s="550">
        <f t="shared" si="75"/>
        <v>20687.053611250005</v>
      </c>
      <c r="R162" s="551" t="s">
        <v>663</v>
      </c>
      <c r="S162" s="550">
        <f>SUM(S165:S177)</f>
        <v>99445.771997885749</v>
      </c>
      <c r="T162" s="550">
        <f t="shared" ref="T162:Y162" si="76">SUM(T165:T177)</f>
        <v>131571.3807794647</v>
      </c>
      <c r="U162" s="550">
        <f t="shared" si="76"/>
        <v>390125.26273881609</v>
      </c>
      <c r="V162" s="550">
        <f t="shared" si="76"/>
        <v>576375.12728643091</v>
      </c>
      <c r="W162" s="550">
        <f t="shared" si="76"/>
        <v>314562.33254055103</v>
      </c>
      <c r="X162" s="550">
        <f t="shared" si="76"/>
        <v>121577.30804201601</v>
      </c>
      <c r="Y162" s="550">
        <f t="shared" si="76"/>
        <v>87133.323541952006</v>
      </c>
    </row>
    <row r="163" spans="2:25" outlineLevel="1">
      <c r="B163" s="551" t="s">
        <v>664</v>
      </c>
      <c r="C163" s="780"/>
      <c r="D163" s="780"/>
      <c r="E163" s="780"/>
      <c r="F163" s="780"/>
      <c r="G163" s="780"/>
      <c r="H163" s="780"/>
      <c r="I163" s="780"/>
      <c r="J163" s="549" t="e">
        <f>#REF!</f>
        <v>#REF!</v>
      </c>
      <c r="K163" s="549" t="e">
        <f>#REF!</f>
        <v>#REF!</v>
      </c>
      <c r="L163" s="549" t="e">
        <f>#REF!</f>
        <v>#REF!</v>
      </c>
      <c r="M163" s="549" t="e">
        <f>#REF!</f>
        <v>#REF!</v>
      </c>
      <c r="N163" s="549" t="e">
        <f>#REF!</f>
        <v>#REF!</v>
      </c>
      <c r="O163" s="549" t="e">
        <f>#REF!</f>
        <v>#REF!</v>
      </c>
      <c r="P163" s="549" t="e">
        <f>#REF!</f>
        <v>#REF!</v>
      </c>
      <c r="R163" s="547" t="s">
        <v>662</v>
      </c>
      <c r="S163" s="550">
        <v>1000</v>
      </c>
      <c r="T163" s="550">
        <v>1200</v>
      </c>
      <c r="U163" s="550">
        <v>1440</v>
      </c>
      <c r="V163" s="550">
        <v>1728</v>
      </c>
      <c r="W163" s="550">
        <v>2073.6</v>
      </c>
      <c r="X163" s="550">
        <v>2488.3200000000002</v>
      </c>
      <c r="Y163" s="550">
        <v>2985.9840000000004</v>
      </c>
    </row>
    <row r="164" spans="2:25" outlineLevel="1">
      <c r="B164" s="551" t="s">
        <v>665</v>
      </c>
      <c r="C164" s="780"/>
      <c r="D164" s="780"/>
      <c r="E164" s="780"/>
      <c r="F164" s="780"/>
      <c r="G164" s="780"/>
      <c r="H164" s="780"/>
      <c r="I164" s="780"/>
      <c r="J164" s="549">
        <f>'Viva City'!F185</f>
        <v>11746.150295138776</v>
      </c>
      <c r="K164" s="549">
        <f>'Viva City'!G185</f>
        <v>48350.832251903987</v>
      </c>
      <c r="L164" s="549">
        <f>'Viva City'!H185</f>
        <v>49697.046689279989</v>
      </c>
      <c r="M164" s="549">
        <f>'Viva City'!I185</f>
        <v>48063.098033279988</v>
      </c>
      <c r="N164" s="549">
        <f>'Viva City'!J185</f>
        <v>44540.662829439985</v>
      </c>
      <c r="O164" s="549">
        <f>'Viva City'!K185</f>
        <v>45993.291174639977</v>
      </c>
      <c r="P164" s="549">
        <f>'Viva City'!L185</f>
        <v>-5392.6086389999991</v>
      </c>
      <c r="S164" s="548">
        <v>2014</v>
      </c>
      <c r="T164" s="548">
        <v>2015</v>
      </c>
      <c r="U164" s="548">
        <v>2016</v>
      </c>
      <c r="V164" s="548">
        <v>2017</v>
      </c>
      <c r="W164" s="548">
        <v>2018</v>
      </c>
      <c r="X164" s="548">
        <v>2019</v>
      </c>
      <c r="Y164" s="548">
        <v>2020</v>
      </c>
    </row>
    <row r="165" spans="2:25" outlineLevel="1">
      <c r="B165" s="551" t="s">
        <v>666</v>
      </c>
      <c r="C165" s="780"/>
      <c r="D165" s="780"/>
      <c r="E165" s="780"/>
      <c r="F165" s="780"/>
      <c r="G165" s="780"/>
      <c r="H165" s="780"/>
      <c r="I165" s="780"/>
      <c r="J165" s="549" t="e">
        <f>#REF!</f>
        <v>#REF!</v>
      </c>
      <c r="K165" s="549" t="e">
        <f>#REF!</f>
        <v>#REF!</v>
      </c>
      <c r="L165" s="549" t="e">
        <f>#REF!</f>
        <v>#REF!</v>
      </c>
      <c r="M165" s="549" t="e">
        <f>#REF!</f>
        <v>#REF!</v>
      </c>
      <c r="N165" s="549" t="e">
        <f>#REF!</f>
        <v>#REF!</v>
      </c>
      <c r="O165" s="549" t="e">
        <f>#REF!</f>
        <v>#REF!</v>
      </c>
      <c r="P165" s="549" t="e">
        <f>#REF!</f>
        <v>#REF!</v>
      </c>
      <c r="R165" s="547" t="s">
        <v>664</v>
      </c>
      <c r="S165" s="550">
        <v>81956.784633725751</v>
      </c>
      <c r="T165" s="550">
        <v>48813.631303266455</v>
      </c>
      <c r="U165" s="550">
        <v>53218.862875145081</v>
      </c>
      <c r="V165" s="550">
        <v>0</v>
      </c>
      <c r="W165" s="550">
        <v>0</v>
      </c>
      <c r="X165" s="550">
        <v>0</v>
      </c>
      <c r="Y165" s="550">
        <v>0</v>
      </c>
    </row>
    <row r="166" spans="2:25" outlineLevel="1">
      <c r="B166" s="551" t="s">
        <v>667</v>
      </c>
      <c r="C166" s="780"/>
      <c r="D166" s="780"/>
      <c r="E166" s="780"/>
      <c r="F166" s="780"/>
      <c r="G166" s="780"/>
      <c r="H166" s="780"/>
      <c r="I166" s="780"/>
      <c r="J166" s="549" t="e">
        <f>#REF!</f>
        <v>#REF!</v>
      </c>
      <c r="K166" s="549" t="e">
        <f>#REF!</f>
        <v>#REF!</v>
      </c>
      <c r="L166" s="549" t="e">
        <f>#REF!</f>
        <v>#REF!</v>
      </c>
      <c r="M166" s="549" t="e">
        <f>#REF!</f>
        <v>#REF!</v>
      </c>
      <c r="N166" s="549" t="e">
        <f>#REF!</f>
        <v>#REF!</v>
      </c>
      <c r="O166" s="549" t="e">
        <f>#REF!</f>
        <v>#REF!</v>
      </c>
      <c r="P166" s="549" t="e">
        <f>#REF!</f>
        <v>#REF!</v>
      </c>
      <c r="R166" s="547" t="s">
        <v>665</v>
      </c>
      <c r="S166" s="550">
        <v>17488.987364159999</v>
      </c>
      <c r="T166" s="550">
        <v>65726.876785439992</v>
      </c>
      <c r="U166" s="550">
        <v>101298.41367039998</v>
      </c>
      <c r="V166" s="550">
        <v>100898.92087039998</v>
      </c>
      <c r="W166" s="550">
        <v>100898.92087039998</v>
      </c>
      <c r="X166" s="550">
        <v>102497.25847039999</v>
      </c>
      <c r="Y166" s="550">
        <v>95821.438141952007</v>
      </c>
    </row>
    <row r="167" spans="2:25" outlineLevel="1">
      <c r="B167" s="551" t="s">
        <v>668</v>
      </c>
      <c r="C167" s="780"/>
      <c r="D167" s="780"/>
      <c r="E167" s="780"/>
      <c r="F167" s="780"/>
      <c r="G167" s="780"/>
      <c r="H167" s="780"/>
      <c r="I167" s="780"/>
      <c r="J167" s="549" t="e">
        <f>#REF!</f>
        <v>#REF!</v>
      </c>
      <c r="K167" s="549" t="e">
        <f>#REF!</f>
        <v>#REF!</v>
      </c>
      <c r="L167" s="549" t="e">
        <f>#REF!</f>
        <v>#REF!</v>
      </c>
      <c r="M167" s="549" t="e">
        <f>#REF!</f>
        <v>#REF!</v>
      </c>
      <c r="N167" s="549" t="e">
        <f>#REF!</f>
        <v>#REF!</v>
      </c>
      <c r="O167" s="549" t="e">
        <f>#REF!</f>
        <v>#REF!</v>
      </c>
      <c r="P167" s="549" t="e">
        <f>#REF!</f>
        <v>#REF!</v>
      </c>
      <c r="R167" s="547" t="s">
        <v>666</v>
      </c>
      <c r="S167" s="550">
        <v>0</v>
      </c>
      <c r="T167" s="550">
        <v>17030.872690758271</v>
      </c>
      <c r="U167" s="550">
        <v>25566.233316471051</v>
      </c>
      <c r="V167" s="550">
        <v>30748.555376031054</v>
      </c>
      <c r="W167" s="550">
        <v>40629.891158151055</v>
      </c>
      <c r="X167" s="550">
        <v>34612.240571616036</v>
      </c>
      <c r="Y167" s="550"/>
    </row>
    <row r="168" spans="2:25" outlineLevel="1">
      <c r="B168" s="551"/>
      <c r="C168" s="780"/>
      <c r="D168" s="780"/>
      <c r="E168" s="780"/>
      <c r="F168" s="780"/>
      <c r="G168" s="780"/>
      <c r="H168" s="780"/>
      <c r="I168" s="780"/>
      <c r="J168" s="549"/>
      <c r="K168" s="549"/>
      <c r="L168" s="549"/>
      <c r="M168" s="549"/>
      <c r="N168" s="549"/>
      <c r="O168" s="549"/>
      <c r="P168" s="549"/>
      <c r="S168" s="550"/>
      <c r="T168" s="550"/>
      <c r="U168" s="550"/>
      <c r="V168" s="550"/>
      <c r="W168" s="550"/>
      <c r="X168" s="550"/>
      <c r="Y168" s="550"/>
    </row>
    <row r="169" spans="2:25" outlineLevel="1">
      <c r="B169" s="551" t="s">
        <v>1312</v>
      </c>
      <c r="C169" s="780"/>
      <c r="D169" s="780"/>
      <c r="E169" s="780"/>
      <c r="F169" s="780"/>
      <c r="G169" s="780"/>
      <c r="H169" s="780"/>
      <c r="I169" s="780"/>
      <c r="J169" s="549" t="e">
        <f>#REF!</f>
        <v>#REF!</v>
      </c>
      <c r="K169" s="549" t="e">
        <f>#REF!</f>
        <v>#REF!</v>
      </c>
      <c r="L169" s="549" t="e">
        <f>#REF!</f>
        <v>#REF!</v>
      </c>
      <c r="M169" s="549" t="e">
        <f>#REF!</f>
        <v>#REF!</v>
      </c>
      <c r="N169" s="549" t="e">
        <f>#REF!</f>
        <v>#REF!</v>
      </c>
      <c r="O169" s="549" t="e">
        <f>#REF!</f>
        <v>#REF!</v>
      </c>
      <c r="P169" s="549" t="e">
        <f>#REF!</f>
        <v>#REF!</v>
      </c>
      <c r="S169" s="550"/>
      <c r="T169" s="550"/>
      <c r="U169" s="550"/>
      <c r="V169" s="550"/>
      <c r="W169" s="550"/>
      <c r="X169" s="550"/>
      <c r="Y169" s="550"/>
    </row>
    <row r="170" spans="2:25" outlineLevel="1">
      <c r="B170" s="551" t="s">
        <v>1314</v>
      </c>
      <c r="C170" s="780"/>
      <c r="D170" s="780"/>
      <c r="E170" s="780"/>
      <c r="F170" s="780"/>
      <c r="G170" s="780"/>
      <c r="H170" s="780"/>
      <c r="I170" s="780"/>
      <c r="J170" s="549" t="e">
        <f>#REF!</f>
        <v>#REF!</v>
      </c>
      <c r="K170" s="549" t="e">
        <f>#REF!</f>
        <v>#REF!</v>
      </c>
      <c r="L170" s="549" t="e">
        <f>#REF!</f>
        <v>#REF!</v>
      </c>
      <c r="M170" s="549" t="e">
        <f>#REF!</f>
        <v>#REF!</v>
      </c>
      <c r="N170" s="549" t="e">
        <f>#REF!</f>
        <v>#REF!</v>
      </c>
      <c r="O170" s="549" t="e">
        <f>#REF!</f>
        <v>#REF!</v>
      </c>
      <c r="P170" s="549" t="e">
        <f>#REF!</f>
        <v>#REF!</v>
      </c>
      <c r="S170" s="550"/>
      <c r="T170" s="550"/>
      <c r="U170" s="550"/>
      <c r="V170" s="550"/>
      <c r="W170" s="550"/>
      <c r="X170" s="550"/>
      <c r="Y170" s="550"/>
    </row>
    <row r="171" spans="2:25" outlineLevel="1">
      <c r="B171" s="551" t="s">
        <v>1315</v>
      </c>
      <c r="C171" s="780"/>
      <c r="D171" s="780"/>
      <c r="E171" s="780"/>
      <c r="F171" s="780"/>
      <c r="G171" s="780"/>
      <c r="H171" s="780"/>
      <c r="I171" s="780"/>
      <c r="J171" s="549">
        <f>'CT15'!E179</f>
        <v>0</v>
      </c>
      <c r="K171" s="549">
        <f>'CT15'!F179</f>
        <v>0</v>
      </c>
      <c r="L171" s="549">
        <f>'CT15'!G179</f>
        <v>-7850</v>
      </c>
      <c r="M171" s="549">
        <f>'CT15'!H179</f>
        <v>7668.8480000000218</v>
      </c>
      <c r="N171" s="549">
        <f>'CT15'!I179</f>
        <v>45107.312000000064</v>
      </c>
      <c r="O171" s="549">
        <f>'CT15'!J179</f>
        <v>-5232.6000000000013</v>
      </c>
      <c r="P171" s="549">
        <f>'CT15'!K179</f>
        <v>-3876.0000000000009</v>
      </c>
      <c r="S171" s="550"/>
      <c r="T171" s="550"/>
      <c r="U171" s="550"/>
      <c r="V171" s="550"/>
      <c r="W171" s="550"/>
      <c r="X171" s="550"/>
      <c r="Y171" s="550"/>
    </row>
    <row r="172" spans="2:25" outlineLevel="1">
      <c r="B172" s="551" t="s">
        <v>1317</v>
      </c>
      <c r="C172" s="780"/>
      <c r="D172" s="780"/>
      <c r="E172" s="780"/>
      <c r="F172" s="780"/>
      <c r="G172" s="780"/>
      <c r="H172" s="780"/>
      <c r="I172" s="780"/>
      <c r="J172" s="549" t="e">
        <f>#REF!</f>
        <v>#REF!</v>
      </c>
      <c r="K172" s="549" t="e">
        <f>#REF!</f>
        <v>#REF!</v>
      </c>
      <c r="L172" s="549" t="e">
        <f>#REF!</f>
        <v>#REF!</v>
      </c>
      <c r="M172" s="549" t="e">
        <f>#REF!</f>
        <v>#REF!</v>
      </c>
      <c r="N172" s="549" t="e">
        <f>#REF!</f>
        <v>#REF!</v>
      </c>
      <c r="O172" s="549" t="e">
        <f>#REF!</f>
        <v>#REF!</v>
      </c>
      <c r="P172" s="549" t="e">
        <f>#REF!</f>
        <v>#REF!</v>
      </c>
      <c r="S172" s="550"/>
      <c r="T172" s="550"/>
      <c r="U172" s="550"/>
      <c r="V172" s="550"/>
      <c r="W172" s="550"/>
      <c r="X172" s="550"/>
      <c r="Y172" s="550"/>
    </row>
    <row r="173" spans="2:25" outlineLevel="1">
      <c r="B173" s="551" t="s">
        <v>1494</v>
      </c>
      <c r="C173" s="780"/>
      <c r="D173" s="780"/>
      <c r="E173" s="780"/>
      <c r="F173" s="780"/>
      <c r="G173" s="780"/>
      <c r="H173" s="780"/>
      <c r="I173" s="780"/>
      <c r="J173" s="549" t="e">
        <f>#REF!</f>
        <v>#REF!</v>
      </c>
      <c r="K173" s="549" t="e">
        <f>#REF!</f>
        <v>#REF!</v>
      </c>
      <c r="L173" s="549" t="e">
        <f>#REF!</f>
        <v>#REF!</v>
      </c>
      <c r="M173" s="549" t="e">
        <f>#REF!</f>
        <v>#REF!</v>
      </c>
      <c r="N173" s="549" t="e">
        <f>#REF!</f>
        <v>#REF!</v>
      </c>
      <c r="O173" s="549" t="e">
        <f>#REF!</f>
        <v>#REF!</v>
      </c>
      <c r="P173" s="549" t="e">
        <f>#REF!</f>
        <v>#REF!</v>
      </c>
      <c r="S173" s="550"/>
      <c r="T173" s="550"/>
      <c r="U173" s="550"/>
      <c r="V173" s="550"/>
      <c r="W173" s="550"/>
      <c r="X173" s="550"/>
      <c r="Y173" s="550"/>
    </row>
    <row r="174" spans="2:25" outlineLevel="1">
      <c r="B174" s="551" t="s">
        <v>1447</v>
      </c>
      <c r="C174" s="780"/>
      <c r="D174" s="780"/>
      <c r="E174" s="780"/>
      <c r="F174" s="780"/>
      <c r="G174" s="780"/>
      <c r="H174" s="780"/>
      <c r="I174" s="780"/>
      <c r="J174" s="549" t="e">
        <f>#REF!</f>
        <v>#REF!</v>
      </c>
      <c r="K174" s="549" t="e">
        <f>#REF!</f>
        <v>#REF!</v>
      </c>
      <c r="L174" s="549" t="e">
        <f>#REF!</f>
        <v>#REF!</v>
      </c>
      <c r="M174" s="549" t="e">
        <f>#REF!</f>
        <v>#REF!</v>
      </c>
      <c r="N174" s="549" t="e">
        <f>#REF!</f>
        <v>#REF!</v>
      </c>
      <c r="O174" s="549" t="e">
        <f>#REF!</f>
        <v>#REF!</v>
      </c>
      <c r="P174" s="549" t="e">
        <f>#REF!</f>
        <v>#REF!</v>
      </c>
      <c r="S174" s="550"/>
      <c r="T174" s="550"/>
      <c r="U174" s="550"/>
      <c r="V174" s="550"/>
      <c r="W174" s="550"/>
      <c r="X174" s="550"/>
      <c r="Y174" s="550"/>
    </row>
    <row r="175" spans="2:25" outlineLevel="1">
      <c r="B175" s="551"/>
      <c r="C175" s="780"/>
      <c r="D175" s="780"/>
      <c r="E175" s="780"/>
      <c r="F175" s="780"/>
      <c r="G175" s="780"/>
      <c r="H175" s="780"/>
      <c r="I175" s="780"/>
      <c r="J175" s="549"/>
      <c r="K175" s="549"/>
      <c r="L175" s="549"/>
      <c r="M175" s="549"/>
      <c r="N175" s="549"/>
      <c r="O175" s="549"/>
      <c r="P175" s="549"/>
      <c r="S175" s="550"/>
      <c r="T175" s="550"/>
      <c r="U175" s="550"/>
      <c r="V175" s="550"/>
      <c r="W175" s="550"/>
      <c r="X175" s="550"/>
      <c r="Y175" s="550"/>
    </row>
    <row r="176" spans="2:25" outlineLevel="1">
      <c r="B176" s="552" t="s">
        <v>661</v>
      </c>
      <c r="C176" s="781"/>
      <c r="D176" s="781"/>
      <c r="E176" s="781"/>
      <c r="F176" s="781"/>
      <c r="G176" s="781"/>
      <c r="H176" s="781"/>
      <c r="I176" s="781"/>
      <c r="J176" s="553" t="e">
        <f>SUM(J161:J175)</f>
        <v>#REF!</v>
      </c>
      <c r="K176" s="553" t="e">
        <f t="shared" ref="K176:P176" si="77">SUM(K161:K175)</f>
        <v>#REF!</v>
      </c>
      <c r="L176" s="553" t="e">
        <f t="shared" si="77"/>
        <v>#REF!</v>
      </c>
      <c r="M176" s="553" t="e">
        <f t="shared" si="77"/>
        <v>#REF!</v>
      </c>
      <c r="N176" s="553" t="e">
        <f t="shared" si="77"/>
        <v>#REF!</v>
      </c>
      <c r="O176" s="553" t="e">
        <f t="shared" si="77"/>
        <v>#REF!</v>
      </c>
      <c r="P176" s="553" t="e">
        <f t="shared" si="77"/>
        <v>#REF!</v>
      </c>
      <c r="R176" s="547" t="s">
        <v>667</v>
      </c>
      <c r="S176" s="550">
        <v>0</v>
      </c>
      <c r="T176" s="550">
        <v>0</v>
      </c>
      <c r="U176" s="550">
        <v>52266.239999999991</v>
      </c>
      <c r="V176" s="550">
        <v>160959.35999999999</v>
      </c>
      <c r="W176" s="550">
        <v>81998.400000000009</v>
      </c>
      <c r="X176" s="550">
        <v>-6312.0000000000009</v>
      </c>
      <c r="Y176" s="550">
        <v>-3156.0000000000005</v>
      </c>
    </row>
    <row r="177" spans="1:25" outlineLevel="1">
      <c r="R177" s="547" t="s">
        <v>668</v>
      </c>
      <c r="S177" s="550">
        <v>0</v>
      </c>
      <c r="T177" s="550">
        <v>0</v>
      </c>
      <c r="U177" s="550">
        <v>157775.51287679997</v>
      </c>
      <c r="V177" s="550">
        <v>283768.29103999998</v>
      </c>
      <c r="W177" s="550">
        <v>91035.120511999994</v>
      </c>
      <c r="X177" s="550">
        <v>-9220.1910000000044</v>
      </c>
      <c r="Y177" s="550">
        <v>-5532.1146000000044</v>
      </c>
    </row>
    <row r="178" spans="1:25" outlineLevel="1">
      <c r="J178" s="549">
        <f>1411795+125000</f>
        <v>1536795</v>
      </c>
      <c r="K178" s="550" t="e">
        <f>J178+K176</f>
        <v>#REF!</v>
      </c>
    </row>
    <row r="179" spans="1:25" outlineLevel="1">
      <c r="J179" s="554">
        <f>125000/J178</f>
        <v>8.1338109507123585E-2</v>
      </c>
      <c r="K179" s="547" t="e">
        <f>K176/K178</f>
        <v>#REF!</v>
      </c>
    </row>
    <row r="180" spans="1:25" outlineLevel="1"/>
    <row r="183" spans="1:25">
      <c r="A183" s="563" t="s">
        <v>26</v>
      </c>
      <c r="C183" s="548">
        <v>2015</v>
      </c>
      <c r="D183" s="548" t="s">
        <v>1205</v>
      </c>
      <c r="E183" s="548" t="s">
        <v>1206</v>
      </c>
      <c r="F183" s="548" t="s">
        <v>1130</v>
      </c>
      <c r="G183" s="548" t="s">
        <v>1174</v>
      </c>
      <c r="H183" s="551"/>
      <c r="I183" s="551"/>
      <c r="J183" s="549"/>
      <c r="K183" s="549"/>
      <c r="L183" s="549"/>
      <c r="M183" s="549"/>
      <c r="N183" s="549"/>
      <c r="O183" s="549"/>
      <c r="P183" s="549"/>
    </row>
    <row r="184" spans="1:25">
      <c r="A184" s="548"/>
      <c r="B184" s="551"/>
      <c r="C184" s="550"/>
      <c r="D184" s="551"/>
      <c r="E184" s="551"/>
      <c r="F184" s="551"/>
      <c r="G184" s="551"/>
      <c r="H184" s="551"/>
      <c r="I184" s="551"/>
      <c r="J184" s="549"/>
      <c r="K184" s="549"/>
      <c r="L184" s="549"/>
      <c r="M184" s="549"/>
      <c r="N184" s="549"/>
      <c r="O184" s="549"/>
      <c r="P184" s="549"/>
    </row>
    <row r="185" spans="1:25">
      <c r="A185" s="548"/>
      <c r="B185" s="548" t="s">
        <v>26</v>
      </c>
      <c r="C185" s="553" t="e">
        <f>C187+C192+C193</f>
        <v>#REF!</v>
      </c>
      <c r="D185" s="553">
        <f>D187+D192+D193</f>
        <v>171843</v>
      </c>
      <c r="E185" s="553">
        <f>E187+E192+E193</f>
        <v>212312</v>
      </c>
      <c r="F185" s="553" t="e">
        <f>F187+F192+F193</f>
        <v>#REF!</v>
      </c>
      <c r="G185" s="553" t="e">
        <f>G187+G192+G193</f>
        <v>#REF!</v>
      </c>
      <c r="H185" s="552"/>
      <c r="I185" s="552"/>
      <c r="J185" s="553"/>
      <c r="K185" s="553"/>
      <c r="L185" s="553"/>
      <c r="M185" s="553"/>
      <c r="N185" s="553"/>
      <c r="O185" s="553"/>
      <c r="P185" s="553"/>
    </row>
    <row r="186" spans="1:25">
      <c r="A186" s="548"/>
      <c r="B186" s="548"/>
      <c r="C186" s="553"/>
      <c r="D186" s="553"/>
      <c r="E186" s="553"/>
      <c r="F186" s="553"/>
      <c r="G186" s="553"/>
      <c r="H186" s="552"/>
      <c r="I186" s="552"/>
      <c r="J186" s="553"/>
      <c r="K186" s="553"/>
      <c r="L186" s="553"/>
      <c r="M186" s="553"/>
      <c r="N186" s="553"/>
      <c r="O186" s="553"/>
      <c r="P186" s="553"/>
    </row>
    <row r="187" spans="1:25">
      <c r="A187" s="548"/>
      <c r="B187" s="548" t="s">
        <v>1211</v>
      </c>
      <c r="C187" s="553" t="e">
        <f>SUM(C188:C190)</f>
        <v>#REF!</v>
      </c>
      <c r="D187" s="553">
        <f>SUM(D188:D190)</f>
        <v>1500</v>
      </c>
      <c r="E187" s="553">
        <f>SUM(E188:E190)</f>
        <v>13641</v>
      </c>
      <c r="F187" s="553" t="e">
        <f>SUM(F188:F190)</f>
        <v>#REF!</v>
      </c>
      <c r="G187" s="553" t="e">
        <f>SUM(G188:G190)</f>
        <v>#REF!</v>
      </c>
      <c r="H187" s="552"/>
      <c r="I187" s="552"/>
      <c r="J187" s="553"/>
      <c r="K187" s="553"/>
      <c r="L187" s="553"/>
      <c r="M187" s="553"/>
      <c r="N187" s="553"/>
      <c r="O187" s="553"/>
      <c r="P187" s="553"/>
    </row>
    <row r="188" spans="1:25">
      <c r="A188" s="548"/>
      <c r="B188" s="551" t="s">
        <v>664</v>
      </c>
      <c r="C188" s="550" t="e">
        <f>K65</f>
        <v>#REF!</v>
      </c>
      <c r="D188" s="550">
        <v>1500</v>
      </c>
      <c r="E188" s="550">
        <v>13641</v>
      </c>
      <c r="F188" s="550" t="e">
        <f>(C188-D188-E188)/2</f>
        <v>#REF!</v>
      </c>
      <c r="G188" s="550" t="e">
        <f>F188</f>
        <v>#REF!</v>
      </c>
      <c r="H188" s="547"/>
      <c r="I188" s="547"/>
      <c r="J188" s="549"/>
      <c r="K188" s="550"/>
    </row>
    <row r="189" spans="1:25">
      <c r="A189" s="548"/>
      <c r="B189" s="551" t="s">
        <v>666</v>
      </c>
      <c r="C189" s="550" t="e">
        <f>K66</f>
        <v>#REF!</v>
      </c>
      <c r="D189" s="550">
        <v>0</v>
      </c>
      <c r="E189" s="550">
        <v>0</v>
      </c>
      <c r="F189" s="550" t="e">
        <f>C189/2</f>
        <v>#REF!</v>
      </c>
      <c r="G189" s="550" t="e">
        <f>F189</f>
        <v>#REF!</v>
      </c>
      <c r="H189" s="547"/>
      <c r="I189" s="547"/>
      <c r="J189" s="554"/>
      <c r="K189" s="550"/>
    </row>
    <row r="190" spans="1:25">
      <c r="A190" s="548"/>
      <c r="B190" s="551" t="s">
        <v>668</v>
      </c>
      <c r="C190" s="550" t="e">
        <f>K68</f>
        <v>#REF!</v>
      </c>
      <c r="D190" s="813">
        <v>0</v>
      </c>
      <c r="E190" s="813">
        <v>0</v>
      </c>
      <c r="F190" s="813">
        <v>0</v>
      </c>
      <c r="G190" s="1248">
        <v>0</v>
      </c>
      <c r="H190"/>
      <c r="I190"/>
      <c r="J190"/>
      <c r="K190" s="550"/>
      <c r="L190"/>
      <c r="M190"/>
      <c r="N190"/>
      <c r="O190"/>
      <c r="P190"/>
      <c r="Q190"/>
      <c r="R190"/>
    </row>
    <row r="191" spans="1:25">
      <c r="A191" s="548"/>
      <c r="B191" s="551"/>
      <c r="C191" s="550"/>
      <c r="D191"/>
      <c r="E191"/>
      <c r="F191"/>
      <c r="G191" s="550"/>
      <c r="H191"/>
      <c r="I191" s="836"/>
      <c r="J191"/>
      <c r="K191" s="550"/>
      <c r="L191"/>
      <c r="M191"/>
      <c r="N191"/>
      <c r="O191"/>
      <c r="P191"/>
      <c r="Q191"/>
      <c r="R191"/>
    </row>
    <row r="192" spans="1:25">
      <c r="A192" s="548"/>
      <c r="B192" s="548" t="s">
        <v>662</v>
      </c>
      <c r="C192" s="553">
        <f>K63</f>
        <v>111432.5</v>
      </c>
      <c r="D192" s="909">
        <v>14743</v>
      </c>
      <c r="E192" s="909">
        <v>30694</v>
      </c>
      <c r="F192" s="909">
        <f>(C192-SUM(D192:E192))/2</f>
        <v>32997.75</v>
      </c>
      <c r="G192" s="909">
        <f>F192</f>
        <v>32997.75</v>
      </c>
      <c r="H192"/>
      <c r="I192"/>
      <c r="J192"/>
      <c r="K192" s="550"/>
      <c r="L192"/>
      <c r="M192">
        <v>1000</v>
      </c>
      <c r="N192"/>
      <c r="O192"/>
      <c r="P192"/>
      <c r="Q192"/>
      <c r="R192"/>
    </row>
    <row r="193" spans="1:18">
      <c r="A193" s="548"/>
      <c r="B193" s="548" t="s">
        <v>654</v>
      </c>
      <c r="C193" s="553">
        <f>K3</f>
        <v>545140.62860543991</v>
      </c>
      <c r="D193" s="909">
        <v>155600</v>
      </c>
      <c r="E193" s="909">
        <v>167977</v>
      </c>
      <c r="F193" s="909">
        <f>(C193-SUM(D193:E193))/2</f>
        <v>110781.81430271995</v>
      </c>
      <c r="G193" s="909">
        <f>F193</f>
        <v>110781.81430271995</v>
      </c>
      <c r="H193"/>
      <c r="I193"/>
      <c r="J193"/>
      <c r="K193" s="550"/>
      <c r="L193"/>
      <c r="M193"/>
      <c r="N193"/>
      <c r="O193"/>
      <c r="P193"/>
      <c r="Q193"/>
      <c r="R193"/>
    </row>
    <row r="194" spans="1:18">
      <c r="A194" s="548"/>
      <c r="B194" s="551"/>
      <c r="C194" s="550"/>
      <c r="D194"/>
      <c r="E194"/>
      <c r="F194"/>
      <c r="G194" s="550"/>
      <c r="H194"/>
      <c r="I194"/>
      <c r="J194"/>
      <c r="K194" s="550"/>
      <c r="L194"/>
      <c r="M194"/>
      <c r="N194"/>
      <c r="O194"/>
      <c r="P194"/>
      <c r="Q194"/>
      <c r="R194"/>
    </row>
    <row r="195" spans="1:18">
      <c r="A195" s="548"/>
      <c r="C195" s="550"/>
      <c r="D195" s="835">
        <f>SUM(D193:G193)-C193</f>
        <v>0</v>
      </c>
      <c r="E195" s="910">
        <v>31676.273014613351</v>
      </c>
      <c r="F195"/>
      <c r="G195" s="835"/>
      <c r="H195"/>
      <c r="I195"/>
      <c r="J195"/>
      <c r="K195" s="550"/>
      <c r="L195"/>
      <c r="M195"/>
      <c r="N195"/>
      <c r="O195"/>
      <c r="P195"/>
      <c r="Q195"/>
      <c r="R195"/>
    </row>
    <row r="196" spans="1:18" ht="13.5" thickBot="1">
      <c r="A196" s="563" t="s">
        <v>432</v>
      </c>
      <c r="C196" s="550"/>
      <c r="D196"/>
      <c r="E196"/>
      <c r="F196"/>
      <c r="G196"/>
      <c r="H196"/>
      <c r="I196"/>
      <c r="J196"/>
      <c r="K196"/>
      <c r="L196"/>
      <c r="M196"/>
      <c r="N196"/>
      <c r="O196"/>
      <c r="P196"/>
      <c r="Q196"/>
      <c r="R196"/>
    </row>
    <row r="197" spans="1:18" ht="13.5" thickBot="1">
      <c r="A197" s="563"/>
      <c r="B197" s="548" t="s">
        <v>432</v>
      </c>
      <c r="C197" s="553" t="e">
        <f>C198+C203+C204</f>
        <v>#REF!</v>
      </c>
      <c r="D197" s="553" t="e">
        <f>D198+D203+D204</f>
        <v>#REF!</v>
      </c>
      <c r="E197" s="553" t="e">
        <f>E198+E203+E204</f>
        <v>#REF!</v>
      </c>
      <c r="F197" s="553" t="e">
        <f>F198+F203+F204</f>
        <v>#REF!</v>
      </c>
      <c r="G197" s="553" t="e">
        <f>G198+G203+G204</f>
        <v>#REF!</v>
      </c>
      <c r="H197"/>
      <c r="I197"/>
      <c r="J197"/>
      <c r="K197" s="979" t="s">
        <v>1207</v>
      </c>
      <c r="L197" s="980" t="s">
        <v>1195</v>
      </c>
      <c r="M197" s="980" t="s">
        <v>1196</v>
      </c>
      <c r="N197" s="980" t="s">
        <v>1197</v>
      </c>
      <c r="O197" s="980" t="s">
        <v>1198</v>
      </c>
      <c r="P197" s="981" t="s">
        <v>1199</v>
      </c>
      <c r="Q197" s="982" t="s">
        <v>1224</v>
      </c>
      <c r="R197" s="983" t="s">
        <v>1200</v>
      </c>
    </row>
    <row r="198" spans="1:18" ht="13.5" thickBot="1">
      <c r="A198" s="548"/>
      <c r="B198" s="548" t="s">
        <v>1217</v>
      </c>
      <c r="C198" s="553" t="e">
        <f>SUM(C199:C202)</f>
        <v>#REF!</v>
      </c>
      <c r="D198" s="553" t="e">
        <f>SUM(D199:D202)</f>
        <v>#REF!</v>
      </c>
      <c r="E198" s="553" t="e">
        <f>SUM(E199:E202)</f>
        <v>#REF!</v>
      </c>
      <c r="F198" s="553" t="e">
        <f>SUM(F199:F202)</f>
        <v>#REF!</v>
      </c>
      <c r="G198" s="553" t="e">
        <f>SUM(G199:G202)</f>
        <v>#REF!</v>
      </c>
      <c r="H198"/>
      <c r="I198"/>
      <c r="J198"/>
      <c r="K198" s="984" t="s">
        <v>1201</v>
      </c>
      <c r="L198" s="985">
        <f>(D185)/1000</f>
        <v>171.84299999999999</v>
      </c>
      <c r="M198" s="985">
        <f>(E185)/1000</f>
        <v>212.31200000000001</v>
      </c>
      <c r="N198" s="985" t="e">
        <f>(F185)/1000</f>
        <v>#REF!</v>
      </c>
      <c r="O198" s="985" t="e">
        <f>(G185)/1000</f>
        <v>#REF!</v>
      </c>
      <c r="P198" s="986"/>
      <c r="Q198" s="987">
        <v>1600</v>
      </c>
      <c r="R198" s="987" t="e">
        <f>SUM(L198:O198)</f>
        <v>#REF!</v>
      </c>
    </row>
    <row r="199" spans="1:18" ht="13.5" thickBot="1">
      <c r="A199" s="548"/>
      <c r="B199" s="551" t="s">
        <v>664</v>
      </c>
      <c r="C199" s="550" t="e">
        <f>K84</f>
        <v>#REF!</v>
      </c>
      <c r="D199" s="835">
        <v>-600</v>
      </c>
      <c r="E199" s="835" t="e">
        <f>E188/$C$188*$C$199</f>
        <v>#REF!</v>
      </c>
      <c r="F199" s="835" t="e">
        <f>F188/$C$188*$C$199</f>
        <v>#REF!</v>
      </c>
      <c r="G199" s="835" t="e">
        <f>G188/$C$188*$C$199</f>
        <v>#REF!</v>
      </c>
      <c r="H199"/>
      <c r="I199"/>
      <c r="J199"/>
      <c r="K199" s="988" t="s">
        <v>654</v>
      </c>
      <c r="L199" s="985">
        <f>(D193)/1000</f>
        <v>155.6</v>
      </c>
      <c r="M199" s="985">
        <f>(E193)/1000</f>
        <v>167.977</v>
      </c>
      <c r="N199" s="985">
        <f>(F193)/1000</f>
        <v>110.78181430271995</v>
      </c>
      <c r="O199" s="985">
        <f>(G193)/1000</f>
        <v>110.78181430271995</v>
      </c>
      <c r="P199" s="986"/>
      <c r="Q199" s="987"/>
      <c r="R199" s="987">
        <f>SUM(L199:O199)</f>
        <v>545.14062860543993</v>
      </c>
    </row>
    <row r="200" spans="1:18" ht="13.5" thickBot="1">
      <c r="A200" s="548"/>
      <c r="B200" s="551" t="s">
        <v>666</v>
      </c>
      <c r="C200" s="550" t="e">
        <f>K85</f>
        <v>#REF!</v>
      </c>
      <c r="D200" s="835" t="e">
        <f>D189/$C$189*$C$200</f>
        <v>#REF!</v>
      </c>
      <c r="E200" s="835" t="e">
        <f>E189/$C$189*$C$200</f>
        <v>#REF!</v>
      </c>
      <c r="F200" s="835" t="e">
        <f>F189/$C$189*$C$200</f>
        <v>#REF!</v>
      </c>
      <c r="G200" s="835" t="e">
        <f>G189/$C$189*$C$200</f>
        <v>#REF!</v>
      </c>
      <c r="H200"/>
      <c r="I200"/>
      <c r="J200"/>
      <c r="K200" s="988" t="s">
        <v>1223</v>
      </c>
      <c r="L200" s="985">
        <f>(D187)/1000</f>
        <v>1.5</v>
      </c>
      <c r="M200" s="985">
        <f>(E187)/1000</f>
        <v>13.641</v>
      </c>
      <c r="N200" s="985" t="e">
        <f>(F187)/1000</f>
        <v>#REF!</v>
      </c>
      <c r="O200" s="985" t="e">
        <f>(G187)/1000</f>
        <v>#REF!</v>
      </c>
      <c r="P200" s="986"/>
      <c r="Q200" s="987"/>
      <c r="R200" s="987" t="e">
        <f>SUM(L200:O200)</f>
        <v>#REF!</v>
      </c>
    </row>
    <row r="201" spans="1:18" ht="13.5" thickBot="1">
      <c r="A201" s="548"/>
      <c r="B201" s="551" t="s">
        <v>668</v>
      </c>
      <c r="C201" s="550" t="e">
        <f>K87</f>
        <v>#REF!</v>
      </c>
      <c r="D201" s="835">
        <v>0</v>
      </c>
      <c r="E201" s="835">
        <v>0</v>
      </c>
      <c r="F201" s="835">
        <v>0</v>
      </c>
      <c r="G201" s="835">
        <v>0</v>
      </c>
      <c r="H201" s="835">
        <v>0</v>
      </c>
      <c r="I201"/>
      <c r="J201"/>
      <c r="K201" s="988" t="s">
        <v>662</v>
      </c>
      <c r="L201" s="985">
        <f>(D192)/1000</f>
        <v>14.743</v>
      </c>
      <c r="M201" s="985">
        <f>(E192)/1000</f>
        <v>30.693999999999999</v>
      </c>
      <c r="N201" s="985">
        <f>(F192)/1000</f>
        <v>32.997750000000003</v>
      </c>
      <c r="O201" s="985">
        <f>(G192)/1000</f>
        <v>32.997750000000003</v>
      </c>
      <c r="P201" s="989"/>
      <c r="Q201" s="987"/>
      <c r="R201" s="987">
        <f>SUM(L201:O201)</f>
        <v>111.4325</v>
      </c>
    </row>
    <row r="202" spans="1:18" ht="13.5" thickBot="1">
      <c r="A202" s="548"/>
      <c r="C202" s="550"/>
      <c r="D202"/>
      <c r="E202"/>
      <c r="F202"/>
      <c r="G202" s="835"/>
      <c r="H202"/>
      <c r="I202"/>
      <c r="J202"/>
      <c r="K202" s="984" t="s">
        <v>118</v>
      </c>
      <c r="L202" s="990" t="e">
        <f>C218</f>
        <v>#REF!</v>
      </c>
      <c r="M202" s="990" t="e">
        <f>D218</f>
        <v>#REF!</v>
      </c>
      <c r="N202" s="990" t="e">
        <f>E218</f>
        <v>#REF!</v>
      </c>
      <c r="O202" s="990" t="e">
        <f>F218</f>
        <v>#REF!</v>
      </c>
      <c r="P202" s="986"/>
      <c r="Q202" s="987"/>
      <c r="R202" s="991" t="e">
        <f>C218</f>
        <v>#REF!</v>
      </c>
    </row>
    <row r="203" spans="1:18" ht="13.5" thickBot="1">
      <c r="A203" s="548"/>
      <c r="B203" s="548" t="s">
        <v>1218</v>
      </c>
      <c r="C203" s="553">
        <f>K81</f>
        <v>-98060.6</v>
      </c>
      <c r="D203" s="909">
        <v>-14757</v>
      </c>
      <c r="E203" s="909">
        <f>C203/3+1682</f>
        <v>-31004.866666666669</v>
      </c>
      <c r="F203" s="909">
        <f>C203/3/2</f>
        <v>-16343.433333333334</v>
      </c>
      <c r="G203" s="909">
        <f>C203/3</f>
        <v>-32686.866666666669</v>
      </c>
      <c r="H203"/>
      <c r="I203" s="910">
        <f>C203-SUM(D203:G203)</f>
        <v>-3268.4333333333343</v>
      </c>
      <c r="J203"/>
      <c r="K203" s="988" t="s">
        <v>654</v>
      </c>
      <c r="L203" s="990">
        <f>C220</f>
        <v>0.75</v>
      </c>
      <c r="M203" s="990">
        <f>D220</f>
        <v>0.64010282776349614</v>
      </c>
      <c r="N203" s="990">
        <f>E220</f>
        <v>0.7949466295980997</v>
      </c>
      <c r="O203" s="990">
        <f>F220</f>
        <v>0.80009847541252743</v>
      </c>
      <c r="P203" s="989"/>
      <c r="Q203" s="987"/>
      <c r="R203" s="991">
        <f>C220</f>
        <v>0.75</v>
      </c>
    </row>
    <row r="204" spans="1:18" ht="13.5" thickBot="1">
      <c r="A204" s="548"/>
      <c r="B204" s="548" t="s">
        <v>1219</v>
      </c>
      <c r="C204" s="553">
        <f>-K4</f>
        <v>-136285.15715135998</v>
      </c>
      <c r="D204" s="909">
        <v>-56000</v>
      </c>
      <c r="E204" s="909">
        <f>E193/$C$193*$C$204+7550</f>
        <v>-34444.25</v>
      </c>
      <c r="F204" s="909">
        <f>F193/$C$193*$C$204+5550</f>
        <v>-22145.453575679989</v>
      </c>
      <c r="G204" s="909">
        <f>G193/$C$193*$C$204+4000</f>
        <v>-23695.453575679989</v>
      </c>
      <c r="H204"/>
      <c r="I204"/>
      <c r="J204"/>
      <c r="K204" s="988" t="s">
        <v>1223</v>
      </c>
      <c r="L204" s="990" t="e">
        <f>C219</f>
        <v>#REF!</v>
      </c>
      <c r="M204" s="990" t="e">
        <f>D219</f>
        <v>#REF!</v>
      </c>
      <c r="N204" s="990" t="e">
        <f>E219</f>
        <v>#REF!</v>
      </c>
      <c r="O204" s="990" t="e">
        <f>F219</f>
        <v>#REF!</v>
      </c>
      <c r="P204" s="989"/>
      <c r="Q204" s="987"/>
      <c r="R204" s="991" t="e">
        <f>C219</f>
        <v>#REF!</v>
      </c>
    </row>
    <row r="205" spans="1:18" ht="13.5" thickBot="1">
      <c r="A205" s="548"/>
      <c r="C205" s="550"/>
      <c r="D205"/>
      <c r="E205"/>
      <c r="F205"/>
      <c r="G205" s="835"/>
      <c r="H205"/>
      <c r="I205"/>
      <c r="J205"/>
      <c r="K205" s="988" t="s">
        <v>662</v>
      </c>
      <c r="L205" s="990">
        <f>D221</f>
        <v>-9.4960320151936514E-4</v>
      </c>
      <c r="M205" s="990">
        <f>E221</f>
        <v>-1.0127929454182205E-2</v>
      </c>
      <c r="N205" s="990">
        <f>F221</f>
        <v>0.50471067471772058</v>
      </c>
      <c r="O205" s="990">
        <f>G221</f>
        <v>9.4213494354412463E-3</v>
      </c>
      <c r="P205" s="989"/>
      <c r="Q205" s="987"/>
      <c r="R205" s="991">
        <f>C221</f>
        <v>0.11999999999999995</v>
      </c>
    </row>
    <row r="206" spans="1:18" ht="13.5" thickBot="1">
      <c r="A206" s="548"/>
      <c r="B206" s="551"/>
      <c r="C206" s="550"/>
      <c r="D206"/>
      <c r="E206"/>
      <c r="F206"/>
      <c r="G206"/>
      <c r="H206"/>
      <c r="I206"/>
      <c r="J206"/>
      <c r="K206" s="984" t="s">
        <v>1208</v>
      </c>
      <c r="L206" s="985" t="e">
        <f>D237/10^3</f>
        <v>#REF!</v>
      </c>
      <c r="M206" s="985" t="e">
        <f>E237/10^3</f>
        <v>#REF!</v>
      </c>
      <c r="N206" s="985" t="e">
        <f>F237/10^3</f>
        <v>#REF!</v>
      </c>
      <c r="O206" s="985" t="e">
        <f>G237/10^3</f>
        <v>#REF!</v>
      </c>
      <c r="P206" s="986"/>
      <c r="Q206" s="987">
        <v>306</v>
      </c>
      <c r="R206" s="987" t="e">
        <f>SUM(L206:O206)</f>
        <v>#REF!</v>
      </c>
    </row>
    <row r="207" spans="1:18" ht="13.5" thickBot="1">
      <c r="A207" s="563" t="s">
        <v>28</v>
      </c>
      <c r="C207" s="550"/>
      <c r="D207"/>
      <c r="E207"/>
      <c r="F207"/>
      <c r="G207"/>
      <c r="H207"/>
      <c r="I207"/>
      <c r="J207"/>
      <c r="K207" s="984" t="s">
        <v>627</v>
      </c>
      <c r="L207" s="990" t="e">
        <f>D238</f>
        <v>#REF!</v>
      </c>
      <c r="M207" s="990" t="e">
        <f>E238</f>
        <v>#REF!</v>
      </c>
      <c r="N207" s="990" t="e">
        <f>F238</f>
        <v>#REF!</v>
      </c>
      <c r="O207" s="990" t="e">
        <f>G238</f>
        <v>#REF!</v>
      </c>
      <c r="P207" s="986"/>
      <c r="Q207" s="1007">
        <f>Q206/Q198</f>
        <v>0.19125</v>
      </c>
      <c r="R207" s="991" t="e">
        <f>R206/R198</f>
        <v>#REF!</v>
      </c>
    </row>
    <row r="208" spans="1:18" ht="13.5" thickBot="1">
      <c r="A208" s="548"/>
      <c r="B208" s="548" t="s">
        <v>28</v>
      </c>
      <c r="C208" s="553" t="e">
        <f>C210+C215+C216</f>
        <v>#REF!</v>
      </c>
      <c r="D208" s="553" t="e">
        <f>D210+D215+D216</f>
        <v>#REF!</v>
      </c>
      <c r="E208" s="553" t="e">
        <f>E210+E215+E216</f>
        <v>#REF!</v>
      </c>
      <c r="F208" s="553" t="e">
        <f>F210+F215+F216</f>
        <v>#REF!</v>
      </c>
      <c r="G208" s="553" t="e">
        <f>G210+G215+G216</f>
        <v>#REF!</v>
      </c>
      <c r="H208"/>
      <c r="I208" s="910" t="e">
        <f>C208-SUM(D208:G208)</f>
        <v>#REF!</v>
      </c>
      <c r="J208"/>
      <c r="K208" s="984" t="s">
        <v>1209</v>
      </c>
      <c r="L208" s="985" t="e">
        <f>L206/125*10^3</f>
        <v>#REF!</v>
      </c>
      <c r="M208" s="985" t="e">
        <f>M206/125*10^3</f>
        <v>#REF!</v>
      </c>
      <c r="N208" s="985" t="e">
        <f>N206/125*10^3</f>
        <v>#REF!</v>
      </c>
      <c r="O208" s="985" t="e">
        <f>O206/125*10^3</f>
        <v>#REF!</v>
      </c>
      <c r="P208" s="986"/>
      <c r="Q208" s="987">
        <f>Q206/125*1000</f>
        <v>2448</v>
      </c>
      <c r="R208" s="987" t="e">
        <f>SUM(L208:O208)</f>
        <v>#REF!</v>
      </c>
    </row>
    <row r="209" spans="1:18" ht="13.5" thickBot="1">
      <c r="A209" s="548"/>
      <c r="B209" s="548"/>
      <c r="C209" s="553"/>
      <c r="D209" s="553"/>
      <c r="E209" s="553"/>
      <c r="F209" s="553"/>
      <c r="G209" s="553"/>
      <c r="H209"/>
      <c r="I209"/>
      <c r="J209"/>
      <c r="K209" s="984"/>
      <c r="L209" s="992"/>
      <c r="M209" s="992"/>
      <c r="N209" s="992"/>
      <c r="O209" s="992"/>
      <c r="P209" s="986"/>
      <c r="Q209" s="993"/>
      <c r="R209" s="994"/>
    </row>
    <row r="210" spans="1:18" ht="13.5" thickBot="1">
      <c r="A210" s="548"/>
      <c r="B210" s="548" t="s">
        <v>1216</v>
      </c>
      <c r="C210" s="553" t="e">
        <f>SUM(C211:C213)</f>
        <v>#REF!</v>
      </c>
      <c r="D210" s="553" t="e">
        <f>SUM(D211:D213)</f>
        <v>#REF!</v>
      </c>
      <c r="E210" s="553" t="e">
        <f>SUM(E211:E213)</f>
        <v>#REF!</v>
      </c>
      <c r="F210" s="553" t="e">
        <f>SUM(F211:F213)</f>
        <v>#REF!</v>
      </c>
      <c r="G210" s="553" t="e">
        <f>SUM(G211:G213)</f>
        <v>#REF!</v>
      </c>
      <c r="H210"/>
      <c r="I210"/>
      <c r="J210"/>
      <c r="K210" s="995" t="s">
        <v>1188</v>
      </c>
      <c r="L210" s="996" t="s">
        <v>1195</v>
      </c>
      <c r="M210" s="996" t="s">
        <v>1196</v>
      </c>
      <c r="N210" s="996" t="s">
        <v>1197</v>
      </c>
      <c r="O210" s="996" t="s">
        <v>1198</v>
      </c>
      <c r="P210" s="997" t="s">
        <v>1199</v>
      </c>
      <c r="Q210" s="982" t="s">
        <v>1224</v>
      </c>
      <c r="R210" s="998" t="s">
        <v>1200</v>
      </c>
    </row>
    <row r="211" spans="1:18" ht="13.5" thickBot="1">
      <c r="A211" s="548"/>
      <c r="B211" s="551" t="s">
        <v>664</v>
      </c>
      <c r="C211" s="550" t="e">
        <f t="shared" ref="C211:G213" si="78">C188+C199</f>
        <v>#REF!</v>
      </c>
      <c r="D211" s="550">
        <f t="shared" si="78"/>
        <v>900</v>
      </c>
      <c r="E211" s="550" t="e">
        <f>E188+E199-900</f>
        <v>#REF!</v>
      </c>
      <c r="F211" s="550" t="e">
        <f t="shared" si="78"/>
        <v>#REF!</v>
      </c>
      <c r="G211" s="550" t="e">
        <f t="shared" si="78"/>
        <v>#REF!</v>
      </c>
      <c r="H211"/>
      <c r="I211"/>
      <c r="J211"/>
      <c r="K211" s="984" t="s">
        <v>1201</v>
      </c>
      <c r="L211" s="1009">
        <f>SUM(L212:L214)</f>
        <v>92.405000000000015</v>
      </c>
      <c r="M211" s="1009">
        <f>SUM(M212:M214)</f>
        <v>117.667</v>
      </c>
      <c r="N211" s="1009">
        <f>SUM(N212:N214)</f>
        <v>57.420999999999999</v>
      </c>
      <c r="O211" s="1009">
        <f>SUM(O212:O214)</f>
        <v>247.69</v>
      </c>
      <c r="P211" s="1010">
        <v>506</v>
      </c>
      <c r="Q211" s="999">
        <v>520</v>
      </c>
      <c r="R211" s="987">
        <v>538</v>
      </c>
    </row>
    <row r="212" spans="1:18" ht="13.5" thickBot="1">
      <c r="A212" s="548"/>
      <c r="B212" s="551" t="s">
        <v>666</v>
      </c>
      <c r="C212" s="550" t="e">
        <f t="shared" si="78"/>
        <v>#REF!</v>
      </c>
      <c r="D212" s="550" t="e">
        <f t="shared" si="78"/>
        <v>#REF!</v>
      </c>
      <c r="E212" s="550" t="e">
        <f t="shared" si="78"/>
        <v>#REF!</v>
      </c>
      <c r="F212" s="550" t="e">
        <f t="shared" si="78"/>
        <v>#REF!</v>
      </c>
      <c r="G212" s="550" t="e">
        <f t="shared" si="78"/>
        <v>#REF!</v>
      </c>
      <c r="H212"/>
      <c r="I212"/>
      <c r="J212"/>
      <c r="K212" s="988" t="s">
        <v>654</v>
      </c>
      <c r="L212" s="1008">
        <v>24.1</v>
      </c>
      <c r="M212" s="1008">
        <v>115.8</v>
      </c>
      <c r="N212" s="1008">
        <v>55.7</v>
      </c>
      <c r="O212" s="1008">
        <v>139.4</v>
      </c>
      <c r="P212" s="1010">
        <f>SUM(L212:O212)</f>
        <v>335</v>
      </c>
      <c r="Q212" s="993"/>
      <c r="R212" s="994">
        <v>293</v>
      </c>
    </row>
    <row r="213" spans="1:18" ht="13.5" thickBot="1">
      <c r="A213" s="548"/>
      <c r="B213" s="551" t="s">
        <v>668</v>
      </c>
      <c r="C213" s="550" t="e">
        <f t="shared" si="78"/>
        <v>#REF!</v>
      </c>
      <c r="D213" s="550">
        <f t="shared" si="78"/>
        <v>0</v>
      </c>
      <c r="E213" s="550">
        <f t="shared" si="78"/>
        <v>0</v>
      </c>
      <c r="F213" s="550">
        <f t="shared" si="78"/>
        <v>0</v>
      </c>
      <c r="G213" s="550">
        <f t="shared" si="78"/>
        <v>0</v>
      </c>
      <c r="H213"/>
      <c r="I213"/>
      <c r="J213"/>
      <c r="K213" s="988" t="s">
        <v>1223</v>
      </c>
      <c r="L213" s="1009">
        <v>66.7</v>
      </c>
      <c r="M213" s="1009">
        <v>1.667</v>
      </c>
      <c r="N213" s="1009">
        <f>(9.897-16.131)</f>
        <v>-6.234</v>
      </c>
      <c r="O213" s="1009">
        <v>73.59</v>
      </c>
      <c r="P213" s="1010">
        <f>SUM(L213:O213)</f>
        <v>135.72300000000001</v>
      </c>
      <c r="Q213" s="993"/>
      <c r="R213" s="991"/>
    </row>
    <row r="214" spans="1:18" ht="13.5" thickBot="1">
      <c r="A214" s="548"/>
      <c r="C214" s="550"/>
      <c r="D214" s="550"/>
      <c r="E214" s="550"/>
      <c r="F214" s="550"/>
      <c r="G214" s="550"/>
      <c r="H214"/>
      <c r="I214"/>
      <c r="J214"/>
      <c r="K214" s="988" t="s">
        <v>662</v>
      </c>
      <c r="L214" s="1009">
        <v>1.605</v>
      </c>
      <c r="M214" s="1009">
        <v>0.2</v>
      </c>
      <c r="N214" s="1009">
        <v>7.9550000000000001</v>
      </c>
      <c r="O214" s="1009">
        <v>34.700000000000003</v>
      </c>
      <c r="P214" s="1010">
        <f>SUM(L214:O214)</f>
        <v>44.46</v>
      </c>
      <c r="Q214" s="993"/>
      <c r="R214" s="991"/>
    </row>
    <row r="215" spans="1:18" ht="13.5" thickBot="1">
      <c r="A215" s="548"/>
      <c r="B215" s="548" t="s">
        <v>1214</v>
      </c>
      <c r="C215" s="550">
        <f>C193+C204</f>
        <v>408855.47145407996</v>
      </c>
      <c r="D215" s="550">
        <f>D193+D204</f>
        <v>99600</v>
      </c>
      <c r="E215" s="550">
        <f>E193+E204</f>
        <v>133532.75</v>
      </c>
      <c r="F215" s="550">
        <f>F193+F204</f>
        <v>88636.360727039966</v>
      </c>
      <c r="G215" s="550">
        <f>G193+G204</f>
        <v>87086.360727039966</v>
      </c>
      <c r="H215"/>
      <c r="I215"/>
      <c r="J215"/>
      <c r="K215" s="984" t="s">
        <v>118</v>
      </c>
      <c r="L215" s="990">
        <v>0.51300000000000001</v>
      </c>
      <c r="M215" s="1012">
        <v>0.70799999999999996</v>
      </c>
      <c r="N215" s="1012">
        <v>0.65</v>
      </c>
      <c r="O215" s="1012">
        <v>0.55200000000000005</v>
      </c>
      <c r="P215" s="1013">
        <v>0.59599999999999997</v>
      </c>
      <c r="Q215" s="993"/>
      <c r="R215" s="991">
        <v>0.54500000000000004</v>
      </c>
    </row>
    <row r="216" spans="1:18" ht="13.5" thickBot="1">
      <c r="A216" s="548"/>
      <c r="B216" s="548" t="s">
        <v>1215</v>
      </c>
      <c r="C216" s="550">
        <f>C192+C203</f>
        <v>13371.899999999994</v>
      </c>
      <c r="D216" s="550">
        <f>D192+D203</f>
        <v>-14</v>
      </c>
      <c r="E216" s="550">
        <f>E192+E203</f>
        <v>-310.86666666666861</v>
      </c>
      <c r="F216" s="550">
        <f>F192+F203</f>
        <v>16654.316666666666</v>
      </c>
      <c r="G216" s="550">
        <f>G192+G203</f>
        <v>310.88333333333139</v>
      </c>
      <c r="H216"/>
      <c r="I216"/>
      <c r="J216"/>
      <c r="K216" s="988" t="s">
        <v>654</v>
      </c>
      <c r="L216" s="990">
        <f>51.8%</f>
        <v>0.51800000000000002</v>
      </c>
      <c r="M216" s="1012">
        <v>0.73</v>
      </c>
      <c r="N216" s="1012">
        <v>0.86</v>
      </c>
      <c r="O216" s="1012">
        <v>0.754</v>
      </c>
      <c r="P216" s="1013">
        <v>0.76</v>
      </c>
      <c r="Q216" s="993"/>
      <c r="R216" s="991"/>
    </row>
    <row r="217" spans="1:18" ht="13.5" thickBot="1">
      <c r="A217" s="548"/>
      <c r="C217" s="550"/>
      <c r="D217" s="550"/>
      <c r="E217" s="550"/>
      <c r="F217" s="550"/>
      <c r="G217" s="550"/>
      <c r="H217"/>
      <c r="I217"/>
      <c r="J217"/>
      <c r="K217" s="988" t="s">
        <v>1223</v>
      </c>
      <c r="L217" s="990">
        <v>0.54100000000000004</v>
      </c>
      <c r="M217" s="1012">
        <v>-0.74</v>
      </c>
      <c r="N217" s="1012" t="s">
        <v>1226</v>
      </c>
      <c r="O217" s="1012">
        <v>0.41299999999999998</v>
      </c>
      <c r="P217" s="1013">
        <v>0.41</v>
      </c>
      <c r="Q217" s="993"/>
      <c r="R217" s="991"/>
    </row>
    <row r="218" spans="1:18" ht="13.5" thickBot="1">
      <c r="A218" s="548"/>
      <c r="B218" s="547" t="s">
        <v>197</v>
      </c>
      <c r="C218" s="556" t="e">
        <f>C208/C185</f>
        <v>#REF!</v>
      </c>
      <c r="D218" s="538" t="e">
        <f>D208/D185</f>
        <v>#REF!</v>
      </c>
      <c r="E218" s="538" t="e">
        <f>E208/E185</f>
        <v>#REF!</v>
      </c>
      <c r="F218" s="538" t="e">
        <f>F208/F185</f>
        <v>#REF!</v>
      </c>
      <c r="G218" s="538" t="e">
        <f>G208/G185</f>
        <v>#REF!</v>
      </c>
      <c r="H218"/>
      <c r="I218"/>
      <c r="J218"/>
      <c r="K218" s="988" t="s">
        <v>662</v>
      </c>
      <c r="L218" s="1000">
        <v>0.53700000000000003</v>
      </c>
      <c r="M218" s="1014">
        <v>0.19700000000000001</v>
      </c>
      <c r="N218" s="1014">
        <v>0.1069</v>
      </c>
      <c r="O218" s="1014">
        <v>8.5999999999999993E-2</v>
      </c>
      <c r="P218" s="533">
        <v>0.10680000000000001</v>
      </c>
      <c r="Q218" s="993"/>
      <c r="R218" s="991"/>
    </row>
    <row r="219" spans="1:18" ht="13.5" thickBot="1">
      <c r="A219"/>
      <c r="B219" s="547" t="s">
        <v>1210</v>
      </c>
      <c r="C219" s="1003" t="e">
        <f>C210/C187</f>
        <v>#REF!</v>
      </c>
      <c r="D219" s="1055" t="e">
        <f>D210/D187</f>
        <v>#REF!</v>
      </c>
      <c r="E219" s="1055" t="e">
        <f>E210/E187</f>
        <v>#REF!</v>
      </c>
      <c r="F219" s="1055" t="e">
        <f>F210/F187</f>
        <v>#REF!</v>
      </c>
      <c r="G219" s="1055" t="e">
        <f>G210/G187</f>
        <v>#REF!</v>
      </c>
      <c r="H219"/>
      <c r="I219"/>
      <c r="J219"/>
      <c r="K219" s="984" t="s">
        <v>1208</v>
      </c>
      <c r="L219" s="1009">
        <v>21.3</v>
      </c>
      <c r="M219" s="1009">
        <v>31.3</v>
      </c>
      <c r="N219" s="1009">
        <v>0.96699999999999997</v>
      </c>
      <c r="O219" s="1009">
        <v>114.2</v>
      </c>
      <c r="P219" s="1010">
        <f>SUM(L219:O219)</f>
        <v>167.767</v>
      </c>
      <c r="Q219" s="993">
        <v>125</v>
      </c>
      <c r="R219" s="994">
        <v>125</v>
      </c>
    </row>
    <row r="220" spans="1:18" ht="13.5" thickBot="1">
      <c r="A220"/>
      <c r="B220" s="547" t="s">
        <v>1212</v>
      </c>
      <c r="C220" s="814">
        <f>C215/C193</f>
        <v>0.75</v>
      </c>
      <c r="D220" s="860">
        <f>D215/D193</f>
        <v>0.64010282776349614</v>
      </c>
      <c r="E220" s="860">
        <f>E215/E193</f>
        <v>0.7949466295980997</v>
      </c>
      <c r="F220" s="860">
        <f>F215/F193</f>
        <v>0.80009847541252743</v>
      </c>
      <c r="G220" s="860">
        <f>G215/G193</f>
        <v>0.78610700930632615</v>
      </c>
      <c r="H220"/>
      <c r="I220"/>
      <c r="J220"/>
      <c r="K220" s="984" t="s">
        <v>627</v>
      </c>
      <c r="L220" s="990">
        <f>L219/L211</f>
        <v>0.23050700719658024</v>
      </c>
      <c r="M220" s="990">
        <f>M219/M211</f>
        <v>0.26600491216738764</v>
      </c>
      <c r="N220" s="990">
        <f>N219/N211</f>
        <v>1.684052872642413E-2</v>
      </c>
      <c r="O220" s="990">
        <f>O219/O211</f>
        <v>0.4610601962130082</v>
      </c>
      <c r="P220" s="990">
        <f>P219/P211</f>
        <v>0.33155533596837944</v>
      </c>
      <c r="Q220" s="1001">
        <v>0.23</v>
      </c>
      <c r="R220" s="991">
        <f>R219/R211</f>
        <v>0.23234200743494424</v>
      </c>
    </row>
    <row r="221" spans="1:18" ht="13.5" thickBot="1">
      <c r="B221" s="547" t="s">
        <v>1213</v>
      </c>
      <c r="C221" s="1004">
        <f>C216/C192</f>
        <v>0.11999999999999995</v>
      </c>
      <c r="D221" s="774">
        <f>D216/D192</f>
        <v>-9.4960320151936514E-4</v>
      </c>
      <c r="E221" s="774">
        <f>E216/E192</f>
        <v>-1.0127929454182205E-2</v>
      </c>
      <c r="F221" s="774">
        <f>F216/F192</f>
        <v>0.50471067471772058</v>
      </c>
      <c r="G221" s="774">
        <f>G216/G192</f>
        <v>9.4213494354412463E-3</v>
      </c>
      <c r="K221" s="984" t="s">
        <v>1209</v>
      </c>
      <c r="L221" s="1011">
        <f>L219/100.7*10^3</f>
        <v>211.519364448858</v>
      </c>
      <c r="M221" s="1011">
        <f>M219/100.7*10^3</f>
        <v>310.82423038728894</v>
      </c>
      <c r="N221" s="1011">
        <f>N219/100.7*10^3</f>
        <v>9.602780536246275</v>
      </c>
      <c r="O221" s="1011">
        <f>O219/100.7*10^3</f>
        <v>1134.0615690168818</v>
      </c>
      <c r="P221" s="1010">
        <f>SUM(L221:O221)</f>
        <v>1666.0079443892751</v>
      </c>
      <c r="Q221" s="1002">
        <f>Q219/100.7*1000</f>
        <v>1241.3108242303872</v>
      </c>
      <c r="R221" s="1002">
        <f>R219/100.7*1000</f>
        <v>1241.3108242303872</v>
      </c>
    </row>
    <row r="223" spans="1:18">
      <c r="B223" s="547" t="s">
        <v>287</v>
      </c>
      <c r="C223" s="782" t="e">
        <f>C208/10^3+C228</f>
        <v>#REF!</v>
      </c>
      <c r="D223" s="782" t="e">
        <f>D208/10^3+D228</f>
        <v>#REF!</v>
      </c>
      <c r="E223" s="782" t="e">
        <f>E208/10^3+E228</f>
        <v>#REF!</v>
      </c>
      <c r="F223" s="782" t="e">
        <f>F208/10^3+F228</f>
        <v>#REF!</v>
      </c>
      <c r="G223" s="782" t="e">
        <f>G208/10^3+G228</f>
        <v>#REF!</v>
      </c>
    </row>
    <row r="224" spans="1:18">
      <c r="C224" s="774" t="e">
        <f>C223/C185*10^3</f>
        <v>#REF!</v>
      </c>
      <c r="D224" s="774" t="e">
        <f>D223/D185*10^3</f>
        <v>#REF!</v>
      </c>
      <c r="E224" s="774" t="e">
        <f>E223/E185*10^3</f>
        <v>#REF!</v>
      </c>
      <c r="F224" s="774" t="e">
        <f>F223/F185*10^3</f>
        <v>#REF!</v>
      </c>
      <c r="G224" s="774" t="e">
        <f>G223/G185*10^3</f>
        <v>#REF!</v>
      </c>
    </row>
    <row r="225" spans="2:12">
      <c r="B225" s="552" t="s">
        <v>991</v>
      </c>
      <c r="C225" s="790" t="e">
        <f>'P&amp;L'!#REF!*10^3-C226</f>
        <v>#REF!</v>
      </c>
      <c r="D225" s="1005">
        <f>8853</f>
        <v>8853</v>
      </c>
      <c r="E225" s="1005" t="e">
        <f>$C225/2-D225</f>
        <v>#REF!</v>
      </c>
      <c r="F225" s="1005" t="e">
        <f t="shared" ref="E225:G226" si="79">$C225/4</f>
        <v>#REF!</v>
      </c>
      <c r="G225" s="1005" t="e">
        <f t="shared" si="79"/>
        <v>#REF!</v>
      </c>
    </row>
    <row r="226" spans="2:12">
      <c r="B226" s="547" t="s">
        <v>987</v>
      </c>
      <c r="C226" s="788">
        <v>2517.666666666667</v>
      </c>
      <c r="D226" s="1005">
        <f>$C226/4</f>
        <v>629.41666666666674</v>
      </c>
      <c r="E226" s="1005">
        <f t="shared" si="79"/>
        <v>629.41666666666674</v>
      </c>
      <c r="F226" s="1005">
        <f t="shared" si="79"/>
        <v>629.41666666666674</v>
      </c>
      <c r="G226" s="1005">
        <f t="shared" si="79"/>
        <v>629.41666666666674</v>
      </c>
    </row>
    <row r="228" spans="2:12">
      <c r="B228" s="547" t="s">
        <v>656</v>
      </c>
      <c r="C228" s="1006">
        <f>'P&amp;L'!H14+'P&amp;L'!H16</f>
        <v>-0.27</v>
      </c>
      <c r="D228" s="789">
        <v>-39.4</v>
      </c>
      <c r="E228" s="789" t="e">
        <f>(E208/$C208)*$C$228</f>
        <v>#REF!</v>
      </c>
      <c r="F228" s="789" t="e">
        <f>(F208/$C208)*$C$228</f>
        <v>#REF!</v>
      </c>
      <c r="G228" s="789" t="e">
        <f>C228-SUM(D228:F228)</f>
        <v>#REF!</v>
      </c>
    </row>
    <row r="229" spans="2:12">
      <c r="B229" s="547" t="s">
        <v>560</v>
      </c>
      <c r="C229" s="1006" t="e">
        <f>'P&amp;L'!#REF!</f>
        <v>#REF!</v>
      </c>
      <c r="D229" s="789">
        <v>10.3</v>
      </c>
      <c r="E229" s="782" t="e">
        <f>(C229-D229)/3</f>
        <v>#REF!</v>
      </c>
      <c r="F229" s="782" t="e">
        <f>E229</f>
        <v>#REF!</v>
      </c>
      <c r="G229" s="789" t="e">
        <f>C229-SUM(D229:F229)</f>
        <v>#REF!</v>
      </c>
    </row>
    <row r="230" spans="2:12">
      <c r="B230" s="547" t="s">
        <v>573</v>
      </c>
      <c r="C230" s="1006" t="e">
        <f>'P&amp;L'!#REF!</f>
        <v>#REF!</v>
      </c>
      <c r="D230" s="789">
        <v>0</v>
      </c>
      <c r="E230" s="782">
        <v>0</v>
      </c>
      <c r="F230" s="782" t="e">
        <f>C230/2</f>
        <v>#REF!</v>
      </c>
      <c r="G230" s="789" t="e">
        <f>C230-SUM(D230:F230)</f>
        <v>#REF!</v>
      </c>
    </row>
    <row r="231" spans="2:12">
      <c r="C231" s="1006"/>
      <c r="D231" s="789"/>
      <c r="E231" s="782"/>
      <c r="F231" s="782"/>
      <c r="G231" s="789"/>
    </row>
    <row r="232" spans="2:12">
      <c r="B232" s="547" t="s">
        <v>822</v>
      </c>
      <c r="C232" s="1006" t="e">
        <f>C208/10^3+C228+C229+C230</f>
        <v>#REF!</v>
      </c>
      <c r="D232" s="1006" t="e">
        <f>D208/10^3+D228+D229+D230</f>
        <v>#REF!</v>
      </c>
      <c r="E232" s="1006" t="e">
        <f>E208/10^3+E228+E229+E230</f>
        <v>#REF!</v>
      </c>
      <c r="F232" s="1006" t="e">
        <f>F208/10^3+F228+F229+F230</f>
        <v>#REF!</v>
      </c>
      <c r="G232" s="1006" t="e">
        <f>G208/10^3+G228+G229+G230</f>
        <v>#REF!</v>
      </c>
    </row>
    <row r="233" spans="2:12">
      <c r="C233" s="1006"/>
      <c r="D233" s="789"/>
      <c r="E233" s="782"/>
      <c r="F233" s="782"/>
      <c r="G233" s="789"/>
    </row>
    <row r="234" spans="2:12">
      <c r="B234" s="547" t="s">
        <v>35</v>
      </c>
      <c r="C234" s="1006">
        <f>'P&amp;L'!H27</f>
        <v>-9.5000000000000001E-2</v>
      </c>
      <c r="D234" s="789">
        <v>-12.2</v>
      </c>
      <c r="E234" s="782" t="e">
        <f>E232/$C$232*$C$234</f>
        <v>#REF!</v>
      </c>
      <c r="F234" s="782" t="e">
        <f>F232/$C$232*$C$234</f>
        <v>#REF!</v>
      </c>
      <c r="G234" s="789" t="e">
        <f>C234-SUM(D234:F234)</f>
        <v>#REF!</v>
      </c>
      <c r="I234" s="782" t="e">
        <f>SUM(D208,D228,D229,D230,D235)</f>
        <v>#REF!</v>
      </c>
      <c r="J234" s="782" t="e">
        <f>SUM(E208,E228,E229,E230,E235)</f>
        <v>#REF!</v>
      </c>
      <c r="K234" s="782" t="e">
        <f>SUM(F208,F228,F229,F230,F235)</f>
        <v>#REF!</v>
      </c>
      <c r="L234" s="782" t="e">
        <f>SUM(G208,G228,G229,G230,G235)</f>
        <v>#REF!</v>
      </c>
    </row>
    <row r="235" spans="2:12">
      <c r="B235" s="547" t="s">
        <v>37</v>
      </c>
      <c r="C235" s="1006">
        <f>'P&amp;L'!H29</f>
        <v>-0.109</v>
      </c>
      <c r="D235" s="789">
        <v>-22.6</v>
      </c>
      <c r="E235" s="782" t="e">
        <f>E232/$C$232*$C$235</f>
        <v>#REF!</v>
      </c>
      <c r="F235" s="782" t="e">
        <f>F232/$C$232*$C$235</f>
        <v>#REF!</v>
      </c>
      <c r="G235" s="789" t="e">
        <f>C235-SUM(D235:F235)</f>
        <v>#REF!</v>
      </c>
      <c r="I235" s="1017" t="e">
        <f>I234*0.22</f>
        <v>#REF!</v>
      </c>
    </row>
    <row r="237" spans="2:12">
      <c r="B237" s="547" t="s">
        <v>1225</v>
      </c>
      <c r="C237" s="789" t="e">
        <f>(C232+C234+C235)*10^3</f>
        <v>#REF!</v>
      </c>
      <c r="D237" s="789" t="e">
        <f>(D232+D234+D235)*10^3</f>
        <v>#REF!</v>
      </c>
      <c r="E237" s="789" t="e">
        <f>(E232+E234+E235)*10^3</f>
        <v>#REF!</v>
      </c>
      <c r="F237" s="789" t="e">
        <f>(F232+F234+F235)*10^3</f>
        <v>#REF!</v>
      </c>
      <c r="G237" s="789" t="e">
        <f>(G232+G234+G235)*10^3</f>
        <v>#REF!</v>
      </c>
    </row>
    <row r="238" spans="2:12">
      <c r="B238" s="552"/>
      <c r="C238" s="1056" t="e">
        <f>C237/C185</f>
        <v>#REF!</v>
      </c>
      <c r="D238" s="1056" t="e">
        <f>D237/D185</f>
        <v>#REF!</v>
      </c>
      <c r="E238" s="1056" t="e">
        <f>E237/E185</f>
        <v>#REF!</v>
      </c>
      <c r="F238" s="1056" t="e">
        <f>F237/F185</f>
        <v>#REF!</v>
      </c>
      <c r="G238" s="1056" t="e">
        <f>G237/G185</f>
        <v>#REF!</v>
      </c>
      <c r="H238" s="781"/>
      <c r="I238" s="781"/>
      <c r="J238" s="552"/>
    </row>
    <row r="239" spans="2:12">
      <c r="B239" s="555"/>
      <c r="C239" s="783"/>
      <c r="D239" s="783"/>
      <c r="E239" s="783"/>
      <c r="F239" s="783"/>
      <c r="G239" s="783"/>
      <c r="H239" s="783"/>
      <c r="I239" s="783"/>
      <c r="J239" s="555"/>
      <c r="K239" s="552"/>
    </row>
    <row r="240" spans="2:12">
      <c r="K240" s="555"/>
    </row>
    <row r="244" spans="2:9">
      <c r="C244" s="1017" t="e">
        <f>C208/10^3+C228</f>
        <v>#REF!</v>
      </c>
    </row>
    <row r="245" spans="2:9">
      <c r="C245" s="773" t="e">
        <f>C244/C185*10^3</f>
        <v>#REF!</v>
      </c>
    </row>
    <row r="248" spans="2:9">
      <c r="C248" s="773" t="s">
        <v>1305</v>
      </c>
      <c r="D248" s="773" t="s">
        <v>1306</v>
      </c>
      <c r="E248" s="773" t="s">
        <v>1307</v>
      </c>
      <c r="F248" s="773" t="s">
        <v>1308</v>
      </c>
    </row>
    <row r="249" spans="2:9">
      <c r="B249" s="551" t="s">
        <v>1301</v>
      </c>
      <c r="C249" s="550">
        <v>1500</v>
      </c>
      <c r="D249" s="550">
        <v>55274.015999999996</v>
      </c>
      <c r="E249" s="547"/>
      <c r="F249" s="550">
        <v>55274.015999999996</v>
      </c>
      <c r="I249" s="547"/>
    </row>
    <row r="250" spans="2:9">
      <c r="B250" s="551" t="s">
        <v>1302</v>
      </c>
      <c r="C250" s="550">
        <v>0</v>
      </c>
      <c r="D250" s="550">
        <v>327006.95624999999</v>
      </c>
      <c r="E250" s="550">
        <v>327006.95624999999</v>
      </c>
      <c r="F250" s="550">
        <v>327006.95625000005</v>
      </c>
      <c r="I250" s="547"/>
    </row>
    <row r="251" spans="2:9">
      <c r="B251" s="548" t="s">
        <v>1303</v>
      </c>
      <c r="C251" s="909">
        <v>14743</v>
      </c>
      <c r="D251" s="909">
        <v>29715.333333333332</v>
      </c>
      <c r="E251" s="909">
        <v>14857.666666666666</v>
      </c>
      <c r="F251" s="909">
        <v>29715.333333333332</v>
      </c>
      <c r="I251" s="547"/>
    </row>
    <row r="252" spans="2:9">
      <c r="B252" s="548" t="s">
        <v>1304</v>
      </c>
      <c r="C252" s="909">
        <v>155600</v>
      </c>
      <c r="D252" s="909">
        <v>121142.36191232</v>
      </c>
      <c r="E252" s="909">
        <v>36342.708573696</v>
      </c>
      <c r="F252" s="909">
        <v>50342.015250944009</v>
      </c>
      <c r="I252" s="547"/>
    </row>
    <row r="253" spans="2:9">
      <c r="B253" s="547" t="s">
        <v>661</v>
      </c>
      <c r="C253" s="782" t="e">
        <f>D237</f>
        <v>#REF!</v>
      </c>
      <c r="D253" s="782" t="e">
        <f>E237</f>
        <v>#REF!</v>
      </c>
      <c r="E253" s="782" t="e">
        <f>F237</f>
        <v>#REF!</v>
      </c>
      <c r="F253" s="782" t="e">
        <f>G237</f>
        <v>#REF!</v>
      </c>
    </row>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I62"/>
  <sheetViews>
    <sheetView workbookViewId="0"/>
  </sheetViews>
  <sheetFormatPr defaultRowHeight="12"/>
  <cols>
    <col min="2" max="2" width="16.7109375" customWidth="1"/>
  </cols>
  <sheetData>
    <row r="1" spans="2:9">
      <c r="C1" s="518">
        <v>2014</v>
      </c>
      <c r="D1" s="518">
        <v>2015</v>
      </c>
      <c r="E1" s="518">
        <v>2016</v>
      </c>
      <c r="F1" s="518">
        <v>2017</v>
      </c>
      <c r="G1" s="518">
        <v>2018</v>
      </c>
      <c r="H1" s="518">
        <v>2019</v>
      </c>
      <c r="I1" s="518">
        <v>2020</v>
      </c>
    </row>
    <row r="2" spans="2:9">
      <c r="B2" s="518" t="s">
        <v>993</v>
      </c>
      <c r="C2" s="518">
        <v>433</v>
      </c>
      <c r="D2" s="794" t="e">
        <f t="shared" ref="D2:I2" si="0">C7</f>
        <v>#REF!</v>
      </c>
      <c r="E2" s="794" t="e">
        <f t="shared" si="0"/>
        <v>#REF!</v>
      </c>
      <c r="F2" s="794" t="e">
        <f t="shared" si="0"/>
        <v>#REF!</v>
      </c>
      <c r="G2" s="794" t="e">
        <f t="shared" si="0"/>
        <v>#REF!</v>
      </c>
      <c r="H2" s="794" t="e">
        <f t="shared" si="0"/>
        <v>#REF!</v>
      </c>
      <c r="I2" s="794" t="e">
        <f t="shared" si="0"/>
        <v>#REF!</v>
      </c>
    </row>
    <row r="3" spans="2:9">
      <c r="B3" s="518" t="s">
        <v>994</v>
      </c>
      <c r="C3" s="793" t="e">
        <f>-SUM(#REF!,#REF!,#REF!,#REF!,#REF!,#REF!,#REF!)/1000</f>
        <v>#REF!</v>
      </c>
      <c r="D3" s="793" t="e">
        <f>-SUM(#REF!,#REF!,#REF!,#REF!,#REF!,#REF!,#REF!)/1000</f>
        <v>#REF!</v>
      </c>
      <c r="E3" s="793" t="e">
        <f>-SUM(#REF!,#REF!,#REF!,#REF!,#REF!,#REF!,#REF!)/1000</f>
        <v>#REF!</v>
      </c>
      <c r="F3" s="793" t="e">
        <f>-SUM(#REF!,#REF!,#REF!,#REF!,#REF!,#REF!,#REF!)/1000</f>
        <v>#REF!</v>
      </c>
      <c r="G3" s="793" t="e">
        <f>-SUM(#REF!,#REF!,#REF!,#REF!,#REF!,#REF!,#REF!)/1000</f>
        <v>#REF!</v>
      </c>
      <c r="H3" s="793" t="e">
        <f>-SUM(#REF!,#REF!,#REF!,#REF!,#REF!,#REF!,#REF!)/1000</f>
        <v>#REF!</v>
      </c>
      <c r="I3" s="793" t="e">
        <f>-SUM(#REF!,#REF!,#REF!,#REF!,#REF!,#REF!,#REF!)/1000</f>
        <v>#REF!</v>
      </c>
    </row>
    <row r="4" spans="2:9">
      <c r="B4" s="518" t="s">
        <v>1000</v>
      </c>
      <c r="C4" s="793"/>
      <c r="D4" s="793">
        <f>264.5</f>
        <v>264.5</v>
      </c>
      <c r="E4" s="793" t="e">
        <f>D4+(#REF!-#REF!)</f>
        <v>#REF!</v>
      </c>
      <c r="F4" s="793" t="e">
        <f>E4+(#REF!-#REF!)</f>
        <v>#REF!</v>
      </c>
      <c r="G4" s="793" t="e">
        <f>F4+(#REF!-#REF!)</f>
        <v>#REF!</v>
      </c>
      <c r="H4" s="793" t="e">
        <f>G4+(#REF!-#REF!)</f>
        <v>#REF!</v>
      </c>
      <c r="I4" s="793" t="e">
        <f>H4+(#REF!-#REF!)</f>
        <v>#REF!</v>
      </c>
    </row>
    <row r="5" spans="2:9">
      <c r="B5" s="518" t="s">
        <v>432</v>
      </c>
      <c r="C5" s="793" t="e">
        <f>SUM(#REF!,#REF!,#REF!,#REF!)/1000</f>
        <v>#REF!</v>
      </c>
      <c r="D5" s="793" t="e">
        <f>SUM(#REF!,#REF!,#REF!,#REF!)/1000</f>
        <v>#REF!</v>
      </c>
      <c r="E5" s="793" t="e">
        <f>SUM(#REF!,#REF!,#REF!,#REF!)/1000</f>
        <v>#REF!</v>
      </c>
      <c r="F5" s="793" t="e">
        <f>SUM(#REF!,#REF!,#REF!,#REF!)/1000</f>
        <v>#REF!</v>
      </c>
      <c r="G5" s="793" t="e">
        <f>SUM(#REF!,#REF!,#REF!,#REF!)/1000</f>
        <v>#REF!</v>
      </c>
      <c r="H5" s="793" t="e">
        <f>SUM(#REF!,#REF!,#REF!,#REF!)/1000</f>
        <v>#REF!</v>
      </c>
      <c r="I5" s="793" t="e">
        <f>SUM(#REF!,#REF!,#REF!,#REF!)/1000</f>
        <v>#REF!</v>
      </c>
    </row>
    <row r="6" spans="2:9">
      <c r="B6" s="518" t="s">
        <v>1122</v>
      </c>
      <c r="C6" s="793"/>
      <c r="D6" s="793"/>
      <c r="E6" s="793">
        <f>-D4*0.6</f>
        <v>-158.69999999999999</v>
      </c>
      <c r="F6" s="793" t="e">
        <f>-E4*0.6</f>
        <v>#REF!</v>
      </c>
      <c r="G6" s="793" t="e">
        <f>-F4*0.6</f>
        <v>#REF!</v>
      </c>
      <c r="H6" s="793" t="e">
        <f>-G4*0.6</f>
        <v>#REF!</v>
      </c>
      <c r="I6" s="793" t="e">
        <f>-H4*0.6</f>
        <v>#REF!</v>
      </c>
    </row>
    <row r="7" spans="2:9">
      <c r="B7" s="518" t="s">
        <v>995</v>
      </c>
      <c r="C7" s="794" t="e">
        <f>SUM(C2:C6)</f>
        <v>#REF!</v>
      </c>
      <c r="D7" s="794" t="e">
        <f t="shared" ref="D7:I7" si="1">SUM(D2:D6)</f>
        <v>#REF!</v>
      </c>
      <c r="E7" s="794" t="e">
        <f t="shared" si="1"/>
        <v>#REF!</v>
      </c>
      <c r="F7" s="794" t="e">
        <f t="shared" si="1"/>
        <v>#REF!</v>
      </c>
      <c r="G7" s="794" t="e">
        <f t="shared" si="1"/>
        <v>#REF!</v>
      </c>
      <c r="H7" s="794" t="e">
        <f t="shared" si="1"/>
        <v>#REF!</v>
      </c>
      <c r="I7" s="794" t="e">
        <f t="shared" si="1"/>
        <v>#REF!</v>
      </c>
    </row>
    <row r="13" spans="2:9">
      <c r="B13" s="518" t="s">
        <v>1002</v>
      </c>
      <c r="C13" s="812" t="e">
        <f>#REF!</f>
        <v>#REF!</v>
      </c>
      <c r="D13" s="812" t="e">
        <f>#REF!</f>
        <v>#REF!</v>
      </c>
      <c r="E13" s="812" t="e">
        <f>#REF!</f>
        <v>#REF!</v>
      </c>
      <c r="F13" s="812" t="e">
        <f>#REF!</f>
        <v>#REF!</v>
      </c>
      <c r="G13" s="812" t="e">
        <f>#REF!</f>
        <v>#REF!</v>
      </c>
      <c r="H13" s="812" t="e">
        <f>#REF!</f>
        <v>#REF!</v>
      </c>
      <c r="I13" s="812" t="e">
        <f>#REF!</f>
        <v>#REF!</v>
      </c>
    </row>
    <row r="14" spans="2:9">
      <c r="B14" s="518" t="s">
        <v>1003</v>
      </c>
      <c r="C14" s="814">
        <v>0.2</v>
      </c>
      <c r="D14" s="814">
        <f>C14+0.2</f>
        <v>0.4</v>
      </c>
      <c r="E14" s="814">
        <v>0.4</v>
      </c>
      <c r="F14" s="814">
        <v>0.4</v>
      </c>
      <c r="G14" s="814">
        <v>0.4</v>
      </c>
    </row>
    <row r="15" spans="2:9">
      <c r="B15" s="518" t="s">
        <v>1001</v>
      </c>
      <c r="C15" s="813" t="e">
        <f>C13*C14</f>
        <v>#REF!</v>
      </c>
      <c r="D15" s="813" t="e">
        <f t="shared" ref="D15:I15" si="2">D13*D14</f>
        <v>#REF!</v>
      </c>
      <c r="E15" s="813" t="e">
        <f t="shared" si="2"/>
        <v>#REF!</v>
      </c>
      <c r="F15" s="813" t="e">
        <f t="shared" si="2"/>
        <v>#REF!</v>
      </c>
      <c r="G15" s="813" t="e">
        <f>G13*G14</f>
        <v>#REF!</v>
      </c>
      <c r="H15" s="813" t="e">
        <f t="shared" si="2"/>
        <v>#REF!</v>
      </c>
      <c r="I15" s="813" t="e">
        <f t="shared" si="2"/>
        <v>#REF!</v>
      </c>
    </row>
    <row r="62" spans="8:8">
      <c r="H62">
        <v>-6616</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9">
    <tabColor rgb="FF92D050"/>
    <pageSetUpPr fitToPage="1"/>
  </sheetPr>
  <dimension ref="B1:U301"/>
  <sheetViews>
    <sheetView showGridLines="0" topLeftCell="A25" workbookViewId="0">
      <selection activeCell="L19" sqref="L19"/>
    </sheetView>
  </sheetViews>
  <sheetFormatPr defaultColWidth="9.140625" defaultRowHeight="12" customHeight="1"/>
  <cols>
    <col min="1" max="2" width="3.7109375" style="174" customWidth="1"/>
    <col min="3" max="3" width="13.140625" style="174" bestFit="1" customWidth="1"/>
    <col min="4" max="4" width="26.42578125" style="178" customWidth="1"/>
    <col min="5" max="5" width="9.7109375" style="174" customWidth="1"/>
    <col min="6" max="11" width="9.7109375" style="176" customWidth="1"/>
    <col min="12" max="12" width="50.7109375" style="96" customWidth="1"/>
    <col min="13" max="13" width="50.7109375" style="174" customWidth="1"/>
    <col min="14" max="20" width="9.140625" style="174"/>
    <col min="21" max="21" width="9.140625" style="177"/>
    <col min="22" max="16384" width="9.140625" style="174"/>
  </cols>
  <sheetData>
    <row r="1" spans="2:12" ht="12" customHeight="1">
      <c r="D1" s="175"/>
      <c r="L1" s="174"/>
    </row>
    <row r="2" spans="2:12" ht="12" customHeight="1" thickBot="1">
      <c r="F2" s="21"/>
      <c r="G2" s="21"/>
      <c r="H2" s="21"/>
      <c r="I2" s="21"/>
      <c r="J2" s="21"/>
      <c r="K2" s="21"/>
      <c r="L2" s="174"/>
    </row>
    <row r="3" spans="2:12" ht="12" customHeight="1">
      <c r="B3" s="179"/>
      <c r="C3" s="180" t="s">
        <v>225</v>
      </c>
      <c r="D3" s="180"/>
      <c r="E3" s="181">
        <f ca="1">IFERROR(SLOPE(G19:G28,K19:K28),0)</f>
        <v>0</v>
      </c>
      <c r="F3" s="21"/>
    </row>
    <row r="4" spans="2:12" ht="12" customHeight="1">
      <c r="B4" s="182"/>
      <c r="C4" s="174" t="s">
        <v>226</v>
      </c>
      <c r="E4" s="183">
        <f ca="1">IFERROR(INTERCEPT(G19:G28,K19:K28),0)</f>
        <v>0</v>
      </c>
      <c r="F4" s="21"/>
    </row>
    <row r="5" spans="2:12" ht="12" customHeight="1">
      <c r="B5" s="182"/>
      <c r="C5" s="174" t="s">
        <v>227</v>
      </c>
      <c r="E5" s="183">
        <f ca="1">IFERROR(CORREL(G19:G28,K19:K28),0)</f>
        <v>0</v>
      </c>
    </row>
    <row r="6" spans="2:12" ht="12" customHeight="1">
      <c r="B6" s="182"/>
      <c r="C6" s="177" t="s">
        <v>266</v>
      </c>
      <c r="E6" s="183">
        <f ca="1">IFERROR(RSQ(G19:G28,K19:K28),0)</f>
        <v>0</v>
      </c>
      <c r="F6" s="21"/>
    </row>
    <row r="7" spans="2:12" ht="12" customHeight="1" thickBot="1">
      <c r="B7" s="182"/>
      <c r="C7" s="178" t="s">
        <v>229</v>
      </c>
      <c r="E7" s="103">
        <f ca="1">IFERROR(STEYX(G19:G28,K19:K28),0)</f>
        <v>0</v>
      </c>
      <c r="F7" s="21"/>
      <c r="I7" s="21"/>
      <c r="J7" s="21"/>
    </row>
    <row r="8" spans="2:12" ht="22.5">
      <c r="B8" s="182"/>
      <c r="C8" s="174" t="s">
        <v>228</v>
      </c>
      <c r="E8" s="103">
        <f ca="1">IFERROR(K18,0)</f>
        <v>0</v>
      </c>
      <c r="G8" s="200" t="s">
        <v>497</v>
      </c>
      <c r="H8" s="201" t="s">
        <v>493</v>
      </c>
      <c r="I8" s="202" t="s">
        <v>241</v>
      </c>
    </row>
    <row r="9" spans="2:12" ht="12" customHeight="1">
      <c r="B9" s="182"/>
      <c r="C9" s="178" t="s">
        <v>491</v>
      </c>
      <c r="E9" s="103">
        <f ca="1">IFERROR(E4+(E3*E8),0)</f>
        <v>0</v>
      </c>
      <c r="G9" s="89" t="s">
        <v>494</v>
      </c>
      <c r="H9" s="67">
        <v>0</v>
      </c>
      <c r="I9" s="103">
        <f ca="1">IFERROR(E9*(1-countryrisk)*(1-liquidityrisk)*(1-holdingrisk),0)</f>
        <v>0</v>
      </c>
    </row>
    <row r="10" spans="2:12" ht="12" customHeight="1">
      <c r="B10" s="182"/>
      <c r="C10" s="15" t="s">
        <v>490</v>
      </c>
      <c r="E10" s="103">
        <f ca="1">IFERROR(G16*(E8/K16),0)</f>
        <v>0</v>
      </c>
      <c r="G10" s="89" t="s">
        <v>495</v>
      </c>
      <c r="H10" s="67">
        <v>0</v>
      </c>
      <c r="I10" s="103">
        <f ca="1">IFERROR(E10*(1-countryrisk)*(1-liquidityrisk)*(1-holdingrisk),0)</f>
        <v>0</v>
      </c>
    </row>
    <row r="11" spans="2:12" ht="12" customHeight="1" thickBot="1">
      <c r="B11" s="184"/>
      <c r="C11" s="185" t="s">
        <v>492</v>
      </c>
      <c r="D11" s="186"/>
      <c r="E11" s="187">
        <f ca="1">G16</f>
        <v>0</v>
      </c>
      <c r="G11" s="188" t="s">
        <v>496</v>
      </c>
      <c r="H11" s="173">
        <v>0</v>
      </c>
      <c r="I11" s="189">
        <f ca="1">IFERROR(E11*(1-countryrisk)*(1-liquidityrisk)*(1-holdingrisk),0)</f>
        <v>0</v>
      </c>
    </row>
    <row r="12" spans="2:12" ht="12" customHeight="1">
      <c r="D12" s="15"/>
      <c r="H12" s="21"/>
      <c r="I12" s="21"/>
      <c r="K12" s="21"/>
      <c r="L12" s="174"/>
    </row>
    <row r="13" spans="2:12" ht="12" customHeight="1" thickBot="1"/>
    <row r="14" spans="2:12" ht="12" customHeight="1">
      <c r="B14" s="179"/>
      <c r="C14" s="225"/>
      <c r="D14" s="226" t="s">
        <v>489</v>
      </c>
      <c r="E14" s="227" t="s">
        <v>481</v>
      </c>
      <c r="F14" s="228" t="s">
        <v>482</v>
      </c>
      <c r="G14" s="228" t="s">
        <v>242</v>
      </c>
      <c r="H14" s="228" t="s">
        <v>480</v>
      </c>
      <c r="I14" s="228" t="s">
        <v>483</v>
      </c>
      <c r="J14" s="229" t="s">
        <v>484</v>
      </c>
      <c r="K14" s="228" t="s">
        <v>485</v>
      </c>
      <c r="L14" s="230" t="s">
        <v>486</v>
      </c>
    </row>
    <row r="15" spans="2:12" ht="12" customHeight="1">
      <c r="B15" s="182"/>
      <c r="C15" s="175" t="s">
        <v>488</v>
      </c>
      <c r="D15" s="190" t="s">
        <v>487</v>
      </c>
      <c r="E15" s="191" t="s">
        <v>221</v>
      </c>
      <c r="F15" s="192" t="s">
        <v>222</v>
      </c>
      <c r="G15" s="192" t="s">
        <v>5</v>
      </c>
      <c r="H15" s="192" t="s">
        <v>6</v>
      </c>
      <c r="I15" s="192" t="s">
        <v>224</v>
      </c>
      <c r="J15" s="192" t="s">
        <v>214</v>
      </c>
      <c r="K15" s="192" t="s">
        <v>206</v>
      </c>
      <c r="L15" s="231" t="s">
        <v>223</v>
      </c>
    </row>
    <row r="16" spans="2:12" ht="12" customHeight="1" thickBot="1">
      <c r="B16" s="203"/>
      <c r="C16" s="204">
        <f ca="1">SUBTOTAL(3,E19:E28)</f>
        <v>10</v>
      </c>
      <c r="D16" s="205" t="s">
        <v>232</v>
      </c>
      <c r="E16" s="204"/>
      <c r="F16" s="206">
        <f t="shared" ref="F16:K16" ca="1" si="0">IFERROR(SUBTOTAL(1,F19:F28),0)</f>
        <v>0</v>
      </c>
      <c r="G16" s="207">
        <f t="shared" ca="1" si="0"/>
        <v>0</v>
      </c>
      <c r="H16" s="207">
        <f t="shared" ca="1" si="0"/>
        <v>0</v>
      </c>
      <c r="I16" s="207">
        <f t="shared" ca="1" si="0"/>
        <v>0</v>
      </c>
      <c r="J16" s="207">
        <f t="shared" ca="1" si="0"/>
        <v>0</v>
      </c>
      <c r="K16" s="207">
        <f t="shared" ca="1" si="0"/>
        <v>0</v>
      </c>
      <c r="L16" s="208"/>
    </row>
    <row r="17" spans="2:13" ht="12" customHeight="1" thickBot="1">
      <c r="E17" s="191"/>
      <c r="F17" s="192"/>
      <c r="G17" s="192"/>
      <c r="H17" s="192"/>
      <c r="I17" s="192"/>
      <c r="J17" s="194"/>
      <c r="K17" s="192"/>
      <c r="L17" s="193"/>
    </row>
    <row r="18" spans="2:13" ht="50.25" customHeight="1" thickBot="1">
      <c r="B18" s="219">
        <v>0</v>
      </c>
      <c r="C18" s="220" t="str">
        <f>ticker</f>
        <v>DXG VN EQUITY</v>
      </c>
      <c r="D18" s="221" t="e">
        <f t="shared" ref="D18:E28" ca="1" si="1">_xll.BDP($C18,D$14)</f>
        <v>#NAME?</v>
      </c>
      <c r="E18" s="222" t="e">
        <f t="shared" ca="1" si="1"/>
        <v>#NAME?</v>
      </c>
      <c r="F18" s="223" t="e">
        <f t="shared" ref="F18:F28" ca="1" si="2">_xll.BDP($C18,F$14,"EQY_FUND_CRNCY","USD")</f>
        <v>#NAME?</v>
      </c>
      <c r="G18" s="223" t="e">
        <f t="shared" ref="G18:L28" ca="1" si="3">_xll.BDP($C18,G$14)</f>
        <v>#NAME?</v>
      </c>
      <c r="H18" s="223" t="e">
        <f t="shared" ca="1" si="3"/>
        <v>#NAME?</v>
      </c>
      <c r="I18" s="223" t="e">
        <f t="shared" ca="1" si="3"/>
        <v>#NAME?</v>
      </c>
      <c r="J18" s="223" t="e">
        <f t="shared" ca="1" si="3"/>
        <v>#NAME?</v>
      </c>
      <c r="K18" s="223" t="e">
        <f t="shared" ca="1" si="3"/>
        <v>#NAME?</v>
      </c>
      <c r="L18" s="224" t="e">
        <f t="shared" ca="1" si="3"/>
        <v>#NAME?</v>
      </c>
      <c r="M18" s="195"/>
    </row>
    <row r="19" spans="2:13" ht="50.25" customHeight="1">
      <c r="B19" s="209">
        <v>1</v>
      </c>
      <c r="C19" s="232"/>
      <c r="D19" s="210" t="e">
        <f t="shared" ca="1" si="1"/>
        <v>#NAME?</v>
      </c>
      <c r="E19" s="211" t="e">
        <f t="shared" ca="1" si="1"/>
        <v>#NAME?</v>
      </c>
      <c r="F19" s="212" t="e">
        <f t="shared" ca="1" si="2"/>
        <v>#NAME?</v>
      </c>
      <c r="G19" s="212" t="e">
        <f t="shared" ca="1" si="3"/>
        <v>#NAME?</v>
      </c>
      <c r="H19" s="212" t="e">
        <f t="shared" ca="1" si="3"/>
        <v>#NAME?</v>
      </c>
      <c r="I19" s="212" t="e">
        <f t="shared" ca="1" si="3"/>
        <v>#NAME?</v>
      </c>
      <c r="J19" s="212" t="e">
        <f t="shared" ca="1" si="3"/>
        <v>#NAME?</v>
      </c>
      <c r="K19" s="212" t="e">
        <f t="shared" ca="1" si="3"/>
        <v>#NAME?</v>
      </c>
      <c r="L19" s="213" t="e">
        <f t="shared" ca="1" si="3"/>
        <v>#NAME?</v>
      </c>
      <c r="M19" s="195"/>
    </row>
    <row r="20" spans="2:13" ht="50.25" customHeight="1">
      <c r="B20" s="209">
        <v>2</v>
      </c>
      <c r="C20" s="232"/>
      <c r="D20" s="210" t="e">
        <f t="shared" ca="1" si="1"/>
        <v>#NAME?</v>
      </c>
      <c r="E20" s="211" t="e">
        <f t="shared" ca="1" si="1"/>
        <v>#NAME?</v>
      </c>
      <c r="F20" s="212" t="e">
        <f t="shared" ca="1" si="2"/>
        <v>#NAME?</v>
      </c>
      <c r="G20" s="212" t="e">
        <f t="shared" ca="1" si="3"/>
        <v>#NAME?</v>
      </c>
      <c r="H20" s="212" t="e">
        <f t="shared" ca="1" si="3"/>
        <v>#NAME?</v>
      </c>
      <c r="I20" s="212" t="e">
        <f t="shared" ca="1" si="3"/>
        <v>#NAME?</v>
      </c>
      <c r="J20" s="212" t="e">
        <f t="shared" ca="1" si="3"/>
        <v>#NAME?</v>
      </c>
      <c r="K20" s="212" t="e">
        <f t="shared" ca="1" si="3"/>
        <v>#NAME?</v>
      </c>
      <c r="L20" s="213" t="e">
        <f t="shared" ca="1" si="3"/>
        <v>#NAME?</v>
      </c>
      <c r="M20" s="195"/>
    </row>
    <row r="21" spans="2:13" ht="50.25" customHeight="1">
      <c r="B21" s="209">
        <v>3</v>
      </c>
      <c r="C21" s="232"/>
      <c r="D21" s="210" t="e">
        <f t="shared" ca="1" si="1"/>
        <v>#NAME?</v>
      </c>
      <c r="E21" s="211" t="e">
        <f t="shared" ca="1" si="1"/>
        <v>#NAME?</v>
      </c>
      <c r="F21" s="212" t="e">
        <f t="shared" ca="1" si="2"/>
        <v>#NAME?</v>
      </c>
      <c r="G21" s="212" t="e">
        <f t="shared" ca="1" si="3"/>
        <v>#NAME?</v>
      </c>
      <c r="H21" s="212" t="e">
        <f t="shared" ca="1" si="3"/>
        <v>#NAME?</v>
      </c>
      <c r="I21" s="212" t="e">
        <f t="shared" ca="1" si="3"/>
        <v>#NAME?</v>
      </c>
      <c r="J21" s="212" t="e">
        <f t="shared" ca="1" si="3"/>
        <v>#NAME?</v>
      </c>
      <c r="K21" s="212" t="e">
        <f t="shared" ca="1" si="3"/>
        <v>#NAME?</v>
      </c>
      <c r="L21" s="213" t="e">
        <f t="shared" ca="1" si="3"/>
        <v>#NAME?</v>
      </c>
      <c r="M21" s="195"/>
    </row>
    <row r="22" spans="2:13" ht="50.25" customHeight="1">
      <c r="B22" s="209">
        <v>4</v>
      </c>
      <c r="C22" s="232"/>
      <c r="D22" s="210" t="e">
        <f t="shared" ca="1" si="1"/>
        <v>#NAME?</v>
      </c>
      <c r="E22" s="211" t="e">
        <f t="shared" ca="1" si="1"/>
        <v>#NAME?</v>
      </c>
      <c r="F22" s="212" t="e">
        <f t="shared" ca="1" si="2"/>
        <v>#NAME?</v>
      </c>
      <c r="G22" s="212" t="e">
        <f t="shared" ca="1" si="3"/>
        <v>#NAME?</v>
      </c>
      <c r="H22" s="212" t="e">
        <f t="shared" ca="1" si="3"/>
        <v>#NAME?</v>
      </c>
      <c r="I22" s="212" t="e">
        <f t="shared" ca="1" si="3"/>
        <v>#NAME?</v>
      </c>
      <c r="J22" s="212" t="e">
        <f t="shared" ca="1" si="3"/>
        <v>#NAME?</v>
      </c>
      <c r="K22" s="212" t="e">
        <f t="shared" ca="1" si="3"/>
        <v>#NAME?</v>
      </c>
      <c r="L22" s="213" t="e">
        <f t="shared" ca="1" si="3"/>
        <v>#NAME?</v>
      </c>
      <c r="M22" s="195"/>
    </row>
    <row r="23" spans="2:13" ht="50.25" customHeight="1">
      <c r="B23" s="209">
        <v>5</v>
      </c>
      <c r="C23" s="232"/>
      <c r="D23" s="210" t="e">
        <f t="shared" ca="1" si="1"/>
        <v>#NAME?</v>
      </c>
      <c r="E23" s="211" t="e">
        <f t="shared" ca="1" si="1"/>
        <v>#NAME?</v>
      </c>
      <c r="F23" s="212" t="e">
        <f t="shared" ca="1" si="2"/>
        <v>#NAME?</v>
      </c>
      <c r="G23" s="212" t="e">
        <f t="shared" ca="1" si="3"/>
        <v>#NAME?</v>
      </c>
      <c r="H23" s="212" t="e">
        <f t="shared" ca="1" si="3"/>
        <v>#NAME?</v>
      </c>
      <c r="I23" s="212" t="e">
        <f t="shared" ca="1" si="3"/>
        <v>#NAME?</v>
      </c>
      <c r="J23" s="212" t="e">
        <f t="shared" ca="1" si="3"/>
        <v>#NAME?</v>
      </c>
      <c r="K23" s="212" t="e">
        <f t="shared" ca="1" si="3"/>
        <v>#NAME?</v>
      </c>
      <c r="L23" s="213" t="e">
        <f t="shared" ca="1" si="3"/>
        <v>#NAME?</v>
      </c>
      <c r="M23" s="195"/>
    </row>
    <row r="24" spans="2:13" ht="50.25" customHeight="1">
      <c r="B24" s="209">
        <v>6</v>
      </c>
      <c r="C24" s="232"/>
      <c r="D24" s="210" t="e">
        <f t="shared" ca="1" si="1"/>
        <v>#NAME?</v>
      </c>
      <c r="E24" s="211" t="e">
        <f t="shared" ca="1" si="1"/>
        <v>#NAME?</v>
      </c>
      <c r="F24" s="212" t="e">
        <f t="shared" ca="1" si="2"/>
        <v>#NAME?</v>
      </c>
      <c r="G24" s="212" t="e">
        <f t="shared" ca="1" si="3"/>
        <v>#NAME?</v>
      </c>
      <c r="H24" s="212" t="e">
        <f t="shared" ca="1" si="3"/>
        <v>#NAME?</v>
      </c>
      <c r="I24" s="212" t="e">
        <f t="shared" ca="1" si="3"/>
        <v>#NAME?</v>
      </c>
      <c r="J24" s="212" t="e">
        <f t="shared" ca="1" si="3"/>
        <v>#NAME?</v>
      </c>
      <c r="K24" s="212" t="e">
        <f t="shared" ca="1" si="3"/>
        <v>#NAME?</v>
      </c>
      <c r="L24" s="213" t="e">
        <f t="shared" ca="1" si="3"/>
        <v>#NAME?</v>
      </c>
      <c r="M24" s="195"/>
    </row>
    <row r="25" spans="2:13" ht="50.25" customHeight="1">
      <c r="B25" s="209">
        <v>7</v>
      </c>
      <c r="C25" s="232"/>
      <c r="D25" s="210" t="e">
        <f t="shared" ca="1" si="1"/>
        <v>#NAME?</v>
      </c>
      <c r="E25" s="211" t="e">
        <f t="shared" ca="1" si="1"/>
        <v>#NAME?</v>
      </c>
      <c r="F25" s="212" t="e">
        <f t="shared" ca="1" si="2"/>
        <v>#NAME?</v>
      </c>
      <c r="G25" s="212" t="e">
        <f t="shared" ca="1" si="3"/>
        <v>#NAME?</v>
      </c>
      <c r="H25" s="212" t="e">
        <f t="shared" ca="1" si="3"/>
        <v>#NAME?</v>
      </c>
      <c r="I25" s="212" t="e">
        <f t="shared" ca="1" si="3"/>
        <v>#NAME?</v>
      </c>
      <c r="J25" s="212" t="e">
        <f t="shared" ca="1" si="3"/>
        <v>#NAME?</v>
      </c>
      <c r="K25" s="212" t="e">
        <f t="shared" ca="1" si="3"/>
        <v>#NAME?</v>
      </c>
      <c r="L25" s="213" t="e">
        <f t="shared" ca="1" si="3"/>
        <v>#NAME?</v>
      </c>
      <c r="M25" s="195"/>
    </row>
    <row r="26" spans="2:13" ht="50.25" customHeight="1">
      <c r="B26" s="209">
        <v>8</v>
      </c>
      <c r="C26" s="232"/>
      <c r="D26" s="210" t="e">
        <f t="shared" ca="1" si="1"/>
        <v>#NAME?</v>
      </c>
      <c r="E26" s="211" t="e">
        <f t="shared" ca="1" si="1"/>
        <v>#NAME?</v>
      </c>
      <c r="F26" s="212" t="e">
        <f t="shared" ca="1" si="2"/>
        <v>#NAME?</v>
      </c>
      <c r="G26" s="212" t="e">
        <f t="shared" ca="1" si="3"/>
        <v>#NAME?</v>
      </c>
      <c r="H26" s="212" t="e">
        <f t="shared" ca="1" si="3"/>
        <v>#NAME?</v>
      </c>
      <c r="I26" s="212" t="e">
        <f t="shared" ca="1" si="3"/>
        <v>#NAME?</v>
      </c>
      <c r="J26" s="212" t="e">
        <f t="shared" ca="1" si="3"/>
        <v>#NAME?</v>
      </c>
      <c r="K26" s="212" t="e">
        <f t="shared" ca="1" si="3"/>
        <v>#NAME?</v>
      </c>
      <c r="L26" s="213" t="e">
        <f t="shared" ca="1" si="3"/>
        <v>#NAME?</v>
      </c>
      <c r="M26" s="195"/>
    </row>
    <row r="27" spans="2:13" ht="50.25" customHeight="1">
      <c r="B27" s="209">
        <v>9</v>
      </c>
      <c r="C27" s="232"/>
      <c r="D27" s="210" t="e">
        <f t="shared" ca="1" si="1"/>
        <v>#NAME?</v>
      </c>
      <c r="E27" s="211" t="e">
        <f t="shared" ca="1" si="1"/>
        <v>#NAME?</v>
      </c>
      <c r="F27" s="212" t="e">
        <f t="shared" ca="1" si="2"/>
        <v>#NAME?</v>
      </c>
      <c r="G27" s="212" t="e">
        <f t="shared" ca="1" si="3"/>
        <v>#NAME?</v>
      </c>
      <c r="H27" s="212" t="e">
        <f t="shared" ca="1" si="3"/>
        <v>#NAME?</v>
      </c>
      <c r="I27" s="212" t="e">
        <f t="shared" ca="1" si="3"/>
        <v>#NAME?</v>
      </c>
      <c r="J27" s="212" t="e">
        <f t="shared" ca="1" si="3"/>
        <v>#NAME?</v>
      </c>
      <c r="K27" s="212" t="e">
        <f t="shared" ca="1" si="3"/>
        <v>#NAME?</v>
      </c>
      <c r="L27" s="213" t="e">
        <f t="shared" ca="1" si="3"/>
        <v>#NAME?</v>
      </c>
      <c r="M27" s="195"/>
    </row>
    <row r="28" spans="2:13" ht="50.25" customHeight="1" thickBot="1">
      <c r="B28" s="214">
        <v>10</v>
      </c>
      <c r="C28" s="233"/>
      <c r="D28" s="215" t="e">
        <f t="shared" ca="1" si="1"/>
        <v>#NAME?</v>
      </c>
      <c r="E28" s="216" t="e">
        <f t="shared" ca="1" si="1"/>
        <v>#NAME?</v>
      </c>
      <c r="F28" s="217" t="e">
        <f t="shared" ca="1" si="2"/>
        <v>#NAME?</v>
      </c>
      <c r="G28" s="217" t="e">
        <f t="shared" ca="1" si="3"/>
        <v>#NAME?</v>
      </c>
      <c r="H28" s="217" t="e">
        <f t="shared" ca="1" si="3"/>
        <v>#NAME?</v>
      </c>
      <c r="I28" s="217" t="e">
        <f t="shared" ca="1" si="3"/>
        <v>#NAME?</v>
      </c>
      <c r="J28" s="217" t="e">
        <f t="shared" ca="1" si="3"/>
        <v>#NAME?</v>
      </c>
      <c r="K28" s="217" t="e">
        <f t="shared" ca="1" si="3"/>
        <v>#NAME?</v>
      </c>
      <c r="L28" s="218" t="e">
        <f t="shared" ca="1" si="3"/>
        <v>#NAME?</v>
      </c>
    </row>
    <row r="29" spans="2:13" ht="12" customHeight="1">
      <c r="C29" s="196"/>
      <c r="D29" s="197"/>
      <c r="E29" s="197"/>
      <c r="F29" s="21"/>
      <c r="G29" s="21"/>
      <c r="H29" s="21"/>
      <c r="I29" s="21"/>
      <c r="J29" s="21"/>
      <c r="K29" s="21"/>
      <c r="L29" s="198"/>
    </row>
    <row r="30" spans="2:13" ht="12" customHeight="1">
      <c r="C30" s="196"/>
      <c r="D30" s="197"/>
      <c r="E30" s="197"/>
      <c r="F30" s="21"/>
      <c r="G30" s="199"/>
      <c r="H30" s="199"/>
      <c r="I30" s="199"/>
      <c r="J30" s="199"/>
      <c r="K30" s="199"/>
      <c r="L30" s="198"/>
    </row>
    <row r="31" spans="2:13" ht="12" customHeight="1">
      <c r="C31" s="196"/>
      <c r="D31" s="197"/>
      <c r="E31" s="197"/>
      <c r="F31" s="21"/>
      <c r="G31" s="199"/>
      <c r="H31" s="199"/>
      <c r="I31" s="199"/>
      <c r="J31" s="199"/>
      <c r="K31" s="199"/>
      <c r="L31" s="198"/>
    </row>
    <row r="32" spans="2:13" ht="12" customHeight="1">
      <c r="C32" s="196"/>
      <c r="D32" s="197"/>
      <c r="E32" s="197"/>
      <c r="F32" s="21"/>
      <c r="G32" s="199"/>
      <c r="H32" s="199"/>
      <c r="I32" s="199"/>
      <c r="J32" s="199"/>
      <c r="K32" s="199"/>
      <c r="L32" s="198"/>
    </row>
    <row r="33" spans="3:12" ht="12" customHeight="1">
      <c r="C33" s="196"/>
      <c r="D33" s="197"/>
      <c r="E33" s="197"/>
      <c r="F33" s="21"/>
      <c r="G33" s="199"/>
      <c r="H33" s="199"/>
      <c r="I33" s="199"/>
      <c r="J33" s="199"/>
      <c r="K33" s="199"/>
      <c r="L33" s="198"/>
    </row>
    <row r="34" spans="3:12" ht="12" customHeight="1">
      <c r="C34" s="196"/>
      <c r="D34" s="197"/>
      <c r="E34" s="197"/>
      <c r="F34" s="21"/>
      <c r="G34" s="199"/>
      <c r="H34" s="199"/>
      <c r="I34" s="199"/>
      <c r="J34" s="199"/>
      <c r="K34" s="199"/>
      <c r="L34" s="198"/>
    </row>
    <row r="35" spans="3:12" ht="12" customHeight="1">
      <c r="C35" s="196"/>
      <c r="D35" s="197"/>
      <c r="E35" s="197"/>
      <c r="F35" s="21"/>
      <c r="G35" s="199"/>
      <c r="H35" s="199"/>
      <c r="I35" s="199"/>
      <c r="J35" s="199"/>
      <c r="K35" s="199"/>
      <c r="L35" s="198"/>
    </row>
    <row r="36" spans="3:12" ht="12" customHeight="1">
      <c r="C36" s="196"/>
      <c r="D36" s="197"/>
      <c r="E36" s="197"/>
      <c r="F36" s="21"/>
      <c r="G36" s="199"/>
      <c r="H36" s="199"/>
      <c r="I36" s="199"/>
      <c r="J36" s="199"/>
      <c r="K36" s="199"/>
      <c r="L36" s="198"/>
    </row>
    <row r="37" spans="3:12" ht="12" customHeight="1">
      <c r="C37" s="196"/>
      <c r="D37" s="197"/>
      <c r="E37" s="197"/>
      <c r="F37" s="21"/>
      <c r="G37" s="199"/>
      <c r="H37" s="199"/>
      <c r="I37" s="199"/>
      <c r="J37" s="199"/>
      <c r="K37" s="199"/>
      <c r="L37" s="198"/>
    </row>
    <row r="38" spans="3:12" ht="12" customHeight="1">
      <c r="C38" s="196"/>
      <c r="D38" s="197"/>
      <c r="E38" s="197"/>
      <c r="F38" s="21"/>
      <c r="G38" s="199"/>
      <c r="H38" s="199"/>
      <c r="I38" s="199"/>
      <c r="J38" s="199"/>
      <c r="K38" s="199"/>
      <c r="L38" s="198"/>
    </row>
    <row r="39" spans="3:12" ht="12" customHeight="1">
      <c r="C39" s="196"/>
      <c r="D39" s="197"/>
      <c r="E39" s="197"/>
      <c r="F39" s="21"/>
      <c r="G39" s="199"/>
      <c r="H39" s="199"/>
      <c r="I39" s="199"/>
      <c r="J39" s="199"/>
      <c r="K39" s="199"/>
      <c r="L39" s="198"/>
    </row>
    <row r="40" spans="3:12" ht="12" customHeight="1">
      <c r="C40" s="196"/>
      <c r="D40" s="197"/>
      <c r="E40" s="197"/>
      <c r="F40" s="21"/>
      <c r="G40" s="199"/>
      <c r="H40" s="199"/>
      <c r="I40" s="199"/>
      <c r="J40" s="199"/>
      <c r="K40" s="199"/>
      <c r="L40" s="198"/>
    </row>
    <row r="41" spans="3:12" ht="12" customHeight="1">
      <c r="C41" s="196"/>
      <c r="D41" s="197"/>
      <c r="E41" s="197"/>
      <c r="F41" s="21"/>
      <c r="G41" s="199"/>
      <c r="H41" s="199"/>
      <c r="I41" s="199"/>
      <c r="J41" s="199"/>
      <c r="K41" s="199"/>
      <c r="L41" s="198"/>
    </row>
    <row r="42" spans="3:12" ht="12" customHeight="1">
      <c r="C42" s="196"/>
      <c r="D42" s="197"/>
      <c r="E42" s="197"/>
      <c r="F42" s="21"/>
      <c r="G42" s="199"/>
      <c r="H42" s="199"/>
      <c r="I42" s="199"/>
      <c r="J42" s="199"/>
      <c r="K42" s="199"/>
      <c r="L42" s="198"/>
    </row>
    <row r="43" spans="3:12" ht="12" customHeight="1">
      <c r="C43" s="196"/>
      <c r="D43" s="197"/>
      <c r="E43" s="197"/>
      <c r="F43" s="21"/>
      <c r="G43" s="199"/>
      <c r="H43" s="199"/>
      <c r="I43" s="199"/>
      <c r="J43" s="199"/>
      <c r="K43" s="199"/>
      <c r="L43" s="198"/>
    </row>
    <row r="44" spans="3:12" ht="12" customHeight="1">
      <c r="C44" s="196"/>
      <c r="D44" s="197"/>
      <c r="E44" s="197"/>
      <c r="F44" s="21"/>
      <c r="G44" s="199"/>
      <c r="H44" s="199"/>
      <c r="I44" s="199"/>
      <c r="J44" s="199"/>
      <c r="K44" s="199"/>
      <c r="L44" s="198"/>
    </row>
    <row r="45" spans="3:12" ht="12" customHeight="1">
      <c r="C45" s="196"/>
      <c r="D45" s="197"/>
      <c r="E45" s="197"/>
      <c r="F45" s="21"/>
      <c r="G45" s="199"/>
      <c r="H45" s="199"/>
      <c r="I45" s="199"/>
      <c r="J45" s="199"/>
      <c r="K45" s="199"/>
      <c r="L45" s="198"/>
    </row>
    <row r="46" spans="3:12" ht="12" customHeight="1">
      <c r="C46" s="196"/>
      <c r="D46" s="197"/>
      <c r="E46" s="197"/>
      <c r="F46" s="21"/>
      <c r="G46" s="199"/>
      <c r="H46" s="199"/>
      <c r="I46" s="199"/>
      <c r="J46" s="199"/>
      <c r="K46" s="199"/>
      <c r="L46" s="198"/>
    </row>
    <row r="47" spans="3:12" ht="12" customHeight="1">
      <c r="C47" s="196"/>
      <c r="D47" s="197"/>
      <c r="E47" s="197"/>
      <c r="F47" s="21"/>
      <c r="G47" s="199"/>
      <c r="H47" s="199"/>
      <c r="I47" s="199"/>
      <c r="J47" s="199"/>
      <c r="K47" s="199"/>
      <c r="L47" s="198"/>
    </row>
    <row r="48" spans="3:12" ht="12" customHeight="1">
      <c r="C48" s="196"/>
      <c r="D48" s="197"/>
      <c r="E48" s="197"/>
      <c r="F48" s="21"/>
      <c r="G48" s="199"/>
      <c r="H48" s="199"/>
      <c r="I48" s="199"/>
      <c r="J48" s="199"/>
      <c r="K48" s="199"/>
      <c r="L48" s="198"/>
    </row>
    <row r="49" spans="3:12" ht="12" customHeight="1">
      <c r="C49" s="196"/>
      <c r="D49" s="197"/>
      <c r="E49" s="197"/>
      <c r="F49" s="21"/>
      <c r="G49" s="199"/>
      <c r="H49" s="199"/>
      <c r="I49" s="199"/>
      <c r="J49" s="199"/>
      <c r="K49" s="199"/>
      <c r="L49" s="198"/>
    </row>
    <row r="50" spans="3:12" ht="12" customHeight="1">
      <c r="C50" s="196"/>
      <c r="D50" s="197"/>
      <c r="E50" s="197"/>
      <c r="F50" s="21"/>
      <c r="G50" s="199"/>
      <c r="H50" s="199"/>
      <c r="I50" s="199"/>
      <c r="J50" s="199"/>
      <c r="K50" s="199"/>
      <c r="L50" s="198"/>
    </row>
    <row r="51" spans="3:12" ht="12" customHeight="1">
      <c r="C51" s="196"/>
      <c r="D51" s="197"/>
      <c r="E51" s="197"/>
      <c r="F51" s="21"/>
      <c r="G51" s="199"/>
      <c r="H51" s="199"/>
      <c r="I51" s="199"/>
      <c r="J51" s="199"/>
      <c r="K51" s="199"/>
      <c r="L51" s="198"/>
    </row>
    <row r="52" spans="3:12" ht="12" customHeight="1">
      <c r="C52" s="196"/>
      <c r="D52" s="197"/>
      <c r="E52" s="197"/>
      <c r="F52" s="21"/>
      <c r="G52" s="199"/>
      <c r="H52" s="199"/>
      <c r="I52" s="199"/>
      <c r="J52" s="199"/>
      <c r="K52" s="199"/>
      <c r="L52" s="198"/>
    </row>
    <row r="53" spans="3:12" ht="12" customHeight="1">
      <c r="C53" s="196"/>
      <c r="D53" s="197"/>
      <c r="E53" s="197"/>
      <c r="F53" s="21"/>
      <c r="G53" s="199"/>
      <c r="H53" s="199"/>
      <c r="I53" s="199"/>
      <c r="J53" s="199"/>
      <c r="K53" s="199"/>
      <c r="L53" s="198"/>
    </row>
    <row r="54" spans="3:12" ht="12" customHeight="1">
      <c r="C54" s="196"/>
      <c r="D54" s="197"/>
      <c r="E54" s="197"/>
      <c r="F54" s="21"/>
      <c r="G54" s="199"/>
      <c r="H54" s="199"/>
      <c r="I54" s="199"/>
      <c r="J54" s="199"/>
      <c r="K54" s="199"/>
      <c r="L54" s="198"/>
    </row>
    <row r="55" spans="3:12" ht="12" customHeight="1">
      <c r="C55" s="196"/>
      <c r="D55" s="197"/>
      <c r="E55" s="197"/>
      <c r="F55" s="21"/>
      <c r="G55" s="199"/>
      <c r="H55" s="199"/>
      <c r="I55" s="199"/>
      <c r="J55" s="199"/>
      <c r="K55" s="199"/>
      <c r="L55" s="198"/>
    </row>
    <row r="56" spans="3:12" ht="12" customHeight="1">
      <c r="C56" s="196"/>
      <c r="D56" s="197"/>
      <c r="E56" s="197"/>
      <c r="F56" s="21"/>
      <c r="G56" s="199"/>
      <c r="H56" s="199"/>
      <c r="I56" s="199"/>
      <c r="J56" s="199"/>
      <c r="K56" s="199"/>
      <c r="L56" s="198"/>
    </row>
    <row r="57" spans="3:12" ht="12" customHeight="1">
      <c r="C57" s="196"/>
      <c r="D57" s="197"/>
      <c r="E57" s="197"/>
      <c r="F57" s="21"/>
      <c r="G57" s="199"/>
      <c r="H57" s="199"/>
      <c r="I57" s="199"/>
      <c r="J57" s="199"/>
      <c r="K57" s="199"/>
      <c r="L57" s="198"/>
    </row>
    <row r="58" spans="3:12" ht="12" customHeight="1">
      <c r="C58" s="196"/>
      <c r="D58" s="197"/>
      <c r="E58" s="197"/>
      <c r="F58" s="21"/>
      <c r="G58" s="199"/>
      <c r="H58" s="199"/>
      <c r="I58" s="199"/>
      <c r="J58" s="199"/>
      <c r="K58" s="199"/>
      <c r="L58" s="198"/>
    </row>
    <row r="59" spans="3:12" ht="12" customHeight="1">
      <c r="C59" s="196"/>
      <c r="D59" s="197"/>
      <c r="E59" s="197"/>
      <c r="F59" s="21"/>
      <c r="G59" s="199"/>
      <c r="H59" s="199"/>
      <c r="I59" s="199"/>
      <c r="J59" s="199"/>
      <c r="K59" s="199"/>
      <c r="L59" s="198"/>
    </row>
    <row r="60" spans="3:12" ht="12" customHeight="1">
      <c r="C60" s="196"/>
      <c r="D60" s="197"/>
      <c r="E60" s="197"/>
      <c r="F60" s="21"/>
      <c r="G60" s="199"/>
      <c r="H60" s="199"/>
      <c r="I60" s="199"/>
      <c r="J60" s="199"/>
      <c r="K60" s="199"/>
      <c r="L60" s="198"/>
    </row>
    <row r="61" spans="3:12" ht="12" customHeight="1">
      <c r="C61" s="196"/>
      <c r="D61" s="197"/>
      <c r="E61" s="197"/>
      <c r="F61" s="21"/>
      <c r="G61" s="199"/>
      <c r="H61" s="199"/>
      <c r="I61" s="199"/>
      <c r="J61" s="199"/>
      <c r="K61" s="199"/>
      <c r="L61" s="198"/>
    </row>
    <row r="62" spans="3:12" ht="12" customHeight="1">
      <c r="C62" s="196"/>
      <c r="D62" s="197"/>
      <c r="E62" s="197"/>
      <c r="F62" s="21"/>
      <c r="G62" s="199"/>
      <c r="H62" s="199"/>
      <c r="I62" s="199"/>
      <c r="J62" s="199"/>
      <c r="K62" s="199"/>
      <c r="L62" s="198"/>
    </row>
    <row r="63" spans="3:12" ht="12" customHeight="1">
      <c r="C63" s="196"/>
      <c r="D63" s="197"/>
      <c r="E63" s="197"/>
      <c r="F63" s="21"/>
      <c r="G63" s="199"/>
      <c r="H63" s="199"/>
      <c r="I63" s="199"/>
      <c r="J63" s="199"/>
      <c r="K63" s="199"/>
      <c r="L63" s="198"/>
    </row>
    <row r="64" spans="3:12" ht="12" customHeight="1">
      <c r="C64" s="196"/>
      <c r="D64" s="197"/>
      <c r="E64" s="197"/>
      <c r="F64" s="21"/>
      <c r="G64" s="199"/>
      <c r="H64" s="199"/>
      <c r="I64" s="199"/>
      <c r="J64" s="199"/>
      <c r="K64" s="199"/>
      <c r="L64" s="198"/>
    </row>
    <row r="65" spans="3:12" ht="12" customHeight="1">
      <c r="C65" s="196"/>
      <c r="D65" s="197"/>
      <c r="E65" s="197"/>
      <c r="F65" s="21"/>
      <c r="G65" s="199"/>
      <c r="H65" s="199"/>
      <c r="I65" s="199"/>
      <c r="J65" s="199"/>
      <c r="K65" s="199"/>
      <c r="L65" s="198"/>
    </row>
    <row r="66" spans="3:12" ht="12" customHeight="1">
      <c r="C66" s="196"/>
      <c r="D66" s="197"/>
      <c r="E66" s="197"/>
      <c r="F66" s="21"/>
      <c r="G66" s="199"/>
      <c r="H66" s="199"/>
      <c r="I66" s="199"/>
      <c r="J66" s="199"/>
      <c r="K66" s="199"/>
      <c r="L66" s="198"/>
    </row>
    <row r="67" spans="3:12" ht="12" customHeight="1">
      <c r="C67" s="196"/>
      <c r="D67" s="197"/>
      <c r="E67" s="197"/>
      <c r="F67" s="21"/>
      <c r="G67" s="199"/>
      <c r="H67" s="199"/>
      <c r="I67" s="199"/>
      <c r="J67" s="199"/>
      <c r="K67" s="199"/>
      <c r="L67" s="198"/>
    </row>
    <row r="68" spans="3:12" ht="12" customHeight="1">
      <c r="C68" s="196"/>
      <c r="D68" s="197"/>
      <c r="E68" s="197"/>
      <c r="F68" s="21"/>
      <c r="G68" s="199"/>
      <c r="H68" s="199"/>
      <c r="I68" s="199"/>
      <c r="J68" s="199"/>
      <c r="K68" s="199"/>
      <c r="L68" s="198"/>
    </row>
    <row r="69" spans="3:12" ht="12" customHeight="1">
      <c r="C69" s="196"/>
      <c r="D69" s="197"/>
      <c r="E69" s="197"/>
      <c r="F69" s="21"/>
      <c r="G69" s="199"/>
      <c r="H69" s="199"/>
      <c r="I69" s="199"/>
      <c r="J69" s="199"/>
      <c r="K69" s="199"/>
      <c r="L69" s="198"/>
    </row>
    <row r="70" spans="3:12" ht="12" customHeight="1">
      <c r="C70" s="196"/>
      <c r="D70" s="197"/>
      <c r="E70" s="197"/>
      <c r="F70" s="21"/>
      <c r="G70" s="199"/>
      <c r="H70" s="199"/>
      <c r="I70" s="199"/>
      <c r="J70" s="199"/>
      <c r="K70" s="199"/>
      <c r="L70" s="198"/>
    </row>
    <row r="71" spans="3:12" ht="12" customHeight="1">
      <c r="C71" s="196"/>
      <c r="D71" s="197"/>
      <c r="E71" s="197"/>
      <c r="F71" s="21"/>
      <c r="G71" s="199"/>
      <c r="H71" s="199"/>
      <c r="I71" s="199"/>
      <c r="J71" s="199"/>
      <c r="K71" s="199"/>
      <c r="L71" s="198"/>
    </row>
    <row r="72" spans="3:12" ht="12" customHeight="1">
      <c r="C72" s="196"/>
      <c r="D72" s="197"/>
      <c r="E72" s="197"/>
      <c r="F72" s="21"/>
      <c r="G72" s="199"/>
      <c r="H72" s="199"/>
      <c r="I72" s="199"/>
      <c r="J72" s="199"/>
      <c r="K72" s="199"/>
      <c r="L72" s="198"/>
    </row>
    <row r="73" spans="3:12" ht="12" customHeight="1">
      <c r="C73" s="196"/>
      <c r="D73" s="197"/>
      <c r="E73" s="197"/>
      <c r="F73" s="21"/>
      <c r="G73" s="199"/>
      <c r="H73" s="199"/>
      <c r="I73" s="199"/>
      <c r="J73" s="199"/>
      <c r="K73" s="199"/>
      <c r="L73" s="198"/>
    </row>
    <row r="74" spans="3:12" ht="12" customHeight="1">
      <c r="C74" s="196"/>
      <c r="D74" s="197"/>
      <c r="E74" s="197"/>
      <c r="F74" s="21"/>
      <c r="G74" s="199"/>
      <c r="H74" s="199"/>
      <c r="I74" s="199"/>
      <c r="J74" s="199"/>
      <c r="K74" s="199"/>
      <c r="L74" s="198"/>
    </row>
    <row r="75" spans="3:12" ht="12" customHeight="1">
      <c r="C75" s="196"/>
      <c r="D75" s="197"/>
      <c r="E75" s="197"/>
      <c r="F75" s="21"/>
      <c r="G75" s="199"/>
      <c r="H75" s="199"/>
      <c r="I75" s="199"/>
      <c r="J75" s="199"/>
      <c r="K75" s="199"/>
      <c r="L75" s="198"/>
    </row>
    <row r="76" spans="3:12" ht="12" customHeight="1">
      <c r="C76" s="196"/>
      <c r="D76" s="197"/>
      <c r="E76" s="197"/>
      <c r="F76" s="21"/>
      <c r="G76" s="199"/>
      <c r="H76" s="199"/>
      <c r="I76" s="199"/>
      <c r="J76" s="199"/>
      <c r="K76" s="199"/>
      <c r="L76" s="198"/>
    </row>
    <row r="77" spans="3:12" ht="12" customHeight="1">
      <c r="C77" s="196"/>
      <c r="D77" s="197"/>
      <c r="E77" s="197"/>
      <c r="F77" s="21"/>
      <c r="G77" s="199"/>
      <c r="H77" s="199"/>
      <c r="I77" s="199"/>
      <c r="J77" s="199"/>
      <c r="K77" s="199"/>
      <c r="L77" s="198"/>
    </row>
    <row r="78" spans="3:12" ht="12" customHeight="1">
      <c r="C78" s="196"/>
      <c r="D78" s="197"/>
      <c r="E78" s="197"/>
      <c r="F78" s="21"/>
      <c r="G78" s="199"/>
      <c r="H78" s="199"/>
      <c r="I78" s="199"/>
      <c r="J78" s="199"/>
      <c r="K78" s="199"/>
      <c r="L78" s="198"/>
    </row>
    <row r="79" spans="3:12" ht="12" customHeight="1">
      <c r="C79" s="196"/>
      <c r="D79" s="197"/>
      <c r="E79" s="197"/>
      <c r="F79" s="21"/>
      <c r="G79" s="199"/>
      <c r="H79" s="199"/>
      <c r="I79" s="199"/>
      <c r="J79" s="199"/>
      <c r="K79" s="199"/>
      <c r="L79" s="198"/>
    </row>
    <row r="80" spans="3:12" ht="12" customHeight="1">
      <c r="C80" s="196"/>
      <c r="D80" s="197"/>
      <c r="E80" s="197"/>
      <c r="F80" s="21"/>
      <c r="G80" s="199"/>
      <c r="H80" s="199"/>
      <c r="I80" s="199"/>
      <c r="J80" s="199"/>
      <c r="K80" s="199"/>
      <c r="L80" s="198"/>
    </row>
    <row r="81" spans="3:12" ht="12" customHeight="1">
      <c r="C81" s="196"/>
      <c r="D81" s="197"/>
      <c r="E81" s="197"/>
      <c r="F81" s="21"/>
      <c r="G81" s="199"/>
      <c r="H81" s="199"/>
      <c r="I81" s="199"/>
      <c r="J81" s="199"/>
      <c r="K81" s="199"/>
      <c r="L81" s="198"/>
    </row>
    <row r="82" spans="3:12" ht="12" customHeight="1">
      <c r="C82" s="196"/>
      <c r="D82" s="197"/>
      <c r="E82" s="197"/>
      <c r="F82" s="21"/>
      <c r="G82" s="199"/>
      <c r="H82" s="199"/>
      <c r="I82" s="199"/>
      <c r="J82" s="199"/>
      <c r="K82" s="199"/>
      <c r="L82" s="198"/>
    </row>
    <row r="83" spans="3:12" ht="12" customHeight="1">
      <c r="C83" s="196"/>
      <c r="D83" s="197"/>
      <c r="E83" s="197"/>
      <c r="F83" s="21"/>
      <c r="G83" s="199"/>
      <c r="H83" s="199"/>
      <c r="I83" s="199"/>
      <c r="J83" s="199"/>
      <c r="K83" s="199"/>
      <c r="L83" s="198"/>
    </row>
    <row r="84" spans="3:12" ht="12" customHeight="1">
      <c r="C84" s="196"/>
      <c r="D84" s="197"/>
      <c r="E84" s="197"/>
      <c r="F84" s="21"/>
      <c r="G84" s="199"/>
      <c r="H84" s="199"/>
      <c r="I84" s="199"/>
      <c r="J84" s="199"/>
      <c r="K84" s="199"/>
      <c r="L84" s="198"/>
    </row>
    <row r="85" spans="3:12" ht="12" customHeight="1">
      <c r="C85" s="196"/>
      <c r="D85" s="197"/>
      <c r="E85" s="197"/>
      <c r="F85" s="21"/>
      <c r="G85" s="199"/>
      <c r="H85" s="199"/>
      <c r="I85" s="199"/>
      <c r="J85" s="199"/>
      <c r="K85" s="199"/>
      <c r="L85" s="198"/>
    </row>
    <row r="86" spans="3:12" ht="12" customHeight="1">
      <c r="C86" s="196"/>
      <c r="D86" s="197"/>
      <c r="E86" s="197"/>
      <c r="F86" s="21"/>
      <c r="G86" s="199"/>
      <c r="H86" s="199"/>
      <c r="I86" s="199"/>
      <c r="J86" s="199"/>
      <c r="K86" s="199"/>
      <c r="L86" s="198"/>
    </row>
    <row r="87" spans="3:12" ht="12" customHeight="1">
      <c r="C87" s="196"/>
      <c r="D87" s="197"/>
      <c r="E87" s="197"/>
      <c r="F87" s="21"/>
      <c r="G87" s="199"/>
      <c r="H87" s="199"/>
      <c r="I87" s="199"/>
      <c r="J87" s="199"/>
      <c r="K87" s="199"/>
      <c r="L87" s="198"/>
    </row>
    <row r="88" spans="3:12" ht="12" customHeight="1">
      <c r="C88" s="196"/>
      <c r="D88" s="197"/>
      <c r="E88" s="197"/>
      <c r="F88" s="21"/>
      <c r="G88" s="199"/>
      <c r="H88" s="199"/>
      <c r="I88" s="199"/>
      <c r="J88" s="199"/>
      <c r="K88" s="199"/>
      <c r="L88" s="198"/>
    </row>
    <row r="89" spans="3:12" ht="12" customHeight="1">
      <c r="C89" s="196"/>
      <c r="D89" s="197"/>
      <c r="E89" s="197"/>
      <c r="F89" s="21"/>
      <c r="G89" s="199"/>
      <c r="H89" s="199"/>
      <c r="I89" s="199"/>
      <c r="J89" s="199"/>
      <c r="K89" s="199"/>
      <c r="L89" s="198"/>
    </row>
    <row r="90" spans="3:12" ht="12" customHeight="1">
      <c r="C90" s="196"/>
      <c r="D90" s="197"/>
      <c r="E90" s="197"/>
      <c r="F90" s="21"/>
      <c r="G90" s="199"/>
      <c r="H90" s="199"/>
      <c r="I90" s="199"/>
      <c r="J90" s="199"/>
      <c r="K90" s="199"/>
      <c r="L90" s="198"/>
    </row>
    <row r="91" spans="3:12" ht="12" customHeight="1">
      <c r="C91" s="196"/>
      <c r="D91" s="197"/>
      <c r="E91" s="197"/>
      <c r="F91" s="21"/>
      <c r="G91" s="199"/>
      <c r="H91" s="199"/>
      <c r="I91" s="199"/>
      <c r="J91" s="199"/>
      <c r="K91" s="199"/>
      <c r="L91" s="198"/>
    </row>
    <row r="92" spans="3:12" ht="12" customHeight="1">
      <c r="C92" s="196"/>
      <c r="D92" s="197"/>
      <c r="E92" s="197"/>
      <c r="F92" s="21"/>
      <c r="G92" s="199"/>
      <c r="H92" s="199"/>
      <c r="I92" s="199"/>
      <c r="J92" s="199"/>
      <c r="K92" s="199"/>
      <c r="L92" s="198"/>
    </row>
    <row r="93" spans="3:12" ht="12" customHeight="1">
      <c r="C93" s="196"/>
      <c r="D93" s="197"/>
      <c r="E93" s="197"/>
      <c r="F93" s="21"/>
      <c r="G93" s="199"/>
      <c r="H93" s="199"/>
      <c r="I93" s="199"/>
      <c r="J93" s="199"/>
      <c r="K93" s="199"/>
      <c r="L93" s="198"/>
    </row>
    <row r="94" spans="3:12" ht="12" customHeight="1">
      <c r="C94" s="196"/>
      <c r="D94" s="197"/>
      <c r="E94" s="197"/>
      <c r="F94" s="21"/>
      <c r="G94" s="199"/>
      <c r="H94" s="199"/>
      <c r="I94" s="199"/>
      <c r="J94" s="199"/>
      <c r="K94" s="199"/>
      <c r="L94" s="198"/>
    </row>
    <row r="95" spans="3:12" ht="12" customHeight="1">
      <c r="C95" s="196"/>
      <c r="D95" s="197"/>
      <c r="E95" s="197"/>
      <c r="F95" s="21"/>
      <c r="G95" s="199"/>
      <c r="H95" s="199"/>
      <c r="I95" s="199"/>
      <c r="J95" s="199"/>
      <c r="K95" s="199"/>
      <c r="L95" s="198"/>
    </row>
    <row r="96" spans="3:12" ht="12" customHeight="1">
      <c r="C96" s="196"/>
      <c r="D96" s="197"/>
      <c r="E96" s="197"/>
      <c r="F96" s="21"/>
      <c r="G96" s="199"/>
      <c r="H96" s="199"/>
      <c r="I96" s="199"/>
      <c r="J96" s="199"/>
      <c r="K96" s="199"/>
      <c r="L96" s="198"/>
    </row>
    <row r="97" spans="3:12" ht="12" customHeight="1">
      <c r="C97" s="196"/>
      <c r="D97" s="197"/>
      <c r="E97" s="197"/>
      <c r="F97" s="21"/>
      <c r="G97" s="199"/>
      <c r="H97" s="199"/>
      <c r="I97" s="199"/>
      <c r="J97" s="199"/>
      <c r="K97" s="199"/>
      <c r="L97" s="198"/>
    </row>
    <row r="98" spans="3:12" ht="12" customHeight="1">
      <c r="C98" s="196"/>
      <c r="D98" s="197"/>
      <c r="E98" s="197"/>
      <c r="F98" s="21"/>
      <c r="G98" s="199"/>
      <c r="H98" s="199"/>
      <c r="I98" s="199"/>
      <c r="J98" s="199"/>
      <c r="K98" s="199"/>
      <c r="L98" s="198"/>
    </row>
    <row r="99" spans="3:12" ht="12" customHeight="1">
      <c r="C99" s="196"/>
      <c r="D99" s="197"/>
      <c r="E99" s="197"/>
      <c r="F99" s="21"/>
      <c r="G99" s="199"/>
      <c r="H99" s="199"/>
      <c r="I99" s="199"/>
      <c r="J99" s="199"/>
      <c r="K99" s="199"/>
      <c r="L99" s="198"/>
    </row>
    <row r="100" spans="3:12" ht="12" customHeight="1">
      <c r="C100" s="196"/>
      <c r="D100" s="197"/>
      <c r="E100" s="197"/>
      <c r="F100" s="21"/>
      <c r="G100" s="199"/>
      <c r="H100" s="199"/>
      <c r="I100" s="199"/>
      <c r="J100" s="199"/>
      <c r="K100" s="199"/>
      <c r="L100" s="198"/>
    </row>
    <row r="101" spans="3:12" ht="12" customHeight="1">
      <c r="C101" s="196"/>
      <c r="D101" s="197"/>
      <c r="E101" s="197"/>
      <c r="F101" s="21"/>
      <c r="G101" s="199"/>
      <c r="H101" s="199"/>
      <c r="I101" s="199"/>
      <c r="J101" s="199"/>
      <c r="K101" s="199"/>
      <c r="L101" s="198"/>
    </row>
    <row r="102" spans="3:12" ht="12" customHeight="1">
      <c r="C102" s="196"/>
      <c r="D102" s="197"/>
      <c r="E102" s="197"/>
      <c r="F102" s="21"/>
      <c r="G102" s="199"/>
      <c r="H102" s="199"/>
      <c r="I102" s="199"/>
      <c r="J102" s="199"/>
      <c r="K102" s="199"/>
      <c r="L102" s="198"/>
    </row>
    <row r="103" spans="3:12" ht="12" customHeight="1">
      <c r="C103" s="196"/>
      <c r="D103" s="197"/>
      <c r="E103" s="197"/>
      <c r="F103" s="21"/>
      <c r="G103" s="199"/>
      <c r="H103" s="199"/>
      <c r="I103" s="199"/>
      <c r="J103" s="199"/>
      <c r="K103" s="199"/>
      <c r="L103" s="198"/>
    </row>
    <row r="104" spans="3:12" ht="12" customHeight="1">
      <c r="C104" s="196"/>
      <c r="D104" s="197"/>
      <c r="E104" s="197"/>
      <c r="F104" s="21"/>
      <c r="G104" s="199"/>
      <c r="H104" s="199"/>
      <c r="I104" s="199"/>
      <c r="J104" s="199"/>
      <c r="K104" s="199"/>
      <c r="L104" s="198"/>
    </row>
    <row r="105" spans="3:12" ht="12" customHeight="1">
      <c r="C105" s="196"/>
      <c r="D105" s="197"/>
      <c r="E105" s="197"/>
      <c r="F105" s="21"/>
      <c r="G105" s="199"/>
      <c r="H105" s="199"/>
      <c r="I105" s="199"/>
      <c r="J105" s="199"/>
      <c r="K105" s="199"/>
      <c r="L105" s="198"/>
    </row>
    <row r="106" spans="3:12" ht="12" customHeight="1">
      <c r="C106" s="196"/>
      <c r="D106" s="197"/>
      <c r="E106" s="197"/>
      <c r="F106" s="21"/>
      <c r="G106" s="199"/>
      <c r="H106" s="199"/>
      <c r="I106" s="199"/>
      <c r="J106" s="199"/>
      <c r="K106" s="199"/>
      <c r="L106" s="198"/>
    </row>
    <row r="107" spans="3:12" ht="12" customHeight="1">
      <c r="C107" s="196"/>
      <c r="D107" s="197"/>
      <c r="E107" s="197"/>
      <c r="F107" s="21"/>
      <c r="G107" s="199"/>
      <c r="H107" s="199"/>
      <c r="I107" s="199"/>
      <c r="J107" s="199"/>
      <c r="K107" s="199"/>
      <c r="L107" s="198"/>
    </row>
    <row r="108" spans="3:12" ht="12" customHeight="1">
      <c r="C108" s="196"/>
      <c r="D108" s="197"/>
      <c r="E108" s="197"/>
      <c r="F108" s="21"/>
      <c r="G108" s="199"/>
      <c r="H108" s="199"/>
      <c r="I108" s="199"/>
      <c r="J108" s="199"/>
      <c r="K108" s="199"/>
      <c r="L108" s="198"/>
    </row>
    <row r="109" spans="3:12" ht="12" customHeight="1">
      <c r="C109" s="196"/>
      <c r="D109" s="197"/>
      <c r="E109" s="197"/>
      <c r="F109" s="21"/>
      <c r="G109" s="199"/>
      <c r="H109" s="199"/>
      <c r="I109" s="199"/>
      <c r="J109" s="199"/>
      <c r="K109" s="199"/>
      <c r="L109" s="198"/>
    </row>
    <row r="110" spans="3:12" ht="12" customHeight="1">
      <c r="C110" s="196"/>
      <c r="D110" s="197"/>
      <c r="E110" s="197"/>
      <c r="F110" s="21"/>
      <c r="G110" s="199"/>
      <c r="H110" s="199"/>
      <c r="I110" s="199"/>
      <c r="J110" s="199"/>
      <c r="K110" s="199"/>
      <c r="L110" s="198"/>
    </row>
    <row r="111" spans="3:12" ht="12" customHeight="1">
      <c r="C111" s="196"/>
      <c r="D111" s="197"/>
      <c r="E111" s="197"/>
      <c r="F111" s="21"/>
      <c r="G111" s="199"/>
      <c r="H111" s="199"/>
      <c r="I111" s="199"/>
      <c r="J111" s="199"/>
      <c r="K111" s="199"/>
      <c r="L111" s="198"/>
    </row>
    <row r="112" spans="3:12" ht="12" customHeight="1">
      <c r="C112" s="196"/>
      <c r="D112" s="197"/>
      <c r="E112" s="197"/>
      <c r="F112" s="21"/>
      <c r="G112" s="199"/>
      <c r="H112" s="199"/>
      <c r="I112" s="199"/>
      <c r="J112" s="199"/>
      <c r="K112" s="199"/>
      <c r="L112" s="198"/>
    </row>
    <row r="113" spans="3:12" ht="12" customHeight="1">
      <c r="C113" s="196"/>
      <c r="D113" s="197"/>
      <c r="E113" s="197"/>
      <c r="F113" s="21"/>
      <c r="G113" s="199"/>
      <c r="H113" s="199"/>
      <c r="I113" s="199"/>
      <c r="J113" s="199"/>
      <c r="K113" s="199"/>
      <c r="L113" s="198"/>
    </row>
    <row r="114" spans="3:12" ht="12" customHeight="1">
      <c r="C114" s="196"/>
      <c r="D114" s="197"/>
      <c r="E114" s="197"/>
      <c r="F114" s="21"/>
      <c r="G114" s="199"/>
      <c r="H114" s="199"/>
      <c r="I114" s="199"/>
      <c r="J114" s="199"/>
      <c r="K114" s="199"/>
      <c r="L114" s="198"/>
    </row>
    <row r="115" spans="3:12" ht="12" customHeight="1">
      <c r="C115" s="196"/>
      <c r="D115" s="197"/>
      <c r="E115" s="197"/>
      <c r="F115" s="21"/>
      <c r="G115" s="199"/>
      <c r="H115" s="199"/>
      <c r="I115" s="199"/>
      <c r="J115" s="199"/>
      <c r="K115" s="199"/>
      <c r="L115" s="198"/>
    </row>
    <row r="116" spans="3:12" ht="12" customHeight="1">
      <c r="C116" s="196"/>
      <c r="D116" s="197"/>
      <c r="E116" s="197"/>
      <c r="F116" s="21"/>
      <c r="G116" s="199"/>
      <c r="H116" s="199"/>
      <c r="I116" s="199"/>
      <c r="J116" s="199"/>
      <c r="K116" s="199"/>
      <c r="L116" s="198"/>
    </row>
    <row r="117" spans="3:12" ht="12" customHeight="1">
      <c r="C117" s="196"/>
      <c r="D117" s="197"/>
      <c r="E117" s="197"/>
      <c r="F117" s="21"/>
      <c r="G117" s="199"/>
      <c r="H117" s="199"/>
      <c r="I117" s="199"/>
      <c r="J117" s="199"/>
      <c r="K117" s="199"/>
      <c r="L117" s="198"/>
    </row>
    <row r="118" spans="3:12" ht="12" customHeight="1">
      <c r="C118" s="196"/>
      <c r="D118" s="197"/>
      <c r="E118" s="197"/>
      <c r="F118" s="21"/>
      <c r="G118" s="199"/>
      <c r="H118" s="199"/>
      <c r="I118" s="199"/>
      <c r="J118" s="199"/>
      <c r="K118" s="199"/>
      <c r="L118" s="198"/>
    </row>
    <row r="119" spans="3:12" ht="12" customHeight="1">
      <c r="C119" s="196"/>
      <c r="D119" s="197"/>
      <c r="E119" s="197"/>
      <c r="F119" s="21"/>
      <c r="G119" s="199"/>
      <c r="H119" s="199"/>
      <c r="I119" s="199"/>
      <c r="J119" s="199"/>
      <c r="K119" s="199"/>
      <c r="L119" s="198"/>
    </row>
    <row r="120" spans="3:12" ht="12" customHeight="1">
      <c r="C120" s="196"/>
      <c r="D120" s="197"/>
      <c r="E120" s="197"/>
      <c r="F120" s="21"/>
      <c r="G120" s="199"/>
      <c r="H120" s="199"/>
      <c r="I120" s="199"/>
      <c r="J120" s="199"/>
      <c r="K120" s="199"/>
      <c r="L120" s="198"/>
    </row>
    <row r="121" spans="3:12" ht="12" customHeight="1">
      <c r="C121" s="196"/>
      <c r="D121" s="197"/>
      <c r="E121" s="197"/>
      <c r="F121" s="21"/>
      <c r="G121" s="199"/>
      <c r="H121" s="199"/>
      <c r="I121" s="199"/>
      <c r="J121" s="199"/>
      <c r="K121" s="199"/>
      <c r="L121" s="198"/>
    </row>
    <row r="122" spans="3:12" ht="12" customHeight="1">
      <c r="C122" s="196"/>
      <c r="D122" s="197"/>
      <c r="E122" s="197"/>
      <c r="F122" s="21"/>
      <c r="G122" s="199"/>
      <c r="H122" s="199"/>
      <c r="I122" s="199"/>
      <c r="J122" s="199"/>
      <c r="K122" s="199"/>
      <c r="L122" s="198"/>
    </row>
    <row r="123" spans="3:12" ht="12" customHeight="1">
      <c r="C123" s="196"/>
      <c r="D123" s="197"/>
      <c r="E123" s="197"/>
      <c r="F123" s="21"/>
      <c r="G123" s="199"/>
      <c r="H123" s="199"/>
      <c r="I123" s="199"/>
      <c r="J123" s="199"/>
      <c r="K123" s="199"/>
      <c r="L123" s="198"/>
    </row>
    <row r="124" spans="3:12" ht="12" customHeight="1">
      <c r="C124" s="196"/>
      <c r="D124" s="197"/>
      <c r="E124" s="197"/>
      <c r="F124" s="21"/>
      <c r="G124" s="199"/>
      <c r="H124" s="199"/>
      <c r="I124" s="199"/>
      <c r="J124" s="199"/>
      <c r="K124" s="199"/>
      <c r="L124" s="198"/>
    </row>
    <row r="125" spans="3:12" ht="12" customHeight="1">
      <c r="C125" s="196"/>
      <c r="D125" s="197"/>
      <c r="E125" s="197"/>
      <c r="F125" s="21"/>
      <c r="G125" s="199"/>
      <c r="H125" s="199"/>
      <c r="I125" s="199"/>
      <c r="J125" s="199"/>
      <c r="K125" s="199"/>
      <c r="L125" s="198"/>
    </row>
    <row r="126" spans="3:12" ht="12" customHeight="1">
      <c r="C126" s="196"/>
      <c r="D126" s="197"/>
      <c r="E126" s="197"/>
      <c r="F126" s="21"/>
      <c r="G126" s="199"/>
      <c r="H126" s="199"/>
      <c r="I126" s="199"/>
      <c r="J126" s="199"/>
      <c r="K126" s="199"/>
      <c r="L126" s="198"/>
    </row>
    <row r="127" spans="3:12" ht="12" customHeight="1">
      <c r="C127" s="196"/>
      <c r="D127" s="197"/>
      <c r="E127" s="197"/>
      <c r="F127" s="21"/>
      <c r="G127" s="199"/>
      <c r="H127" s="199"/>
      <c r="I127" s="199"/>
      <c r="J127" s="199"/>
      <c r="K127" s="199"/>
      <c r="L127" s="198"/>
    </row>
    <row r="128" spans="3:12" ht="12" customHeight="1">
      <c r="C128" s="196"/>
      <c r="D128" s="197"/>
      <c r="E128" s="197"/>
      <c r="F128" s="21"/>
      <c r="G128" s="199"/>
      <c r="H128" s="199"/>
      <c r="I128" s="199"/>
      <c r="J128" s="199"/>
      <c r="K128" s="199"/>
      <c r="L128" s="198"/>
    </row>
    <row r="129" spans="3:12" ht="12" customHeight="1">
      <c r="C129" s="196"/>
      <c r="D129" s="197"/>
      <c r="E129" s="197"/>
      <c r="F129" s="21"/>
      <c r="G129" s="199"/>
      <c r="H129" s="199"/>
      <c r="I129" s="199"/>
      <c r="J129" s="199"/>
      <c r="K129" s="199"/>
      <c r="L129" s="198"/>
    </row>
    <row r="130" spans="3:12" ht="12" customHeight="1">
      <c r="C130" s="196"/>
      <c r="D130" s="197"/>
      <c r="E130" s="197"/>
      <c r="F130" s="21"/>
      <c r="G130" s="199"/>
      <c r="H130" s="199"/>
      <c r="I130" s="199"/>
      <c r="J130" s="199"/>
      <c r="K130" s="199"/>
      <c r="L130" s="198"/>
    </row>
    <row r="131" spans="3:12" ht="12" customHeight="1">
      <c r="C131" s="196"/>
      <c r="D131" s="197"/>
      <c r="E131" s="197"/>
      <c r="F131" s="21"/>
      <c r="G131" s="199"/>
      <c r="H131" s="199"/>
      <c r="I131" s="199"/>
      <c r="J131" s="199"/>
      <c r="K131" s="199"/>
      <c r="L131" s="198"/>
    </row>
    <row r="132" spans="3:12" ht="12" customHeight="1">
      <c r="C132" s="196"/>
      <c r="D132" s="197"/>
      <c r="E132" s="197"/>
      <c r="F132" s="21"/>
      <c r="G132" s="199"/>
      <c r="H132" s="199"/>
      <c r="I132" s="199"/>
      <c r="J132" s="199"/>
      <c r="K132" s="199"/>
      <c r="L132" s="198"/>
    </row>
    <row r="133" spans="3:12" ht="12" customHeight="1">
      <c r="C133" s="196"/>
      <c r="D133" s="197"/>
      <c r="E133" s="197"/>
      <c r="F133" s="21"/>
      <c r="G133" s="199"/>
      <c r="H133" s="199"/>
      <c r="I133" s="199"/>
      <c r="J133" s="199"/>
      <c r="K133" s="199"/>
      <c r="L133" s="198"/>
    </row>
    <row r="134" spans="3:12" ht="12" customHeight="1">
      <c r="C134" s="196"/>
      <c r="D134" s="197"/>
      <c r="E134" s="197"/>
      <c r="F134" s="21"/>
      <c r="G134" s="199"/>
      <c r="H134" s="199"/>
      <c r="I134" s="199"/>
      <c r="J134" s="199"/>
      <c r="K134" s="199"/>
      <c r="L134" s="198"/>
    </row>
    <row r="135" spans="3:12" ht="12" customHeight="1">
      <c r="C135" s="196"/>
      <c r="D135" s="197"/>
      <c r="E135" s="197"/>
      <c r="F135" s="21"/>
      <c r="G135" s="199"/>
      <c r="H135" s="199"/>
      <c r="I135" s="199"/>
      <c r="J135" s="199"/>
      <c r="K135" s="199"/>
      <c r="L135" s="198"/>
    </row>
    <row r="136" spans="3:12" ht="12" customHeight="1">
      <c r="C136" s="196"/>
      <c r="D136" s="197"/>
      <c r="E136" s="197"/>
      <c r="F136" s="21"/>
      <c r="G136" s="199"/>
      <c r="H136" s="199"/>
      <c r="I136" s="199"/>
      <c r="J136" s="199"/>
      <c r="K136" s="199"/>
      <c r="L136" s="198"/>
    </row>
    <row r="137" spans="3:12" ht="12" customHeight="1">
      <c r="C137" s="196"/>
      <c r="D137" s="197"/>
      <c r="E137" s="197"/>
      <c r="F137" s="21"/>
      <c r="G137" s="199"/>
      <c r="H137" s="199"/>
      <c r="I137" s="199"/>
      <c r="J137" s="199"/>
      <c r="K137" s="199"/>
      <c r="L137" s="198"/>
    </row>
    <row r="138" spans="3:12" ht="12" customHeight="1">
      <c r="C138" s="196"/>
      <c r="D138" s="197"/>
      <c r="E138" s="197"/>
      <c r="F138" s="21"/>
      <c r="G138" s="199"/>
      <c r="H138" s="199"/>
      <c r="I138" s="199"/>
      <c r="J138" s="199"/>
      <c r="K138" s="199"/>
      <c r="L138" s="198"/>
    </row>
    <row r="139" spans="3:12" ht="12" customHeight="1">
      <c r="C139" s="196"/>
      <c r="D139" s="197"/>
      <c r="E139" s="197"/>
      <c r="F139" s="21"/>
      <c r="G139" s="199"/>
      <c r="H139" s="199"/>
      <c r="I139" s="199"/>
      <c r="J139" s="199"/>
      <c r="K139" s="199"/>
      <c r="L139" s="198"/>
    </row>
    <row r="140" spans="3:12" ht="12" customHeight="1">
      <c r="C140" s="196"/>
      <c r="D140" s="197"/>
      <c r="E140" s="197"/>
      <c r="F140" s="21"/>
      <c r="G140" s="199"/>
      <c r="H140" s="199"/>
      <c r="I140" s="199"/>
      <c r="J140" s="199"/>
      <c r="K140" s="199"/>
      <c r="L140" s="198"/>
    </row>
    <row r="141" spans="3:12" ht="12" customHeight="1">
      <c r="C141" s="196"/>
      <c r="D141" s="197"/>
      <c r="E141" s="197"/>
      <c r="F141" s="21"/>
      <c r="G141" s="199"/>
      <c r="H141" s="199"/>
      <c r="I141" s="199"/>
      <c r="J141" s="199"/>
      <c r="K141" s="199"/>
      <c r="L141" s="198"/>
    </row>
    <row r="142" spans="3:12" ht="12" customHeight="1">
      <c r="C142" s="196"/>
      <c r="D142" s="197"/>
      <c r="E142" s="197"/>
      <c r="F142" s="21"/>
      <c r="G142" s="199"/>
      <c r="H142" s="199"/>
      <c r="I142" s="199"/>
      <c r="J142" s="199"/>
      <c r="K142" s="199"/>
      <c r="L142" s="198"/>
    </row>
    <row r="143" spans="3:12" ht="12" customHeight="1">
      <c r="C143" s="196"/>
      <c r="D143" s="197"/>
      <c r="E143" s="197"/>
      <c r="F143" s="21"/>
      <c r="G143" s="199"/>
      <c r="H143" s="199"/>
      <c r="I143" s="199"/>
      <c r="J143" s="199"/>
      <c r="K143" s="199"/>
      <c r="L143" s="198"/>
    </row>
    <row r="144" spans="3:12" ht="12" customHeight="1">
      <c r="C144" s="196"/>
      <c r="D144" s="197"/>
      <c r="E144" s="197"/>
      <c r="F144" s="21"/>
      <c r="G144" s="199"/>
      <c r="H144" s="199"/>
      <c r="I144" s="199"/>
      <c r="J144" s="199"/>
      <c r="K144" s="199"/>
      <c r="L144" s="198"/>
    </row>
    <row r="145" spans="3:12" ht="12" customHeight="1">
      <c r="C145" s="196"/>
      <c r="D145" s="197"/>
      <c r="E145" s="197"/>
      <c r="F145" s="21"/>
      <c r="G145" s="199"/>
      <c r="H145" s="199"/>
      <c r="I145" s="199"/>
      <c r="J145" s="199"/>
      <c r="K145" s="199"/>
      <c r="L145" s="198"/>
    </row>
    <row r="146" spans="3:12" ht="12" customHeight="1">
      <c r="C146" s="196"/>
      <c r="D146" s="197"/>
      <c r="E146" s="197"/>
      <c r="F146" s="21"/>
      <c r="G146" s="199"/>
      <c r="H146" s="199"/>
      <c r="I146" s="199"/>
      <c r="J146" s="199"/>
      <c r="K146" s="199"/>
      <c r="L146" s="198"/>
    </row>
    <row r="147" spans="3:12" ht="12" customHeight="1">
      <c r="C147" s="196"/>
      <c r="D147" s="197"/>
      <c r="E147" s="197"/>
      <c r="F147" s="21"/>
      <c r="G147" s="199"/>
      <c r="H147" s="199"/>
      <c r="I147" s="199"/>
      <c r="J147" s="199"/>
      <c r="K147" s="199"/>
      <c r="L147" s="198"/>
    </row>
    <row r="148" spans="3:12" ht="12" customHeight="1">
      <c r="C148" s="196"/>
      <c r="D148" s="197"/>
      <c r="E148" s="197"/>
      <c r="F148" s="21"/>
      <c r="G148" s="199"/>
      <c r="H148" s="199"/>
      <c r="I148" s="199"/>
      <c r="J148" s="199"/>
      <c r="K148" s="199"/>
      <c r="L148" s="198"/>
    </row>
    <row r="149" spans="3:12" ht="12" customHeight="1">
      <c r="C149" s="196"/>
      <c r="D149" s="197"/>
      <c r="E149" s="197"/>
      <c r="F149" s="21"/>
      <c r="G149" s="199"/>
      <c r="H149" s="199"/>
      <c r="I149" s="199"/>
      <c r="J149" s="199"/>
      <c r="K149" s="199"/>
      <c r="L149" s="198"/>
    </row>
    <row r="150" spans="3:12" ht="12" customHeight="1">
      <c r="C150" s="196"/>
      <c r="D150" s="197"/>
      <c r="E150" s="197"/>
      <c r="F150" s="21"/>
      <c r="G150" s="199"/>
      <c r="H150" s="199"/>
      <c r="I150" s="199"/>
      <c r="J150" s="199"/>
      <c r="K150" s="199"/>
      <c r="L150" s="198"/>
    </row>
    <row r="151" spans="3:12" ht="12" customHeight="1">
      <c r="C151" s="196"/>
      <c r="D151" s="197"/>
      <c r="E151" s="197"/>
      <c r="F151" s="21"/>
      <c r="G151" s="199"/>
      <c r="H151" s="199"/>
      <c r="I151" s="199"/>
      <c r="J151" s="199"/>
      <c r="K151" s="199"/>
      <c r="L151" s="198"/>
    </row>
    <row r="152" spans="3:12" ht="12" customHeight="1">
      <c r="C152" s="196"/>
      <c r="D152" s="197"/>
      <c r="E152" s="197"/>
      <c r="F152" s="21"/>
      <c r="G152" s="199"/>
      <c r="H152" s="199"/>
      <c r="I152" s="199"/>
      <c r="J152" s="199"/>
      <c r="K152" s="199"/>
      <c r="L152" s="198"/>
    </row>
    <row r="153" spans="3:12" ht="12" customHeight="1">
      <c r="C153" s="196"/>
      <c r="D153" s="197"/>
      <c r="E153" s="197"/>
      <c r="F153" s="21"/>
      <c r="G153" s="199"/>
      <c r="H153" s="199"/>
      <c r="I153" s="199"/>
      <c r="J153" s="199"/>
      <c r="K153" s="199"/>
      <c r="L153" s="198"/>
    </row>
    <row r="154" spans="3:12" ht="12" customHeight="1">
      <c r="C154" s="196"/>
      <c r="D154" s="197"/>
      <c r="E154" s="197"/>
      <c r="F154" s="21"/>
      <c r="G154" s="199"/>
      <c r="H154" s="199"/>
      <c r="I154" s="199"/>
      <c r="J154" s="199"/>
      <c r="K154" s="199"/>
      <c r="L154" s="198"/>
    </row>
    <row r="155" spans="3:12" ht="12" customHeight="1">
      <c r="C155" s="196"/>
      <c r="D155" s="197"/>
      <c r="E155" s="197"/>
      <c r="F155" s="21"/>
      <c r="G155" s="199"/>
      <c r="H155" s="199"/>
      <c r="I155" s="199"/>
      <c r="J155" s="199"/>
      <c r="K155" s="199"/>
      <c r="L155" s="198"/>
    </row>
    <row r="156" spans="3:12" ht="12" customHeight="1">
      <c r="C156" s="196"/>
      <c r="D156" s="197"/>
      <c r="E156" s="197"/>
      <c r="F156" s="21"/>
      <c r="G156" s="199"/>
      <c r="H156" s="199"/>
      <c r="I156" s="199"/>
      <c r="J156" s="199"/>
      <c r="K156" s="199"/>
      <c r="L156" s="198"/>
    </row>
    <row r="157" spans="3:12" ht="12" customHeight="1">
      <c r="C157" s="196"/>
      <c r="D157" s="197"/>
      <c r="E157" s="197"/>
      <c r="F157" s="21"/>
      <c r="G157" s="199"/>
      <c r="H157" s="199"/>
      <c r="I157" s="199"/>
      <c r="J157" s="199"/>
      <c r="K157" s="199"/>
      <c r="L157" s="198"/>
    </row>
    <row r="158" spans="3:12" ht="12" customHeight="1">
      <c r="C158" s="196"/>
      <c r="D158" s="197"/>
      <c r="E158" s="197"/>
      <c r="F158" s="21"/>
      <c r="G158" s="199"/>
      <c r="H158" s="199"/>
      <c r="I158" s="199"/>
      <c r="J158" s="199"/>
      <c r="K158" s="199"/>
      <c r="L158" s="198"/>
    </row>
    <row r="159" spans="3:12" ht="12" customHeight="1">
      <c r="C159" s="196"/>
      <c r="D159" s="197"/>
      <c r="E159" s="197"/>
      <c r="F159" s="21"/>
      <c r="G159" s="199"/>
      <c r="H159" s="199"/>
      <c r="I159" s="199"/>
      <c r="J159" s="199"/>
      <c r="K159" s="199"/>
      <c r="L159" s="198"/>
    </row>
    <row r="160" spans="3:12" ht="12" customHeight="1">
      <c r="C160" s="196"/>
      <c r="D160" s="197"/>
      <c r="E160" s="197"/>
      <c r="F160" s="21"/>
      <c r="G160" s="199"/>
      <c r="H160" s="199"/>
      <c r="I160" s="199"/>
      <c r="J160" s="199"/>
      <c r="K160" s="199"/>
      <c r="L160" s="198"/>
    </row>
    <row r="161" spans="3:12" ht="12" customHeight="1">
      <c r="C161" s="196"/>
      <c r="D161" s="197"/>
      <c r="E161" s="197"/>
      <c r="F161" s="21"/>
      <c r="G161" s="199"/>
      <c r="H161" s="199"/>
      <c r="I161" s="199"/>
      <c r="J161" s="199"/>
      <c r="K161" s="199"/>
      <c r="L161" s="198"/>
    </row>
    <row r="162" spans="3:12" ht="12" customHeight="1">
      <c r="C162" s="196"/>
      <c r="D162" s="197"/>
      <c r="E162" s="197"/>
      <c r="F162" s="21"/>
      <c r="G162" s="199"/>
      <c r="H162" s="199"/>
      <c r="I162" s="199"/>
      <c r="J162" s="199"/>
      <c r="K162" s="199"/>
      <c r="L162" s="198"/>
    </row>
    <row r="163" spans="3:12" ht="12" customHeight="1">
      <c r="C163" s="196"/>
      <c r="D163" s="197"/>
      <c r="E163" s="197"/>
      <c r="F163" s="21"/>
      <c r="G163" s="199"/>
      <c r="H163" s="199"/>
      <c r="I163" s="199"/>
      <c r="J163" s="199"/>
      <c r="K163" s="199"/>
      <c r="L163" s="198"/>
    </row>
    <row r="164" spans="3:12" ht="12" customHeight="1">
      <c r="C164" s="196"/>
      <c r="D164" s="197"/>
      <c r="E164" s="197"/>
      <c r="F164" s="21"/>
      <c r="G164" s="199"/>
      <c r="H164" s="199"/>
      <c r="I164" s="199"/>
      <c r="J164" s="199"/>
      <c r="K164" s="199"/>
      <c r="L164" s="198"/>
    </row>
    <row r="165" spans="3:12" ht="12" customHeight="1">
      <c r="C165" s="196"/>
      <c r="D165" s="197"/>
      <c r="E165" s="197"/>
      <c r="F165" s="21"/>
      <c r="G165" s="199"/>
      <c r="H165" s="199"/>
      <c r="I165" s="199"/>
      <c r="J165" s="199"/>
      <c r="K165" s="199"/>
      <c r="L165" s="198"/>
    </row>
    <row r="166" spans="3:12" ht="12" customHeight="1">
      <c r="C166" s="196"/>
      <c r="D166" s="197"/>
      <c r="E166" s="197"/>
      <c r="F166" s="21"/>
      <c r="G166" s="199"/>
      <c r="H166" s="199"/>
      <c r="I166" s="199"/>
      <c r="J166" s="199"/>
      <c r="K166" s="199"/>
      <c r="L166" s="198"/>
    </row>
    <row r="167" spans="3:12" ht="12" customHeight="1">
      <c r="C167" s="196"/>
      <c r="D167" s="197"/>
      <c r="E167" s="197"/>
      <c r="F167" s="21"/>
      <c r="G167" s="199"/>
      <c r="H167" s="199"/>
      <c r="I167" s="199"/>
      <c r="J167" s="199"/>
      <c r="K167" s="199"/>
      <c r="L167" s="198"/>
    </row>
    <row r="168" spans="3:12" ht="12" customHeight="1">
      <c r="C168" s="196"/>
      <c r="D168" s="197"/>
      <c r="E168" s="197"/>
      <c r="F168" s="21"/>
      <c r="G168" s="199"/>
      <c r="H168" s="199"/>
      <c r="I168" s="199"/>
      <c r="J168" s="199"/>
      <c r="K168" s="199"/>
      <c r="L168" s="198"/>
    </row>
    <row r="169" spans="3:12" ht="12" customHeight="1">
      <c r="C169" s="196"/>
      <c r="D169" s="197"/>
      <c r="E169" s="197"/>
      <c r="F169" s="21"/>
      <c r="G169" s="199"/>
      <c r="H169" s="199"/>
      <c r="I169" s="199"/>
      <c r="J169" s="199"/>
      <c r="K169" s="199"/>
      <c r="L169" s="198"/>
    </row>
    <row r="170" spans="3:12" ht="12" customHeight="1">
      <c r="C170" s="196"/>
      <c r="D170" s="197"/>
      <c r="E170" s="197"/>
      <c r="F170" s="21"/>
      <c r="G170" s="199"/>
      <c r="H170" s="199"/>
      <c r="I170" s="199"/>
      <c r="J170" s="199"/>
      <c r="K170" s="199"/>
      <c r="L170" s="198"/>
    </row>
    <row r="171" spans="3:12" ht="12" customHeight="1">
      <c r="C171" s="196"/>
      <c r="D171" s="197"/>
      <c r="E171" s="197"/>
      <c r="F171" s="21"/>
      <c r="G171" s="199"/>
      <c r="H171" s="199"/>
      <c r="I171" s="199"/>
      <c r="J171" s="199"/>
      <c r="K171" s="199"/>
      <c r="L171" s="198"/>
    </row>
    <row r="172" spans="3:12" ht="12" customHeight="1">
      <c r="C172" s="196"/>
      <c r="D172" s="197"/>
      <c r="E172" s="197"/>
      <c r="F172" s="21"/>
      <c r="G172" s="199"/>
      <c r="H172" s="199"/>
      <c r="I172" s="199"/>
      <c r="J172" s="199"/>
      <c r="K172" s="199"/>
      <c r="L172" s="198"/>
    </row>
    <row r="173" spans="3:12" ht="12" customHeight="1">
      <c r="C173" s="196"/>
      <c r="D173" s="197"/>
      <c r="E173" s="197"/>
      <c r="F173" s="21"/>
      <c r="G173" s="199"/>
      <c r="H173" s="199"/>
      <c r="I173" s="199"/>
      <c r="J173" s="199"/>
      <c r="K173" s="199"/>
      <c r="L173" s="198"/>
    </row>
    <row r="174" spans="3:12" ht="12" customHeight="1">
      <c r="C174" s="196"/>
      <c r="D174" s="197"/>
      <c r="E174" s="197"/>
      <c r="F174" s="21"/>
      <c r="G174" s="199"/>
      <c r="H174" s="199"/>
      <c r="I174" s="199"/>
      <c r="J174" s="199"/>
      <c r="K174" s="199"/>
      <c r="L174" s="198"/>
    </row>
    <row r="175" spans="3:12" ht="12" customHeight="1">
      <c r="C175" s="196"/>
      <c r="D175" s="197"/>
      <c r="E175" s="197"/>
      <c r="F175" s="21"/>
      <c r="G175" s="199"/>
      <c r="H175" s="199"/>
      <c r="I175" s="199"/>
      <c r="J175" s="199"/>
      <c r="K175" s="199"/>
      <c r="L175" s="198"/>
    </row>
    <row r="176" spans="3:12" ht="12" customHeight="1">
      <c r="C176" s="196"/>
      <c r="D176" s="197"/>
      <c r="E176" s="197"/>
      <c r="F176" s="21"/>
      <c r="G176" s="199"/>
      <c r="H176" s="199"/>
      <c r="I176" s="199"/>
      <c r="J176" s="199"/>
      <c r="K176" s="199"/>
      <c r="L176" s="198"/>
    </row>
    <row r="177" spans="3:12" ht="12" customHeight="1">
      <c r="C177" s="196"/>
      <c r="D177" s="197"/>
      <c r="E177" s="197"/>
      <c r="F177" s="21"/>
      <c r="G177" s="199"/>
      <c r="H177" s="199"/>
      <c r="I177" s="199"/>
      <c r="J177" s="199"/>
      <c r="K177" s="199"/>
      <c r="L177" s="198"/>
    </row>
    <row r="178" spans="3:12" ht="12" customHeight="1">
      <c r="C178" s="196"/>
      <c r="D178" s="197"/>
      <c r="E178" s="197"/>
      <c r="F178" s="21"/>
      <c r="G178" s="199"/>
      <c r="H178" s="199"/>
      <c r="I178" s="199"/>
      <c r="J178" s="199"/>
      <c r="K178" s="199"/>
      <c r="L178" s="198"/>
    </row>
    <row r="179" spans="3:12" ht="12" customHeight="1">
      <c r="C179" s="196"/>
      <c r="D179" s="197"/>
      <c r="E179" s="197"/>
      <c r="F179" s="21"/>
      <c r="G179" s="199"/>
      <c r="H179" s="199"/>
      <c r="I179" s="199"/>
      <c r="J179" s="199"/>
      <c r="K179" s="199"/>
      <c r="L179" s="198"/>
    </row>
    <row r="180" spans="3:12" ht="12" customHeight="1">
      <c r="C180" s="196"/>
      <c r="D180" s="197"/>
      <c r="E180" s="197"/>
      <c r="F180" s="21"/>
      <c r="G180" s="199"/>
      <c r="H180" s="199"/>
      <c r="I180" s="199"/>
      <c r="J180" s="199"/>
      <c r="K180" s="199"/>
      <c r="L180" s="198"/>
    </row>
    <row r="181" spans="3:12" ht="12" customHeight="1">
      <c r="C181" s="196"/>
      <c r="D181" s="197"/>
      <c r="E181" s="197"/>
      <c r="F181" s="21"/>
      <c r="G181" s="199"/>
      <c r="H181" s="199"/>
      <c r="I181" s="199"/>
      <c r="J181" s="199"/>
      <c r="K181" s="199"/>
      <c r="L181" s="198"/>
    </row>
    <row r="182" spans="3:12" ht="12" customHeight="1">
      <c r="C182" s="196"/>
      <c r="D182" s="197"/>
      <c r="E182" s="197"/>
      <c r="F182" s="21"/>
      <c r="G182" s="199"/>
      <c r="H182" s="199"/>
      <c r="I182" s="199"/>
      <c r="J182" s="199"/>
      <c r="K182" s="199"/>
      <c r="L182" s="198"/>
    </row>
    <row r="183" spans="3:12" ht="12" customHeight="1">
      <c r="C183" s="196"/>
      <c r="D183" s="197"/>
      <c r="E183" s="197"/>
      <c r="F183" s="21"/>
      <c r="G183" s="199"/>
      <c r="H183" s="199"/>
      <c r="I183" s="199"/>
      <c r="J183" s="199"/>
      <c r="K183" s="199"/>
      <c r="L183" s="198"/>
    </row>
    <row r="184" spans="3:12" ht="12" customHeight="1">
      <c r="C184" s="196"/>
      <c r="D184" s="197"/>
      <c r="E184" s="197"/>
      <c r="F184" s="21"/>
      <c r="G184" s="199"/>
      <c r="H184" s="199"/>
      <c r="I184" s="199"/>
      <c r="J184" s="199"/>
      <c r="K184" s="199"/>
      <c r="L184" s="198"/>
    </row>
    <row r="185" spans="3:12" ht="12" customHeight="1">
      <c r="C185" s="196"/>
      <c r="D185" s="197"/>
      <c r="E185" s="197"/>
      <c r="F185" s="21"/>
      <c r="G185" s="199"/>
      <c r="H185" s="199"/>
      <c r="I185" s="199"/>
      <c r="J185" s="199"/>
      <c r="K185" s="199"/>
      <c r="L185" s="198"/>
    </row>
    <row r="186" spans="3:12" ht="12" customHeight="1">
      <c r="C186" s="196"/>
      <c r="D186" s="197"/>
      <c r="E186" s="197"/>
      <c r="F186" s="21"/>
      <c r="G186" s="199"/>
      <c r="H186" s="199"/>
      <c r="I186" s="199"/>
      <c r="J186" s="199"/>
      <c r="K186" s="199"/>
      <c r="L186" s="198"/>
    </row>
    <row r="187" spans="3:12" ht="12" customHeight="1">
      <c r="C187" s="196"/>
      <c r="D187" s="197"/>
      <c r="E187" s="197"/>
      <c r="F187" s="21"/>
      <c r="G187" s="199"/>
      <c r="H187" s="199"/>
      <c r="I187" s="199"/>
      <c r="J187" s="199"/>
      <c r="K187" s="199"/>
      <c r="L187" s="198"/>
    </row>
    <row r="188" spans="3:12" ht="12" customHeight="1">
      <c r="C188" s="196"/>
      <c r="D188" s="197"/>
      <c r="E188" s="197"/>
      <c r="F188" s="21"/>
      <c r="G188" s="199"/>
      <c r="H188" s="199"/>
      <c r="I188" s="199"/>
      <c r="J188" s="199"/>
      <c r="K188" s="199"/>
      <c r="L188" s="198"/>
    </row>
    <row r="189" spans="3:12" ht="12" customHeight="1">
      <c r="C189" s="196"/>
      <c r="D189" s="197"/>
      <c r="E189" s="197"/>
      <c r="F189" s="21"/>
      <c r="G189" s="199"/>
      <c r="H189" s="199"/>
      <c r="I189" s="199"/>
      <c r="J189" s="199"/>
      <c r="K189" s="199"/>
      <c r="L189" s="198"/>
    </row>
    <row r="190" spans="3:12" ht="12" customHeight="1">
      <c r="C190" s="196"/>
      <c r="D190" s="197"/>
      <c r="E190" s="197"/>
      <c r="F190" s="21"/>
      <c r="G190" s="199"/>
      <c r="H190" s="199"/>
      <c r="I190" s="199"/>
      <c r="J190" s="199"/>
      <c r="K190" s="199"/>
      <c r="L190" s="198"/>
    </row>
    <row r="191" spans="3:12" ht="12" customHeight="1">
      <c r="C191" s="196"/>
      <c r="D191" s="197"/>
      <c r="E191" s="197"/>
      <c r="F191" s="21"/>
      <c r="G191" s="199"/>
      <c r="H191" s="199"/>
      <c r="I191" s="199"/>
      <c r="J191" s="199"/>
      <c r="K191" s="199"/>
      <c r="L191" s="198"/>
    </row>
    <row r="192" spans="3:12" ht="12" customHeight="1">
      <c r="C192" s="196"/>
      <c r="D192" s="197"/>
      <c r="E192" s="197"/>
      <c r="F192" s="21"/>
      <c r="G192" s="199"/>
      <c r="H192" s="199"/>
      <c r="I192" s="199"/>
      <c r="J192" s="199"/>
      <c r="K192" s="199"/>
      <c r="L192" s="198"/>
    </row>
    <row r="193" spans="3:12" ht="12" customHeight="1">
      <c r="C193" s="196"/>
      <c r="D193" s="197"/>
      <c r="E193" s="197"/>
      <c r="F193" s="21"/>
      <c r="G193" s="199"/>
      <c r="H193" s="199"/>
      <c r="I193" s="199"/>
      <c r="J193" s="199"/>
      <c r="K193" s="199"/>
      <c r="L193" s="198"/>
    </row>
    <row r="194" spans="3:12" ht="12" customHeight="1">
      <c r="C194" s="196"/>
      <c r="D194" s="197"/>
      <c r="E194" s="197"/>
      <c r="F194" s="21"/>
      <c r="G194" s="199"/>
      <c r="H194" s="199"/>
      <c r="I194" s="199"/>
      <c r="J194" s="199"/>
      <c r="K194" s="199"/>
      <c r="L194" s="198"/>
    </row>
    <row r="195" spans="3:12" ht="12" customHeight="1">
      <c r="C195" s="196"/>
      <c r="D195" s="197"/>
      <c r="E195" s="197"/>
      <c r="F195" s="21"/>
      <c r="G195" s="199"/>
      <c r="H195" s="199"/>
      <c r="I195" s="199"/>
      <c r="J195" s="199"/>
      <c r="K195" s="199"/>
      <c r="L195" s="198"/>
    </row>
    <row r="196" spans="3:12" ht="12" customHeight="1">
      <c r="C196" s="196"/>
      <c r="D196" s="197"/>
      <c r="E196" s="197"/>
      <c r="F196" s="21"/>
      <c r="G196" s="199"/>
      <c r="H196" s="199"/>
      <c r="I196" s="199"/>
      <c r="J196" s="199"/>
      <c r="K196" s="199"/>
      <c r="L196" s="198"/>
    </row>
    <row r="197" spans="3:12" ht="12" customHeight="1">
      <c r="C197" s="196"/>
      <c r="D197" s="197"/>
      <c r="E197" s="197"/>
      <c r="F197" s="21"/>
      <c r="G197" s="199"/>
      <c r="H197" s="199"/>
      <c r="I197" s="199"/>
      <c r="J197" s="199"/>
      <c r="K197" s="199"/>
      <c r="L197" s="198"/>
    </row>
    <row r="198" spans="3:12" ht="12" customHeight="1">
      <c r="C198" s="196"/>
      <c r="D198" s="197"/>
      <c r="E198" s="197"/>
      <c r="F198" s="21"/>
      <c r="G198" s="199"/>
      <c r="H198" s="199"/>
      <c r="I198" s="199"/>
      <c r="J198" s="199"/>
      <c r="K198" s="199"/>
      <c r="L198" s="198"/>
    </row>
    <row r="199" spans="3:12" ht="12" customHeight="1">
      <c r="C199" s="196"/>
      <c r="D199" s="197"/>
      <c r="E199" s="197"/>
      <c r="F199" s="21"/>
      <c r="G199" s="199"/>
      <c r="H199" s="199"/>
      <c r="I199" s="199"/>
      <c r="J199" s="199"/>
      <c r="K199" s="199"/>
      <c r="L199" s="198"/>
    </row>
    <row r="200" spans="3:12" ht="12" customHeight="1">
      <c r="C200" s="196"/>
      <c r="D200" s="197"/>
      <c r="E200" s="197"/>
      <c r="F200" s="21"/>
      <c r="G200" s="199"/>
      <c r="H200" s="199"/>
      <c r="I200" s="199"/>
      <c r="J200" s="199"/>
      <c r="K200" s="199"/>
      <c r="L200" s="198"/>
    </row>
    <row r="201" spans="3:12" ht="12" customHeight="1">
      <c r="C201" s="196"/>
      <c r="D201" s="197"/>
      <c r="E201" s="197"/>
      <c r="F201" s="21"/>
      <c r="G201" s="199"/>
      <c r="H201" s="199"/>
      <c r="I201" s="199"/>
      <c r="J201" s="199"/>
      <c r="K201" s="199"/>
      <c r="L201" s="198"/>
    </row>
    <row r="202" spans="3:12" ht="12" customHeight="1">
      <c r="C202" s="196"/>
      <c r="D202" s="197"/>
      <c r="E202" s="197"/>
      <c r="F202" s="21"/>
      <c r="G202" s="199"/>
      <c r="H202" s="199"/>
      <c r="I202" s="199"/>
      <c r="J202" s="199"/>
      <c r="K202" s="199"/>
      <c r="L202" s="198"/>
    </row>
    <row r="203" spans="3:12" ht="12" customHeight="1">
      <c r="C203" s="196"/>
      <c r="D203" s="197"/>
      <c r="E203" s="197"/>
      <c r="F203" s="21"/>
      <c r="G203" s="199"/>
      <c r="H203" s="199"/>
      <c r="I203" s="199"/>
      <c r="J203" s="199"/>
      <c r="K203" s="199"/>
      <c r="L203" s="198"/>
    </row>
    <row r="204" spans="3:12" ht="12" customHeight="1">
      <c r="C204" s="196"/>
      <c r="D204" s="197"/>
      <c r="E204" s="197"/>
      <c r="F204" s="21"/>
      <c r="G204" s="199"/>
      <c r="H204" s="199"/>
      <c r="I204" s="199"/>
      <c r="J204" s="199"/>
      <c r="K204" s="199"/>
      <c r="L204" s="198"/>
    </row>
    <row r="205" spans="3:12" ht="12" customHeight="1">
      <c r="C205" s="196"/>
      <c r="D205" s="197"/>
      <c r="E205" s="197"/>
      <c r="F205" s="21"/>
      <c r="G205" s="199"/>
      <c r="H205" s="199"/>
      <c r="I205" s="199"/>
      <c r="J205" s="199"/>
      <c r="K205" s="199"/>
      <c r="L205" s="198"/>
    </row>
    <row r="206" spans="3:12" ht="12" customHeight="1">
      <c r="C206" s="196"/>
      <c r="D206" s="197"/>
      <c r="E206" s="197"/>
      <c r="F206" s="21"/>
      <c r="G206" s="199"/>
      <c r="H206" s="199"/>
      <c r="I206" s="199"/>
      <c r="J206" s="199"/>
      <c r="K206" s="199"/>
      <c r="L206" s="198"/>
    </row>
    <row r="207" spans="3:12" ht="12" customHeight="1">
      <c r="C207" s="196"/>
      <c r="D207" s="197"/>
      <c r="E207" s="197"/>
      <c r="F207" s="21"/>
      <c r="G207" s="199"/>
      <c r="H207" s="199"/>
      <c r="I207" s="199"/>
      <c r="J207" s="199"/>
      <c r="K207" s="199"/>
      <c r="L207" s="198"/>
    </row>
    <row r="208" spans="3:12" ht="12" customHeight="1">
      <c r="C208" s="196"/>
      <c r="D208" s="197"/>
      <c r="E208" s="197"/>
      <c r="F208" s="21"/>
      <c r="G208" s="199"/>
      <c r="H208" s="199"/>
      <c r="I208" s="199"/>
      <c r="J208" s="199"/>
      <c r="K208" s="199"/>
      <c r="L208" s="198"/>
    </row>
    <row r="209" spans="3:12" ht="12" customHeight="1">
      <c r="C209" s="196"/>
      <c r="D209" s="197"/>
      <c r="E209" s="197"/>
      <c r="F209" s="21"/>
      <c r="G209" s="199"/>
      <c r="H209" s="199"/>
      <c r="I209" s="199"/>
      <c r="J209" s="199"/>
      <c r="K209" s="199"/>
      <c r="L209" s="198"/>
    </row>
    <row r="210" spans="3:12" ht="12" customHeight="1">
      <c r="C210" s="196"/>
      <c r="D210" s="197"/>
      <c r="E210" s="197"/>
      <c r="F210" s="21"/>
      <c r="G210" s="199"/>
      <c r="H210" s="199"/>
      <c r="I210" s="199"/>
      <c r="J210" s="199"/>
      <c r="K210" s="199"/>
      <c r="L210" s="198"/>
    </row>
    <row r="211" spans="3:12" ht="12" customHeight="1">
      <c r="C211" s="196"/>
      <c r="D211" s="197"/>
      <c r="E211" s="197"/>
      <c r="F211" s="21"/>
      <c r="G211" s="199"/>
      <c r="H211" s="199"/>
      <c r="I211" s="199"/>
      <c r="J211" s="199"/>
      <c r="K211" s="199"/>
      <c r="L211" s="198"/>
    </row>
    <row r="212" spans="3:12" ht="12" customHeight="1">
      <c r="C212" s="196"/>
      <c r="D212" s="197"/>
      <c r="E212" s="197"/>
      <c r="F212" s="21"/>
      <c r="G212" s="199"/>
      <c r="H212" s="199"/>
      <c r="I212" s="199"/>
      <c r="J212" s="199"/>
      <c r="K212" s="199"/>
      <c r="L212" s="198"/>
    </row>
    <row r="213" spans="3:12" ht="12" customHeight="1">
      <c r="C213" s="196"/>
      <c r="D213" s="197"/>
      <c r="E213" s="197"/>
      <c r="F213" s="21"/>
      <c r="G213" s="199"/>
      <c r="H213" s="199"/>
      <c r="I213" s="199"/>
      <c r="J213" s="199"/>
      <c r="K213" s="199"/>
      <c r="L213" s="198"/>
    </row>
    <row r="214" spans="3:12" ht="12" customHeight="1">
      <c r="C214" s="196"/>
      <c r="D214" s="197"/>
      <c r="E214" s="197"/>
      <c r="F214" s="21"/>
      <c r="G214" s="199"/>
      <c r="H214" s="199"/>
      <c r="I214" s="199"/>
      <c r="J214" s="199"/>
      <c r="K214" s="199"/>
      <c r="L214" s="198"/>
    </row>
    <row r="215" spans="3:12" ht="12" customHeight="1">
      <c r="C215" s="196"/>
      <c r="D215" s="197"/>
      <c r="E215" s="197"/>
      <c r="F215" s="21"/>
      <c r="G215" s="199"/>
      <c r="H215" s="199"/>
      <c r="I215" s="199"/>
      <c r="J215" s="199"/>
      <c r="K215" s="199"/>
      <c r="L215" s="198"/>
    </row>
    <row r="216" spans="3:12" ht="12" customHeight="1">
      <c r="C216" s="196"/>
      <c r="D216" s="197"/>
      <c r="E216" s="197"/>
      <c r="F216" s="21"/>
      <c r="G216" s="199"/>
      <c r="H216" s="199"/>
      <c r="I216" s="199"/>
      <c r="J216" s="199"/>
      <c r="K216" s="199"/>
      <c r="L216" s="198"/>
    </row>
    <row r="217" spans="3:12" ht="12" customHeight="1">
      <c r="C217" s="196"/>
      <c r="D217" s="197"/>
      <c r="E217" s="197"/>
      <c r="F217" s="21"/>
      <c r="G217" s="199"/>
      <c r="H217" s="199"/>
      <c r="I217" s="199"/>
      <c r="J217" s="199"/>
      <c r="K217" s="199"/>
      <c r="L217" s="198"/>
    </row>
    <row r="218" spans="3:12" ht="12" customHeight="1">
      <c r="C218" s="196"/>
      <c r="D218" s="197"/>
      <c r="E218" s="197"/>
      <c r="F218" s="21"/>
      <c r="G218" s="199"/>
      <c r="H218" s="199"/>
      <c r="I218" s="199"/>
      <c r="J218" s="199"/>
      <c r="K218" s="199"/>
      <c r="L218" s="198"/>
    </row>
    <row r="219" spans="3:12" ht="12" customHeight="1">
      <c r="C219" s="196"/>
      <c r="D219" s="197"/>
      <c r="E219" s="197"/>
      <c r="F219" s="21"/>
      <c r="G219" s="199"/>
      <c r="H219" s="199"/>
      <c r="I219" s="199"/>
      <c r="J219" s="199"/>
      <c r="K219" s="199"/>
      <c r="L219" s="198"/>
    </row>
    <row r="220" spans="3:12" ht="12" customHeight="1">
      <c r="C220" s="196"/>
      <c r="D220" s="197"/>
      <c r="E220" s="197"/>
      <c r="F220" s="21"/>
      <c r="G220" s="199"/>
      <c r="H220" s="199"/>
      <c r="I220" s="199"/>
      <c r="J220" s="199"/>
      <c r="K220" s="199"/>
      <c r="L220" s="198"/>
    </row>
    <row r="221" spans="3:12" ht="12" customHeight="1">
      <c r="C221" s="196"/>
      <c r="D221" s="197"/>
      <c r="E221" s="197"/>
      <c r="F221" s="21"/>
      <c r="G221" s="199"/>
      <c r="H221" s="199"/>
      <c r="I221" s="199"/>
      <c r="J221" s="199"/>
      <c r="K221" s="199"/>
      <c r="L221" s="198"/>
    </row>
    <row r="222" spans="3:12" ht="12" customHeight="1">
      <c r="C222" s="196"/>
      <c r="D222" s="197"/>
      <c r="E222" s="197"/>
      <c r="F222" s="21"/>
      <c r="G222" s="199"/>
      <c r="H222" s="199"/>
      <c r="I222" s="199"/>
      <c r="J222" s="199"/>
      <c r="K222" s="199"/>
      <c r="L222" s="198"/>
    </row>
    <row r="223" spans="3:12" ht="12" customHeight="1">
      <c r="C223" s="196"/>
      <c r="D223" s="197"/>
      <c r="E223" s="197"/>
      <c r="F223" s="21"/>
      <c r="G223" s="199"/>
      <c r="H223" s="199"/>
      <c r="I223" s="199"/>
      <c r="J223" s="199"/>
      <c r="K223" s="199"/>
      <c r="L223" s="198"/>
    </row>
    <row r="224" spans="3:12" ht="12" customHeight="1">
      <c r="C224" s="196"/>
      <c r="D224" s="197"/>
      <c r="E224" s="197"/>
      <c r="F224" s="21"/>
      <c r="G224" s="199"/>
      <c r="H224" s="199"/>
      <c r="I224" s="199"/>
      <c r="J224" s="199"/>
      <c r="K224" s="199"/>
      <c r="L224" s="198"/>
    </row>
    <row r="225" spans="3:12" ht="12" customHeight="1">
      <c r="C225" s="196"/>
      <c r="D225" s="197"/>
      <c r="E225" s="197"/>
      <c r="F225" s="21"/>
      <c r="G225" s="199"/>
      <c r="H225" s="199"/>
      <c r="I225" s="199"/>
      <c r="J225" s="199"/>
      <c r="K225" s="199"/>
      <c r="L225" s="198"/>
    </row>
    <row r="226" spans="3:12" ht="12" customHeight="1">
      <c r="C226" s="196"/>
      <c r="D226" s="197"/>
      <c r="E226" s="197"/>
      <c r="F226" s="21"/>
      <c r="G226" s="199"/>
      <c r="H226" s="199"/>
      <c r="I226" s="199"/>
      <c r="J226" s="199"/>
      <c r="K226" s="199"/>
      <c r="L226" s="198"/>
    </row>
    <row r="227" spans="3:12" ht="12" customHeight="1">
      <c r="C227" s="196"/>
      <c r="D227" s="197"/>
      <c r="E227" s="197"/>
      <c r="F227" s="21"/>
      <c r="G227" s="199"/>
      <c r="H227" s="199"/>
      <c r="I227" s="199"/>
      <c r="J227" s="199"/>
      <c r="K227" s="199"/>
      <c r="L227" s="198"/>
    </row>
    <row r="228" spans="3:12" ht="12" customHeight="1">
      <c r="C228" s="196"/>
      <c r="D228" s="197"/>
      <c r="E228" s="197"/>
      <c r="F228" s="21"/>
      <c r="G228" s="199"/>
      <c r="H228" s="199"/>
      <c r="I228" s="199"/>
      <c r="J228" s="199"/>
      <c r="K228" s="199"/>
      <c r="L228" s="198"/>
    </row>
    <row r="229" spans="3:12" ht="12" customHeight="1">
      <c r="C229" s="196"/>
      <c r="D229" s="197"/>
      <c r="E229" s="197"/>
      <c r="F229" s="21"/>
      <c r="G229" s="199"/>
      <c r="H229" s="199"/>
      <c r="I229" s="199"/>
      <c r="J229" s="199"/>
      <c r="K229" s="199"/>
      <c r="L229" s="198"/>
    </row>
    <row r="230" spans="3:12" ht="12" customHeight="1">
      <c r="C230" s="196"/>
      <c r="D230" s="197"/>
      <c r="E230" s="197"/>
      <c r="F230" s="21"/>
      <c r="G230" s="199"/>
      <c r="H230" s="199"/>
      <c r="I230" s="199"/>
      <c r="J230" s="199"/>
      <c r="K230" s="199"/>
      <c r="L230" s="198"/>
    </row>
    <row r="231" spans="3:12" ht="12" customHeight="1">
      <c r="C231" s="196"/>
      <c r="D231" s="197"/>
      <c r="E231" s="197"/>
      <c r="F231" s="21"/>
      <c r="G231" s="199"/>
      <c r="H231" s="199"/>
      <c r="I231" s="199"/>
      <c r="J231" s="199"/>
      <c r="K231" s="199"/>
      <c r="L231" s="198"/>
    </row>
    <row r="232" spans="3:12" ht="12" customHeight="1">
      <c r="C232" s="196"/>
      <c r="D232" s="197"/>
      <c r="E232" s="197"/>
      <c r="F232" s="21"/>
      <c r="G232" s="199"/>
      <c r="H232" s="199"/>
      <c r="I232" s="199"/>
      <c r="J232" s="199"/>
      <c r="K232" s="199"/>
      <c r="L232" s="198"/>
    </row>
    <row r="233" spans="3:12" ht="12" customHeight="1">
      <c r="C233" s="196"/>
      <c r="D233" s="197"/>
      <c r="E233" s="197"/>
      <c r="F233" s="21"/>
      <c r="G233" s="199"/>
      <c r="H233" s="199"/>
      <c r="I233" s="199"/>
      <c r="J233" s="199"/>
      <c r="K233" s="199"/>
      <c r="L233" s="198"/>
    </row>
    <row r="234" spans="3:12" ht="12" customHeight="1">
      <c r="C234" s="196"/>
      <c r="D234" s="197"/>
      <c r="E234" s="197"/>
      <c r="F234" s="21"/>
      <c r="G234" s="199"/>
      <c r="H234" s="199"/>
      <c r="I234" s="199"/>
      <c r="J234" s="199"/>
      <c r="K234" s="199"/>
      <c r="L234" s="198"/>
    </row>
    <row r="235" spans="3:12" ht="12" customHeight="1">
      <c r="C235" s="196"/>
      <c r="D235" s="197"/>
      <c r="E235" s="197"/>
      <c r="F235" s="21"/>
      <c r="G235" s="199"/>
      <c r="H235" s="199"/>
      <c r="I235" s="199"/>
      <c r="J235" s="199"/>
      <c r="K235" s="199"/>
      <c r="L235" s="198"/>
    </row>
    <row r="236" spans="3:12" ht="12" customHeight="1">
      <c r="C236" s="196"/>
      <c r="D236" s="197"/>
      <c r="E236" s="197"/>
      <c r="F236" s="21"/>
      <c r="G236" s="199"/>
      <c r="H236" s="199"/>
      <c r="I236" s="199"/>
      <c r="J236" s="199"/>
      <c r="K236" s="199"/>
      <c r="L236" s="198"/>
    </row>
    <row r="237" spans="3:12" ht="12" customHeight="1">
      <c r="C237" s="196"/>
      <c r="D237" s="197"/>
      <c r="E237" s="197"/>
      <c r="F237" s="21"/>
      <c r="G237" s="199"/>
      <c r="H237" s="199"/>
      <c r="I237" s="199"/>
      <c r="J237" s="199"/>
      <c r="K237" s="199"/>
      <c r="L237" s="198"/>
    </row>
    <row r="238" spans="3:12" ht="12" customHeight="1">
      <c r="C238" s="196"/>
      <c r="D238" s="197"/>
      <c r="E238" s="197"/>
      <c r="F238" s="21"/>
      <c r="G238" s="199"/>
      <c r="H238" s="199"/>
      <c r="I238" s="199"/>
      <c r="J238" s="199"/>
      <c r="K238" s="199"/>
      <c r="L238" s="198"/>
    </row>
    <row r="239" spans="3:12" ht="12" customHeight="1">
      <c r="C239" s="196"/>
      <c r="D239" s="197"/>
      <c r="E239" s="197"/>
      <c r="F239" s="21"/>
      <c r="G239" s="199"/>
      <c r="H239" s="199"/>
      <c r="I239" s="199"/>
      <c r="J239" s="199"/>
      <c r="K239" s="199"/>
      <c r="L239" s="198"/>
    </row>
    <row r="240" spans="3:12" ht="12" customHeight="1">
      <c r="C240" s="196"/>
      <c r="D240" s="197"/>
      <c r="E240" s="197"/>
      <c r="F240" s="21"/>
      <c r="G240" s="199"/>
      <c r="H240" s="199"/>
      <c r="I240" s="199"/>
      <c r="J240" s="199"/>
      <c r="K240" s="199"/>
      <c r="L240" s="198"/>
    </row>
    <row r="241" spans="3:12" ht="12" customHeight="1">
      <c r="C241" s="196"/>
      <c r="D241" s="197"/>
      <c r="E241" s="197"/>
      <c r="F241" s="21"/>
      <c r="G241" s="199"/>
      <c r="H241" s="199"/>
      <c r="I241" s="199"/>
      <c r="J241" s="199"/>
      <c r="K241" s="199"/>
      <c r="L241" s="198"/>
    </row>
    <row r="242" spans="3:12" ht="12" customHeight="1">
      <c r="C242" s="196"/>
      <c r="D242" s="197"/>
      <c r="E242" s="197"/>
      <c r="F242" s="21"/>
      <c r="G242" s="199"/>
      <c r="H242" s="199"/>
      <c r="I242" s="199"/>
      <c r="J242" s="199"/>
      <c r="K242" s="199"/>
      <c r="L242" s="198"/>
    </row>
    <row r="243" spans="3:12" ht="12" customHeight="1">
      <c r="C243" s="196"/>
      <c r="D243" s="197"/>
      <c r="E243" s="197"/>
      <c r="F243" s="21"/>
      <c r="G243" s="199"/>
      <c r="H243" s="199"/>
      <c r="I243" s="199"/>
      <c r="J243" s="199"/>
      <c r="K243" s="199"/>
      <c r="L243" s="198"/>
    </row>
    <row r="244" spans="3:12" ht="12" customHeight="1">
      <c r="C244" s="196"/>
      <c r="D244" s="197"/>
      <c r="E244" s="197"/>
      <c r="F244" s="21"/>
      <c r="G244" s="199"/>
      <c r="H244" s="199"/>
      <c r="I244" s="199"/>
      <c r="J244" s="199"/>
      <c r="K244" s="199"/>
      <c r="L244" s="198"/>
    </row>
    <row r="245" spans="3:12" ht="12" customHeight="1">
      <c r="C245" s="196"/>
      <c r="D245" s="197"/>
      <c r="E245" s="197"/>
      <c r="F245" s="21"/>
      <c r="G245" s="199"/>
      <c r="H245" s="199"/>
      <c r="I245" s="199"/>
      <c r="J245" s="199"/>
      <c r="K245" s="199"/>
      <c r="L245" s="198"/>
    </row>
    <row r="246" spans="3:12" ht="12" customHeight="1">
      <c r="C246" s="196"/>
      <c r="D246" s="197"/>
      <c r="E246" s="197"/>
      <c r="F246" s="21"/>
      <c r="G246" s="199"/>
      <c r="H246" s="199"/>
      <c r="I246" s="199"/>
      <c r="J246" s="199"/>
      <c r="K246" s="199"/>
      <c r="L246" s="198"/>
    </row>
    <row r="247" spans="3:12" ht="12" customHeight="1">
      <c r="C247" s="196"/>
      <c r="D247" s="197"/>
      <c r="E247" s="197"/>
      <c r="F247" s="21"/>
      <c r="G247" s="199"/>
      <c r="H247" s="199"/>
      <c r="I247" s="199"/>
      <c r="J247" s="199"/>
      <c r="K247" s="199"/>
      <c r="L247" s="198"/>
    </row>
    <row r="248" spans="3:12" ht="12" customHeight="1">
      <c r="C248" s="196"/>
      <c r="D248" s="197"/>
      <c r="E248" s="197"/>
      <c r="F248" s="21"/>
      <c r="G248" s="199"/>
      <c r="H248" s="199"/>
      <c r="I248" s="199"/>
      <c r="J248" s="199"/>
      <c r="K248" s="199"/>
      <c r="L248" s="198"/>
    </row>
    <row r="249" spans="3:12" ht="12" customHeight="1">
      <c r="C249" s="196"/>
      <c r="D249" s="197"/>
      <c r="E249" s="197"/>
      <c r="F249" s="21"/>
      <c r="G249" s="199"/>
      <c r="H249" s="199"/>
      <c r="I249" s="199"/>
      <c r="J249" s="199"/>
      <c r="K249" s="199"/>
      <c r="L249" s="198"/>
    </row>
    <row r="250" spans="3:12" ht="12" customHeight="1">
      <c r="C250" s="196"/>
      <c r="D250" s="197"/>
      <c r="E250" s="197"/>
      <c r="F250" s="21"/>
      <c r="G250" s="199"/>
      <c r="H250" s="199"/>
      <c r="I250" s="199"/>
      <c r="J250" s="199"/>
      <c r="K250" s="199"/>
      <c r="L250" s="198"/>
    </row>
    <row r="251" spans="3:12" ht="12" customHeight="1">
      <c r="C251" s="196"/>
      <c r="D251" s="197"/>
      <c r="E251" s="197"/>
      <c r="F251" s="21"/>
      <c r="G251" s="199"/>
      <c r="H251" s="199"/>
      <c r="I251" s="199"/>
      <c r="J251" s="199"/>
      <c r="K251" s="199"/>
      <c r="L251" s="198"/>
    </row>
    <row r="252" spans="3:12" ht="12" customHeight="1">
      <c r="C252" s="196"/>
      <c r="D252" s="197"/>
      <c r="E252" s="197"/>
      <c r="F252" s="21"/>
      <c r="G252" s="199"/>
      <c r="H252" s="199"/>
      <c r="I252" s="199"/>
      <c r="J252" s="199"/>
      <c r="K252" s="199"/>
      <c r="L252" s="198"/>
    </row>
    <row r="253" spans="3:12" ht="12" customHeight="1">
      <c r="C253" s="196"/>
      <c r="D253" s="197"/>
      <c r="E253" s="197"/>
      <c r="F253" s="21"/>
      <c r="G253" s="199"/>
      <c r="H253" s="199"/>
      <c r="I253" s="199"/>
      <c r="J253" s="199"/>
      <c r="K253" s="199"/>
      <c r="L253" s="198"/>
    </row>
    <row r="254" spans="3:12" ht="12" customHeight="1">
      <c r="C254" s="196"/>
      <c r="D254" s="197"/>
      <c r="E254" s="197"/>
      <c r="F254" s="21"/>
      <c r="G254" s="199"/>
      <c r="H254" s="199"/>
      <c r="I254" s="199"/>
      <c r="J254" s="199"/>
      <c r="K254" s="199"/>
      <c r="L254" s="198"/>
    </row>
    <row r="255" spans="3:12" ht="12" customHeight="1">
      <c r="C255" s="196"/>
      <c r="D255" s="197"/>
      <c r="E255" s="197"/>
      <c r="F255" s="21"/>
      <c r="G255" s="199"/>
      <c r="H255" s="199"/>
      <c r="I255" s="199"/>
      <c r="J255" s="199"/>
      <c r="K255" s="199"/>
      <c r="L255" s="198"/>
    </row>
    <row r="256" spans="3:12" ht="12" customHeight="1">
      <c r="C256" s="196"/>
      <c r="D256" s="197"/>
      <c r="E256" s="197"/>
      <c r="F256" s="21"/>
      <c r="G256" s="199"/>
      <c r="H256" s="199"/>
      <c r="I256" s="199"/>
      <c r="J256" s="199"/>
      <c r="K256" s="199"/>
      <c r="L256" s="198"/>
    </row>
    <row r="257" spans="3:12" ht="12" customHeight="1">
      <c r="C257" s="196"/>
      <c r="D257" s="197"/>
      <c r="E257" s="197"/>
      <c r="F257" s="21"/>
      <c r="G257" s="199"/>
      <c r="H257" s="199"/>
      <c r="I257" s="199"/>
      <c r="J257" s="199"/>
      <c r="K257" s="199"/>
      <c r="L257" s="198"/>
    </row>
    <row r="258" spans="3:12" ht="12" customHeight="1">
      <c r="C258" s="196"/>
      <c r="D258" s="197"/>
      <c r="E258" s="197"/>
      <c r="F258" s="21"/>
      <c r="G258" s="199"/>
      <c r="H258" s="199"/>
      <c r="I258" s="199"/>
      <c r="J258" s="199"/>
      <c r="K258" s="199"/>
      <c r="L258" s="198"/>
    </row>
    <row r="259" spans="3:12" ht="12" customHeight="1">
      <c r="C259" s="196"/>
      <c r="D259" s="197"/>
      <c r="E259" s="197"/>
      <c r="F259" s="21"/>
      <c r="G259" s="199"/>
      <c r="H259" s="199"/>
      <c r="I259" s="199"/>
      <c r="J259" s="199"/>
      <c r="K259" s="199"/>
      <c r="L259" s="198"/>
    </row>
    <row r="260" spans="3:12" ht="12" customHeight="1">
      <c r="C260" s="196"/>
      <c r="D260" s="197"/>
      <c r="E260" s="197"/>
      <c r="F260" s="21"/>
      <c r="G260" s="199"/>
      <c r="H260" s="199"/>
      <c r="I260" s="199"/>
      <c r="J260" s="199"/>
      <c r="K260" s="199"/>
      <c r="L260" s="198"/>
    </row>
    <row r="261" spans="3:12" ht="12" customHeight="1">
      <c r="C261" s="196"/>
      <c r="D261" s="197"/>
      <c r="E261" s="197"/>
      <c r="F261" s="21"/>
      <c r="G261" s="199"/>
      <c r="H261" s="199"/>
      <c r="I261" s="199"/>
      <c r="J261" s="199"/>
      <c r="K261" s="199"/>
      <c r="L261" s="198"/>
    </row>
    <row r="262" spans="3:12" ht="12" customHeight="1">
      <c r="C262" s="196"/>
      <c r="D262" s="197"/>
      <c r="E262" s="197"/>
      <c r="F262" s="21"/>
      <c r="G262" s="199"/>
      <c r="H262" s="199"/>
      <c r="I262" s="199"/>
      <c r="J262" s="199"/>
      <c r="K262" s="199"/>
      <c r="L262" s="198"/>
    </row>
    <row r="263" spans="3:12" ht="12" customHeight="1">
      <c r="C263" s="196"/>
      <c r="D263" s="197"/>
      <c r="E263" s="197"/>
      <c r="F263" s="21"/>
      <c r="G263" s="199"/>
      <c r="H263" s="199"/>
      <c r="I263" s="199"/>
      <c r="J263" s="199"/>
      <c r="K263" s="199"/>
      <c r="L263" s="198"/>
    </row>
    <row r="264" spans="3:12" ht="12" customHeight="1">
      <c r="C264" s="196"/>
      <c r="D264" s="197"/>
      <c r="E264" s="197"/>
      <c r="F264" s="21"/>
      <c r="G264" s="199"/>
      <c r="H264" s="199"/>
      <c r="I264" s="199"/>
      <c r="J264" s="199"/>
      <c r="K264" s="199"/>
      <c r="L264" s="198"/>
    </row>
    <row r="265" spans="3:12" ht="12" customHeight="1">
      <c r="C265" s="196"/>
      <c r="D265" s="197"/>
      <c r="E265" s="197"/>
      <c r="F265" s="21"/>
      <c r="G265" s="199"/>
      <c r="H265" s="199"/>
      <c r="I265" s="199"/>
      <c r="J265" s="199"/>
      <c r="K265" s="199"/>
      <c r="L265" s="198"/>
    </row>
    <row r="266" spans="3:12" ht="12" customHeight="1">
      <c r="C266" s="196"/>
      <c r="D266" s="197"/>
      <c r="E266" s="197"/>
      <c r="F266" s="21"/>
      <c r="G266" s="199"/>
      <c r="H266" s="199"/>
      <c r="I266" s="199"/>
      <c r="J266" s="199"/>
      <c r="K266" s="199"/>
      <c r="L266" s="198"/>
    </row>
    <row r="267" spans="3:12" ht="12" customHeight="1">
      <c r="C267" s="196"/>
      <c r="D267" s="197"/>
      <c r="E267" s="197"/>
      <c r="F267" s="21"/>
      <c r="G267" s="199"/>
      <c r="H267" s="199"/>
      <c r="I267" s="199"/>
      <c r="J267" s="199"/>
      <c r="K267" s="199"/>
      <c r="L267" s="198"/>
    </row>
    <row r="268" spans="3:12" ht="12" customHeight="1">
      <c r="C268" s="196"/>
      <c r="D268" s="197"/>
      <c r="E268" s="197"/>
      <c r="F268" s="21"/>
      <c r="G268" s="199"/>
      <c r="H268" s="199"/>
      <c r="I268" s="199"/>
      <c r="J268" s="199"/>
      <c r="K268" s="199"/>
      <c r="L268" s="198"/>
    </row>
    <row r="269" spans="3:12" ht="12" customHeight="1">
      <c r="C269" s="196"/>
      <c r="D269" s="197"/>
      <c r="E269" s="197"/>
      <c r="F269" s="21"/>
      <c r="G269" s="199"/>
      <c r="H269" s="199"/>
      <c r="I269" s="199"/>
      <c r="J269" s="199"/>
      <c r="K269" s="199"/>
      <c r="L269" s="198"/>
    </row>
    <row r="270" spans="3:12" ht="12" customHeight="1">
      <c r="C270" s="196"/>
      <c r="D270" s="197"/>
      <c r="E270" s="197"/>
      <c r="F270" s="21"/>
      <c r="G270" s="199"/>
      <c r="H270" s="199"/>
      <c r="I270" s="199"/>
      <c r="J270" s="199"/>
      <c r="K270" s="199"/>
      <c r="L270" s="198"/>
    </row>
    <row r="271" spans="3:12" ht="12" customHeight="1">
      <c r="C271" s="196"/>
      <c r="D271" s="197"/>
      <c r="E271" s="197"/>
      <c r="F271" s="21"/>
      <c r="G271" s="199"/>
      <c r="H271" s="199"/>
      <c r="I271" s="199"/>
      <c r="J271" s="199"/>
      <c r="K271" s="199"/>
      <c r="L271" s="198"/>
    </row>
    <row r="272" spans="3:12" ht="12" customHeight="1">
      <c r="C272" s="196"/>
      <c r="D272" s="197"/>
      <c r="E272" s="197"/>
      <c r="F272" s="21"/>
      <c r="G272" s="199"/>
      <c r="H272" s="199"/>
      <c r="I272" s="199"/>
      <c r="J272" s="199"/>
      <c r="K272" s="199"/>
      <c r="L272" s="198"/>
    </row>
    <row r="273" spans="3:12" ht="12" customHeight="1">
      <c r="C273" s="196"/>
      <c r="D273" s="197"/>
      <c r="E273" s="197"/>
      <c r="F273" s="21"/>
      <c r="G273" s="199"/>
      <c r="H273" s="199"/>
      <c r="I273" s="199"/>
      <c r="J273" s="199"/>
      <c r="K273" s="199"/>
      <c r="L273" s="198"/>
    </row>
    <row r="274" spans="3:12" ht="12" customHeight="1">
      <c r="C274" s="196"/>
      <c r="D274" s="197"/>
      <c r="E274" s="197"/>
      <c r="F274" s="21"/>
      <c r="G274" s="199"/>
      <c r="H274" s="199"/>
      <c r="I274" s="199"/>
      <c r="J274" s="199"/>
      <c r="K274" s="199"/>
      <c r="L274" s="198"/>
    </row>
    <row r="275" spans="3:12" ht="12" customHeight="1">
      <c r="C275" s="196"/>
      <c r="D275" s="197"/>
      <c r="E275" s="197"/>
      <c r="F275" s="21"/>
      <c r="G275" s="199"/>
      <c r="H275" s="199"/>
      <c r="I275" s="199"/>
      <c r="J275" s="199"/>
      <c r="K275" s="199"/>
      <c r="L275" s="198"/>
    </row>
    <row r="276" spans="3:12" ht="12" customHeight="1">
      <c r="C276" s="196"/>
      <c r="D276" s="197"/>
      <c r="E276" s="197"/>
      <c r="F276" s="21"/>
      <c r="G276" s="199"/>
      <c r="H276" s="199"/>
      <c r="I276" s="199"/>
      <c r="J276" s="199"/>
      <c r="K276" s="199"/>
      <c r="L276" s="198"/>
    </row>
    <row r="277" spans="3:12" ht="12" customHeight="1">
      <c r="C277" s="196"/>
      <c r="D277" s="197"/>
      <c r="E277" s="197"/>
      <c r="F277" s="21"/>
      <c r="G277" s="199"/>
      <c r="H277" s="199"/>
      <c r="I277" s="199"/>
      <c r="J277" s="199"/>
      <c r="K277" s="199"/>
      <c r="L277" s="198"/>
    </row>
    <row r="278" spans="3:12" ht="12" customHeight="1">
      <c r="C278" s="196"/>
      <c r="D278" s="197"/>
      <c r="E278" s="197"/>
      <c r="F278" s="21"/>
      <c r="G278" s="199"/>
      <c r="H278" s="199"/>
      <c r="I278" s="199"/>
      <c r="J278" s="199"/>
      <c r="K278" s="199"/>
      <c r="L278" s="198"/>
    </row>
    <row r="279" spans="3:12" ht="12" customHeight="1">
      <c r="C279" s="196"/>
      <c r="D279" s="197"/>
      <c r="E279" s="197"/>
      <c r="F279" s="21"/>
      <c r="G279" s="199"/>
      <c r="H279" s="199"/>
      <c r="I279" s="199"/>
      <c r="J279" s="199"/>
      <c r="K279" s="199"/>
      <c r="L279" s="198"/>
    </row>
    <row r="280" spans="3:12" ht="12" customHeight="1">
      <c r="C280" s="196"/>
      <c r="D280" s="197"/>
      <c r="E280" s="197"/>
      <c r="F280" s="21"/>
      <c r="G280" s="199"/>
      <c r="H280" s="199"/>
      <c r="I280" s="199"/>
      <c r="J280" s="199"/>
      <c r="K280" s="199"/>
      <c r="L280" s="198"/>
    </row>
    <row r="281" spans="3:12" ht="12" customHeight="1">
      <c r="C281" s="196"/>
      <c r="D281" s="197"/>
      <c r="E281" s="197"/>
      <c r="F281" s="21"/>
      <c r="G281" s="199"/>
      <c r="H281" s="199"/>
      <c r="I281" s="199"/>
      <c r="J281" s="199"/>
      <c r="K281" s="199"/>
      <c r="L281" s="198"/>
    </row>
    <row r="282" spans="3:12" ht="12" customHeight="1">
      <c r="C282" s="196"/>
      <c r="D282" s="197"/>
      <c r="E282" s="197"/>
      <c r="F282" s="21"/>
      <c r="G282" s="199"/>
      <c r="H282" s="199"/>
      <c r="I282" s="199"/>
      <c r="J282" s="199"/>
      <c r="K282" s="199"/>
      <c r="L282" s="198"/>
    </row>
    <row r="283" spans="3:12" ht="12" customHeight="1">
      <c r="C283" s="196"/>
      <c r="D283" s="197"/>
      <c r="E283" s="197"/>
      <c r="F283" s="21"/>
      <c r="G283" s="199"/>
      <c r="H283" s="199"/>
      <c r="I283" s="199"/>
      <c r="J283" s="199"/>
      <c r="K283" s="199"/>
      <c r="L283" s="198"/>
    </row>
    <row r="284" spans="3:12" ht="12" customHeight="1">
      <c r="C284" s="196"/>
      <c r="D284" s="197"/>
      <c r="E284" s="197"/>
      <c r="F284" s="21"/>
      <c r="G284" s="199"/>
      <c r="H284" s="199"/>
      <c r="I284" s="199"/>
      <c r="J284" s="199"/>
      <c r="K284" s="199"/>
      <c r="L284" s="198"/>
    </row>
    <row r="285" spans="3:12" ht="12" customHeight="1">
      <c r="C285" s="196"/>
      <c r="D285" s="197"/>
      <c r="E285" s="197"/>
      <c r="F285" s="21"/>
      <c r="G285" s="199"/>
      <c r="H285" s="199"/>
      <c r="I285" s="199"/>
      <c r="J285" s="199"/>
      <c r="K285" s="199"/>
      <c r="L285" s="198"/>
    </row>
    <row r="286" spans="3:12" ht="12" customHeight="1">
      <c r="C286" s="196"/>
      <c r="D286" s="197"/>
      <c r="E286" s="197"/>
      <c r="F286" s="21"/>
      <c r="G286" s="199"/>
      <c r="H286" s="199"/>
      <c r="I286" s="199"/>
      <c r="J286" s="199"/>
      <c r="K286" s="199"/>
      <c r="L286" s="198"/>
    </row>
    <row r="287" spans="3:12" ht="12" customHeight="1">
      <c r="C287" s="196"/>
      <c r="D287" s="197"/>
      <c r="E287" s="197"/>
      <c r="F287" s="21"/>
      <c r="G287" s="199"/>
      <c r="H287" s="199"/>
      <c r="I287" s="199"/>
      <c r="J287" s="199"/>
      <c r="K287" s="199"/>
      <c r="L287" s="198"/>
    </row>
    <row r="288" spans="3:12" ht="12" customHeight="1">
      <c r="C288" s="196"/>
      <c r="D288" s="197"/>
      <c r="E288" s="197"/>
      <c r="F288" s="21"/>
      <c r="G288" s="199"/>
      <c r="H288" s="199"/>
      <c r="I288" s="199"/>
      <c r="J288" s="199"/>
      <c r="K288" s="199"/>
      <c r="L288" s="198"/>
    </row>
    <row r="289" spans="3:12" ht="12" customHeight="1">
      <c r="C289" s="196"/>
      <c r="D289" s="197"/>
      <c r="E289" s="197"/>
      <c r="F289" s="21"/>
      <c r="G289" s="199"/>
      <c r="H289" s="199"/>
      <c r="I289" s="199"/>
      <c r="J289" s="199"/>
      <c r="K289" s="199"/>
      <c r="L289" s="198"/>
    </row>
    <row r="290" spans="3:12" ht="12" customHeight="1">
      <c r="C290" s="196"/>
      <c r="D290" s="197"/>
      <c r="E290" s="197"/>
      <c r="F290" s="21"/>
      <c r="G290" s="199"/>
      <c r="H290" s="199"/>
      <c r="I290" s="199"/>
      <c r="J290" s="199"/>
      <c r="K290" s="199"/>
      <c r="L290" s="198"/>
    </row>
    <row r="291" spans="3:12" ht="12" customHeight="1">
      <c r="C291" s="196"/>
      <c r="D291" s="197"/>
      <c r="E291" s="197"/>
      <c r="F291" s="21"/>
      <c r="G291" s="199"/>
      <c r="H291" s="199"/>
      <c r="I291" s="199"/>
      <c r="J291" s="199"/>
      <c r="K291" s="199"/>
      <c r="L291" s="198"/>
    </row>
    <row r="292" spans="3:12" ht="12" customHeight="1">
      <c r="C292" s="196"/>
      <c r="D292" s="197"/>
      <c r="E292" s="197"/>
      <c r="F292" s="21"/>
      <c r="G292" s="199"/>
      <c r="H292" s="199"/>
      <c r="I292" s="199"/>
      <c r="J292" s="199"/>
      <c r="K292" s="199"/>
      <c r="L292" s="198"/>
    </row>
    <row r="293" spans="3:12" ht="12" customHeight="1">
      <c r="C293" s="196"/>
      <c r="D293" s="197"/>
      <c r="E293" s="197"/>
      <c r="F293" s="21"/>
      <c r="G293" s="199"/>
      <c r="H293" s="199"/>
      <c r="I293" s="199"/>
      <c r="J293" s="199"/>
      <c r="K293" s="199"/>
      <c r="L293" s="198"/>
    </row>
    <row r="294" spans="3:12" ht="12" customHeight="1">
      <c r="C294" s="196"/>
      <c r="D294" s="197"/>
      <c r="E294" s="197"/>
      <c r="F294" s="21"/>
      <c r="G294" s="199"/>
      <c r="H294" s="199"/>
      <c r="I294" s="199"/>
      <c r="J294" s="199"/>
      <c r="K294" s="199"/>
      <c r="L294" s="198"/>
    </row>
    <row r="295" spans="3:12" ht="12" customHeight="1">
      <c r="C295" s="196"/>
      <c r="D295" s="197"/>
      <c r="E295" s="197"/>
      <c r="F295" s="21"/>
      <c r="G295" s="199"/>
      <c r="H295" s="199"/>
      <c r="I295" s="199"/>
      <c r="J295" s="199"/>
      <c r="K295" s="199"/>
      <c r="L295" s="198"/>
    </row>
    <row r="296" spans="3:12" ht="12" customHeight="1">
      <c r="C296" s="196"/>
      <c r="D296" s="197"/>
      <c r="E296" s="197"/>
      <c r="F296" s="21"/>
      <c r="G296" s="199"/>
      <c r="H296" s="199"/>
      <c r="I296" s="199"/>
      <c r="J296" s="199"/>
      <c r="K296" s="199"/>
      <c r="L296" s="198"/>
    </row>
    <row r="297" spans="3:12" ht="12" customHeight="1">
      <c r="C297" s="196"/>
      <c r="D297" s="197"/>
      <c r="E297" s="197"/>
      <c r="F297" s="21"/>
      <c r="G297" s="199"/>
      <c r="H297" s="199"/>
      <c r="I297" s="199"/>
      <c r="J297" s="199"/>
      <c r="K297" s="199"/>
      <c r="L297" s="198"/>
    </row>
    <row r="298" spans="3:12" ht="12" customHeight="1">
      <c r="C298" s="196"/>
      <c r="D298" s="197"/>
      <c r="E298" s="197"/>
      <c r="F298" s="21"/>
      <c r="G298" s="199"/>
      <c r="H298" s="199"/>
      <c r="I298" s="199"/>
      <c r="J298" s="199"/>
      <c r="K298" s="199"/>
      <c r="L298" s="198"/>
    </row>
    <row r="299" spans="3:12" ht="12" customHeight="1">
      <c r="C299" s="196"/>
      <c r="D299" s="197"/>
      <c r="E299" s="197"/>
      <c r="F299" s="21"/>
      <c r="G299" s="199"/>
      <c r="H299" s="199"/>
      <c r="I299" s="199"/>
      <c r="J299" s="199"/>
      <c r="K299" s="199"/>
      <c r="L299" s="198"/>
    </row>
    <row r="300" spans="3:12" ht="12" customHeight="1">
      <c r="C300" s="196"/>
      <c r="D300" s="197"/>
      <c r="E300" s="197"/>
      <c r="F300" s="21"/>
      <c r="G300" s="199"/>
      <c r="H300" s="199"/>
      <c r="I300" s="199"/>
      <c r="J300" s="199"/>
      <c r="K300" s="199"/>
      <c r="L300" s="198"/>
    </row>
    <row r="301" spans="3:12" ht="12" customHeight="1">
      <c r="C301" s="196"/>
      <c r="D301" s="197"/>
      <c r="E301" s="197"/>
      <c r="F301" s="21"/>
      <c r="G301" s="199"/>
      <c r="H301" s="199"/>
      <c r="I301" s="199"/>
      <c r="J301" s="199"/>
      <c r="K301" s="199"/>
      <c r="L301" s="198"/>
    </row>
  </sheetData>
  <sheetProtection selectLockedCells="1"/>
  <dataValidations count="1">
    <dataValidation allowBlank="1" showErrorMessage="1" promptTitle="Country risk premium" prompt="US country risk + VN 5yr CDS" sqref="H9:H11" xr:uid="{00000000-0002-0000-1300-000000000000}"/>
  </dataValidations>
  <pageMargins left="0.7" right="0.7" top="0.75" bottom="0.75" header="0.3" footer="0.3"/>
  <pageSetup paperSize="9" scale="68"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A1:I29"/>
  <sheetViews>
    <sheetView workbookViewId="0">
      <selection activeCell="G32" sqref="G32"/>
    </sheetView>
  </sheetViews>
  <sheetFormatPr defaultRowHeight="12"/>
  <cols>
    <col min="1" max="1" width="31.140625" bestFit="1" customWidth="1"/>
    <col min="2" max="3" width="19.85546875" bestFit="1" customWidth="1"/>
  </cols>
  <sheetData>
    <row r="1" spans="1:9" ht="12.75">
      <c r="A1" s="534"/>
      <c r="B1" s="535">
        <v>2012</v>
      </c>
      <c r="C1" s="535">
        <v>2013</v>
      </c>
      <c r="D1" s="534"/>
      <c r="E1" s="534">
        <v>2014</v>
      </c>
      <c r="F1" s="534">
        <v>2015</v>
      </c>
      <c r="G1" s="534">
        <v>2016</v>
      </c>
      <c r="H1" s="534">
        <v>2017</v>
      </c>
      <c r="I1" s="534">
        <v>2018</v>
      </c>
    </row>
    <row r="2" spans="1:9" ht="12.75">
      <c r="A2" s="535" t="s">
        <v>637</v>
      </c>
      <c r="B2" s="534"/>
      <c r="C2" s="534"/>
      <c r="D2" s="536" t="s">
        <v>643</v>
      </c>
      <c r="E2" s="534"/>
      <c r="F2" s="534"/>
      <c r="G2" s="534"/>
      <c r="H2" s="534"/>
    </row>
    <row r="3" spans="1:9" ht="12.75">
      <c r="A3" s="534" t="s">
        <v>638</v>
      </c>
      <c r="B3" s="537">
        <v>1795515470488</v>
      </c>
      <c r="C3" s="537">
        <v>2355311366948</v>
      </c>
      <c r="D3" s="538">
        <f>C3/B3-1</f>
        <v>0.31177447683469639</v>
      </c>
      <c r="E3" s="534"/>
      <c r="F3" s="534"/>
      <c r="G3" s="534"/>
      <c r="H3" s="534"/>
    </row>
    <row r="4" spans="1:9" ht="12.75">
      <c r="A4" s="534" t="s">
        <v>639</v>
      </c>
      <c r="B4" s="537">
        <v>225421046908</v>
      </c>
      <c r="C4" s="537">
        <v>362377112812</v>
      </c>
      <c r="D4" s="538">
        <f>C4/B4-1</f>
        <v>0.6075566934967489</v>
      </c>
      <c r="E4" s="534"/>
      <c r="F4" s="534"/>
      <c r="G4" s="534"/>
      <c r="H4" s="534"/>
    </row>
    <row r="5" spans="1:9" ht="12.75">
      <c r="A5" s="534" t="s">
        <v>640</v>
      </c>
      <c r="B5" s="537">
        <v>1353108273026</v>
      </c>
      <c r="C5" s="537">
        <v>1667115688966</v>
      </c>
      <c r="D5" s="538">
        <f>C5/B5-1</f>
        <v>0.23206377656517829</v>
      </c>
      <c r="E5" s="534"/>
      <c r="F5" s="534"/>
      <c r="G5" s="534"/>
      <c r="H5" s="534"/>
    </row>
    <row r="6" spans="1:9" ht="12.75">
      <c r="A6" s="534" t="s">
        <v>641</v>
      </c>
      <c r="B6" s="537">
        <v>1086533337959</v>
      </c>
      <c r="C6" s="537">
        <v>576511007107</v>
      </c>
      <c r="D6" s="538">
        <f>C6/B6-1</f>
        <v>-0.4694032967364371</v>
      </c>
      <c r="E6" s="534"/>
      <c r="F6" s="534"/>
      <c r="G6" s="534"/>
      <c r="H6" s="534"/>
    </row>
    <row r="7" spans="1:9" ht="12.75">
      <c r="A7" s="535" t="s">
        <v>642</v>
      </c>
      <c r="B7" s="539">
        <f>SUM(B3:B6)</f>
        <v>4460578128381</v>
      </c>
      <c r="C7" s="539">
        <f>SUM(C3:C6)</f>
        <v>4961315175833</v>
      </c>
      <c r="D7" s="538">
        <f>C7/B7-1</f>
        <v>0.11225832908653621</v>
      </c>
      <c r="E7" s="534"/>
      <c r="F7" s="534"/>
      <c r="G7" s="534"/>
      <c r="H7" s="534"/>
    </row>
    <row r="8" spans="1:9" ht="12.75">
      <c r="A8" s="534"/>
      <c r="B8" s="534"/>
      <c r="C8" s="534"/>
      <c r="D8" s="534"/>
      <c r="E8" s="534"/>
      <c r="F8" s="534"/>
      <c r="G8" s="534"/>
      <c r="H8" s="534"/>
    </row>
    <row r="9" spans="1:9" ht="12.75">
      <c r="A9" s="540" t="s">
        <v>644</v>
      </c>
      <c r="B9" s="541"/>
      <c r="C9" s="541"/>
      <c r="D9" s="541"/>
      <c r="E9" s="534"/>
      <c r="F9" s="534"/>
      <c r="G9" s="534"/>
      <c r="H9" s="534"/>
    </row>
    <row r="10" spans="1:9" ht="12.75">
      <c r="A10" t="s">
        <v>645</v>
      </c>
      <c r="B10" s="541"/>
      <c r="C10" s="541">
        <v>6</v>
      </c>
      <c r="D10" s="542">
        <v>0.66666666666666696</v>
      </c>
      <c r="E10" s="534"/>
      <c r="F10" s="534"/>
      <c r="G10" s="534"/>
      <c r="H10" s="534"/>
    </row>
    <row r="11" spans="1:9" ht="12.75">
      <c r="A11" s="534" t="s">
        <v>646</v>
      </c>
      <c r="B11" s="541"/>
      <c r="C11" s="541">
        <v>0.4</v>
      </c>
      <c r="D11" s="542">
        <v>4.4444444444444446E-2</v>
      </c>
      <c r="E11" s="534"/>
      <c r="F11" s="534"/>
      <c r="G11" s="534"/>
      <c r="H11" s="534"/>
    </row>
    <row r="12" spans="1:9" ht="12.75">
      <c r="A12" s="541" t="s">
        <v>647</v>
      </c>
      <c r="B12" s="541"/>
      <c r="C12" s="541">
        <v>1.9</v>
      </c>
      <c r="D12" s="542">
        <v>0.21111111111111111</v>
      </c>
      <c r="E12" s="544" t="s">
        <v>652</v>
      </c>
      <c r="F12" s="534"/>
      <c r="G12" s="534"/>
      <c r="H12" s="534"/>
    </row>
    <row r="13" spans="1:9" ht="12.75">
      <c r="A13" s="541" t="s">
        <v>629</v>
      </c>
      <c r="B13" s="541"/>
      <c r="C13" s="541">
        <v>0.6</v>
      </c>
      <c r="D13" s="542">
        <v>6.6666666666666666E-2</v>
      </c>
      <c r="E13" s="534"/>
      <c r="F13" s="534"/>
      <c r="G13" s="534"/>
      <c r="H13" s="534"/>
    </row>
    <row r="14" spans="1:9" ht="12.75">
      <c r="A14" s="541" t="s">
        <v>641</v>
      </c>
      <c r="B14" s="541"/>
      <c r="C14" s="541">
        <v>0.1</v>
      </c>
      <c r="D14" s="542">
        <v>1.1111111111111112E-2</v>
      </c>
      <c r="E14" s="534"/>
      <c r="F14" s="534"/>
      <c r="G14" s="534"/>
      <c r="H14" s="534"/>
    </row>
    <row r="15" spans="1:9" ht="12.75">
      <c r="A15" s="540" t="s">
        <v>642</v>
      </c>
      <c r="B15" s="541"/>
      <c r="C15" s="540">
        <v>9</v>
      </c>
      <c r="D15" s="542"/>
      <c r="E15" s="534"/>
      <c r="F15" s="534"/>
      <c r="G15" s="534"/>
      <c r="H15" s="534"/>
    </row>
    <row r="16" spans="1:9" ht="12.75">
      <c r="A16" s="534"/>
      <c r="B16" s="534"/>
      <c r="C16" s="534"/>
      <c r="D16" s="534"/>
      <c r="E16" s="534"/>
      <c r="F16" s="534"/>
      <c r="G16" s="534"/>
      <c r="H16" s="534"/>
    </row>
    <row r="17" spans="1:8" s="518" customFormat="1" ht="12.75">
      <c r="A17" s="535" t="s">
        <v>649</v>
      </c>
      <c r="B17" s="535" t="s">
        <v>650</v>
      </c>
      <c r="C17" s="535"/>
      <c r="D17" s="535"/>
      <c r="E17" s="535"/>
      <c r="F17" s="535"/>
      <c r="G17" s="535"/>
      <c r="H17" s="535"/>
    </row>
    <row r="18" spans="1:8" ht="12.75">
      <c r="A18" s="534" t="s">
        <v>645</v>
      </c>
      <c r="B18" s="534">
        <v>77</v>
      </c>
      <c r="C18" s="534"/>
      <c r="D18" s="534"/>
      <c r="E18" s="534"/>
      <c r="F18" s="534"/>
      <c r="G18" s="534"/>
      <c r="H18" s="534"/>
    </row>
    <row r="19" spans="1:8" ht="12.75">
      <c r="A19" s="534" t="s">
        <v>646</v>
      </c>
      <c r="B19" s="534">
        <v>5</v>
      </c>
      <c r="C19" s="534"/>
      <c r="D19" s="534"/>
      <c r="E19" s="534"/>
      <c r="F19" s="534"/>
      <c r="G19" s="534"/>
      <c r="H19" s="534"/>
    </row>
    <row r="20" spans="1:8" ht="12.75">
      <c r="A20" s="534" t="s">
        <v>647</v>
      </c>
      <c r="B20" s="534">
        <v>332</v>
      </c>
      <c r="C20" s="534"/>
      <c r="D20" s="534"/>
      <c r="E20" s="534"/>
      <c r="F20" s="534"/>
      <c r="G20" s="534"/>
      <c r="H20" s="534"/>
    </row>
    <row r="21" spans="1:8" ht="12.75">
      <c r="A21" s="534" t="s">
        <v>651</v>
      </c>
      <c r="B21" s="534">
        <v>490</v>
      </c>
      <c r="C21" s="534"/>
      <c r="D21" s="534"/>
      <c r="E21" s="534"/>
      <c r="F21" s="534"/>
      <c r="G21" s="534"/>
      <c r="H21" s="534"/>
    </row>
    <row r="22" spans="1:8" ht="12.75">
      <c r="A22" s="534" t="s">
        <v>642</v>
      </c>
      <c r="B22" s="534">
        <f>SUM(B18:B21)</f>
        <v>904</v>
      </c>
      <c r="C22" s="534"/>
      <c r="D22" s="534"/>
      <c r="E22" s="534"/>
      <c r="F22" s="534"/>
      <c r="G22" s="534"/>
      <c r="H22" s="534"/>
    </row>
    <row r="23" spans="1:8" ht="12.75">
      <c r="A23" s="534"/>
      <c r="B23" s="534"/>
      <c r="C23" s="534"/>
      <c r="D23" s="534"/>
      <c r="E23" s="534"/>
      <c r="F23" s="534"/>
      <c r="G23" s="534"/>
      <c r="H23" s="534"/>
    </row>
    <row r="24" spans="1:8" ht="12.75">
      <c r="A24" s="535" t="s">
        <v>648</v>
      </c>
      <c r="B24" s="534"/>
      <c r="C24" s="534"/>
      <c r="D24" s="534"/>
      <c r="E24" s="534"/>
      <c r="F24" s="534"/>
      <c r="G24" s="534"/>
      <c r="H24" s="534"/>
    </row>
    <row r="25" spans="1:8" ht="12.75">
      <c r="A25" s="534" t="s">
        <v>628</v>
      </c>
      <c r="B25" s="537">
        <v>40</v>
      </c>
      <c r="C25" s="534"/>
      <c r="D25" s="534"/>
      <c r="E25" s="534"/>
      <c r="F25" s="534"/>
      <c r="G25" s="534"/>
      <c r="H25" s="534"/>
    </row>
    <row r="26" spans="1:8" ht="12.75">
      <c r="A26" s="543" t="s">
        <v>647</v>
      </c>
      <c r="B26" s="537">
        <v>26</v>
      </c>
      <c r="C26" s="534"/>
      <c r="D26" s="534"/>
      <c r="E26" s="534"/>
      <c r="F26" s="534"/>
      <c r="G26" s="534"/>
      <c r="H26" s="534"/>
    </row>
    <row r="27" spans="1:8" ht="12.75">
      <c r="A27" s="534" t="s">
        <v>651</v>
      </c>
      <c r="B27" s="537">
        <v>23</v>
      </c>
      <c r="C27" s="534"/>
      <c r="D27" s="534"/>
      <c r="E27" s="534"/>
      <c r="F27" s="534"/>
      <c r="G27" s="534"/>
      <c r="H27" s="534"/>
    </row>
    <row r="28" spans="1:8" ht="12.75">
      <c r="A28" s="534" t="s">
        <v>589</v>
      </c>
      <c r="B28" s="537">
        <v>11</v>
      </c>
      <c r="C28" s="534"/>
      <c r="D28" s="534"/>
      <c r="E28" s="534"/>
      <c r="F28" s="534"/>
      <c r="G28" s="534"/>
      <c r="H28" s="534"/>
    </row>
    <row r="29" spans="1:8" ht="12.75">
      <c r="A29" s="534" t="s">
        <v>642</v>
      </c>
      <c r="B29" s="537">
        <f>SUM(B25:B28)</f>
        <v>100</v>
      </c>
      <c r="C29" s="534"/>
      <c r="D29" s="534"/>
      <c r="E29" s="534"/>
      <c r="F29" s="534"/>
      <c r="G29" s="534"/>
      <c r="H29" s="534"/>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workbookViewId="0">
      <selection activeCell="H30" sqref="H30"/>
    </sheetView>
  </sheetViews>
  <sheetFormatPr defaultRowHeight="12"/>
  <sheetData/>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A26"/>
  <sheetViews>
    <sheetView zoomScale="85" zoomScaleNormal="85" workbookViewId="0">
      <pane xSplit="2" ySplit="2" topLeftCell="L3" activePane="bottomRight" state="frozen"/>
      <selection activeCell="T12" activeCellId="1" sqref="R8 T12"/>
      <selection pane="topRight" activeCell="T12" activeCellId="1" sqref="R8 T12"/>
      <selection pane="bottomLeft" activeCell="T12" activeCellId="1" sqref="R8 T12"/>
      <selection pane="bottomRight" activeCell="X13" sqref="X13"/>
    </sheetView>
  </sheetViews>
  <sheetFormatPr defaultRowHeight="12"/>
  <cols>
    <col min="1" max="1" width="4" style="568" customWidth="1"/>
    <col min="2" max="2" width="23.140625" style="568" bestFit="1" customWidth="1"/>
    <col min="3" max="3" width="17.140625" style="568" customWidth="1"/>
    <col min="4" max="4" width="9.7109375" style="568" bestFit="1" customWidth="1"/>
    <col min="5" max="5" width="8.140625" style="568" customWidth="1"/>
    <col min="6" max="6" width="8.7109375" style="568" bestFit="1" customWidth="1"/>
    <col min="7" max="7" width="13.140625" style="568" bestFit="1" customWidth="1"/>
    <col min="8" max="8" width="13.5703125" style="568" customWidth="1"/>
    <col min="9" max="9" width="10.85546875" style="568" customWidth="1"/>
    <col min="10" max="10" width="10" style="568" customWidth="1"/>
    <col min="11" max="11" width="18.140625" style="568" bestFit="1" customWidth="1"/>
    <col min="12" max="12" width="8.140625" style="568" bestFit="1" customWidth="1"/>
    <col min="13" max="13" width="13.140625" style="569" bestFit="1" customWidth="1"/>
    <col min="14" max="14" width="13.140625" style="569" customWidth="1"/>
    <col min="15" max="15" width="10" style="569" bestFit="1" customWidth="1"/>
    <col min="16" max="16" width="13.140625" style="569" bestFit="1" customWidth="1"/>
    <col min="17" max="17" width="18.140625" style="569" bestFit="1" customWidth="1"/>
    <col min="18" max="18" width="38.140625" style="568" hidden="1" customWidth="1"/>
    <col min="19" max="19" width="10.5703125" style="569" customWidth="1"/>
    <col min="20" max="20" width="12.5703125" style="569" customWidth="1"/>
    <col min="21" max="21" width="52.85546875" style="568" customWidth="1"/>
    <col min="22" max="22" width="15.42578125" style="568" customWidth="1"/>
    <col min="23" max="23" width="10.140625" style="568" customWidth="1"/>
    <col min="24" max="257" width="9.140625" style="568"/>
    <col min="258" max="258" width="4" style="568" customWidth="1"/>
    <col min="259" max="259" width="23.140625" style="568" bestFit="1" customWidth="1"/>
    <col min="260" max="260" width="17.140625" style="568" customWidth="1"/>
    <col min="261" max="261" width="24.140625" style="568" customWidth="1"/>
    <col min="262" max="262" width="14.85546875" style="568" customWidth="1"/>
    <col min="263" max="263" width="15.42578125" style="568" customWidth="1"/>
    <col min="264" max="264" width="14.42578125" style="568" customWidth="1"/>
    <col min="265" max="265" width="9" style="568" customWidth="1"/>
    <col min="266" max="266" width="29.7109375" style="568" customWidth="1"/>
    <col min="267" max="267" width="16.5703125" style="568" customWidth="1"/>
    <col min="268" max="268" width="29.42578125" style="568" customWidth="1"/>
    <col min="269" max="269" width="8.5703125" style="568" bestFit="1" customWidth="1"/>
    <col min="270" max="271" width="12.5703125" style="568" customWidth="1"/>
    <col min="272" max="272" width="16.42578125" style="568" customWidth="1"/>
    <col min="273" max="273" width="15.7109375" style="568" customWidth="1"/>
    <col min="274" max="274" width="0" style="568" hidden="1" customWidth="1"/>
    <col min="275" max="275" width="15.42578125" style="568" customWidth="1"/>
    <col min="276" max="276" width="10.7109375" style="568" customWidth="1"/>
    <col min="277" max="277" width="52.85546875" style="568" customWidth="1"/>
    <col min="278" max="278" width="15.42578125" style="568" customWidth="1"/>
    <col min="279" max="279" width="10.140625" style="568" customWidth="1"/>
    <col min="280" max="513" width="9.140625" style="568"/>
    <col min="514" max="514" width="4" style="568" customWidth="1"/>
    <col min="515" max="515" width="23.140625" style="568" bestFit="1" customWidth="1"/>
    <col min="516" max="516" width="17.140625" style="568" customWidth="1"/>
    <col min="517" max="517" width="24.140625" style="568" customWidth="1"/>
    <col min="518" max="518" width="14.85546875" style="568" customWidth="1"/>
    <col min="519" max="519" width="15.42578125" style="568" customWidth="1"/>
    <col min="520" max="520" width="14.42578125" style="568" customWidth="1"/>
    <col min="521" max="521" width="9" style="568" customWidth="1"/>
    <col min="522" max="522" width="29.7109375" style="568" customWidth="1"/>
    <col min="523" max="523" width="16.5703125" style="568" customWidth="1"/>
    <col min="524" max="524" width="29.42578125" style="568" customWidth="1"/>
    <col min="525" max="525" width="8.5703125" style="568" bestFit="1" customWidth="1"/>
    <col min="526" max="527" width="12.5703125" style="568" customWidth="1"/>
    <col min="528" max="528" width="16.42578125" style="568" customWidth="1"/>
    <col min="529" max="529" width="15.7109375" style="568" customWidth="1"/>
    <col min="530" max="530" width="0" style="568" hidden="1" customWidth="1"/>
    <col min="531" max="531" width="15.42578125" style="568" customWidth="1"/>
    <col min="532" max="532" width="10.7109375" style="568" customWidth="1"/>
    <col min="533" max="533" width="52.85546875" style="568" customWidth="1"/>
    <col min="534" max="534" width="15.42578125" style="568" customWidth="1"/>
    <col min="535" max="535" width="10.140625" style="568" customWidth="1"/>
    <col min="536" max="769" width="9.140625" style="568"/>
    <col min="770" max="770" width="4" style="568" customWidth="1"/>
    <col min="771" max="771" width="23.140625" style="568" bestFit="1" customWidth="1"/>
    <col min="772" max="772" width="17.140625" style="568" customWidth="1"/>
    <col min="773" max="773" width="24.140625" style="568" customWidth="1"/>
    <col min="774" max="774" width="14.85546875" style="568" customWidth="1"/>
    <col min="775" max="775" width="15.42578125" style="568" customWidth="1"/>
    <col min="776" max="776" width="14.42578125" style="568" customWidth="1"/>
    <col min="777" max="777" width="9" style="568" customWidth="1"/>
    <col min="778" max="778" width="29.7109375" style="568" customWidth="1"/>
    <col min="779" max="779" width="16.5703125" style="568" customWidth="1"/>
    <col min="780" max="780" width="29.42578125" style="568" customWidth="1"/>
    <col min="781" max="781" width="8.5703125" style="568" bestFit="1" customWidth="1"/>
    <col min="782" max="783" width="12.5703125" style="568" customWidth="1"/>
    <col min="784" max="784" width="16.42578125" style="568" customWidth="1"/>
    <col min="785" max="785" width="15.7109375" style="568" customWidth="1"/>
    <col min="786" max="786" width="0" style="568" hidden="1" customWidth="1"/>
    <col min="787" max="787" width="15.42578125" style="568" customWidth="1"/>
    <col min="788" max="788" width="10.7109375" style="568" customWidth="1"/>
    <col min="789" max="789" width="52.85546875" style="568" customWidth="1"/>
    <col min="790" max="790" width="15.42578125" style="568" customWidth="1"/>
    <col min="791" max="791" width="10.140625" style="568" customWidth="1"/>
    <col min="792" max="1025" width="9.140625" style="568"/>
    <col min="1026" max="1026" width="4" style="568" customWidth="1"/>
    <col min="1027" max="1027" width="23.140625" style="568" bestFit="1" customWidth="1"/>
    <col min="1028" max="1028" width="17.140625" style="568" customWidth="1"/>
    <col min="1029" max="1029" width="24.140625" style="568" customWidth="1"/>
    <col min="1030" max="1030" width="14.85546875" style="568" customWidth="1"/>
    <col min="1031" max="1031" width="15.42578125" style="568" customWidth="1"/>
    <col min="1032" max="1032" width="14.42578125" style="568" customWidth="1"/>
    <col min="1033" max="1033" width="9" style="568" customWidth="1"/>
    <col min="1034" max="1034" width="29.7109375" style="568" customWidth="1"/>
    <col min="1035" max="1035" width="16.5703125" style="568" customWidth="1"/>
    <col min="1036" max="1036" width="29.42578125" style="568" customWidth="1"/>
    <col min="1037" max="1037" width="8.5703125" style="568" bestFit="1" customWidth="1"/>
    <col min="1038" max="1039" width="12.5703125" style="568" customWidth="1"/>
    <col min="1040" max="1040" width="16.42578125" style="568" customWidth="1"/>
    <col min="1041" max="1041" width="15.7109375" style="568" customWidth="1"/>
    <col min="1042" max="1042" width="0" style="568" hidden="1" customWidth="1"/>
    <col min="1043" max="1043" width="15.42578125" style="568" customWidth="1"/>
    <col min="1044" max="1044" width="10.7109375" style="568" customWidth="1"/>
    <col min="1045" max="1045" width="52.85546875" style="568" customWidth="1"/>
    <col min="1046" max="1046" width="15.42578125" style="568" customWidth="1"/>
    <col min="1047" max="1047" width="10.140625" style="568" customWidth="1"/>
    <col min="1048" max="1281" width="9.140625" style="568"/>
    <col min="1282" max="1282" width="4" style="568" customWidth="1"/>
    <col min="1283" max="1283" width="23.140625" style="568" bestFit="1" customWidth="1"/>
    <col min="1284" max="1284" width="17.140625" style="568" customWidth="1"/>
    <col min="1285" max="1285" width="24.140625" style="568" customWidth="1"/>
    <col min="1286" max="1286" width="14.85546875" style="568" customWidth="1"/>
    <col min="1287" max="1287" width="15.42578125" style="568" customWidth="1"/>
    <col min="1288" max="1288" width="14.42578125" style="568" customWidth="1"/>
    <col min="1289" max="1289" width="9" style="568" customWidth="1"/>
    <col min="1290" max="1290" width="29.7109375" style="568" customWidth="1"/>
    <col min="1291" max="1291" width="16.5703125" style="568" customWidth="1"/>
    <col min="1292" max="1292" width="29.42578125" style="568" customWidth="1"/>
    <col min="1293" max="1293" width="8.5703125" style="568" bestFit="1" customWidth="1"/>
    <col min="1294" max="1295" width="12.5703125" style="568" customWidth="1"/>
    <col min="1296" max="1296" width="16.42578125" style="568" customWidth="1"/>
    <col min="1297" max="1297" width="15.7109375" style="568" customWidth="1"/>
    <col min="1298" max="1298" width="0" style="568" hidden="1" customWidth="1"/>
    <col min="1299" max="1299" width="15.42578125" style="568" customWidth="1"/>
    <col min="1300" max="1300" width="10.7109375" style="568" customWidth="1"/>
    <col min="1301" max="1301" width="52.85546875" style="568" customWidth="1"/>
    <col min="1302" max="1302" width="15.42578125" style="568" customWidth="1"/>
    <col min="1303" max="1303" width="10.140625" style="568" customWidth="1"/>
    <col min="1304" max="1537" width="9.140625" style="568"/>
    <col min="1538" max="1538" width="4" style="568" customWidth="1"/>
    <col min="1539" max="1539" width="23.140625" style="568" bestFit="1" customWidth="1"/>
    <col min="1540" max="1540" width="17.140625" style="568" customWidth="1"/>
    <col min="1541" max="1541" width="24.140625" style="568" customWidth="1"/>
    <col min="1542" max="1542" width="14.85546875" style="568" customWidth="1"/>
    <col min="1543" max="1543" width="15.42578125" style="568" customWidth="1"/>
    <col min="1544" max="1544" width="14.42578125" style="568" customWidth="1"/>
    <col min="1545" max="1545" width="9" style="568" customWidth="1"/>
    <col min="1546" max="1546" width="29.7109375" style="568" customWidth="1"/>
    <col min="1547" max="1547" width="16.5703125" style="568" customWidth="1"/>
    <col min="1548" max="1548" width="29.42578125" style="568" customWidth="1"/>
    <col min="1549" max="1549" width="8.5703125" style="568" bestFit="1" customWidth="1"/>
    <col min="1550" max="1551" width="12.5703125" style="568" customWidth="1"/>
    <col min="1552" max="1552" width="16.42578125" style="568" customWidth="1"/>
    <col min="1553" max="1553" width="15.7109375" style="568" customWidth="1"/>
    <col min="1554" max="1554" width="0" style="568" hidden="1" customWidth="1"/>
    <col min="1555" max="1555" width="15.42578125" style="568" customWidth="1"/>
    <col min="1556" max="1556" width="10.7109375" style="568" customWidth="1"/>
    <col min="1557" max="1557" width="52.85546875" style="568" customWidth="1"/>
    <col min="1558" max="1558" width="15.42578125" style="568" customWidth="1"/>
    <col min="1559" max="1559" width="10.140625" style="568" customWidth="1"/>
    <col min="1560" max="1793" width="9.140625" style="568"/>
    <col min="1794" max="1794" width="4" style="568" customWidth="1"/>
    <col min="1795" max="1795" width="23.140625" style="568" bestFit="1" customWidth="1"/>
    <col min="1796" max="1796" width="17.140625" style="568" customWidth="1"/>
    <col min="1797" max="1797" width="24.140625" style="568" customWidth="1"/>
    <col min="1798" max="1798" width="14.85546875" style="568" customWidth="1"/>
    <col min="1799" max="1799" width="15.42578125" style="568" customWidth="1"/>
    <col min="1800" max="1800" width="14.42578125" style="568" customWidth="1"/>
    <col min="1801" max="1801" width="9" style="568" customWidth="1"/>
    <col min="1802" max="1802" width="29.7109375" style="568" customWidth="1"/>
    <col min="1803" max="1803" width="16.5703125" style="568" customWidth="1"/>
    <col min="1804" max="1804" width="29.42578125" style="568" customWidth="1"/>
    <col min="1805" max="1805" width="8.5703125" style="568" bestFit="1" customWidth="1"/>
    <col min="1806" max="1807" width="12.5703125" style="568" customWidth="1"/>
    <col min="1808" max="1808" width="16.42578125" style="568" customWidth="1"/>
    <col min="1809" max="1809" width="15.7109375" style="568" customWidth="1"/>
    <col min="1810" max="1810" width="0" style="568" hidden="1" customWidth="1"/>
    <col min="1811" max="1811" width="15.42578125" style="568" customWidth="1"/>
    <col min="1812" max="1812" width="10.7109375" style="568" customWidth="1"/>
    <col min="1813" max="1813" width="52.85546875" style="568" customWidth="1"/>
    <col min="1814" max="1814" width="15.42578125" style="568" customWidth="1"/>
    <col min="1815" max="1815" width="10.140625" style="568" customWidth="1"/>
    <col min="1816" max="2049" width="9.140625" style="568"/>
    <col min="2050" max="2050" width="4" style="568" customWidth="1"/>
    <col min="2051" max="2051" width="23.140625" style="568" bestFit="1" customWidth="1"/>
    <col min="2052" max="2052" width="17.140625" style="568" customWidth="1"/>
    <col min="2053" max="2053" width="24.140625" style="568" customWidth="1"/>
    <col min="2054" max="2054" width="14.85546875" style="568" customWidth="1"/>
    <col min="2055" max="2055" width="15.42578125" style="568" customWidth="1"/>
    <col min="2056" max="2056" width="14.42578125" style="568" customWidth="1"/>
    <col min="2057" max="2057" width="9" style="568" customWidth="1"/>
    <col min="2058" max="2058" width="29.7109375" style="568" customWidth="1"/>
    <col min="2059" max="2059" width="16.5703125" style="568" customWidth="1"/>
    <col min="2060" max="2060" width="29.42578125" style="568" customWidth="1"/>
    <col min="2061" max="2061" width="8.5703125" style="568" bestFit="1" customWidth="1"/>
    <col min="2062" max="2063" width="12.5703125" style="568" customWidth="1"/>
    <col min="2064" max="2064" width="16.42578125" style="568" customWidth="1"/>
    <col min="2065" max="2065" width="15.7109375" style="568" customWidth="1"/>
    <col min="2066" max="2066" width="0" style="568" hidden="1" customWidth="1"/>
    <col min="2067" max="2067" width="15.42578125" style="568" customWidth="1"/>
    <col min="2068" max="2068" width="10.7109375" style="568" customWidth="1"/>
    <col min="2069" max="2069" width="52.85546875" style="568" customWidth="1"/>
    <col min="2070" max="2070" width="15.42578125" style="568" customWidth="1"/>
    <col min="2071" max="2071" width="10.140625" style="568" customWidth="1"/>
    <col min="2072" max="2305" width="9.140625" style="568"/>
    <col min="2306" max="2306" width="4" style="568" customWidth="1"/>
    <col min="2307" max="2307" width="23.140625" style="568" bestFit="1" customWidth="1"/>
    <col min="2308" max="2308" width="17.140625" style="568" customWidth="1"/>
    <col min="2309" max="2309" width="24.140625" style="568" customWidth="1"/>
    <col min="2310" max="2310" width="14.85546875" style="568" customWidth="1"/>
    <col min="2311" max="2311" width="15.42578125" style="568" customWidth="1"/>
    <col min="2312" max="2312" width="14.42578125" style="568" customWidth="1"/>
    <col min="2313" max="2313" width="9" style="568" customWidth="1"/>
    <col min="2314" max="2314" width="29.7109375" style="568" customWidth="1"/>
    <col min="2315" max="2315" width="16.5703125" style="568" customWidth="1"/>
    <col min="2316" max="2316" width="29.42578125" style="568" customWidth="1"/>
    <col min="2317" max="2317" width="8.5703125" style="568" bestFit="1" customWidth="1"/>
    <col min="2318" max="2319" width="12.5703125" style="568" customWidth="1"/>
    <col min="2320" max="2320" width="16.42578125" style="568" customWidth="1"/>
    <col min="2321" max="2321" width="15.7109375" style="568" customWidth="1"/>
    <col min="2322" max="2322" width="0" style="568" hidden="1" customWidth="1"/>
    <col min="2323" max="2323" width="15.42578125" style="568" customWidth="1"/>
    <col min="2324" max="2324" width="10.7109375" style="568" customWidth="1"/>
    <col min="2325" max="2325" width="52.85546875" style="568" customWidth="1"/>
    <col min="2326" max="2326" width="15.42578125" style="568" customWidth="1"/>
    <col min="2327" max="2327" width="10.140625" style="568" customWidth="1"/>
    <col min="2328" max="2561" width="9.140625" style="568"/>
    <col min="2562" max="2562" width="4" style="568" customWidth="1"/>
    <col min="2563" max="2563" width="23.140625" style="568" bestFit="1" customWidth="1"/>
    <col min="2564" max="2564" width="17.140625" style="568" customWidth="1"/>
    <col min="2565" max="2565" width="24.140625" style="568" customWidth="1"/>
    <col min="2566" max="2566" width="14.85546875" style="568" customWidth="1"/>
    <col min="2567" max="2567" width="15.42578125" style="568" customWidth="1"/>
    <col min="2568" max="2568" width="14.42578125" style="568" customWidth="1"/>
    <col min="2569" max="2569" width="9" style="568" customWidth="1"/>
    <col min="2570" max="2570" width="29.7109375" style="568" customWidth="1"/>
    <col min="2571" max="2571" width="16.5703125" style="568" customWidth="1"/>
    <col min="2572" max="2572" width="29.42578125" style="568" customWidth="1"/>
    <col min="2573" max="2573" width="8.5703125" style="568" bestFit="1" customWidth="1"/>
    <col min="2574" max="2575" width="12.5703125" style="568" customWidth="1"/>
    <col min="2576" max="2576" width="16.42578125" style="568" customWidth="1"/>
    <col min="2577" max="2577" width="15.7109375" style="568" customWidth="1"/>
    <col min="2578" max="2578" width="0" style="568" hidden="1" customWidth="1"/>
    <col min="2579" max="2579" width="15.42578125" style="568" customWidth="1"/>
    <col min="2580" max="2580" width="10.7109375" style="568" customWidth="1"/>
    <col min="2581" max="2581" width="52.85546875" style="568" customWidth="1"/>
    <col min="2582" max="2582" width="15.42578125" style="568" customWidth="1"/>
    <col min="2583" max="2583" width="10.140625" style="568" customWidth="1"/>
    <col min="2584" max="2817" width="9.140625" style="568"/>
    <col min="2818" max="2818" width="4" style="568" customWidth="1"/>
    <col min="2819" max="2819" width="23.140625" style="568" bestFit="1" customWidth="1"/>
    <col min="2820" max="2820" width="17.140625" style="568" customWidth="1"/>
    <col min="2821" max="2821" width="24.140625" style="568" customWidth="1"/>
    <col min="2822" max="2822" width="14.85546875" style="568" customWidth="1"/>
    <col min="2823" max="2823" width="15.42578125" style="568" customWidth="1"/>
    <col min="2824" max="2824" width="14.42578125" style="568" customWidth="1"/>
    <col min="2825" max="2825" width="9" style="568" customWidth="1"/>
    <col min="2826" max="2826" width="29.7109375" style="568" customWidth="1"/>
    <col min="2827" max="2827" width="16.5703125" style="568" customWidth="1"/>
    <col min="2828" max="2828" width="29.42578125" style="568" customWidth="1"/>
    <col min="2829" max="2829" width="8.5703125" style="568" bestFit="1" customWidth="1"/>
    <col min="2830" max="2831" width="12.5703125" style="568" customWidth="1"/>
    <col min="2832" max="2832" width="16.42578125" style="568" customWidth="1"/>
    <col min="2833" max="2833" width="15.7109375" style="568" customWidth="1"/>
    <col min="2834" max="2834" width="0" style="568" hidden="1" customWidth="1"/>
    <col min="2835" max="2835" width="15.42578125" style="568" customWidth="1"/>
    <col min="2836" max="2836" width="10.7109375" style="568" customWidth="1"/>
    <col min="2837" max="2837" width="52.85546875" style="568" customWidth="1"/>
    <col min="2838" max="2838" width="15.42578125" style="568" customWidth="1"/>
    <col min="2839" max="2839" width="10.140625" style="568" customWidth="1"/>
    <col min="2840" max="3073" width="9.140625" style="568"/>
    <col min="3074" max="3074" width="4" style="568" customWidth="1"/>
    <col min="3075" max="3075" width="23.140625" style="568" bestFit="1" customWidth="1"/>
    <col min="3076" max="3076" width="17.140625" style="568" customWidth="1"/>
    <col min="3077" max="3077" width="24.140625" style="568" customWidth="1"/>
    <col min="3078" max="3078" width="14.85546875" style="568" customWidth="1"/>
    <col min="3079" max="3079" width="15.42578125" style="568" customWidth="1"/>
    <col min="3080" max="3080" width="14.42578125" style="568" customWidth="1"/>
    <col min="3081" max="3081" width="9" style="568" customWidth="1"/>
    <col min="3082" max="3082" width="29.7109375" style="568" customWidth="1"/>
    <col min="3083" max="3083" width="16.5703125" style="568" customWidth="1"/>
    <col min="3084" max="3084" width="29.42578125" style="568" customWidth="1"/>
    <col min="3085" max="3085" width="8.5703125" style="568" bestFit="1" customWidth="1"/>
    <col min="3086" max="3087" width="12.5703125" style="568" customWidth="1"/>
    <col min="3088" max="3088" width="16.42578125" style="568" customWidth="1"/>
    <col min="3089" max="3089" width="15.7109375" style="568" customWidth="1"/>
    <col min="3090" max="3090" width="0" style="568" hidden="1" customWidth="1"/>
    <col min="3091" max="3091" width="15.42578125" style="568" customWidth="1"/>
    <col min="3092" max="3092" width="10.7109375" style="568" customWidth="1"/>
    <col min="3093" max="3093" width="52.85546875" style="568" customWidth="1"/>
    <col min="3094" max="3094" width="15.42578125" style="568" customWidth="1"/>
    <col min="3095" max="3095" width="10.140625" style="568" customWidth="1"/>
    <col min="3096" max="3329" width="9.140625" style="568"/>
    <col min="3330" max="3330" width="4" style="568" customWidth="1"/>
    <col min="3331" max="3331" width="23.140625" style="568" bestFit="1" customWidth="1"/>
    <col min="3332" max="3332" width="17.140625" style="568" customWidth="1"/>
    <col min="3333" max="3333" width="24.140625" style="568" customWidth="1"/>
    <col min="3334" max="3334" width="14.85546875" style="568" customWidth="1"/>
    <col min="3335" max="3335" width="15.42578125" style="568" customWidth="1"/>
    <col min="3336" max="3336" width="14.42578125" style="568" customWidth="1"/>
    <col min="3337" max="3337" width="9" style="568" customWidth="1"/>
    <col min="3338" max="3338" width="29.7109375" style="568" customWidth="1"/>
    <col min="3339" max="3339" width="16.5703125" style="568" customWidth="1"/>
    <col min="3340" max="3340" width="29.42578125" style="568" customWidth="1"/>
    <col min="3341" max="3341" width="8.5703125" style="568" bestFit="1" customWidth="1"/>
    <col min="3342" max="3343" width="12.5703125" style="568" customWidth="1"/>
    <col min="3344" max="3344" width="16.42578125" style="568" customWidth="1"/>
    <col min="3345" max="3345" width="15.7109375" style="568" customWidth="1"/>
    <col min="3346" max="3346" width="0" style="568" hidden="1" customWidth="1"/>
    <col min="3347" max="3347" width="15.42578125" style="568" customWidth="1"/>
    <col min="3348" max="3348" width="10.7109375" style="568" customWidth="1"/>
    <col min="3349" max="3349" width="52.85546875" style="568" customWidth="1"/>
    <col min="3350" max="3350" width="15.42578125" style="568" customWidth="1"/>
    <col min="3351" max="3351" width="10.140625" style="568" customWidth="1"/>
    <col min="3352" max="3585" width="9.140625" style="568"/>
    <col min="3586" max="3586" width="4" style="568" customWidth="1"/>
    <col min="3587" max="3587" width="23.140625" style="568" bestFit="1" customWidth="1"/>
    <col min="3588" max="3588" width="17.140625" style="568" customWidth="1"/>
    <col min="3589" max="3589" width="24.140625" style="568" customWidth="1"/>
    <col min="3590" max="3590" width="14.85546875" style="568" customWidth="1"/>
    <col min="3591" max="3591" width="15.42578125" style="568" customWidth="1"/>
    <col min="3592" max="3592" width="14.42578125" style="568" customWidth="1"/>
    <col min="3593" max="3593" width="9" style="568" customWidth="1"/>
    <col min="3594" max="3594" width="29.7109375" style="568" customWidth="1"/>
    <col min="3595" max="3595" width="16.5703125" style="568" customWidth="1"/>
    <col min="3596" max="3596" width="29.42578125" style="568" customWidth="1"/>
    <col min="3597" max="3597" width="8.5703125" style="568" bestFit="1" customWidth="1"/>
    <col min="3598" max="3599" width="12.5703125" style="568" customWidth="1"/>
    <col min="3600" max="3600" width="16.42578125" style="568" customWidth="1"/>
    <col min="3601" max="3601" width="15.7109375" style="568" customWidth="1"/>
    <col min="3602" max="3602" width="0" style="568" hidden="1" customWidth="1"/>
    <col min="3603" max="3603" width="15.42578125" style="568" customWidth="1"/>
    <col min="3604" max="3604" width="10.7109375" style="568" customWidth="1"/>
    <col min="3605" max="3605" width="52.85546875" style="568" customWidth="1"/>
    <col min="3606" max="3606" width="15.42578125" style="568" customWidth="1"/>
    <col min="3607" max="3607" width="10.140625" style="568" customWidth="1"/>
    <col min="3608" max="3841" width="9.140625" style="568"/>
    <col min="3842" max="3842" width="4" style="568" customWidth="1"/>
    <col min="3843" max="3843" width="23.140625" style="568" bestFit="1" customWidth="1"/>
    <col min="3844" max="3844" width="17.140625" style="568" customWidth="1"/>
    <col min="3845" max="3845" width="24.140625" style="568" customWidth="1"/>
    <col min="3846" max="3846" width="14.85546875" style="568" customWidth="1"/>
    <col min="3847" max="3847" width="15.42578125" style="568" customWidth="1"/>
    <col min="3848" max="3848" width="14.42578125" style="568" customWidth="1"/>
    <col min="3849" max="3849" width="9" style="568" customWidth="1"/>
    <col min="3850" max="3850" width="29.7109375" style="568" customWidth="1"/>
    <col min="3851" max="3851" width="16.5703125" style="568" customWidth="1"/>
    <col min="3852" max="3852" width="29.42578125" style="568" customWidth="1"/>
    <col min="3853" max="3853" width="8.5703125" style="568" bestFit="1" customWidth="1"/>
    <col min="3854" max="3855" width="12.5703125" style="568" customWidth="1"/>
    <col min="3856" max="3856" width="16.42578125" style="568" customWidth="1"/>
    <col min="3857" max="3857" width="15.7109375" style="568" customWidth="1"/>
    <col min="3858" max="3858" width="0" style="568" hidden="1" customWidth="1"/>
    <col min="3859" max="3859" width="15.42578125" style="568" customWidth="1"/>
    <col min="3860" max="3860" width="10.7109375" style="568" customWidth="1"/>
    <col min="3861" max="3861" width="52.85546875" style="568" customWidth="1"/>
    <col min="3862" max="3862" width="15.42578125" style="568" customWidth="1"/>
    <col min="3863" max="3863" width="10.140625" style="568" customWidth="1"/>
    <col min="3864" max="4097" width="9.140625" style="568"/>
    <col min="4098" max="4098" width="4" style="568" customWidth="1"/>
    <col min="4099" max="4099" width="23.140625" style="568" bestFit="1" customWidth="1"/>
    <col min="4100" max="4100" width="17.140625" style="568" customWidth="1"/>
    <col min="4101" max="4101" width="24.140625" style="568" customWidth="1"/>
    <col min="4102" max="4102" width="14.85546875" style="568" customWidth="1"/>
    <col min="4103" max="4103" width="15.42578125" style="568" customWidth="1"/>
    <col min="4104" max="4104" width="14.42578125" style="568" customWidth="1"/>
    <col min="4105" max="4105" width="9" style="568" customWidth="1"/>
    <col min="4106" max="4106" width="29.7109375" style="568" customWidth="1"/>
    <col min="4107" max="4107" width="16.5703125" style="568" customWidth="1"/>
    <col min="4108" max="4108" width="29.42578125" style="568" customWidth="1"/>
    <col min="4109" max="4109" width="8.5703125" style="568" bestFit="1" customWidth="1"/>
    <col min="4110" max="4111" width="12.5703125" style="568" customWidth="1"/>
    <col min="4112" max="4112" width="16.42578125" style="568" customWidth="1"/>
    <col min="4113" max="4113" width="15.7109375" style="568" customWidth="1"/>
    <col min="4114" max="4114" width="0" style="568" hidden="1" customWidth="1"/>
    <col min="4115" max="4115" width="15.42578125" style="568" customWidth="1"/>
    <col min="4116" max="4116" width="10.7109375" style="568" customWidth="1"/>
    <col min="4117" max="4117" width="52.85546875" style="568" customWidth="1"/>
    <col min="4118" max="4118" width="15.42578125" style="568" customWidth="1"/>
    <col min="4119" max="4119" width="10.140625" style="568" customWidth="1"/>
    <col min="4120" max="4353" width="9.140625" style="568"/>
    <col min="4354" max="4354" width="4" style="568" customWidth="1"/>
    <col min="4355" max="4355" width="23.140625" style="568" bestFit="1" customWidth="1"/>
    <col min="4356" max="4356" width="17.140625" style="568" customWidth="1"/>
    <col min="4357" max="4357" width="24.140625" style="568" customWidth="1"/>
    <col min="4358" max="4358" width="14.85546875" style="568" customWidth="1"/>
    <col min="4359" max="4359" width="15.42578125" style="568" customWidth="1"/>
    <col min="4360" max="4360" width="14.42578125" style="568" customWidth="1"/>
    <col min="4361" max="4361" width="9" style="568" customWidth="1"/>
    <col min="4362" max="4362" width="29.7109375" style="568" customWidth="1"/>
    <col min="4363" max="4363" width="16.5703125" style="568" customWidth="1"/>
    <col min="4364" max="4364" width="29.42578125" style="568" customWidth="1"/>
    <col min="4365" max="4365" width="8.5703125" style="568" bestFit="1" customWidth="1"/>
    <col min="4366" max="4367" width="12.5703125" style="568" customWidth="1"/>
    <col min="4368" max="4368" width="16.42578125" style="568" customWidth="1"/>
    <col min="4369" max="4369" width="15.7109375" style="568" customWidth="1"/>
    <col min="4370" max="4370" width="0" style="568" hidden="1" customWidth="1"/>
    <col min="4371" max="4371" width="15.42578125" style="568" customWidth="1"/>
    <col min="4372" max="4372" width="10.7109375" style="568" customWidth="1"/>
    <col min="4373" max="4373" width="52.85546875" style="568" customWidth="1"/>
    <col min="4374" max="4374" width="15.42578125" style="568" customWidth="1"/>
    <col min="4375" max="4375" width="10.140625" style="568" customWidth="1"/>
    <col min="4376" max="4609" width="9.140625" style="568"/>
    <col min="4610" max="4610" width="4" style="568" customWidth="1"/>
    <col min="4611" max="4611" width="23.140625" style="568" bestFit="1" customWidth="1"/>
    <col min="4612" max="4612" width="17.140625" style="568" customWidth="1"/>
    <col min="4613" max="4613" width="24.140625" style="568" customWidth="1"/>
    <col min="4614" max="4614" width="14.85546875" style="568" customWidth="1"/>
    <col min="4615" max="4615" width="15.42578125" style="568" customWidth="1"/>
    <col min="4616" max="4616" width="14.42578125" style="568" customWidth="1"/>
    <col min="4617" max="4617" width="9" style="568" customWidth="1"/>
    <col min="4618" max="4618" width="29.7109375" style="568" customWidth="1"/>
    <col min="4619" max="4619" width="16.5703125" style="568" customWidth="1"/>
    <col min="4620" max="4620" width="29.42578125" style="568" customWidth="1"/>
    <col min="4621" max="4621" width="8.5703125" style="568" bestFit="1" customWidth="1"/>
    <col min="4622" max="4623" width="12.5703125" style="568" customWidth="1"/>
    <col min="4624" max="4624" width="16.42578125" style="568" customWidth="1"/>
    <col min="4625" max="4625" width="15.7109375" style="568" customWidth="1"/>
    <col min="4626" max="4626" width="0" style="568" hidden="1" customWidth="1"/>
    <col min="4627" max="4627" width="15.42578125" style="568" customWidth="1"/>
    <col min="4628" max="4628" width="10.7109375" style="568" customWidth="1"/>
    <col min="4629" max="4629" width="52.85546875" style="568" customWidth="1"/>
    <col min="4630" max="4630" width="15.42578125" style="568" customWidth="1"/>
    <col min="4631" max="4631" width="10.140625" style="568" customWidth="1"/>
    <col min="4632" max="4865" width="9.140625" style="568"/>
    <col min="4866" max="4866" width="4" style="568" customWidth="1"/>
    <col min="4867" max="4867" width="23.140625" style="568" bestFit="1" customWidth="1"/>
    <col min="4868" max="4868" width="17.140625" style="568" customWidth="1"/>
    <col min="4869" max="4869" width="24.140625" style="568" customWidth="1"/>
    <col min="4870" max="4870" width="14.85546875" style="568" customWidth="1"/>
    <col min="4871" max="4871" width="15.42578125" style="568" customWidth="1"/>
    <col min="4872" max="4872" width="14.42578125" style="568" customWidth="1"/>
    <col min="4873" max="4873" width="9" style="568" customWidth="1"/>
    <col min="4874" max="4874" width="29.7109375" style="568" customWidth="1"/>
    <col min="4875" max="4875" width="16.5703125" style="568" customWidth="1"/>
    <col min="4876" max="4876" width="29.42578125" style="568" customWidth="1"/>
    <col min="4877" max="4877" width="8.5703125" style="568" bestFit="1" customWidth="1"/>
    <col min="4878" max="4879" width="12.5703125" style="568" customWidth="1"/>
    <col min="4880" max="4880" width="16.42578125" style="568" customWidth="1"/>
    <col min="4881" max="4881" width="15.7109375" style="568" customWidth="1"/>
    <col min="4882" max="4882" width="0" style="568" hidden="1" customWidth="1"/>
    <col min="4883" max="4883" width="15.42578125" style="568" customWidth="1"/>
    <col min="4884" max="4884" width="10.7109375" style="568" customWidth="1"/>
    <col min="4885" max="4885" width="52.85546875" style="568" customWidth="1"/>
    <col min="4886" max="4886" width="15.42578125" style="568" customWidth="1"/>
    <col min="4887" max="4887" width="10.140625" style="568" customWidth="1"/>
    <col min="4888" max="5121" width="9.140625" style="568"/>
    <col min="5122" max="5122" width="4" style="568" customWidth="1"/>
    <col min="5123" max="5123" width="23.140625" style="568" bestFit="1" customWidth="1"/>
    <col min="5124" max="5124" width="17.140625" style="568" customWidth="1"/>
    <col min="5125" max="5125" width="24.140625" style="568" customWidth="1"/>
    <col min="5126" max="5126" width="14.85546875" style="568" customWidth="1"/>
    <col min="5127" max="5127" width="15.42578125" style="568" customWidth="1"/>
    <col min="5128" max="5128" width="14.42578125" style="568" customWidth="1"/>
    <col min="5129" max="5129" width="9" style="568" customWidth="1"/>
    <col min="5130" max="5130" width="29.7109375" style="568" customWidth="1"/>
    <col min="5131" max="5131" width="16.5703125" style="568" customWidth="1"/>
    <col min="5132" max="5132" width="29.42578125" style="568" customWidth="1"/>
    <col min="5133" max="5133" width="8.5703125" style="568" bestFit="1" customWidth="1"/>
    <col min="5134" max="5135" width="12.5703125" style="568" customWidth="1"/>
    <col min="5136" max="5136" width="16.42578125" style="568" customWidth="1"/>
    <col min="5137" max="5137" width="15.7109375" style="568" customWidth="1"/>
    <col min="5138" max="5138" width="0" style="568" hidden="1" customWidth="1"/>
    <col min="5139" max="5139" width="15.42578125" style="568" customWidth="1"/>
    <col min="5140" max="5140" width="10.7109375" style="568" customWidth="1"/>
    <col min="5141" max="5141" width="52.85546875" style="568" customWidth="1"/>
    <col min="5142" max="5142" width="15.42578125" style="568" customWidth="1"/>
    <col min="5143" max="5143" width="10.140625" style="568" customWidth="1"/>
    <col min="5144" max="5377" width="9.140625" style="568"/>
    <col min="5378" max="5378" width="4" style="568" customWidth="1"/>
    <col min="5379" max="5379" width="23.140625" style="568" bestFit="1" customWidth="1"/>
    <col min="5380" max="5380" width="17.140625" style="568" customWidth="1"/>
    <col min="5381" max="5381" width="24.140625" style="568" customWidth="1"/>
    <col min="5382" max="5382" width="14.85546875" style="568" customWidth="1"/>
    <col min="5383" max="5383" width="15.42578125" style="568" customWidth="1"/>
    <col min="5384" max="5384" width="14.42578125" style="568" customWidth="1"/>
    <col min="5385" max="5385" width="9" style="568" customWidth="1"/>
    <col min="5386" max="5386" width="29.7109375" style="568" customWidth="1"/>
    <col min="5387" max="5387" width="16.5703125" style="568" customWidth="1"/>
    <col min="5388" max="5388" width="29.42578125" style="568" customWidth="1"/>
    <col min="5389" max="5389" width="8.5703125" style="568" bestFit="1" customWidth="1"/>
    <col min="5390" max="5391" width="12.5703125" style="568" customWidth="1"/>
    <col min="5392" max="5392" width="16.42578125" style="568" customWidth="1"/>
    <col min="5393" max="5393" width="15.7109375" style="568" customWidth="1"/>
    <col min="5394" max="5394" width="0" style="568" hidden="1" customWidth="1"/>
    <col min="5395" max="5395" width="15.42578125" style="568" customWidth="1"/>
    <col min="5396" max="5396" width="10.7109375" style="568" customWidth="1"/>
    <col min="5397" max="5397" width="52.85546875" style="568" customWidth="1"/>
    <col min="5398" max="5398" width="15.42578125" style="568" customWidth="1"/>
    <col min="5399" max="5399" width="10.140625" style="568" customWidth="1"/>
    <col min="5400" max="5633" width="9.140625" style="568"/>
    <col min="5634" max="5634" width="4" style="568" customWidth="1"/>
    <col min="5635" max="5635" width="23.140625" style="568" bestFit="1" customWidth="1"/>
    <col min="5636" max="5636" width="17.140625" style="568" customWidth="1"/>
    <col min="5637" max="5637" width="24.140625" style="568" customWidth="1"/>
    <col min="5638" max="5638" width="14.85546875" style="568" customWidth="1"/>
    <col min="5639" max="5639" width="15.42578125" style="568" customWidth="1"/>
    <col min="5640" max="5640" width="14.42578125" style="568" customWidth="1"/>
    <col min="5641" max="5641" width="9" style="568" customWidth="1"/>
    <col min="5642" max="5642" width="29.7109375" style="568" customWidth="1"/>
    <col min="5643" max="5643" width="16.5703125" style="568" customWidth="1"/>
    <col min="5644" max="5644" width="29.42578125" style="568" customWidth="1"/>
    <col min="5645" max="5645" width="8.5703125" style="568" bestFit="1" customWidth="1"/>
    <col min="5646" max="5647" width="12.5703125" style="568" customWidth="1"/>
    <col min="5648" max="5648" width="16.42578125" style="568" customWidth="1"/>
    <col min="5649" max="5649" width="15.7109375" style="568" customWidth="1"/>
    <col min="5650" max="5650" width="0" style="568" hidden="1" customWidth="1"/>
    <col min="5651" max="5651" width="15.42578125" style="568" customWidth="1"/>
    <col min="5652" max="5652" width="10.7109375" style="568" customWidth="1"/>
    <col min="5653" max="5653" width="52.85546875" style="568" customWidth="1"/>
    <col min="5654" max="5654" width="15.42578125" style="568" customWidth="1"/>
    <col min="5655" max="5655" width="10.140625" style="568" customWidth="1"/>
    <col min="5656" max="5889" width="9.140625" style="568"/>
    <col min="5890" max="5890" width="4" style="568" customWidth="1"/>
    <col min="5891" max="5891" width="23.140625" style="568" bestFit="1" customWidth="1"/>
    <col min="5892" max="5892" width="17.140625" style="568" customWidth="1"/>
    <col min="5893" max="5893" width="24.140625" style="568" customWidth="1"/>
    <col min="5894" max="5894" width="14.85546875" style="568" customWidth="1"/>
    <col min="5895" max="5895" width="15.42578125" style="568" customWidth="1"/>
    <col min="5896" max="5896" width="14.42578125" style="568" customWidth="1"/>
    <col min="5897" max="5897" width="9" style="568" customWidth="1"/>
    <col min="5898" max="5898" width="29.7109375" style="568" customWidth="1"/>
    <col min="5899" max="5899" width="16.5703125" style="568" customWidth="1"/>
    <col min="5900" max="5900" width="29.42578125" style="568" customWidth="1"/>
    <col min="5901" max="5901" width="8.5703125" style="568" bestFit="1" customWidth="1"/>
    <col min="5902" max="5903" width="12.5703125" style="568" customWidth="1"/>
    <col min="5904" max="5904" width="16.42578125" style="568" customWidth="1"/>
    <col min="5905" max="5905" width="15.7109375" style="568" customWidth="1"/>
    <col min="5906" max="5906" width="0" style="568" hidden="1" customWidth="1"/>
    <col min="5907" max="5907" width="15.42578125" style="568" customWidth="1"/>
    <col min="5908" max="5908" width="10.7109375" style="568" customWidth="1"/>
    <col min="5909" max="5909" width="52.85546875" style="568" customWidth="1"/>
    <col min="5910" max="5910" width="15.42578125" style="568" customWidth="1"/>
    <col min="5911" max="5911" width="10.140625" style="568" customWidth="1"/>
    <col min="5912" max="6145" width="9.140625" style="568"/>
    <col min="6146" max="6146" width="4" style="568" customWidth="1"/>
    <col min="6147" max="6147" width="23.140625" style="568" bestFit="1" customWidth="1"/>
    <col min="6148" max="6148" width="17.140625" style="568" customWidth="1"/>
    <col min="6149" max="6149" width="24.140625" style="568" customWidth="1"/>
    <col min="6150" max="6150" width="14.85546875" style="568" customWidth="1"/>
    <col min="6151" max="6151" width="15.42578125" style="568" customWidth="1"/>
    <col min="6152" max="6152" width="14.42578125" style="568" customWidth="1"/>
    <col min="6153" max="6153" width="9" style="568" customWidth="1"/>
    <col min="6154" max="6154" width="29.7109375" style="568" customWidth="1"/>
    <col min="6155" max="6155" width="16.5703125" style="568" customWidth="1"/>
    <col min="6156" max="6156" width="29.42578125" style="568" customWidth="1"/>
    <col min="6157" max="6157" width="8.5703125" style="568" bestFit="1" customWidth="1"/>
    <col min="6158" max="6159" width="12.5703125" style="568" customWidth="1"/>
    <col min="6160" max="6160" width="16.42578125" style="568" customWidth="1"/>
    <col min="6161" max="6161" width="15.7109375" style="568" customWidth="1"/>
    <col min="6162" max="6162" width="0" style="568" hidden="1" customWidth="1"/>
    <col min="6163" max="6163" width="15.42578125" style="568" customWidth="1"/>
    <col min="6164" max="6164" width="10.7109375" style="568" customWidth="1"/>
    <col min="6165" max="6165" width="52.85546875" style="568" customWidth="1"/>
    <col min="6166" max="6166" width="15.42578125" style="568" customWidth="1"/>
    <col min="6167" max="6167" width="10.140625" style="568" customWidth="1"/>
    <col min="6168" max="6401" width="9.140625" style="568"/>
    <col min="6402" max="6402" width="4" style="568" customWidth="1"/>
    <col min="6403" max="6403" width="23.140625" style="568" bestFit="1" customWidth="1"/>
    <col min="6404" max="6404" width="17.140625" style="568" customWidth="1"/>
    <col min="6405" max="6405" width="24.140625" style="568" customWidth="1"/>
    <col min="6406" max="6406" width="14.85546875" style="568" customWidth="1"/>
    <col min="6407" max="6407" width="15.42578125" style="568" customWidth="1"/>
    <col min="6408" max="6408" width="14.42578125" style="568" customWidth="1"/>
    <col min="6409" max="6409" width="9" style="568" customWidth="1"/>
    <col min="6410" max="6410" width="29.7109375" style="568" customWidth="1"/>
    <col min="6411" max="6411" width="16.5703125" style="568" customWidth="1"/>
    <col min="6412" max="6412" width="29.42578125" style="568" customWidth="1"/>
    <col min="6413" max="6413" width="8.5703125" style="568" bestFit="1" customWidth="1"/>
    <col min="6414" max="6415" width="12.5703125" style="568" customWidth="1"/>
    <col min="6416" max="6416" width="16.42578125" style="568" customWidth="1"/>
    <col min="6417" max="6417" width="15.7109375" style="568" customWidth="1"/>
    <col min="6418" max="6418" width="0" style="568" hidden="1" customWidth="1"/>
    <col min="6419" max="6419" width="15.42578125" style="568" customWidth="1"/>
    <col min="6420" max="6420" width="10.7109375" style="568" customWidth="1"/>
    <col min="6421" max="6421" width="52.85546875" style="568" customWidth="1"/>
    <col min="6422" max="6422" width="15.42578125" style="568" customWidth="1"/>
    <col min="6423" max="6423" width="10.140625" style="568" customWidth="1"/>
    <col min="6424" max="6657" width="9.140625" style="568"/>
    <col min="6658" max="6658" width="4" style="568" customWidth="1"/>
    <col min="6659" max="6659" width="23.140625" style="568" bestFit="1" customWidth="1"/>
    <col min="6660" max="6660" width="17.140625" style="568" customWidth="1"/>
    <col min="6661" max="6661" width="24.140625" style="568" customWidth="1"/>
    <col min="6662" max="6662" width="14.85546875" style="568" customWidth="1"/>
    <col min="6663" max="6663" width="15.42578125" style="568" customWidth="1"/>
    <col min="6664" max="6664" width="14.42578125" style="568" customWidth="1"/>
    <col min="6665" max="6665" width="9" style="568" customWidth="1"/>
    <col min="6666" max="6666" width="29.7109375" style="568" customWidth="1"/>
    <col min="6667" max="6667" width="16.5703125" style="568" customWidth="1"/>
    <col min="6668" max="6668" width="29.42578125" style="568" customWidth="1"/>
    <col min="6669" max="6669" width="8.5703125" style="568" bestFit="1" customWidth="1"/>
    <col min="6670" max="6671" width="12.5703125" style="568" customWidth="1"/>
    <col min="6672" max="6672" width="16.42578125" style="568" customWidth="1"/>
    <col min="6673" max="6673" width="15.7109375" style="568" customWidth="1"/>
    <col min="6674" max="6674" width="0" style="568" hidden="1" customWidth="1"/>
    <col min="6675" max="6675" width="15.42578125" style="568" customWidth="1"/>
    <col min="6676" max="6676" width="10.7109375" style="568" customWidth="1"/>
    <col min="6677" max="6677" width="52.85546875" style="568" customWidth="1"/>
    <col min="6678" max="6678" width="15.42578125" style="568" customWidth="1"/>
    <col min="6679" max="6679" width="10.140625" style="568" customWidth="1"/>
    <col min="6680" max="6913" width="9.140625" style="568"/>
    <col min="6914" max="6914" width="4" style="568" customWidth="1"/>
    <col min="6915" max="6915" width="23.140625" style="568" bestFit="1" customWidth="1"/>
    <col min="6916" max="6916" width="17.140625" style="568" customWidth="1"/>
    <col min="6917" max="6917" width="24.140625" style="568" customWidth="1"/>
    <col min="6918" max="6918" width="14.85546875" style="568" customWidth="1"/>
    <col min="6919" max="6919" width="15.42578125" style="568" customWidth="1"/>
    <col min="6920" max="6920" width="14.42578125" style="568" customWidth="1"/>
    <col min="6921" max="6921" width="9" style="568" customWidth="1"/>
    <col min="6922" max="6922" width="29.7109375" style="568" customWidth="1"/>
    <col min="6923" max="6923" width="16.5703125" style="568" customWidth="1"/>
    <col min="6924" max="6924" width="29.42578125" style="568" customWidth="1"/>
    <col min="6925" max="6925" width="8.5703125" style="568" bestFit="1" customWidth="1"/>
    <col min="6926" max="6927" width="12.5703125" style="568" customWidth="1"/>
    <col min="6928" max="6928" width="16.42578125" style="568" customWidth="1"/>
    <col min="6929" max="6929" width="15.7109375" style="568" customWidth="1"/>
    <col min="6930" max="6930" width="0" style="568" hidden="1" customWidth="1"/>
    <col min="6931" max="6931" width="15.42578125" style="568" customWidth="1"/>
    <col min="6932" max="6932" width="10.7109375" style="568" customWidth="1"/>
    <col min="6933" max="6933" width="52.85546875" style="568" customWidth="1"/>
    <col min="6934" max="6934" width="15.42578125" style="568" customWidth="1"/>
    <col min="6935" max="6935" width="10.140625" style="568" customWidth="1"/>
    <col min="6936" max="7169" width="9.140625" style="568"/>
    <col min="7170" max="7170" width="4" style="568" customWidth="1"/>
    <col min="7171" max="7171" width="23.140625" style="568" bestFit="1" customWidth="1"/>
    <col min="7172" max="7172" width="17.140625" style="568" customWidth="1"/>
    <col min="7173" max="7173" width="24.140625" style="568" customWidth="1"/>
    <col min="7174" max="7174" width="14.85546875" style="568" customWidth="1"/>
    <col min="7175" max="7175" width="15.42578125" style="568" customWidth="1"/>
    <col min="7176" max="7176" width="14.42578125" style="568" customWidth="1"/>
    <col min="7177" max="7177" width="9" style="568" customWidth="1"/>
    <col min="7178" max="7178" width="29.7109375" style="568" customWidth="1"/>
    <col min="7179" max="7179" width="16.5703125" style="568" customWidth="1"/>
    <col min="7180" max="7180" width="29.42578125" style="568" customWidth="1"/>
    <col min="7181" max="7181" width="8.5703125" style="568" bestFit="1" customWidth="1"/>
    <col min="7182" max="7183" width="12.5703125" style="568" customWidth="1"/>
    <col min="7184" max="7184" width="16.42578125" style="568" customWidth="1"/>
    <col min="7185" max="7185" width="15.7109375" style="568" customWidth="1"/>
    <col min="7186" max="7186" width="0" style="568" hidden="1" customWidth="1"/>
    <col min="7187" max="7187" width="15.42578125" style="568" customWidth="1"/>
    <col min="7188" max="7188" width="10.7109375" style="568" customWidth="1"/>
    <col min="7189" max="7189" width="52.85546875" style="568" customWidth="1"/>
    <col min="7190" max="7190" width="15.42578125" style="568" customWidth="1"/>
    <col min="7191" max="7191" width="10.140625" style="568" customWidth="1"/>
    <col min="7192" max="7425" width="9.140625" style="568"/>
    <col min="7426" max="7426" width="4" style="568" customWidth="1"/>
    <col min="7427" max="7427" width="23.140625" style="568" bestFit="1" customWidth="1"/>
    <col min="7428" max="7428" width="17.140625" style="568" customWidth="1"/>
    <col min="7429" max="7429" width="24.140625" style="568" customWidth="1"/>
    <col min="7430" max="7430" width="14.85546875" style="568" customWidth="1"/>
    <col min="7431" max="7431" width="15.42578125" style="568" customWidth="1"/>
    <col min="7432" max="7432" width="14.42578125" style="568" customWidth="1"/>
    <col min="7433" max="7433" width="9" style="568" customWidth="1"/>
    <col min="7434" max="7434" width="29.7109375" style="568" customWidth="1"/>
    <col min="7435" max="7435" width="16.5703125" style="568" customWidth="1"/>
    <col min="7436" max="7436" width="29.42578125" style="568" customWidth="1"/>
    <col min="7437" max="7437" width="8.5703125" style="568" bestFit="1" customWidth="1"/>
    <col min="7438" max="7439" width="12.5703125" style="568" customWidth="1"/>
    <col min="7440" max="7440" width="16.42578125" style="568" customWidth="1"/>
    <col min="7441" max="7441" width="15.7109375" style="568" customWidth="1"/>
    <col min="7442" max="7442" width="0" style="568" hidden="1" customWidth="1"/>
    <col min="7443" max="7443" width="15.42578125" style="568" customWidth="1"/>
    <col min="7444" max="7444" width="10.7109375" style="568" customWidth="1"/>
    <col min="7445" max="7445" width="52.85546875" style="568" customWidth="1"/>
    <col min="7446" max="7446" width="15.42578125" style="568" customWidth="1"/>
    <col min="7447" max="7447" width="10.140625" style="568" customWidth="1"/>
    <col min="7448" max="7681" width="9.140625" style="568"/>
    <col min="7682" max="7682" width="4" style="568" customWidth="1"/>
    <col min="7683" max="7683" width="23.140625" style="568" bestFit="1" customWidth="1"/>
    <col min="7684" max="7684" width="17.140625" style="568" customWidth="1"/>
    <col min="7685" max="7685" width="24.140625" style="568" customWidth="1"/>
    <col min="7686" max="7686" width="14.85546875" style="568" customWidth="1"/>
    <col min="7687" max="7687" width="15.42578125" style="568" customWidth="1"/>
    <col min="7688" max="7688" width="14.42578125" style="568" customWidth="1"/>
    <col min="7689" max="7689" width="9" style="568" customWidth="1"/>
    <col min="7690" max="7690" width="29.7109375" style="568" customWidth="1"/>
    <col min="7691" max="7691" width="16.5703125" style="568" customWidth="1"/>
    <col min="7692" max="7692" width="29.42578125" style="568" customWidth="1"/>
    <col min="7693" max="7693" width="8.5703125" style="568" bestFit="1" customWidth="1"/>
    <col min="7694" max="7695" width="12.5703125" style="568" customWidth="1"/>
    <col min="7696" max="7696" width="16.42578125" style="568" customWidth="1"/>
    <col min="7697" max="7697" width="15.7109375" style="568" customWidth="1"/>
    <col min="7698" max="7698" width="0" style="568" hidden="1" customWidth="1"/>
    <col min="7699" max="7699" width="15.42578125" style="568" customWidth="1"/>
    <col min="7700" max="7700" width="10.7109375" style="568" customWidth="1"/>
    <col min="7701" max="7701" width="52.85546875" style="568" customWidth="1"/>
    <col min="7702" max="7702" width="15.42578125" style="568" customWidth="1"/>
    <col min="7703" max="7703" width="10.140625" style="568" customWidth="1"/>
    <col min="7704" max="7937" width="9.140625" style="568"/>
    <col min="7938" max="7938" width="4" style="568" customWidth="1"/>
    <col min="7939" max="7939" width="23.140625" style="568" bestFit="1" customWidth="1"/>
    <col min="7940" max="7940" width="17.140625" style="568" customWidth="1"/>
    <col min="7941" max="7941" width="24.140625" style="568" customWidth="1"/>
    <col min="7942" max="7942" width="14.85546875" style="568" customWidth="1"/>
    <col min="7943" max="7943" width="15.42578125" style="568" customWidth="1"/>
    <col min="7944" max="7944" width="14.42578125" style="568" customWidth="1"/>
    <col min="7945" max="7945" width="9" style="568" customWidth="1"/>
    <col min="7946" max="7946" width="29.7109375" style="568" customWidth="1"/>
    <col min="7947" max="7947" width="16.5703125" style="568" customWidth="1"/>
    <col min="7948" max="7948" width="29.42578125" style="568" customWidth="1"/>
    <col min="7949" max="7949" width="8.5703125" style="568" bestFit="1" customWidth="1"/>
    <col min="7950" max="7951" width="12.5703125" style="568" customWidth="1"/>
    <col min="7952" max="7952" width="16.42578125" style="568" customWidth="1"/>
    <col min="7953" max="7953" width="15.7109375" style="568" customWidth="1"/>
    <col min="7954" max="7954" width="0" style="568" hidden="1" customWidth="1"/>
    <col min="7955" max="7955" width="15.42578125" style="568" customWidth="1"/>
    <col min="7956" max="7956" width="10.7109375" style="568" customWidth="1"/>
    <col min="7957" max="7957" width="52.85546875" style="568" customWidth="1"/>
    <col min="7958" max="7958" width="15.42578125" style="568" customWidth="1"/>
    <col min="7959" max="7959" width="10.140625" style="568" customWidth="1"/>
    <col min="7960" max="8193" width="9.140625" style="568"/>
    <col min="8194" max="8194" width="4" style="568" customWidth="1"/>
    <col min="8195" max="8195" width="23.140625" style="568" bestFit="1" customWidth="1"/>
    <col min="8196" max="8196" width="17.140625" style="568" customWidth="1"/>
    <col min="8197" max="8197" width="24.140625" style="568" customWidth="1"/>
    <col min="8198" max="8198" width="14.85546875" style="568" customWidth="1"/>
    <col min="8199" max="8199" width="15.42578125" style="568" customWidth="1"/>
    <col min="8200" max="8200" width="14.42578125" style="568" customWidth="1"/>
    <col min="8201" max="8201" width="9" style="568" customWidth="1"/>
    <col min="8202" max="8202" width="29.7109375" style="568" customWidth="1"/>
    <col min="8203" max="8203" width="16.5703125" style="568" customWidth="1"/>
    <col min="8204" max="8204" width="29.42578125" style="568" customWidth="1"/>
    <col min="8205" max="8205" width="8.5703125" style="568" bestFit="1" customWidth="1"/>
    <col min="8206" max="8207" width="12.5703125" style="568" customWidth="1"/>
    <col min="8208" max="8208" width="16.42578125" style="568" customWidth="1"/>
    <col min="8209" max="8209" width="15.7109375" style="568" customWidth="1"/>
    <col min="8210" max="8210" width="0" style="568" hidden="1" customWidth="1"/>
    <col min="8211" max="8211" width="15.42578125" style="568" customWidth="1"/>
    <col min="8212" max="8212" width="10.7109375" style="568" customWidth="1"/>
    <col min="8213" max="8213" width="52.85546875" style="568" customWidth="1"/>
    <col min="8214" max="8214" width="15.42578125" style="568" customWidth="1"/>
    <col min="8215" max="8215" width="10.140625" style="568" customWidth="1"/>
    <col min="8216" max="8449" width="9.140625" style="568"/>
    <col min="8450" max="8450" width="4" style="568" customWidth="1"/>
    <col min="8451" max="8451" width="23.140625" style="568" bestFit="1" customWidth="1"/>
    <col min="8452" max="8452" width="17.140625" style="568" customWidth="1"/>
    <col min="8453" max="8453" width="24.140625" style="568" customWidth="1"/>
    <col min="8454" max="8454" width="14.85546875" style="568" customWidth="1"/>
    <col min="8455" max="8455" width="15.42578125" style="568" customWidth="1"/>
    <col min="8456" max="8456" width="14.42578125" style="568" customWidth="1"/>
    <col min="8457" max="8457" width="9" style="568" customWidth="1"/>
    <col min="8458" max="8458" width="29.7109375" style="568" customWidth="1"/>
    <col min="8459" max="8459" width="16.5703125" style="568" customWidth="1"/>
    <col min="8460" max="8460" width="29.42578125" style="568" customWidth="1"/>
    <col min="8461" max="8461" width="8.5703125" style="568" bestFit="1" customWidth="1"/>
    <col min="8462" max="8463" width="12.5703125" style="568" customWidth="1"/>
    <col min="8464" max="8464" width="16.42578125" style="568" customWidth="1"/>
    <col min="8465" max="8465" width="15.7109375" style="568" customWidth="1"/>
    <col min="8466" max="8466" width="0" style="568" hidden="1" customWidth="1"/>
    <col min="8467" max="8467" width="15.42578125" style="568" customWidth="1"/>
    <col min="8468" max="8468" width="10.7109375" style="568" customWidth="1"/>
    <col min="8469" max="8469" width="52.85546875" style="568" customWidth="1"/>
    <col min="8470" max="8470" width="15.42578125" style="568" customWidth="1"/>
    <col min="8471" max="8471" width="10.140625" style="568" customWidth="1"/>
    <col min="8472" max="8705" width="9.140625" style="568"/>
    <col min="8706" max="8706" width="4" style="568" customWidth="1"/>
    <col min="8707" max="8707" width="23.140625" style="568" bestFit="1" customWidth="1"/>
    <col min="8708" max="8708" width="17.140625" style="568" customWidth="1"/>
    <col min="8709" max="8709" width="24.140625" style="568" customWidth="1"/>
    <col min="8710" max="8710" width="14.85546875" style="568" customWidth="1"/>
    <col min="8711" max="8711" width="15.42578125" style="568" customWidth="1"/>
    <col min="8712" max="8712" width="14.42578125" style="568" customWidth="1"/>
    <col min="8713" max="8713" width="9" style="568" customWidth="1"/>
    <col min="8714" max="8714" width="29.7109375" style="568" customWidth="1"/>
    <col min="8715" max="8715" width="16.5703125" style="568" customWidth="1"/>
    <col min="8716" max="8716" width="29.42578125" style="568" customWidth="1"/>
    <col min="8717" max="8717" width="8.5703125" style="568" bestFit="1" customWidth="1"/>
    <col min="8718" max="8719" width="12.5703125" style="568" customWidth="1"/>
    <col min="8720" max="8720" width="16.42578125" style="568" customWidth="1"/>
    <col min="8721" max="8721" width="15.7109375" style="568" customWidth="1"/>
    <col min="8722" max="8722" width="0" style="568" hidden="1" customWidth="1"/>
    <col min="8723" max="8723" width="15.42578125" style="568" customWidth="1"/>
    <col min="8724" max="8724" width="10.7109375" style="568" customWidth="1"/>
    <col min="8725" max="8725" width="52.85546875" style="568" customWidth="1"/>
    <col min="8726" max="8726" width="15.42578125" style="568" customWidth="1"/>
    <col min="8727" max="8727" width="10.140625" style="568" customWidth="1"/>
    <col min="8728" max="8961" width="9.140625" style="568"/>
    <col min="8962" max="8962" width="4" style="568" customWidth="1"/>
    <col min="8963" max="8963" width="23.140625" style="568" bestFit="1" customWidth="1"/>
    <col min="8964" max="8964" width="17.140625" style="568" customWidth="1"/>
    <col min="8965" max="8965" width="24.140625" style="568" customWidth="1"/>
    <col min="8966" max="8966" width="14.85546875" style="568" customWidth="1"/>
    <col min="8967" max="8967" width="15.42578125" style="568" customWidth="1"/>
    <col min="8968" max="8968" width="14.42578125" style="568" customWidth="1"/>
    <col min="8969" max="8969" width="9" style="568" customWidth="1"/>
    <col min="8970" max="8970" width="29.7109375" style="568" customWidth="1"/>
    <col min="8971" max="8971" width="16.5703125" style="568" customWidth="1"/>
    <col min="8972" max="8972" width="29.42578125" style="568" customWidth="1"/>
    <col min="8973" max="8973" width="8.5703125" style="568" bestFit="1" customWidth="1"/>
    <col min="8974" max="8975" width="12.5703125" style="568" customWidth="1"/>
    <col min="8976" max="8976" width="16.42578125" style="568" customWidth="1"/>
    <col min="8977" max="8977" width="15.7109375" style="568" customWidth="1"/>
    <col min="8978" max="8978" width="0" style="568" hidden="1" customWidth="1"/>
    <col min="8979" max="8979" width="15.42578125" style="568" customWidth="1"/>
    <col min="8980" max="8980" width="10.7109375" style="568" customWidth="1"/>
    <col min="8981" max="8981" width="52.85546875" style="568" customWidth="1"/>
    <col min="8982" max="8982" width="15.42578125" style="568" customWidth="1"/>
    <col min="8983" max="8983" width="10.140625" style="568" customWidth="1"/>
    <col min="8984" max="9217" width="9.140625" style="568"/>
    <col min="9218" max="9218" width="4" style="568" customWidth="1"/>
    <col min="9219" max="9219" width="23.140625" style="568" bestFit="1" customWidth="1"/>
    <col min="9220" max="9220" width="17.140625" style="568" customWidth="1"/>
    <col min="9221" max="9221" width="24.140625" style="568" customWidth="1"/>
    <col min="9222" max="9222" width="14.85546875" style="568" customWidth="1"/>
    <col min="9223" max="9223" width="15.42578125" style="568" customWidth="1"/>
    <col min="9224" max="9224" width="14.42578125" style="568" customWidth="1"/>
    <col min="9225" max="9225" width="9" style="568" customWidth="1"/>
    <col min="9226" max="9226" width="29.7109375" style="568" customWidth="1"/>
    <col min="9227" max="9227" width="16.5703125" style="568" customWidth="1"/>
    <col min="9228" max="9228" width="29.42578125" style="568" customWidth="1"/>
    <col min="9229" max="9229" width="8.5703125" style="568" bestFit="1" customWidth="1"/>
    <col min="9230" max="9231" width="12.5703125" style="568" customWidth="1"/>
    <col min="9232" max="9232" width="16.42578125" style="568" customWidth="1"/>
    <col min="9233" max="9233" width="15.7109375" style="568" customWidth="1"/>
    <col min="9234" max="9234" width="0" style="568" hidden="1" customWidth="1"/>
    <col min="9235" max="9235" width="15.42578125" style="568" customWidth="1"/>
    <col min="9236" max="9236" width="10.7109375" style="568" customWidth="1"/>
    <col min="9237" max="9237" width="52.85546875" style="568" customWidth="1"/>
    <col min="9238" max="9238" width="15.42578125" style="568" customWidth="1"/>
    <col min="9239" max="9239" width="10.140625" style="568" customWidth="1"/>
    <col min="9240" max="9473" width="9.140625" style="568"/>
    <col min="9474" max="9474" width="4" style="568" customWidth="1"/>
    <col min="9475" max="9475" width="23.140625" style="568" bestFit="1" customWidth="1"/>
    <col min="9476" max="9476" width="17.140625" style="568" customWidth="1"/>
    <col min="9477" max="9477" width="24.140625" style="568" customWidth="1"/>
    <col min="9478" max="9478" width="14.85546875" style="568" customWidth="1"/>
    <col min="9479" max="9479" width="15.42578125" style="568" customWidth="1"/>
    <col min="9480" max="9480" width="14.42578125" style="568" customWidth="1"/>
    <col min="9481" max="9481" width="9" style="568" customWidth="1"/>
    <col min="9482" max="9482" width="29.7109375" style="568" customWidth="1"/>
    <col min="9483" max="9483" width="16.5703125" style="568" customWidth="1"/>
    <col min="9484" max="9484" width="29.42578125" style="568" customWidth="1"/>
    <col min="9485" max="9485" width="8.5703125" style="568" bestFit="1" customWidth="1"/>
    <col min="9486" max="9487" width="12.5703125" style="568" customWidth="1"/>
    <col min="9488" max="9488" width="16.42578125" style="568" customWidth="1"/>
    <col min="9489" max="9489" width="15.7109375" style="568" customWidth="1"/>
    <col min="9490" max="9490" width="0" style="568" hidden="1" customWidth="1"/>
    <col min="9491" max="9491" width="15.42578125" style="568" customWidth="1"/>
    <col min="9492" max="9492" width="10.7109375" style="568" customWidth="1"/>
    <col min="9493" max="9493" width="52.85546875" style="568" customWidth="1"/>
    <col min="9494" max="9494" width="15.42578125" style="568" customWidth="1"/>
    <col min="9495" max="9495" width="10.140625" style="568" customWidth="1"/>
    <col min="9496" max="9729" width="9.140625" style="568"/>
    <col min="9730" max="9730" width="4" style="568" customWidth="1"/>
    <col min="9731" max="9731" width="23.140625" style="568" bestFit="1" customWidth="1"/>
    <col min="9732" max="9732" width="17.140625" style="568" customWidth="1"/>
    <col min="9733" max="9733" width="24.140625" style="568" customWidth="1"/>
    <col min="9734" max="9734" width="14.85546875" style="568" customWidth="1"/>
    <col min="9735" max="9735" width="15.42578125" style="568" customWidth="1"/>
    <col min="9736" max="9736" width="14.42578125" style="568" customWidth="1"/>
    <col min="9737" max="9737" width="9" style="568" customWidth="1"/>
    <col min="9738" max="9738" width="29.7109375" style="568" customWidth="1"/>
    <col min="9739" max="9739" width="16.5703125" style="568" customWidth="1"/>
    <col min="9740" max="9740" width="29.42578125" style="568" customWidth="1"/>
    <col min="9741" max="9741" width="8.5703125" style="568" bestFit="1" customWidth="1"/>
    <col min="9742" max="9743" width="12.5703125" style="568" customWidth="1"/>
    <col min="9744" max="9744" width="16.42578125" style="568" customWidth="1"/>
    <col min="9745" max="9745" width="15.7109375" style="568" customWidth="1"/>
    <col min="9746" max="9746" width="0" style="568" hidden="1" customWidth="1"/>
    <col min="9747" max="9747" width="15.42578125" style="568" customWidth="1"/>
    <col min="9748" max="9748" width="10.7109375" style="568" customWidth="1"/>
    <col min="9749" max="9749" width="52.85546875" style="568" customWidth="1"/>
    <col min="9750" max="9750" width="15.42578125" style="568" customWidth="1"/>
    <col min="9751" max="9751" width="10.140625" style="568" customWidth="1"/>
    <col min="9752" max="9985" width="9.140625" style="568"/>
    <col min="9986" max="9986" width="4" style="568" customWidth="1"/>
    <col min="9987" max="9987" width="23.140625" style="568" bestFit="1" customWidth="1"/>
    <col min="9988" max="9988" width="17.140625" style="568" customWidth="1"/>
    <col min="9989" max="9989" width="24.140625" style="568" customWidth="1"/>
    <col min="9990" max="9990" width="14.85546875" style="568" customWidth="1"/>
    <col min="9991" max="9991" width="15.42578125" style="568" customWidth="1"/>
    <col min="9992" max="9992" width="14.42578125" style="568" customWidth="1"/>
    <col min="9993" max="9993" width="9" style="568" customWidth="1"/>
    <col min="9994" max="9994" width="29.7109375" style="568" customWidth="1"/>
    <col min="9995" max="9995" width="16.5703125" style="568" customWidth="1"/>
    <col min="9996" max="9996" width="29.42578125" style="568" customWidth="1"/>
    <col min="9997" max="9997" width="8.5703125" style="568" bestFit="1" customWidth="1"/>
    <col min="9998" max="9999" width="12.5703125" style="568" customWidth="1"/>
    <col min="10000" max="10000" width="16.42578125" style="568" customWidth="1"/>
    <col min="10001" max="10001" width="15.7109375" style="568" customWidth="1"/>
    <col min="10002" max="10002" width="0" style="568" hidden="1" customWidth="1"/>
    <col min="10003" max="10003" width="15.42578125" style="568" customWidth="1"/>
    <col min="10004" max="10004" width="10.7109375" style="568" customWidth="1"/>
    <col min="10005" max="10005" width="52.85546875" style="568" customWidth="1"/>
    <col min="10006" max="10006" width="15.42578125" style="568" customWidth="1"/>
    <col min="10007" max="10007" width="10.140625" style="568" customWidth="1"/>
    <col min="10008" max="10241" width="9.140625" style="568"/>
    <col min="10242" max="10242" width="4" style="568" customWidth="1"/>
    <col min="10243" max="10243" width="23.140625" style="568" bestFit="1" customWidth="1"/>
    <col min="10244" max="10244" width="17.140625" style="568" customWidth="1"/>
    <col min="10245" max="10245" width="24.140625" style="568" customWidth="1"/>
    <col min="10246" max="10246" width="14.85546875" style="568" customWidth="1"/>
    <col min="10247" max="10247" width="15.42578125" style="568" customWidth="1"/>
    <col min="10248" max="10248" width="14.42578125" style="568" customWidth="1"/>
    <col min="10249" max="10249" width="9" style="568" customWidth="1"/>
    <col min="10250" max="10250" width="29.7109375" style="568" customWidth="1"/>
    <col min="10251" max="10251" width="16.5703125" style="568" customWidth="1"/>
    <col min="10252" max="10252" width="29.42578125" style="568" customWidth="1"/>
    <col min="10253" max="10253" width="8.5703125" style="568" bestFit="1" customWidth="1"/>
    <col min="10254" max="10255" width="12.5703125" style="568" customWidth="1"/>
    <col min="10256" max="10256" width="16.42578125" style="568" customWidth="1"/>
    <col min="10257" max="10257" width="15.7109375" style="568" customWidth="1"/>
    <col min="10258" max="10258" width="0" style="568" hidden="1" customWidth="1"/>
    <col min="10259" max="10259" width="15.42578125" style="568" customWidth="1"/>
    <col min="10260" max="10260" width="10.7109375" style="568" customWidth="1"/>
    <col min="10261" max="10261" width="52.85546875" style="568" customWidth="1"/>
    <col min="10262" max="10262" width="15.42578125" style="568" customWidth="1"/>
    <col min="10263" max="10263" width="10.140625" style="568" customWidth="1"/>
    <col min="10264" max="10497" width="9.140625" style="568"/>
    <col min="10498" max="10498" width="4" style="568" customWidth="1"/>
    <col min="10499" max="10499" width="23.140625" style="568" bestFit="1" customWidth="1"/>
    <col min="10500" max="10500" width="17.140625" style="568" customWidth="1"/>
    <col min="10501" max="10501" width="24.140625" style="568" customWidth="1"/>
    <col min="10502" max="10502" width="14.85546875" style="568" customWidth="1"/>
    <col min="10503" max="10503" width="15.42578125" style="568" customWidth="1"/>
    <col min="10504" max="10504" width="14.42578125" style="568" customWidth="1"/>
    <col min="10505" max="10505" width="9" style="568" customWidth="1"/>
    <col min="10506" max="10506" width="29.7109375" style="568" customWidth="1"/>
    <col min="10507" max="10507" width="16.5703125" style="568" customWidth="1"/>
    <col min="10508" max="10508" width="29.42578125" style="568" customWidth="1"/>
    <col min="10509" max="10509" width="8.5703125" style="568" bestFit="1" customWidth="1"/>
    <col min="10510" max="10511" width="12.5703125" style="568" customWidth="1"/>
    <col min="10512" max="10512" width="16.42578125" style="568" customWidth="1"/>
    <col min="10513" max="10513" width="15.7109375" style="568" customWidth="1"/>
    <col min="10514" max="10514" width="0" style="568" hidden="1" customWidth="1"/>
    <col min="10515" max="10515" width="15.42578125" style="568" customWidth="1"/>
    <col min="10516" max="10516" width="10.7109375" style="568" customWidth="1"/>
    <col min="10517" max="10517" width="52.85546875" style="568" customWidth="1"/>
    <col min="10518" max="10518" width="15.42578125" style="568" customWidth="1"/>
    <col min="10519" max="10519" width="10.140625" style="568" customWidth="1"/>
    <col min="10520" max="10753" width="9.140625" style="568"/>
    <col min="10754" max="10754" width="4" style="568" customWidth="1"/>
    <col min="10755" max="10755" width="23.140625" style="568" bestFit="1" customWidth="1"/>
    <col min="10756" max="10756" width="17.140625" style="568" customWidth="1"/>
    <col min="10757" max="10757" width="24.140625" style="568" customWidth="1"/>
    <col min="10758" max="10758" width="14.85546875" style="568" customWidth="1"/>
    <col min="10759" max="10759" width="15.42578125" style="568" customWidth="1"/>
    <col min="10760" max="10760" width="14.42578125" style="568" customWidth="1"/>
    <col min="10761" max="10761" width="9" style="568" customWidth="1"/>
    <col min="10762" max="10762" width="29.7109375" style="568" customWidth="1"/>
    <col min="10763" max="10763" width="16.5703125" style="568" customWidth="1"/>
    <col min="10764" max="10764" width="29.42578125" style="568" customWidth="1"/>
    <col min="10765" max="10765" width="8.5703125" style="568" bestFit="1" customWidth="1"/>
    <col min="10766" max="10767" width="12.5703125" style="568" customWidth="1"/>
    <col min="10768" max="10768" width="16.42578125" style="568" customWidth="1"/>
    <col min="10769" max="10769" width="15.7109375" style="568" customWidth="1"/>
    <col min="10770" max="10770" width="0" style="568" hidden="1" customWidth="1"/>
    <col min="10771" max="10771" width="15.42578125" style="568" customWidth="1"/>
    <col min="10772" max="10772" width="10.7109375" style="568" customWidth="1"/>
    <col min="10773" max="10773" width="52.85546875" style="568" customWidth="1"/>
    <col min="10774" max="10774" width="15.42578125" style="568" customWidth="1"/>
    <col min="10775" max="10775" width="10.140625" style="568" customWidth="1"/>
    <col min="10776" max="11009" width="9.140625" style="568"/>
    <col min="11010" max="11010" width="4" style="568" customWidth="1"/>
    <col min="11011" max="11011" width="23.140625" style="568" bestFit="1" customWidth="1"/>
    <col min="11012" max="11012" width="17.140625" style="568" customWidth="1"/>
    <col min="11013" max="11013" width="24.140625" style="568" customWidth="1"/>
    <col min="11014" max="11014" width="14.85546875" style="568" customWidth="1"/>
    <col min="11015" max="11015" width="15.42578125" style="568" customWidth="1"/>
    <col min="11016" max="11016" width="14.42578125" style="568" customWidth="1"/>
    <col min="11017" max="11017" width="9" style="568" customWidth="1"/>
    <col min="11018" max="11018" width="29.7109375" style="568" customWidth="1"/>
    <col min="11019" max="11019" width="16.5703125" style="568" customWidth="1"/>
    <col min="11020" max="11020" width="29.42578125" style="568" customWidth="1"/>
    <col min="11021" max="11021" width="8.5703125" style="568" bestFit="1" customWidth="1"/>
    <col min="11022" max="11023" width="12.5703125" style="568" customWidth="1"/>
    <col min="11024" max="11024" width="16.42578125" style="568" customWidth="1"/>
    <col min="11025" max="11025" width="15.7109375" style="568" customWidth="1"/>
    <col min="11026" max="11026" width="0" style="568" hidden="1" customWidth="1"/>
    <col min="11027" max="11027" width="15.42578125" style="568" customWidth="1"/>
    <col min="11028" max="11028" width="10.7109375" style="568" customWidth="1"/>
    <col min="11029" max="11029" width="52.85546875" style="568" customWidth="1"/>
    <col min="11030" max="11030" width="15.42578125" style="568" customWidth="1"/>
    <col min="11031" max="11031" width="10.140625" style="568" customWidth="1"/>
    <col min="11032" max="11265" width="9.140625" style="568"/>
    <col min="11266" max="11266" width="4" style="568" customWidth="1"/>
    <col min="11267" max="11267" width="23.140625" style="568" bestFit="1" customWidth="1"/>
    <col min="11268" max="11268" width="17.140625" style="568" customWidth="1"/>
    <col min="11269" max="11269" width="24.140625" style="568" customWidth="1"/>
    <col min="11270" max="11270" width="14.85546875" style="568" customWidth="1"/>
    <col min="11271" max="11271" width="15.42578125" style="568" customWidth="1"/>
    <col min="11272" max="11272" width="14.42578125" style="568" customWidth="1"/>
    <col min="11273" max="11273" width="9" style="568" customWidth="1"/>
    <col min="11274" max="11274" width="29.7109375" style="568" customWidth="1"/>
    <col min="11275" max="11275" width="16.5703125" style="568" customWidth="1"/>
    <col min="11276" max="11276" width="29.42578125" style="568" customWidth="1"/>
    <col min="11277" max="11277" width="8.5703125" style="568" bestFit="1" customWidth="1"/>
    <col min="11278" max="11279" width="12.5703125" style="568" customWidth="1"/>
    <col min="11280" max="11280" width="16.42578125" style="568" customWidth="1"/>
    <col min="11281" max="11281" width="15.7109375" style="568" customWidth="1"/>
    <col min="11282" max="11282" width="0" style="568" hidden="1" customWidth="1"/>
    <col min="11283" max="11283" width="15.42578125" style="568" customWidth="1"/>
    <col min="11284" max="11284" width="10.7109375" style="568" customWidth="1"/>
    <col min="11285" max="11285" width="52.85546875" style="568" customWidth="1"/>
    <col min="11286" max="11286" width="15.42578125" style="568" customWidth="1"/>
    <col min="11287" max="11287" width="10.140625" style="568" customWidth="1"/>
    <col min="11288" max="11521" width="9.140625" style="568"/>
    <col min="11522" max="11522" width="4" style="568" customWidth="1"/>
    <col min="11523" max="11523" width="23.140625" style="568" bestFit="1" customWidth="1"/>
    <col min="11524" max="11524" width="17.140625" style="568" customWidth="1"/>
    <col min="11525" max="11525" width="24.140625" style="568" customWidth="1"/>
    <col min="11526" max="11526" width="14.85546875" style="568" customWidth="1"/>
    <col min="11527" max="11527" width="15.42578125" style="568" customWidth="1"/>
    <col min="11528" max="11528" width="14.42578125" style="568" customWidth="1"/>
    <col min="11529" max="11529" width="9" style="568" customWidth="1"/>
    <col min="11530" max="11530" width="29.7109375" style="568" customWidth="1"/>
    <col min="11531" max="11531" width="16.5703125" style="568" customWidth="1"/>
    <col min="11532" max="11532" width="29.42578125" style="568" customWidth="1"/>
    <col min="11533" max="11533" width="8.5703125" style="568" bestFit="1" customWidth="1"/>
    <col min="11534" max="11535" width="12.5703125" style="568" customWidth="1"/>
    <col min="11536" max="11536" width="16.42578125" style="568" customWidth="1"/>
    <col min="11537" max="11537" width="15.7109375" style="568" customWidth="1"/>
    <col min="11538" max="11538" width="0" style="568" hidden="1" customWidth="1"/>
    <col min="11539" max="11539" width="15.42578125" style="568" customWidth="1"/>
    <col min="11540" max="11540" width="10.7109375" style="568" customWidth="1"/>
    <col min="11541" max="11541" width="52.85546875" style="568" customWidth="1"/>
    <col min="11542" max="11542" width="15.42578125" style="568" customWidth="1"/>
    <col min="11543" max="11543" width="10.140625" style="568" customWidth="1"/>
    <col min="11544" max="11777" width="9.140625" style="568"/>
    <col min="11778" max="11778" width="4" style="568" customWidth="1"/>
    <col min="11779" max="11779" width="23.140625" style="568" bestFit="1" customWidth="1"/>
    <col min="11780" max="11780" width="17.140625" style="568" customWidth="1"/>
    <col min="11781" max="11781" width="24.140625" style="568" customWidth="1"/>
    <col min="11782" max="11782" width="14.85546875" style="568" customWidth="1"/>
    <col min="11783" max="11783" width="15.42578125" style="568" customWidth="1"/>
    <col min="11784" max="11784" width="14.42578125" style="568" customWidth="1"/>
    <col min="11785" max="11785" width="9" style="568" customWidth="1"/>
    <col min="11786" max="11786" width="29.7109375" style="568" customWidth="1"/>
    <col min="11787" max="11787" width="16.5703125" style="568" customWidth="1"/>
    <col min="11788" max="11788" width="29.42578125" style="568" customWidth="1"/>
    <col min="11789" max="11789" width="8.5703125" style="568" bestFit="1" customWidth="1"/>
    <col min="11790" max="11791" width="12.5703125" style="568" customWidth="1"/>
    <col min="11792" max="11792" width="16.42578125" style="568" customWidth="1"/>
    <col min="11793" max="11793" width="15.7109375" style="568" customWidth="1"/>
    <col min="11794" max="11794" width="0" style="568" hidden="1" customWidth="1"/>
    <col min="11795" max="11795" width="15.42578125" style="568" customWidth="1"/>
    <col min="11796" max="11796" width="10.7109375" style="568" customWidth="1"/>
    <col min="11797" max="11797" width="52.85546875" style="568" customWidth="1"/>
    <col min="11798" max="11798" width="15.42578125" style="568" customWidth="1"/>
    <col min="11799" max="11799" width="10.140625" style="568" customWidth="1"/>
    <col min="11800" max="12033" width="9.140625" style="568"/>
    <col min="12034" max="12034" width="4" style="568" customWidth="1"/>
    <col min="12035" max="12035" width="23.140625" style="568" bestFit="1" customWidth="1"/>
    <col min="12036" max="12036" width="17.140625" style="568" customWidth="1"/>
    <col min="12037" max="12037" width="24.140625" style="568" customWidth="1"/>
    <col min="12038" max="12038" width="14.85546875" style="568" customWidth="1"/>
    <col min="12039" max="12039" width="15.42578125" style="568" customWidth="1"/>
    <col min="12040" max="12040" width="14.42578125" style="568" customWidth="1"/>
    <col min="12041" max="12041" width="9" style="568" customWidth="1"/>
    <col min="12042" max="12042" width="29.7109375" style="568" customWidth="1"/>
    <col min="12043" max="12043" width="16.5703125" style="568" customWidth="1"/>
    <col min="12044" max="12044" width="29.42578125" style="568" customWidth="1"/>
    <col min="12045" max="12045" width="8.5703125" style="568" bestFit="1" customWidth="1"/>
    <col min="12046" max="12047" width="12.5703125" style="568" customWidth="1"/>
    <col min="12048" max="12048" width="16.42578125" style="568" customWidth="1"/>
    <col min="12049" max="12049" width="15.7109375" style="568" customWidth="1"/>
    <col min="12050" max="12050" width="0" style="568" hidden="1" customWidth="1"/>
    <col min="12051" max="12051" width="15.42578125" style="568" customWidth="1"/>
    <col min="12052" max="12052" width="10.7109375" style="568" customWidth="1"/>
    <col min="12053" max="12053" width="52.85546875" style="568" customWidth="1"/>
    <col min="12054" max="12054" width="15.42578125" style="568" customWidth="1"/>
    <col min="12055" max="12055" width="10.140625" style="568" customWidth="1"/>
    <col min="12056" max="12289" width="9.140625" style="568"/>
    <col min="12290" max="12290" width="4" style="568" customWidth="1"/>
    <col min="12291" max="12291" width="23.140625" style="568" bestFit="1" customWidth="1"/>
    <col min="12292" max="12292" width="17.140625" style="568" customWidth="1"/>
    <col min="12293" max="12293" width="24.140625" style="568" customWidth="1"/>
    <col min="12294" max="12294" width="14.85546875" style="568" customWidth="1"/>
    <col min="12295" max="12295" width="15.42578125" style="568" customWidth="1"/>
    <col min="12296" max="12296" width="14.42578125" style="568" customWidth="1"/>
    <col min="12297" max="12297" width="9" style="568" customWidth="1"/>
    <col min="12298" max="12298" width="29.7109375" style="568" customWidth="1"/>
    <col min="12299" max="12299" width="16.5703125" style="568" customWidth="1"/>
    <col min="12300" max="12300" width="29.42578125" style="568" customWidth="1"/>
    <col min="12301" max="12301" width="8.5703125" style="568" bestFit="1" customWidth="1"/>
    <col min="12302" max="12303" width="12.5703125" style="568" customWidth="1"/>
    <col min="12304" max="12304" width="16.42578125" style="568" customWidth="1"/>
    <col min="12305" max="12305" width="15.7109375" style="568" customWidth="1"/>
    <col min="12306" max="12306" width="0" style="568" hidden="1" customWidth="1"/>
    <col min="12307" max="12307" width="15.42578125" style="568" customWidth="1"/>
    <col min="12308" max="12308" width="10.7109375" style="568" customWidth="1"/>
    <col min="12309" max="12309" width="52.85546875" style="568" customWidth="1"/>
    <col min="12310" max="12310" width="15.42578125" style="568" customWidth="1"/>
    <col min="12311" max="12311" width="10.140625" style="568" customWidth="1"/>
    <col min="12312" max="12545" width="9.140625" style="568"/>
    <col min="12546" max="12546" width="4" style="568" customWidth="1"/>
    <col min="12547" max="12547" width="23.140625" style="568" bestFit="1" customWidth="1"/>
    <col min="12548" max="12548" width="17.140625" style="568" customWidth="1"/>
    <col min="12549" max="12549" width="24.140625" style="568" customWidth="1"/>
    <col min="12550" max="12550" width="14.85546875" style="568" customWidth="1"/>
    <col min="12551" max="12551" width="15.42578125" style="568" customWidth="1"/>
    <col min="12552" max="12552" width="14.42578125" style="568" customWidth="1"/>
    <col min="12553" max="12553" width="9" style="568" customWidth="1"/>
    <col min="12554" max="12554" width="29.7109375" style="568" customWidth="1"/>
    <col min="12555" max="12555" width="16.5703125" style="568" customWidth="1"/>
    <col min="12556" max="12556" width="29.42578125" style="568" customWidth="1"/>
    <col min="12557" max="12557" width="8.5703125" style="568" bestFit="1" customWidth="1"/>
    <col min="12558" max="12559" width="12.5703125" style="568" customWidth="1"/>
    <col min="12560" max="12560" width="16.42578125" style="568" customWidth="1"/>
    <col min="12561" max="12561" width="15.7109375" style="568" customWidth="1"/>
    <col min="12562" max="12562" width="0" style="568" hidden="1" customWidth="1"/>
    <col min="12563" max="12563" width="15.42578125" style="568" customWidth="1"/>
    <col min="12564" max="12564" width="10.7109375" style="568" customWidth="1"/>
    <col min="12565" max="12565" width="52.85546875" style="568" customWidth="1"/>
    <col min="12566" max="12566" width="15.42578125" style="568" customWidth="1"/>
    <col min="12567" max="12567" width="10.140625" style="568" customWidth="1"/>
    <col min="12568" max="12801" width="9.140625" style="568"/>
    <col min="12802" max="12802" width="4" style="568" customWidth="1"/>
    <col min="12803" max="12803" width="23.140625" style="568" bestFit="1" customWidth="1"/>
    <col min="12804" max="12804" width="17.140625" style="568" customWidth="1"/>
    <col min="12805" max="12805" width="24.140625" style="568" customWidth="1"/>
    <col min="12806" max="12806" width="14.85546875" style="568" customWidth="1"/>
    <col min="12807" max="12807" width="15.42578125" style="568" customWidth="1"/>
    <col min="12808" max="12808" width="14.42578125" style="568" customWidth="1"/>
    <col min="12809" max="12809" width="9" style="568" customWidth="1"/>
    <col min="12810" max="12810" width="29.7109375" style="568" customWidth="1"/>
    <col min="12811" max="12811" width="16.5703125" style="568" customWidth="1"/>
    <col min="12812" max="12812" width="29.42578125" style="568" customWidth="1"/>
    <col min="12813" max="12813" width="8.5703125" style="568" bestFit="1" customWidth="1"/>
    <col min="12814" max="12815" width="12.5703125" style="568" customWidth="1"/>
    <col min="12816" max="12816" width="16.42578125" style="568" customWidth="1"/>
    <col min="12817" max="12817" width="15.7109375" style="568" customWidth="1"/>
    <col min="12818" max="12818" width="0" style="568" hidden="1" customWidth="1"/>
    <col min="12819" max="12819" width="15.42578125" style="568" customWidth="1"/>
    <col min="12820" max="12820" width="10.7109375" style="568" customWidth="1"/>
    <col min="12821" max="12821" width="52.85546875" style="568" customWidth="1"/>
    <col min="12822" max="12822" width="15.42578125" style="568" customWidth="1"/>
    <col min="12823" max="12823" width="10.140625" style="568" customWidth="1"/>
    <col min="12824" max="13057" width="9.140625" style="568"/>
    <col min="13058" max="13058" width="4" style="568" customWidth="1"/>
    <col min="13059" max="13059" width="23.140625" style="568" bestFit="1" customWidth="1"/>
    <col min="13060" max="13060" width="17.140625" style="568" customWidth="1"/>
    <col min="13061" max="13061" width="24.140625" style="568" customWidth="1"/>
    <col min="13062" max="13062" width="14.85546875" style="568" customWidth="1"/>
    <col min="13063" max="13063" width="15.42578125" style="568" customWidth="1"/>
    <col min="13064" max="13064" width="14.42578125" style="568" customWidth="1"/>
    <col min="13065" max="13065" width="9" style="568" customWidth="1"/>
    <col min="13066" max="13066" width="29.7109375" style="568" customWidth="1"/>
    <col min="13067" max="13067" width="16.5703125" style="568" customWidth="1"/>
    <col min="13068" max="13068" width="29.42578125" style="568" customWidth="1"/>
    <col min="13069" max="13069" width="8.5703125" style="568" bestFit="1" customWidth="1"/>
    <col min="13070" max="13071" width="12.5703125" style="568" customWidth="1"/>
    <col min="13072" max="13072" width="16.42578125" style="568" customWidth="1"/>
    <col min="13073" max="13073" width="15.7109375" style="568" customWidth="1"/>
    <col min="13074" max="13074" width="0" style="568" hidden="1" customWidth="1"/>
    <col min="13075" max="13075" width="15.42578125" style="568" customWidth="1"/>
    <col min="13076" max="13076" width="10.7109375" style="568" customWidth="1"/>
    <col min="13077" max="13077" width="52.85546875" style="568" customWidth="1"/>
    <col min="13078" max="13078" width="15.42578125" style="568" customWidth="1"/>
    <col min="13079" max="13079" width="10.140625" style="568" customWidth="1"/>
    <col min="13080" max="13313" width="9.140625" style="568"/>
    <col min="13314" max="13314" width="4" style="568" customWidth="1"/>
    <col min="13315" max="13315" width="23.140625" style="568" bestFit="1" customWidth="1"/>
    <col min="13316" max="13316" width="17.140625" style="568" customWidth="1"/>
    <col min="13317" max="13317" width="24.140625" style="568" customWidth="1"/>
    <col min="13318" max="13318" width="14.85546875" style="568" customWidth="1"/>
    <col min="13319" max="13319" width="15.42578125" style="568" customWidth="1"/>
    <col min="13320" max="13320" width="14.42578125" style="568" customWidth="1"/>
    <col min="13321" max="13321" width="9" style="568" customWidth="1"/>
    <col min="13322" max="13322" width="29.7109375" style="568" customWidth="1"/>
    <col min="13323" max="13323" width="16.5703125" style="568" customWidth="1"/>
    <col min="13324" max="13324" width="29.42578125" style="568" customWidth="1"/>
    <col min="13325" max="13325" width="8.5703125" style="568" bestFit="1" customWidth="1"/>
    <col min="13326" max="13327" width="12.5703125" style="568" customWidth="1"/>
    <col min="13328" max="13328" width="16.42578125" style="568" customWidth="1"/>
    <col min="13329" max="13329" width="15.7109375" style="568" customWidth="1"/>
    <col min="13330" max="13330" width="0" style="568" hidden="1" customWidth="1"/>
    <col min="13331" max="13331" width="15.42578125" style="568" customWidth="1"/>
    <col min="13332" max="13332" width="10.7109375" style="568" customWidth="1"/>
    <col min="13333" max="13333" width="52.85546875" style="568" customWidth="1"/>
    <col min="13334" max="13334" width="15.42578125" style="568" customWidth="1"/>
    <col min="13335" max="13335" width="10.140625" style="568" customWidth="1"/>
    <col min="13336" max="13569" width="9.140625" style="568"/>
    <col min="13570" max="13570" width="4" style="568" customWidth="1"/>
    <col min="13571" max="13571" width="23.140625" style="568" bestFit="1" customWidth="1"/>
    <col min="13572" max="13572" width="17.140625" style="568" customWidth="1"/>
    <col min="13573" max="13573" width="24.140625" style="568" customWidth="1"/>
    <col min="13574" max="13574" width="14.85546875" style="568" customWidth="1"/>
    <col min="13575" max="13575" width="15.42578125" style="568" customWidth="1"/>
    <col min="13576" max="13576" width="14.42578125" style="568" customWidth="1"/>
    <col min="13577" max="13577" width="9" style="568" customWidth="1"/>
    <col min="13578" max="13578" width="29.7109375" style="568" customWidth="1"/>
    <col min="13579" max="13579" width="16.5703125" style="568" customWidth="1"/>
    <col min="13580" max="13580" width="29.42578125" style="568" customWidth="1"/>
    <col min="13581" max="13581" width="8.5703125" style="568" bestFit="1" customWidth="1"/>
    <col min="13582" max="13583" width="12.5703125" style="568" customWidth="1"/>
    <col min="13584" max="13584" width="16.42578125" style="568" customWidth="1"/>
    <col min="13585" max="13585" width="15.7109375" style="568" customWidth="1"/>
    <col min="13586" max="13586" width="0" style="568" hidden="1" customWidth="1"/>
    <col min="13587" max="13587" width="15.42578125" style="568" customWidth="1"/>
    <col min="13588" max="13588" width="10.7109375" style="568" customWidth="1"/>
    <col min="13589" max="13589" width="52.85546875" style="568" customWidth="1"/>
    <col min="13590" max="13590" width="15.42578125" style="568" customWidth="1"/>
    <col min="13591" max="13591" width="10.140625" style="568" customWidth="1"/>
    <col min="13592" max="13825" width="9.140625" style="568"/>
    <col min="13826" max="13826" width="4" style="568" customWidth="1"/>
    <col min="13827" max="13827" width="23.140625" style="568" bestFit="1" customWidth="1"/>
    <col min="13828" max="13828" width="17.140625" style="568" customWidth="1"/>
    <col min="13829" max="13829" width="24.140625" style="568" customWidth="1"/>
    <col min="13830" max="13830" width="14.85546875" style="568" customWidth="1"/>
    <col min="13831" max="13831" width="15.42578125" style="568" customWidth="1"/>
    <col min="13832" max="13832" width="14.42578125" style="568" customWidth="1"/>
    <col min="13833" max="13833" width="9" style="568" customWidth="1"/>
    <col min="13834" max="13834" width="29.7109375" style="568" customWidth="1"/>
    <col min="13835" max="13835" width="16.5703125" style="568" customWidth="1"/>
    <col min="13836" max="13836" width="29.42578125" style="568" customWidth="1"/>
    <col min="13837" max="13837" width="8.5703125" style="568" bestFit="1" customWidth="1"/>
    <col min="13838" max="13839" width="12.5703125" style="568" customWidth="1"/>
    <col min="13840" max="13840" width="16.42578125" style="568" customWidth="1"/>
    <col min="13841" max="13841" width="15.7109375" style="568" customWidth="1"/>
    <col min="13842" max="13842" width="0" style="568" hidden="1" customWidth="1"/>
    <col min="13843" max="13843" width="15.42578125" style="568" customWidth="1"/>
    <col min="13844" max="13844" width="10.7109375" style="568" customWidth="1"/>
    <col min="13845" max="13845" width="52.85546875" style="568" customWidth="1"/>
    <col min="13846" max="13846" width="15.42578125" style="568" customWidth="1"/>
    <col min="13847" max="13847" width="10.140625" style="568" customWidth="1"/>
    <col min="13848" max="14081" width="9.140625" style="568"/>
    <col min="14082" max="14082" width="4" style="568" customWidth="1"/>
    <col min="14083" max="14083" width="23.140625" style="568" bestFit="1" customWidth="1"/>
    <col min="14084" max="14084" width="17.140625" style="568" customWidth="1"/>
    <col min="14085" max="14085" width="24.140625" style="568" customWidth="1"/>
    <col min="14086" max="14086" width="14.85546875" style="568" customWidth="1"/>
    <col min="14087" max="14087" width="15.42578125" style="568" customWidth="1"/>
    <col min="14088" max="14088" width="14.42578125" style="568" customWidth="1"/>
    <col min="14089" max="14089" width="9" style="568" customWidth="1"/>
    <col min="14090" max="14090" width="29.7109375" style="568" customWidth="1"/>
    <col min="14091" max="14091" width="16.5703125" style="568" customWidth="1"/>
    <col min="14092" max="14092" width="29.42578125" style="568" customWidth="1"/>
    <col min="14093" max="14093" width="8.5703125" style="568" bestFit="1" customWidth="1"/>
    <col min="14094" max="14095" width="12.5703125" style="568" customWidth="1"/>
    <col min="14096" max="14096" width="16.42578125" style="568" customWidth="1"/>
    <col min="14097" max="14097" width="15.7109375" style="568" customWidth="1"/>
    <col min="14098" max="14098" width="0" style="568" hidden="1" customWidth="1"/>
    <col min="14099" max="14099" width="15.42578125" style="568" customWidth="1"/>
    <col min="14100" max="14100" width="10.7109375" style="568" customWidth="1"/>
    <col min="14101" max="14101" width="52.85546875" style="568" customWidth="1"/>
    <col min="14102" max="14102" width="15.42578125" style="568" customWidth="1"/>
    <col min="14103" max="14103" width="10.140625" style="568" customWidth="1"/>
    <col min="14104" max="14337" width="9.140625" style="568"/>
    <col min="14338" max="14338" width="4" style="568" customWidth="1"/>
    <col min="14339" max="14339" width="23.140625" style="568" bestFit="1" customWidth="1"/>
    <col min="14340" max="14340" width="17.140625" style="568" customWidth="1"/>
    <col min="14341" max="14341" width="24.140625" style="568" customWidth="1"/>
    <col min="14342" max="14342" width="14.85546875" style="568" customWidth="1"/>
    <col min="14343" max="14343" width="15.42578125" style="568" customWidth="1"/>
    <col min="14344" max="14344" width="14.42578125" style="568" customWidth="1"/>
    <col min="14345" max="14345" width="9" style="568" customWidth="1"/>
    <col min="14346" max="14346" width="29.7109375" style="568" customWidth="1"/>
    <col min="14347" max="14347" width="16.5703125" style="568" customWidth="1"/>
    <col min="14348" max="14348" width="29.42578125" style="568" customWidth="1"/>
    <col min="14349" max="14349" width="8.5703125" style="568" bestFit="1" customWidth="1"/>
    <col min="14350" max="14351" width="12.5703125" style="568" customWidth="1"/>
    <col min="14352" max="14352" width="16.42578125" style="568" customWidth="1"/>
    <col min="14353" max="14353" width="15.7109375" style="568" customWidth="1"/>
    <col min="14354" max="14354" width="0" style="568" hidden="1" customWidth="1"/>
    <col min="14355" max="14355" width="15.42578125" style="568" customWidth="1"/>
    <col min="14356" max="14356" width="10.7109375" style="568" customWidth="1"/>
    <col min="14357" max="14357" width="52.85546875" style="568" customWidth="1"/>
    <col min="14358" max="14358" width="15.42578125" style="568" customWidth="1"/>
    <col min="14359" max="14359" width="10.140625" style="568" customWidth="1"/>
    <col min="14360" max="14593" width="9.140625" style="568"/>
    <col min="14594" max="14594" width="4" style="568" customWidth="1"/>
    <col min="14595" max="14595" width="23.140625" style="568" bestFit="1" customWidth="1"/>
    <col min="14596" max="14596" width="17.140625" style="568" customWidth="1"/>
    <col min="14597" max="14597" width="24.140625" style="568" customWidth="1"/>
    <col min="14598" max="14598" width="14.85546875" style="568" customWidth="1"/>
    <col min="14599" max="14599" width="15.42578125" style="568" customWidth="1"/>
    <col min="14600" max="14600" width="14.42578125" style="568" customWidth="1"/>
    <col min="14601" max="14601" width="9" style="568" customWidth="1"/>
    <col min="14602" max="14602" width="29.7109375" style="568" customWidth="1"/>
    <col min="14603" max="14603" width="16.5703125" style="568" customWidth="1"/>
    <col min="14604" max="14604" width="29.42578125" style="568" customWidth="1"/>
    <col min="14605" max="14605" width="8.5703125" style="568" bestFit="1" customWidth="1"/>
    <col min="14606" max="14607" width="12.5703125" style="568" customWidth="1"/>
    <col min="14608" max="14608" width="16.42578125" style="568" customWidth="1"/>
    <col min="14609" max="14609" width="15.7109375" style="568" customWidth="1"/>
    <col min="14610" max="14610" width="0" style="568" hidden="1" customWidth="1"/>
    <col min="14611" max="14611" width="15.42578125" style="568" customWidth="1"/>
    <col min="14612" max="14612" width="10.7109375" style="568" customWidth="1"/>
    <col min="14613" max="14613" width="52.85546875" style="568" customWidth="1"/>
    <col min="14614" max="14614" width="15.42578125" style="568" customWidth="1"/>
    <col min="14615" max="14615" width="10.140625" style="568" customWidth="1"/>
    <col min="14616" max="14849" width="9.140625" style="568"/>
    <col min="14850" max="14850" width="4" style="568" customWidth="1"/>
    <col min="14851" max="14851" width="23.140625" style="568" bestFit="1" customWidth="1"/>
    <col min="14852" max="14852" width="17.140625" style="568" customWidth="1"/>
    <col min="14853" max="14853" width="24.140625" style="568" customWidth="1"/>
    <col min="14854" max="14854" width="14.85546875" style="568" customWidth="1"/>
    <col min="14855" max="14855" width="15.42578125" style="568" customWidth="1"/>
    <col min="14856" max="14856" width="14.42578125" style="568" customWidth="1"/>
    <col min="14857" max="14857" width="9" style="568" customWidth="1"/>
    <col min="14858" max="14858" width="29.7109375" style="568" customWidth="1"/>
    <col min="14859" max="14859" width="16.5703125" style="568" customWidth="1"/>
    <col min="14860" max="14860" width="29.42578125" style="568" customWidth="1"/>
    <col min="14861" max="14861" width="8.5703125" style="568" bestFit="1" customWidth="1"/>
    <col min="14862" max="14863" width="12.5703125" style="568" customWidth="1"/>
    <col min="14864" max="14864" width="16.42578125" style="568" customWidth="1"/>
    <col min="14865" max="14865" width="15.7109375" style="568" customWidth="1"/>
    <col min="14866" max="14866" width="0" style="568" hidden="1" customWidth="1"/>
    <col min="14867" max="14867" width="15.42578125" style="568" customWidth="1"/>
    <col min="14868" max="14868" width="10.7109375" style="568" customWidth="1"/>
    <col min="14869" max="14869" width="52.85546875" style="568" customWidth="1"/>
    <col min="14870" max="14870" width="15.42578125" style="568" customWidth="1"/>
    <col min="14871" max="14871" width="10.140625" style="568" customWidth="1"/>
    <col min="14872" max="15105" width="9.140625" style="568"/>
    <col min="15106" max="15106" width="4" style="568" customWidth="1"/>
    <col min="15107" max="15107" width="23.140625" style="568" bestFit="1" customWidth="1"/>
    <col min="15108" max="15108" width="17.140625" style="568" customWidth="1"/>
    <col min="15109" max="15109" width="24.140625" style="568" customWidth="1"/>
    <col min="15110" max="15110" width="14.85546875" style="568" customWidth="1"/>
    <col min="15111" max="15111" width="15.42578125" style="568" customWidth="1"/>
    <col min="15112" max="15112" width="14.42578125" style="568" customWidth="1"/>
    <col min="15113" max="15113" width="9" style="568" customWidth="1"/>
    <col min="15114" max="15114" width="29.7109375" style="568" customWidth="1"/>
    <col min="15115" max="15115" width="16.5703125" style="568" customWidth="1"/>
    <col min="15116" max="15116" width="29.42578125" style="568" customWidth="1"/>
    <col min="15117" max="15117" width="8.5703125" style="568" bestFit="1" customWidth="1"/>
    <col min="15118" max="15119" width="12.5703125" style="568" customWidth="1"/>
    <col min="15120" max="15120" width="16.42578125" style="568" customWidth="1"/>
    <col min="15121" max="15121" width="15.7109375" style="568" customWidth="1"/>
    <col min="15122" max="15122" width="0" style="568" hidden="1" customWidth="1"/>
    <col min="15123" max="15123" width="15.42578125" style="568" customWidth="1"/>
    <col min="15124" max="15124" width="10.7109375" style="568" customWidth="1"/>
    <col min="15125" max="15125" width="52.85546875" style="568" customWidth="1"/>
    <col min="15126" max="15126" width="15.42578125" style="568" customWidth="1"/>
    <col min="15127" max="15127" width="10.140625" style="568" customWidth="1"/>
    <col min="15128" max="15361" width="9.140625" style="568"/>
    <col min="15362" max="15362" width="4" style="568" customWidth="1"/>
    <col min="15363" max="15363" width="23.140625" style="568" bestFit="1" customWidth="1"/>
    <col min="15364" max="15364" width="17.140625" style="568" customWidth="1"/>
    <col min="15365" max="15365" width="24.140625" style="568" customWidth="1"/>
    <col min="15366" max="15366" width="14.85546875" style="568" customWidth="1"/>
    <col min="15367" max="15367" width="15.42578125" style="568" customWidth="1"/>
    <col min="15368" max="15368" width="14.42578125" style="568" customWidth="1"/>
    <col min="15369" max="15369" width="9" style="568" customWidth="1"/>
    <col min="15370" max="15370" width="29.7109375" style="568" customWidth="1"/>
    <col min="15371" max="15371" width="16.5703125" style="568" customWidth="1"/>
    <col min="15372" max="15372" width="29.42578125" style="568" customWidth="1"/>
    <col min="15373" max="15373" width="8.5703125" style="568" bestFit="1" customWidth="1"/>
    <col min="15374" max="15375" width="12.5703125" style="568" customWidth="1"/>
    <col min="15376" max="15376" width="16.42578125" style="568" customWidth="1"/>
    <col min="15377" max="15377" width="15.7109375" style="568" customWidth="1"/>
    <col min="15378" max="15378" width="0" style="568" hidden="1" customWidth="1"/>
    <col min="15379" max="15379" width="15.42578125" style="568" customWidth="1"/>
    <col min="15380" max="15380" width="10.7109375" style="568" customWidth="1"/>
    <col min="15381" max="15381" width="52.85546875" style="568" customWidth="1"/>
    <col min="15382" max="15382" width="15.42578125" style="568" customWidth="1"/>
    <col min="15383" max="15383" width="10.140625" style="568" customWidth="1"/>
    <col min="15384" max="15617" width="9.140625" style="568"/>
    <col min="15618" max="15618" width="4" style="568" customWidth="1"/>
    <col min="15619" max="15619" width="23.140625" style="568" bestFit="1" customWidth="1"/>
    <col min="15620" max="15620" width="17.140625" style="568" customWidth="1"/>
    <col min="15621" max="15621" width="24.140625" style="568" customWidth="1"/>
    <col min="15622" max="15622" width="14.85546875" style="568" customWidth="1"/>
    <col min="15623" max="15623" width="15.42578125" style="568" customWidth="1"/>
    <col min="15624" max="15624" width="14.42578125" style="568" customWidth="1"/>
    <col min="15625" max="15625" width="9" style="568" customWidth="1"/>
    <col min="15626" max="15626" width="29.7109375" style="568" customWidth="1"/>
    <col min="15627" max="15627" width="16.5703125" style="568" customWidth="1"/>
    <col min="15628" max="15628" width="29.42578125" style="568" customWidth="1"/>
    <col min="15629" max="15629" width="8.5703125" style="568" bestFit="1" customWidth="1"/>
    <col min="15630" max="15631" width="12.5703125" style="568" customWidth="1"/>
    <col min="15632" max="15632" width="16.42578125" style="568" customWidth="1"/>
    <col min="15633" max="15633" width="15.7109375" style="568" customWidth="1"/>
    <col min="15634" max="15634" width="0" style="568" hidden="1" customWidth="1"/>
    <col min="15635" max="15635" width="15.42578125" style="568" customWidth="1"/>
    <col min="15636" max="15636" width="10.7109375" style="568" customWidth="1"/>
    <col min="15637" max="15637" width="52.85546875" style="568" customWidth="1"/>
    <col min="15638" max="15638" width="15.42578125" style="568" customWidth="1"/>
    <col min="15639" max="15639" width="10.140625" style="568" customWidth="1"/>
    <col min="15640" max="15873" width="9.140625" style="568"/>
    <col min="15874" max="15874" width="4" style="568" customWidth="1"/>
    <col min="15875" max="15875" width="23.140625" style="568" bestFit="1" customWidth="1"/>
    <col min="15876" max="15876" width="17.140625" style="568" customWidth="1"/>
    <col min="15877" max="15877" width="24.140625" style="568" customWidth="1"/>
    <col min="15878" max="15878" width="14.85546875" style="568" customWidth="1"/>
    <col min="15879" max="15879" width="15.42578125" style="568" customWidth="1"/>
    <col min="15880" max="15880" width="14.42578125" style="568" customWidth="1"/>
    <col min="15881" max="15881" width="9" style="568" customWidth="1"/>
    <col min="15882" max="15882" width="29.7109375" style="568" customWidth="1"/>
    <col min="15883" max="15883" width="16.5703125" style="568" customWidth="1"/>
    <col min="15884" max="15884" width="29.42578125" style="568" customWidth="1"/>
    <col min="15885" max="15885" width="8.5703125" style="568" bestFit="1" customWidth="1"/>
    <col min="15886" max="15887" width="12.5703125" style="568" customWidth="1"/>
    <col min="15888" max="15888" width="16.42578125" style="568" customWidth="1"/>
    <col min="15889" max="15889" width="15.7109375" style="568" customWidth="1"/>
    <col min="15890" max="15890" width="0" style="568" hidden="1" customWidth="1"/>
    <col min="15891" max="15891" width="15.42578125" style="568" customWidth="1"/>
    <col min="15892" max="15892" width="10.7109375" style="568" customWidth="1"/>
    <col min="15893" max="15893" width="52.85546875" style="568" customWidth="1"/>
    <col min="15894" max="15894" width="15.42578125" style="568" customWidth="1"/>
    <col min="15895" max="15895" width="10.140625" style="568" customWidth="1"/>
    <col min="15896" max="16129" width="9.140625" style="568"/>
    <col min="16130" max="16130" width="4" style="568" customWidth="1"/>
    <col min="16131" max="16131" width="23.140625" style="568" bestFit="1" customWidth="1"/>
    <col min="16132" max="16132" width="17.140625" style="568" customWidth="1"/>
    <col min="16133" max="16133" width="24.140625" style="568" customWidth="1"/>
    <col min="16134" max="16134" width="14.85546875" style="568" customWidth="1"/>
    <col min="16135" max="16135" width="15.42578125" style="568" customWidth="1"/>
    <col min="16136" max="16136" width="14.42578125" style="568" customWidth="1"/>
    <col min="16137" max="16137" width="9" style="568" customWidth="1"/>
    <col min="16138" max="16138" width="29.7109375" style="568" customWidth="1"/>
    <col min="16139" max="16139" width="16.5703125" style="568" customWidth="1"/>
    <col min="16140" max="16140" width="29.42578125" style="568" customWidth="1"/>
    <col min="16141" max="16141" width="8.5703125" style="568" bestFit="1" customWidth="1"/>
    <col min="16142" max="16143" width="12.5703125" style="568" customWidth="1"/>
    <col min="16144" max="16144" width="16.42578125" style="568" customWidth="1"/>
    <col min="16145" max="16145" width="15.7109375" style="568" customWidth="1"/>
    <col min="16146" max="16146" width="0" style="568" hidden="1" customWidth="1"/>
    <col min="16147" max="16147" width="15.42578125" style="568" customWidth="1"/>
    <col min="16148" max="16148" width="10.7109375" style="568" customWidth="1"/>
    <col min="16149" max="16149" width="52.85546875" style="568" customWidth="1"/>
    <col min="16150" max="16150" width="15.42578125" style="568" customWidth="1"/>
    <col min="16151" max="16151" width="10.140625" style="568" customWidth="1"/>
    <col min="16152" max="16384" width="9.140625" style="568"/>
  </cols>
  <sheetData>
    <row r="1" spans="1:23" ht="12.75" thickBot="1"/>
    <row r="2" spans="1:23" s="821" customFormat="1" ht="36.75" thickBot="1">
      <c r="A2" s="818" t="s">
        <v>673</v>
      </c>
      <c r="B2" s="819" t="s">
        <v>674</v>
      </c>
      <c r="C2" s="819" t="s">
        <v>675</v>
      </c>
      <c r="D2" s="819" t="s">
        <v>676</v>
      </c>
      <c r="E2" s="819" t="s">
        <v>677</v>
      </c>
      <c r="F2" s="819" t="s">
        <v>678</v>
      </c>
      <c r="G2" s="819" t="s">
        <v>679</v>
      </c>
      <c r="H2" s="819" t="s">
        <v>680</v>
      </c>
      <c r="I2" s="819" t="s">
        <v>681</v>
      </c>
      <c r="J2" s="819" t="s">
        <v>682</v>
      </c>
      <c r="K2" s="819" t="s">
        <v>683</v>
      </c>
      <c r="L2" s="819" t="s">
        <v>684</v>
      </c>
      <c r="M2" s="819" t="s">
        <v>685</v>
      </c>
      <c r="N2" s="819"/>
      <c r="O2" s="819" t="s">
        <v>686</v>
      </c>
      <c r="P2" s="819" t="s">
        <v>687</v>
      </c>
      <c r="Q2" s="819" t="s">
        <v>688</v>
      </c>
      <c r="R2" s="819" t="s">
        <v>689</v>
      </c>
      <c r="S2" s="819" t="s">
        <v>690</v>
      </c>
      <c r="T2" s="820" t="s">
        <v>691</v>
      </c>
      <c r="U2" s="819" t="s">
        <v>692</v>
      </c>
      <c r="V2" s="819" t="s">
        <v>693</v>
      </c>
      <c r="W2" s="819" t="s">
        <v>694</v>
      </c>
    </row>
    <row r="3" spans="1:23">
      <c r="A3" s="574">
        <v>1</v>
      </c>
      <c r="B3" s="575" t="s">
        <v>664</v>
      </c>
      <c r="C3" s="568" t="s">
        <v>695</v>
      </c>
      <c r="D3" s="568" t="s">
        <v>696</v>
      </c>
      <c r="J3" s="576"/>
      <c r="K3" s="568" t="s">
        <v>697</v>
      </c>
      <c r="L3" s="577" t="e">
        <f>#REF!</f>
        <v>#REF!</v>
      </c>
      <c r="M3" s="578" t="e">
        <f>#REF!</f>
        <v>#REF!</v>
      </c>
      <c r="N3" s="578" t="e">
        <f t="shared" ref="N3:N8" si="0">M3*L3</f>
        <v>#REF!</v>
      </c>
      <c r="O3" s="578" t="e">
        <f>#REF!</f>
        <v>#REF!</v>
      </c>
      <c r="P3" s="579" t="e">
        <f>#REF!</f>
        <v>#REF!</v>
      </c>
      <c r="Q3" s="580" t="e">
        <f>#REF!</f>
        <v>#REF!</v>
      </c>
      <c r="S3" s="579" t="s">
        <v>698</v>
      </c>
      <c r="T3" s="928" t="e">
        <f>#REF!</f>
        <v>#REF!</v>
      </c>
      <c r="U3" s="815" t="s">
        <v>1004</v>
      </c>
      <c r="V3" s="582" t="s">
        <v>700</v>
      </c>
    </row>
    <row r="4" spans="1:23">
      <c r="A4" s="574">
        <v>2</v>
      </c>
      <c r="B4" s="568" t="s">
        <v>665</v>
      </c>
      <c r="C4" s="568" t="s">
        <v>695</v>
      </c>
      <c r="D4" s="568" t="s">
        <v>696</v>
      </c>
      <c r="F4" s="576"/>
      <c r="G4" s="576"/>
      <c r="I4" s="576"/>
      <c r="J4" s="576"/>
      <c r="K4" s="568" t="s">
        <v>697</v>
      </c>
      <c r="L4" s="577">
        <f>'Viva City'!C9</f>
        <v>0.41499999999999998</v>
      </c>
      <c r="M4" s="578">
        <f>'Viva City'!D26</f>
        <v>1170900</v>
      </c>
      <c r="N4" s="578">
        <f t="shared" si="0"/>
        <v>485923.5</v>
      </c>
      <c r="O4" s="578">
        <f>'Viva City'!D39</f>
        <v>1170900</v>
      </c>
      <c r="P4" s="579">
        <f>'Viva City'!D40</f>
        <v>0.47861559484157484</v>
      </c>
      <c r="Q4" s="580">
        <f>'Viva City'!D41</f>
        <v>560411</v>
      </c>
      <c r="R4" s="568" t="s">
        <v>701</v>
      </c>
      <c r="S4" s="579" t="s">
        <v>698</v>
      </c>
      <c r="T4" s="929">
        <f>'Viva City'!C200</f>
        <v>144007.80700848522</v>
      </c>
      <c r="U4" s="568" t="s">
        <v>702</v>
      </c>
      <c r="V4" s="582" t="s">
        <v>700</v>
      </c>
    </row>
    <row r="5" spans="1:23" ht="23.25" customHeight="1">
      <c r="A5" s="574">
        <v>3</v>
      </c>
      <c r="B5" s="568" t="s">
        <v>666</v>
      </c>
      <c r="C5" s="568" t="s">
        <v>703</v>
      </c>
      <c r="D5" s="568" t="s">
        <v>696</v>
      </c>
      <c r="F5" s="576"/>
      <c r="G5" s="576"/>
      <c r="I5" s="568" t="s">
        <v>704</v>
      </c>
      <c r="J5" s="576"/>
      <c r="K5" s="568" t="s">
        <v>705</v>
      </c>
      <c r="L5" s="577">
        <v>1</v>
      </c>
      <c r="M5" s="578" t="e">
        <f>#REF!</f>
        <v>#REF!</v>
      </c>
      <c r="N5" s="578" t="e">
        <f t="shared" si="0"/>
        <v>#REF!</v>
      </c>
      <c r="O5" s="578" t="e">
        <f>#REF!</f>
        <v>#REF!</v>
      </c>
      <c r="P5" s="579" t="e">
        <f>8358/M5</f>
        <v>#REF!</v>
      </c>
      <c r="Q5" s="580" t="e">
        <f>M5*P5</f>
        <v>#REF!</v>
      </c>
      <c r="R5" s="568" t="s">
        <v>706</v>
      </c>
      <c r="S5" s="579" t="s">
        <v>698</v>
      </c>
      <c r="T5" s="583" t="e">
        <f>#REF!</f>
        <v>#REF!</v>
      </c>
      <c r="U5" s="575" t="s">
        <v>707</v>
      </c>
      <c r="V5" s="582" t="s">
        <v>708</v>
      </c>
    </row>
    <row r="6" spans="1:23">
      <c r="A6" s="574">
        <v>4</v>
      </c>
      <c r="B6" s="568" t="s">
        <v>709</v>
      </c>
      <c r="C6" s="568" t="s">
        <v>695</v>
      </c>
      <c r="D6" s="584"/>
      <c r="E6" s="584"/>
      <c r="F6" s="585"/>
      <c r="G6" s="585"/>
      <c r="H6" s="585"/>
      <c r="I6" s="585"/>
      <c r="J6" s="585"/>
      <c r="K6" s="568" t="s">
        <v>709</v>
      </c>
      <c r="L6" s="577">
        <v>0.44500000000000001</v>
      </c>
      <c r="M6" s="578">
        <v>700000</v>
      </c>
      <c r="N6" s="578">
        <f t="shared" si="0"/>
        <v>311500</v>
      </c>
      <c r="O6" s="586" t="s">
        <v>711</v>
      </c>
      <c r="P6" s="587" t="s">
        <v>711</v>
      </c>
      <c r="Q6" s="588" t="s">
        <v>711</v>
      </c>
      <c r="R6" s="568" t="s">
        <v>712</v>
      </c>
      <c r="S6" s="589" t="s">
        <v>713</v>
      </c>
      <c r="T6" s="583">
        <f>70000/49*44.5</f>
        <v>63571.428571428572</v>
      </c>
      <c r="U6" s="568" t="s">
        <v>714</v>
      </c>
      <c r="V6" s="582" t="s">
        <v>700</v>
      </c>
    </row>
    <row r="7" spans="1:23" ht="90" customHeight="1">
      <c r="A7" s="574">
        <v>5</v>
      </c>
      <c r="B7" s="568" t="s">
        <v>667</v>
      </c>
      <c r="C7" s="568" t="s">
        <v>703</v>
      </c>
      <c r="D7" s="584"/>
      <c r="E7" s="584"/>
      <c r="F7" s="584">
        <v>90000</v>
      </c>
      <c r="G7" s="584">
        <v>200000</v>
      </c>
      <c r="H7" s="584"/>
      <c r="I7" s="584"/>
      <c r="J7" s="584"/>
      <c r="K7" s="568" t="s">
        <v>715</v>
      </c>
      <c r="L7" s="577">
        <v>1</v>
      </c>
      <c r="M7" s="580">
        <v>20000</v>
      </c>
      <c r="N7" s="578">
        <f t="shared" si="0"/>
        <v>20000</v>
      </c>
      <c r="O7" s="588"/>
      <c r="P7" s="587"/>
      <c r="Q7" s="588"/>
      <c r="S7" s="589" t="s">
        <v>698</v>
      </c>
      <c r="T7" s="583" t="e">
        <f>#REF!</f>
        <v>#REF!</v>
      </c>
      <c r="U7" s="619" t="s">
        <v>716</v>
      </c>
      <c r="V7" s="582" t="s">
        <v>700</v>
      </c>
    </row>
    <row r="8" spans="1:23" ht="150" customHeight="1">
      <c r="A8" s="574">
        <v>6</v>
      </c>
      <c r="B8" s="568" t="s">
        <v>668</v>
      </c>
      <c r="C8" s="568" t="s">
        <v>717</v>
      </c>
      <c r="D8" s="584"/>
      <c r="E8" s="584"/>
      <c r="F8" s="584"/>
      <c r="G8" s="584"/>
      <c r="H8" s="584"/>
      <c r="I8" s="584"/>
      <c r="J8" s="584"/>
      <c r="K8" s="568" t="s">
        <v>715</v>
      </c>
      <c r="L8" s="577">
        <v>1</v>
      </c>
      <c r="M8" s="580">
        <v>74140.5</v>
      </c>
      <c r="N8" s="578">
        <f t="shared" si="0"/>
        <v>74140.5</v>
      </c>
      <c r="O8" s="588"/>
      <c r="P8" s="587"/>
      <c r="Q8" s="620" t="s">
        <v>718</v>
      </c>
      <c r="S8" s="589" t="s">
        <v>698</v>
      </c>
      <c r="T8" s="583" t="e">
        <f>#REF!</f>
        <v>#REF!</v>
      </c>
      <c r="U8" s="575" t="s">
        <v>719</v>
      </c>
      <c r="V8" s="582" t="s">
        <v>700</v>
      </c>
    </row>
    <row r="9" spans="1:23" s="590" customFormat="1">
      <c r="A9" s="574">
        <v>7</v>
      </c>
      <c r="B9" s="590" t="s">
        <v>720</v>
      </c>
      <c r="E9" s="591">
        <v>0.4</v>
      </c>
      <c r="H9" s="590">
        <f>'[13]Villa DN'!D26</f>
        <v>20</v>
      </c>
      <c r="I9" s="590" t="s">
        <v>722</v>
      </c>
      <c r="J9" s="590" t="s">
        <v>711</v>
      </c>
      <c r="K9" s="590" t="s">
        <v>723</v>
      </c>
      <c r="L9" s="591"/>
      <c r="M9" s="592"/>
      <c r="N9" s="592"/>
      <c r="O9" s="592"/>
      <c r="P9" s="593"/>
      <c r="Q9" s="592"/>
      <c r="S9" s="594" t="s">
        <v>713</v>
      </c>
      <c r="T9" s="595">
        <f>(3.04+8.175+5.284+2.425+1.069+22.784)*10^3</f>
        <v>42777</v>
      </c>
      <c r="V9" s="596"/>
      <c r="W9" s="597"/>
    </row>
    <row r="10" spans="1:23" s="598" customFormat="1" ht="13.5" customHeight="1">
      <c r="B10" s="598" t="s">
        <v>724</v>
      </c>
      <c r="K10" s="599"/>
      <c r="M10" s="600" t="e">
        <f>SUM(M3:M9)</f>
        <v>#REF!</v>
      </c>
      <c r="N10" s="600" t="e">
        <f>SUM(N3:N9)</f>
        <v>#REF!</v>
      </c>
      <c r="O10" s="600"/>
      <c r="P10" s="600"/>
      <c r="Q10" s="600"/>
      <c r="S10" s="600"/>
      <c r="T10" s="600" t="e">
        <f>SUM(T3:T9)</f>
        <v>#REF!</v>
      </c>
      <c r="U10" s="600">
        <v>943266.69204919576</v>
      </c>
    </row>
    <row r="11" spans="1:23" s="598" customFormat="1" ht="13.5" customHeight="1">
      <c r="B11" s="598" t="s">
        <v>725</v>
      </c>
      <c r="K11" s="599"/>
      <c r="M11" s="600"/>
      <c r="N11" s="600"/>
      <c r="O11" s="600"/>
      <c r="P11" s="600"/>
      <c r="Q11" s="600"/>
      <c r="S11" s="600"/>
      <c r="T11" s="600" t="e">
        <f>Rev_NPAT!J28</f>
        <v>#REF!</v>
      </c>
      <c r="U11" s="600">
        <v>280191.92271129537</v>
      </c>
    </row>
    <row r="12" spans="1:23" s="598" customFormat="1" ht="13.5" customHeight="1">
      <c r="B12" s="598" t="s">
        <v>1106</v>
      </c>
      <c r="K12" s="599"/>
      <c r="M12" s="600"/>
      <c r="N12" s="600"/>
      <c r="O12" s="600"/>
      <c r="P12" s="600"/>
      <c r="Q12" s="600"/>
      <c r="S12" s="600"/>
      <c r="T12" s="600">
        <f>Rev_NPAT!J29</f>
        <v>156684.13101639063</v>
      </c>
      <c r="U12" s="600"/>
    </row>
    <row r="13" spans="1:23" ht="36">
      <c r="B13" s="575" t="s">
        <v>726</v>
      </c>
      <c r="M13" s="569" t="e">
        <f>M10/10000</f>
        <v>#REF!</v>
      </c>
      <c r="T13" s="569">
        <f>776339-170000</f>
        <v>606339</v>
      </c>
      <c r="U13" s="569">
        <f>306750+600000</f>
        <v>906750</v>
      </c>
    </row>
    <row r="14" spans="1:23">
      <c r="B14" s="568" t="s">
        <v>727</v>
      </c>
      <c r="T14" s="569">
        <v>-120000</v>
      </c>
      <c r="U14" s="569">
        <v>-69684</v>
      </c>
    </row>
    <row r="15" spans="1:23">
      <c r="B15" s="598" t="s">
        <v>728</v>
      </c>
      <c r="T15" s="569" t="e">
        <f>SUM(T10:T14)</f>
        <v>#REF!</v>
      </c>
      <c r="U15" s="569">
        <f>SUM(U10:U14)</f>
        <v>2060524.6147604911</v>
      </c>
    </row>
    <row r="16" spans="1:23">
      <c r="B16" s="568" t="s">
        <v>729</v>
      </c>
      <c r="T16" s="569">
        <v>75000000</v>
      </c>
      <c r="U16" s="569">
        <v>125000000</v>
      </c>
    </row>
    <row r="17" spans="2:27" s="598" customFormat="1" ht="15">
      <c r="B17" s="598" t="s">
        <v>730</v>
      </c>
      <c r="M17" s="600"/>
      <c r="N17" s="600"/>
      <c r="O17" s="600"/>
      <c r="P17" s="600"/>
      <c r="Q17" s="600"/>
      <c r="S17" s="600"/>
      <c r="T17" s="601" t="e">
        <f>ROUND(T15*10^6/T16,-2)</f>
        <v>#REF!</v>
      </c>
      <c r="U17" s="601">
        <f>U15*10^6/U16</f>
        <v>16484.196918083926</v>
      </c>
      <c r="V17" s="602"/>
      <c r="W17" s="603"/>
      <c r="X17" s="603"/>
      <c r="Y17" s="603"/>
      <c r="Z17" s="603"/>
      <c r="AA17" s="603"/>
    </row>
    <row r="18" spans="2:27" s="598" customFormat="1" ht="15">
      <c r="B18" s="598" t="s">
        <v>1029</v>
      </c>
      <c r="M18" s="600"/>
      <c r="N18" s="600"/>
      <c r="O18" s="600"/>
      <c r="P18" s="600"/>
      <c r="Q18" s="600"/>
      <c r="S18" s="600"/>
      <c r="T18" s="601" t="e">
        <f>T17*0.9</f>
        <v>#REF!</v>
      </c>
      <c r="U18" s="601"/>
      <c r="V18" s="602"/>
      <c r="W18" s="603"/>
      <c r="X18" s="603"/>
      <c r="Y18" s="603"/>
      <c r="Z18" s="603"/>
      <c r="AA18" s="603"/>
    </row>
    <row r="19" spans="2:27" ht="14.25">
      <c r="B19" s="568" t="s">
        <v>731</v>
      </c>
      <c r="T19" s="569">
        <v>15700</v>
      </c>
      <c r="U19" s="569"/>
      <c r="V19" s="604"/>
      <c r="W19" s="605"/>
      <c r="X19" s="605"/>
      <c r="Y19" s="605"/>
      <c r="Z19" s="605"/>
      <c r="AA19" s="605"/>
    </row>
    <row r="20" spans="2:27" ht="14.25">
      <c r="B20" s="568" t="s">
        <v>732</v>
      </c>
      <c r="T20" s="855" t="e">
        <f>T18/T19-1</f>
        <v>#REF!</v>
      </c>
      <c r="U20" s="606" t="e">
        <f>U17/U19-1</f>
        <v>#DIV/0!</v>
      </c>
      <c r="V20" s="604"/>
      <c r="W20" s="605"/>
      <c r="X20" s="605"/>
      <c r="Y20" s="605"/>
      <c r="Z20" s="605"/>
      <c r="AA20" s="605"/>
    </row>
    <row r="22" spans="2:27">
      <c r="Q22" s="569">
        <v>311884</v>
      </c>
      <c r="V22" s="607"/>
      <c r="W22" s="608"/>
      <c r="X22" s="608"/>
      <c r="Y22" s="608"/>
      <c r="Z22" s="608"/>
      <c r="AA22" s="608"/>
    </row>
    <row r="23" spans="2:27">
      <c r="Q23" s="569">
        <f>Q22-T6</f>
        <v>248312.57142857142</v>
      </c>
      <c r="U23" s="829"/>
      <c r="W23" s="569"/>
      <c r="X23" s="569"/>
      <c r="Y23" s="569"/>
      <c r="Z23" s="569"/>
      <c r="AA23" s="569"/>
    </row>
    <row r="26" spans="2:27">
      <c r="M26" s="609"/>
      <c r="N26" s="609"/>
      <c r="O26" s="609"/>
    </row>
  </sheetData>
  <pageMargins left="0.7" right="0.7" top="0.75" bottom="0.75" header="0.3" footer="0.3"/>
  <pageSetup paperSize="9"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6"/>
  <sheetViews>
    <sheetView zoomScaleNormal="100" workbookViewId="0">
      <pane xSplit="2" ySplit="2" topLeftCell="P3" activePane="bottomRight" state="frozen"/>
      <selection activeCell="T12" activeCellId="1" sqref="R8 T12"/>
      <selection pane="topRight" activeCell="T12" activeCellId="1" sqref="R8 T12"/>
      <selection pane="bottomLeft" activeCell="T12" activeCellId="1" sqref="R8 T12"/>
      <selection pane="bottomRight" activeCell="S17" sqref="S17"/>
    </sheetView>
  </sheetViews>
  <sheetFormatPr defaultRowHeight="12"/>
  <cols>
    <col min="1" max="1" width="4" style="568" customWidth="1"/>
    <col min="2" max="2" width="23.140625" style="568" bestFit="1" customWidth="1"/>
    <col min="3" max="3" width="17.140625" style="568" customWidth="1"/>
    <col min="4" max="4" width="24.140625" style="568" customWidth="1"/>
    <col min="5" max="5" width="14.85546875" style="568" customWidth="1"/>
    <col min="6" max="6" width="15.42578125" style="568" customWidth="1"/>
    <col min="7" max="7" width="14.42578125" style="568" customWidth="1"/>
    <col min="8" max="8" width="9" style="568" customWidth="1"/>
    <col min="9" max="9" width="29.7109375" style="568" customWidth="1"/>
    <col min="10" max="10" width="16.5703125" style="568" customWidth="1"/>
    <col min="11" max="11" width="29.42578125" style="568" customWidth="1"/>
    <col min="12" max="12" width="8.5703125" style="568" bestFit="1" customWidth="1"/>
    <col min="13" max="14" width="12.5703125" style="569" customWidth="1"/>
    <col min="15" max="15" width="16.42578125" style="569" customWidth="1"/>
    <col min="16" max="16" width="15.7109375" style="569" customWidth="1"/>
    <col min="17" max="17" width="38.140625" style="568" hidden="1" customWidth="1"/>
    <col min="18" max="18" width="15.42578125" style="569" customWidth="1"/>
    <col min="19" max="19" width="23.5703125" style="569" customWidth="1"/>
    <col min="20" max="20" width="52.85546875" style="568" customWidth="1"/>
    <col min="21" max="21" width="17" style="568" bestFit="1" customWidth="1"/>
    <col min="22" max="22" width="10.140625" style="568" customWidth="1"/>
    <col min="23" max="256" width="9.140625" style="568"/>
    <col min="257" max="257" width="4" style="568" customWidth="1"/>
    <col min="258" max="258" width="23.140625" style="568" bestFit="1" customWidth="1"/>
    <col min="259" max="259" width="17.140625" style="568" customWidth="1"/>
    <col min="260" max="260" width="24.140625" style="568" customWidth="1"/>
    <col min="261" max="261" width="14.85546875" style="568" customWidth="1"/>
    <col min="262" max="262" width="15.42578125" style="568" customWidth="1"/>
    <col min="263" max="263" width="14.42578125" style="568" customWidth="1"/>
    <col min="264" max="264" width="9" style="568" customWidth="1"/>
    <col min="265" max="265" width="29.7109375" style="568" customWidth="1"/>
    <col min="266" max="266" width="16.5703125" style="568" customWidth="1"/>
    <col min="267" max="267" width="29.42578125" style="568" customWidth="1"/>
    <col min="268" max="268" width="8.5703125" style="568" bestFit="1" customWidth="1"/>
    <col min="269" max="270" width="12.5703125" style="568" customWidth="1"/>
    <col min="271" max="271" width="16.42578125" style="568" customWidth="1"/>
    <col min="272" max="272" width="15.7109375" style="568" customWidth="1"/>
    <col min="273" max="273" width="0" style="568" hidden="1" customWidth="1"/>
    <col min="274" max="274" width="15.42578125" style="568" customWidth="1"/>
    <col min="275" max="275" width="23.5703125" style="568" customWidth="1"/>
    <col min="276" max="276" width="52.85546875" style="568" customWidth="1"/>
    <col min="277" max="277" width="17" style="568" bestFit="1" customWidth="1"/>
    <col min="278" max="278" width="10.140625" style="568" customWidth="1"/>
    <col min="279" max="512" width="9.140625" style="568"/>
    <col min="513" max="513" width="4" style="568" customWidth="1"/>
    <col min="514" max="514" width="23.140625" style="568" bestFit="1" customWidth="1"/>
    <col min="515" max="515" width="17.140625" style="568" customWidth="1"/>
    <col min="516" max="516" width="24.140625" style="568" customWidth="1"/>
    <col min="517" max="517" width="14.85546875" style="568" customWidth="1"/>
    <col min="518" max="518" width="15.42578125" style="568" customWidth="1"/>
    <col min="519" max="519" width="14.42578125" style="568" customWidth="1"/>
    <col min="520" max="520" width="9" style="568" customWidth="1"/>
    <col min="521" max="521" width="29.7109375" style="568" customWidth="1"/>
    <col min="522" max="522" width="16.5703125" style="568" customWidth="1"/>
    <col min="523" max="523" width="29.42578125" style="568" customWidth="1"/>
    <col min="524" max="524" width="8.5703125" style="568" bestFit="1" customWidth="1"/>
    <col min="525" max="526" width="12.5703125" style="568" customWidth="1"/>
    <col min="527" max="527" width="16.42578125" style="568" customWidth="1"/>
    <col min="528" max="528" width="15.7109375" style="568" customWidth="1"/>
    <col min="529" max="529" width="0" style="568" hidden="1" customWidth="1"/>
    <col min="530" max="530" width="15.42578125" style="568" customWidth="1"/>
    <col min="531" max="531" width="23.5703125" style="568" customWidth="1"/>
    <col min="532" max="532" width="52.85546875" style="568" customWidth="1"/>
    <col min="533" max="533" width="17" style="568" bestFit="1" customWidth="1"/>
    <col min="534" max="534" width="10.140625" style="568" customWidth="1"/>
    <col min="535" max="768" width="9.140625" style="568"/>
    <col min="769" max="769" width="4" style="568" customWidth="1"/>
    <col min="770" max="770" width="23.140625" style="568" bestFit="1" customWidth="1"/>
    <col min="771" max="771" width="17.140625" style="568" customWidth="1"/>
    <col min="772" max="772" width="24.140625" style="568" customWidth="1"/>
    <col min="773" max="773" width="14.85546875" style="568" customWidth="1"/>
    <col min="774" max="774" width="15.42578125" style="568" customWidth="1"/>
    <col min="775" max="775" width="14.42578125" style="568" customWidth="1"/>
    <col min="776" max="776" width="9" style="568" customWidth="1"/>
    <col min="777" max="777" width="29.7109375" style="568" customWidth="1"/>
    <col min="778" max="778" width="16.5703125" style="568" customWidth="1"/>
    <col min="779" max="779" width="29.42578125" style="568" customWidth="1"/>
    <col min="780" max="780" width="8.5703125" style="568" bestFit="1" customWidth="1"/>
    <col min="781" max="782" width="12.5703125" style="568" customWidth="1"/>
    <col min="783" max="783" width="16.42578125" style="568" customWidth="1"/>
    <col min="784" max="784" width="15.7109375" style="568" customWidth="1"/>
    <col min="785" max="785" width="0" style="568" hidden="1" customWidth="1"/>
    <col min="786" max="786" width="15.42578125" style="568" customWidth="1"/>
    <col min="787" max="787" width="23.5703125" style="568" customWidth="1"/>
    <col min="788" max="788" width="52.85546875" style="568" customWidth="1"/>
    <col min="789" max="789" width="17" style="568" bestFit="1" customWidth="1"/>
    <col min="790" max="790" width="10.140625" style="568" customWidth="1"/>
    <col min="791" max="1024" width="9.140625" style="568"/>
    <col min="1025" max="1025" width="4" style="568" customWidth="1"/>
    <col min="1026" max="1026" width="23.140625" style="568" bestFit="1" customWidth="1"/>
    <col min="1027" max="1027" width="17.140625" style="568" customWidth="1"/>
    <col min="1028" max="1028" width="24.140625" style="568" customWidth="1"/>
    <col min="1029" max="1029" width="14.85546875" style="568" customWidth="1"/>
    <col min="1030" max="1030" width="15.42578125" style="568" customWidth="1"/>
    <col min="1031" max="1031" width="14.42578125" style="568" customWidth="1"/>
    <col min="1032" max="1032" width="9" style="568" customWidth="1"/>
    <col min="1033" max="1033" width="29.7109375" style="568" customWidth="1"/>
    <col min="1034" max="1034" width="16.5703125" style="568" customWidth="1"/>
    <col min="1035" max="1035" width="29.42578125" style="568" customWidth="1"/>
    <col min="1036" max="1036" width="8.5703125" style="568" bestFit="1" customWidth="1"/>
    <col min="1037" max="1038" width="12.5703125" style="568" customWidth="1"/>
    <col min="1039" max="1039" width="16.42578125" style="568" customWidth="1"/>
    <col min="1040" max="1040" width="15.7109375" style="568" customWidth="1"/>
    <col min="1041" max="1041" width="0" style="568" hidden="1" customWidth="1"/>
    <col min="1042" max="1042" width="15.42578125" style="568" customWidth="1"/>
    <col min="1043" max="1043" width="23.5703125" style="568" customWidth="1"/>
    <col min="1044" max="1044" width="52.85546875" style="568" customWidth="1"/>
    <col min="1045" max="1045" width="17" style="568" bestFit="1" customWidth="1"/>
    <col min="1046" max="1046" width="10.140625" style="568" customWidth="1"/>
    <col min="1047" max="1280" width="9.140625" style="568"/>
    <col min="1281" max="1281" width="4" style="568" customWidth="1"/>
    <col min="1282" max="1282" width="23.140625" style="568" bestFit="1" customWidth="1"/>
    <col min="1283" max="1283" width="17.140625" style="568" customWidth="1"/>
    <col min="1284" max="1284" width="24.140625" style="568" customWidth="1"/>
    <col min="1285" max="1285" width="14.85546875" style="568" customWidth="1"/>
    <col min="1286" max="1286" width="15.42578125" style="568" customWidth="1"/>
    <col min="1287" max="1287" width="14.42578125" style="568" customWidth="1"/>
    <col min="1288" max="1288" width="9" style="568" customWidth="1"/>
    <col min="1289" max="1289" width="29.7109375" style="568" customWidth="1"/>
    <col min="1290" max="1290" width="16.5703125" style="568" customWidth="1"/>
    <col min="1291" max="1291" width="29.42578125" style="568" customWidth="1"/>
    <col min="1292" max="1292" width="8.5703125" style="568" bestFit="1" customWidth="1"/>
    <col min="1293" max="1294" width="12.5703125" style="568" customWidth="1"/>
    <col min="1295" max="1295" width="16.42578125" style="568" customWidth="1"/>
    <col min="1296" max="1296" width="15.7109375" style="568" customWidth="1"/>
    <col min="1297" max="1297" width="0" style="568" hidden="1" customWidth="1"/>
    <col min="1298" max="1298" width="15.42578125" style="568" customWidth="1"/>
    <col min="1299" max="1299" width="23.5703125" style="568" customWidth="1"/>
    <col min="1300" max="1300" width="52.85546875" style="568" customWidth="1"/>
    <col min="1301" max="1301" width="17" style="568" bestFit="1" customWidth="1"/>
    <col min="1302" max="1302" width="10.140625" style="568" customWidth="1"/>
    <col min="1303" max="1536" width="9.140625" style="568"/>
    <col min="1537" max="1537" width="4" style="568" customWidth="1"/>
    <col min="1538" max="1538" width="23.140625" style="568" bestFit="1" customWidth="1"/>
    <col min="1539" max="1539" width="17.140625" style="568" customWidth="1"/>
    <col min="1540" max="1540" width="24.140625" style="568" customWidth="1"/>
    <col min="1541" max="1541" width="14.85546875" style="568" customWidth="1"/>
    <col min="1542" max="1542" width="15.42578125" style="568" customWidth="1"/>
    <col min="1543" max="1543" width="14.42578125" style="568" customWidth="1"/>
    <col min="1544" max="1544" width="9" style="568" customWidth="1"/>
    <col min="1545" max="1545" width="29.7109375" style="568" customWidth="1"/>
    <col min="1546" max="1546" width="16.5703125" style="568" customWidth="1"/>
    <col min="1547" max="1547" width="29.42578125" style="568" customWidth="1"/>
    <col min="1548" max="1548" width="8.5703125" style="568" bestFit="1" customWidth="1"/>
    <col min="1549" max="1550" width="12.5703125" style="568" customWidth="1"/>
    <col min="1551" max="1551" width="16.42578125" style="568" customWidth="1"/>
    <col min="1552" max="1552" width="15.7109375" style="568" customWidth="1"/>
    <col min="1553" max="1553" width="0" style="568" hidden="1" customWidth="1"/>
    <col min="1554" max="1554" width="15.42578125" style="568" customWidth="1"/>
    <col min="1555" max="1555" width="23.5703125" style="568" customWidth="1"/>
    <col min="1556" max="1556" width="52.85546875" style="568" customWidth="1"/>
    <col min="1557" max="1557" width="17" style="568" bestFit="1" customWidth="1"/>
    <col min="1558" max="1558" width="10.140625" style="568" customWidth="1"/>
    <col min="1559" max="1792" width="9.140625" style="568"/>
    <col min="1793" max="1793" width="4" style="568" customWidth="1"/>
    <col min="1794" max="1794" width="23.140625" style="568" bestFit="1" customWidth="1"/>
    <col min="1795" max="1795" width="17.140625" style="568" customWidth="1"/>
    <col min="1796" max="1796" width="24.140625" style="568" customWidth="1"/>
    <col min="1797" max="1797" width="14.85546875" style="568" customWidth="1"/>
    <col min="1798" max="1798" width="15.42578125" style="568" customWidth="1"/>
    <col min="1799" max="1799" width="14.42578125" style="568" customWidth="1"/>
    <col min="1800" max="1800" width="9" style="568" customWidth="1"/>
    <col min="1801" max="1801" width="29.7109375" style="568" customWidth="1"/>
    <col min="1802" max="1802" width="16.5703125" style="568" customWidth="1"/>
    <col min="1803" max="1803" width="29.42578125" style="568" customWidth="1"/>
    <col min="1804" max="1804" width="8.5703125" style="568" bestFit="1" customWidth="1"/>
    <col min="1805" max="1806" width="12.5703125" style="568" customWidth="1"/>
    <col min="1807" max="1807" width="16.42578125" style="568" customWidth="1"/>
    <col min="1808" max="1808" width="15.7109375" style="568" customWidth="1"/>
    <col min="1809" max="1809" width="0" style="568" hidden="1" customWidth="1"/>
    <col min="1810" max="1810" width="15.42578125" style="568" customWidth="1"/>
    <col min="1811" max="1811" width="23.5703125" style="568" customWidth="1"/>
    <col min="1812" max="1812" width="52.85546875" style="568" customWidth="1"/>
    <col min="1813" max="1813" width="17" style="568" bestFit="1" customWidth="1"/>
    <col min="1814" max="1814" width="10.140625" style="568" customWidth="1"/>
    <col min="1815" max="2048" width="9.140625" style="568"/>
    <col min="2049" max="2049" width="4" style="568" customWidth="1"/>
    <col min="2050" max="2050" width="23.140625" style="568" bestFit="1" customWidth="1"/>
    <col min="2051" max="2051" width="17.140625" style="568" customWidth="1"/>
    <col min="2052" max="2052" width="24.140625" style="568" customWidth="1"/>
    <col min="2053" max="2053" width="14.85546875" style="568" customWidth="1"/>
    <col min="2054" max="2054" width="15.42578125" style="568" customWidth="1"/>
    <col min="2055" max="2055" width="14.42578125" style="568" customWidth="1"/>
    <col min="2056" max="2056" width="9" style="568" customWidth="1"/>
    <col min="2057" max="2057" width="29.7109375" style="568" customWidth="1"/>
    <col min="2058" max="2058" width="16.5703125" style="568" customWidth="1"/>
    <col min="2059" max="2059" width="29.42578125" style="568" customWidth="1"/>
    <col min="2060" max="2060" width="8.5703125" style="568" bestFit="1" customWidth="1"/>
    <col min="2061" max="2062" width="12.5703125" style="568" customWidth="1"/>
    <col min="2063" max="2063" width="16.42578125" style="568" customWidth="1"/>
    <col min="2064" max="2064" width="15.7109375" style="568" customWidth="1"/>
    <col min="2065" max="2065" width="0" style="568" hidden="1" customWidth="1"/>
    <col min="2066" max="2066" width="15.42578125" style="568" customWidth="1"/>
    <col min="2067" max="2067" width="23.5703125" style="568" customWidth="1"/>
    <col min="2068" max="2068" width="52.85546875" style="568" customWidth="1"/>
    <col min="2069" max="2069" width="17" style="568" bestFit="1" customWidth="1"/>
    <col min="2070" max="2070" width="10.140625" style="568" customWidth="1"/>
    <col min="2071" max="2304" width="9.140625" style="568"/>
    <col min="2305" max="2305" width="4" style="568" customWidth="1"/>
    <col min="2306" max="2306" width="23.140625" style="568" bestFit="1" customWidth="1"/>
    <col min="2307" max="2307" width="17.140625" style="568" customWidth="1"/>
    <col min="2308" max="2308" width="24.140625" style="568" customWidth="1"/>
    <col min="2309" max="2309" width="14.85546875" style="568" customWidth="1"/>
    <col min="2310" max="2310" width="15.42578125" style="568" customWidth="1"/>
    <col min="2311" max="2311" width="14.42578125" style="568" customWidth="1"/>
    <col min="2312" max="2312" width="9" style="568" customWidth="1"/>
    <col min="2313" max="2313" width="29.7109375" style="568" customWidth="1"/>
    <col min="2314" max="2314" width="16.5703125" style="568" customWidth="1"/>
    <col min="2315" max="2315" width="29.42578125" style="568" customWidth="1"/>
    <col min="2316" max="2316" width="8.5703125" style="568" bestFit="1" customWidth="1"/>
    <col min="2317" max="2318" width="12.5703125" style="568" customWidth="1"/>
    <col min="2319" max="2319" width="16.42578125" style="568" customWidth="1"/>
    <col min="2320" max="2320" width="15.7109375" style="568" customWidth="1"/>
    <col min="2321" max="2321" width="0" style="568" hidden="1" customWidth="1"/>
    <col min="2322" max="2322" width="15.42578125" style="568" customWidth="1"/>
    <col min="2323" max="2323" width="23.5703125" style="568" customWidth="1"/>
    <col min="2324" max="2324" width="52.85546875" style="568" customWidth="1"/>
    <col min="2325" max="2325" width="17" style="568" bestFit="1" customWidth="1"/>
    <col min="2326" max="2326" width="10.140625" style="568" customWidth="1"/>
    <col min="2327" max="2560" width="9.140625" style="568"/>
    <col min="2561" max="2561" width="4" style="568" customWidth="1"/>
    <col min="2562" max="2562" width="23.140625" style="568" bestFit="1" customWidth="1"/>
    <col min="2563" max="2563" width="17.140625" style="568" customWidth="1"/>
    <col min="2564" max="2564" width="24.140625" style="568" customWidth="1"/>
    <col min="2565" max="2565" width="14.85546875" style="568" customWidth="1"/>
    <col min="2566" max="2566" width="15.42578125" style="568" customWidth="1"/>
    <col min="2567" max="2567" width="14.42578125" style="568" customWidth="1"/>
    <col min="2568" max="2568" width="9" style="568" customWidth="1"/>
    <col min="2569" max="2569" width="29.7109375" style="568" customWidth="1"/>
    <col min="2570" max="2570" width="16.5703125" style="568" customWidth="1"/>
    <col min="2571" max="2571" width="29.42578125" style="568" customWidth="1"/>
    <col min="2572" max="2572" width="8.5703125" style="568" bestFit="1" customWidth="1"/>
    <col min="2573" max="2574" width="12.5703125" style="568" customWidth="1"/>
    <col min="2575" max="2575" width="16.42578125" style="568" customWidth="1"/>
    <col min="2576" max="2576" width="15.7109375" style="568" customWidth="1"/>
    <col min="2577" max="2577" width="0" style="568" hidden="1" customWidth="1"/>
    <col min="2578" max="2578" width="15.42578125" style="568" customWidth="1"/>
    <col min="2579" max="2579" width="23.5703125" style="568" customWidth="1"/>
    <col min="2580" max="2580" width="52.85546875" style="568" customWidth="1"/>
    <col min="2581" max="2581" width="17" style="568" bestFit="1" customWidth="1"/>
    <col min="2582" max="2582" width="10.140625" style="568" customWidth="1"/>
    <col min="2583" max="2816" width="9.140625" style="568"/>
    <col min="2817" max="2817" width="4" style="568" customWidth="1"/>
    <col min="2818" max="2818" width="23.140625" style="568" bestFit="1" customWidth="1"/>
    <col min="2819" max="2819" width="17.140625" style="568" customWidth="1"/>
    <col min="2820" max="2820" width="24.140625" style="568" customWidth="1"/>
    <col min="2821" max="2821" width="14.85546875" style="568" customWidth="1"/>
    <col min="2822" max="2822" width="15.42578125" style="568" customWidth="1"/>
    <col min="2823" max="2823" width="14.42578125" style="568" customWidth="1"/>
    <col min="2824" max="2824" width="9" style="568" customWidth="1"/>
    <col min="2825" max="2825" width="29.7109375" style="568" customWidth="1"/>
    <col min="2826" max="2826" width="16.5703125" style="568" customWidth="1"/>
    <col min="2827" max="2827" width="29.42578125" style="568" customWidth="1"/>
    <col min="2828" max="2828" width="8.5703125" style="568" bestFit="1" customWidth="1"/>
    <col min="2829" max="2830" width="12.5703125" style="568" customWidth="1"/>
    <col min="2831" max="2831" width="16.42578125" style="568" customWidth="1"/>
    <col min="2832" max="2832" width="15.7109375" style="568" customWidth="1"/>
    <col min="2833" max="2833" width="0" style="568" hidden="1" customWidth="1"/>
    <col min="2834" max="2834" width="15.42578125" style="568" customWidth="1"/>
    <col min="2835" max="2835" width="23.5703125" style="568" customWidth="1"/>
    <col min="2836" max="2836" width="52.85546875" style="568" customWidth="1"/>
    <col min="2837" max="2837" width="17" style="568" bestFit="1" customWidth="1"/>
    <col min="2838" max="2838" width="10.140625" style="568" customWidth="1"/>
    <col min="2839" max="3072" width="9.140625" style="568"/>
    <col min="3073" max="3073" width="4" style="568" customWidth="1"/>
    <col min="3074" max="3074" width="23.140625" style="568" bestFit="1" customWidth="1"/>
    <col min="3075" max="3075" width="17.140625" style="568" customWidth="1"/>
    <col min="3076" max="3076" width="24.140625" style="568" customWidth="1"/>
    <col min="3077" max="3077" width="14.85546875" style="568" customWidth="1"/>
    <col min="3078" max="3078" width="15.42578125" style="568" customWidth="1"/>
    <col min="3079" max="3079" width="14.42578125" style="568" customWidth="1"/>
    <col min="3080" max="3080" width="9" style="568" customWidth="1"/>
    <col min="3081" max="3081" width="29.7109375" style="568" customWidth="1"/>
    <col min="3082" max="3082" width="16.5703125" style="568" customWidth="1"/>
    <col min="3083" max="3083" width="29.42578125" style="568" customWidth="1"/>
    <col min="3084" max="3084" width="8.5703125" style="568" bestFit="1" customWidth="1"/>
    <col min="3085" max="3086" width="12.5703125" style="568" customWidth="1"/>
    <col min="3087" max="3087" width="16.42578125" style="568" customWidth="1"/>
    <col min="3088" max="3088" width="15.7109375" style="568" customWidth="1"/>
    <col min="3089" max="3089" width="0" style="568" hidden="1" customWidth="1"/>
    <col min="3090" max="3090" width="15.42578125" style="568" customWidth="1"/>
    <col min="3091" max="3091" width="23.5703125" style="568" customWidth="1"/>
    <col min="3092" max="3092" width="52.85546875" style="568" customWidth="1"/>
    <col min="3093" max="3093" width="17" style="568" bestFit="1" customWidth="1"/>
    <col min="3094" max="3094" width="10.140625" style="568" customWidth="1"/>
    <col min="3095" max="3328" width="9.140625" style="568"/>
    <col min="3329" max="3329" width="4" style="568" customWidth="1"/>
    <col min="3330" max="3330" width="23.140625" style="568" bestFit="1" customWidth="1"/>
    <col min="3331" max="3331" width="17.140625" style="568" customWidth="1"/>
    <col min="3332" max="3332" width="24.140625" style="568" customWidth="1"/>
    <col min="3333" max="3333" width="14.85546875" style="568" customWidth="1"/>
    <col min="3334" max="3334" width="15.42578125" style="568" customWidth="1"/>
    <col min="3335" max="3335" width="14.42578125" style="568" customWidth="1"/>
    <col min="3336" max="3336" width="9" style="568" customWidth="1"/>
    <col min="3337" max="3337" width="29.7109375" style="568" customWidth="1"/>
    <col min="3338" max="3338" width="16.5703125" style="568" customWidth="1"/>
    <col min="3339" max="3339" width="29.42578125" style="568" customWidth="1"/>
    <col min="3340" max="3340" width="8.5703125" style="568" bestFit="1" customWidth="1"/>
    <col min="3341" max="3342" width="12.5703125" style="568" customWidth="1"/>
    <col min="3343" max="3343" width="16.42578125" style="568" customWidth="1"/>
    <col min="3344" max="3344" width="15.7109375" style="568" customWidth="1"/>
    <col min="3345" max="3345" width="0" style="568" hidden="1" customWidth="1"/>
    <col min="3346" max="3346" width="15.42578125" style="568" customWidth="1"/>
    <col min="3347" max="3347" width="23.5703125" style="568" customWidth="1"/>
    <col min="3348" max="3348" width="52.85546875" style="568" customWidth="1"/>
    <col min="3349" max="3349" width="17" style="568" bestFit="1" customWidth="1"/>
    <col min="3350" max="3350" width="10.140625" style="568" customWidth="1"/>
    <col min="3351" max="3584" width="9.140625" style="568"/>
    <col min="3585" max="3585" width="4" style="568" customWidth="1"/>
    <col min="3586" max="3586" width="23.140625" style="568" bestFit="1" customWidth="1"/>
    <col min="3587" max="3587" width="17.140625" style="568" customWidth="1"/>
    <col min="3588" max="3588" width="24.140625" style="568" customWidth="1"/>
    <col min="3589" max="3589" width="14.85546875" style="568" customWidth="1"/>
    <col min="3590" max="3590" width="15.42578125" style="568" customWidth="1"/>
    <col min="3591" max="3591" width="14.42578125" style="568" customWidth="1"/>
    <col min="3592" max="3592" width="9" style="568" customWidth="1"/>
    <col min="3593" max="3593" width="29.7109375" style="568" customWidth="1"/>
    <col min="3594" max="3594" width="16.5703125" style="568" customWidth="1"/>
    <col min="3595" max="3595" width="29.42578125" style="568" customWidth="1"/>
    <col min="3596" max="3596" width="8.5703125" style="568" bestFit="1" customWidth="1"/>
    <col min="3597" max="3598" width="12.5703125" style="568" customWidth="1"/>
    <col min="3599" max="3599" width="16.42578125" style="568" customWidth="1"/>
    <col min="3600" max="3600" width="15.7109375" style="568" customWidth="1"/>
    <col min="3601" max="3601" width="0" style="568" hidden="1" customWidth="1"/>
    <col min="3602" max="3602" width="15.42578125" style="568" customWidth="1"/>
    <col min="3603" max="3603" width="23.5703125" style="568" customWidth="1"/>
    <col min="3604" max="3604" width="52.85546875" style="568" customWidth="1"/>
    <col min="3605" max="3605" width="17" style="568" bestFit="1" customWidth="1"/>
    <col min="3606" max="3606" width="10.140625" style="568" customWidth="1"/>
    <col min="3607" max="3840" width="9.140625" style="568"/>
    <col min="3841" max="3841" width="4" style="568" customWidth="1"/>
    <col min="3842" max="3842" width="23.140625" style="568" bestFit="1" customWidth="1"/>
    <col min="3843" max="3843" width="17.140625" style="568" customWidth="1"/>
    <col min="3844" max="3844" width="24.140625" style="568" customWidth="1"/>
    <col min="3845" max="3845" width="14.85546875" style="568" customWidth="1"/>
    <col min="3846" max="3846" width="15.42578125" style="568" customWidth="1"/>
    <col min="3847" max="3847" width="14.42578125" style="568" customWidth="1"/>
    <col min="3848" max="3848" width="9" style="568" customWidth="1"/>
    <col min="3849" max="3849" width="29.7109375" style="568" customWidth="1"/>
    <col min="3850" max="3850" width="16.5703125" style="568" customWidth="1"/>
    <col min="3851" max="3851" width="29.42578125" style="568" customWidth="1"/>
    <col min="3852" max="3852" width="8.5703125" style="568" bestFit="1" customWidth="1"/>
    <col min="3853" max="3854" width="12.5703125" style="568" customWidth="1"/>
    <col min="3855" max="3855" width="16.42578125" style="568" customWidth="1"/>
    <col min="3856" max="3856" width="15.7109375" style="568" customWidth="1"/>
    <col min="3857" max="3857" width="0" style="568" hidden="1" customWidth="1"/>
    <col min="3858" max="3858" width="15.42578125" style="568" customWidth="1"/>
    <col min="3859" max="3859" width="23.5703125" style="568" customWidth="1"/>
    <col min="3860" max="3860" width="52.85546875" style="568" customWidth="1"/>
    <col min="3861" max="3861" width="17" style="568" bestFit="1" customWidth="1"/>
    <col min="3862" max="3862" width="10.140625" style="568" customWidth="1"/>
    <col min="3863" max="4096" width="9.140625" style="568"/>
    <col min="4097" max="4097" width="4" style="568" customWidth="1"/>
    <col min="4098" max="4098" width="23.140625" style="568" bestFit="1" customWidth="1"/>
    <col min="4099" max="4099" width="17.140625" style="568" customWidth="1"/>
    <col min="4100" max="4100" width="24.140625" style="568" customWidth="1"/>
    <col min="4101" max="4101" width="14.85546875" style="568" customWidth="1"/>
    <col min="4102" max="4102" width="15.42578125" style="568" customWidth="1"/>
    <col min="4103" max="4103" width="14.42578125" style="568" customWidth="1"/>
    <col min="4104" max="4104" width="9" style="568" customWidth="1"/>
    <col min="4105" max="4105" width="29.7109375" style="568" customWidth="1"/>
    <col min="4106" max="4106" width="16.5703125" style="568" customWidth="1"/>
    <col min="4107" max="4107" width="29.42578125" style="568" customWidth="1"/>
    <col min="4108" max="4108" width="8.5703125" style="568" bestFit="1" customWidth="1"/>
    <col min="4109" max="4110" width="12.5703125" style="568" customWidth="1"/>
    <col min="4111" max="4111" width="16.42578125" style="568" customWidth="1"/>
    <col min="4112" max="4112" width="15.7109375" style="568" customWidth="1"/>
    <col min="4113" max="4113" width="0" style="568" hidden="1" customWidth="1"/>
    <col min="4114" max="4114" width="15.42578125" style="568" customWidth="1"/>
    <col min="4115" max="4115" width="23.5703125" style="568" customWidth="1"/>
    <col min="4116" max="4116" width="52.85546875" style="568" customWidth="1"/>
    <col min="4117" max="4117" width="17" style="568" bestFit="1" customWidth="1"/>
    <col min="4118" max="4118" width="10.140625" style="568" customWidth="1"/>
    <col min="4119" max="4352" width="9.140625" style="568"/>
    <col min="4353" max="4353" width="4" style="568" customWidth="1"/>
    <col min="4354" max="4354" width="23.140625" style="568" bestFit="1" customWidth="1"/>
    <col min="4355" max="4355" width="17.140625" style="568" customWidth="1"/>
    <col min="4356" max="4356" width="24.140625" style="568" customWidth="1"/>
    <col min="4357" max="4357" width="14.85546875" style="568" customWidth="1"/>
    <col min="4358" max="4358" width="15.42578125" style="568" customWidth="1"/>
    <col min="4359" max="4359" width="14.42578125" style="568" customWidth="1"/>
    <col min="4360" max="4360" width="9" style="568" customWidth="1"/>
    <col min="4361" max="4361" width="29.7109375" style="568" customWidth="1"/>
    <col min="4362" max="4362" width="16.5703125" style="568" customWidth="1"/>
    <col min="4363" max="4363" width="29.42578125" style="568" customWidth="1"/>
    <col min="4364" max="4364" width="8.5703125" style="568" bestFit="1" customWidth="1"/>
    <col min="4365" max="4366" width="12.5703125" style="568" customWidth="1"/>
    <col min="4367" max="4367" width="16.42578125" style="568" customWidth="1"/>
    <col min="4368" max="4368" width="15.7109375" style="568" customWidth="1"/>
    <col min="4369" max="4369" width="0" style="568" hidden="1" customWidth="1"/>
    <col min="4370" max="4370" width="15.42578125" style="568" customWidth="1"/>
    <col min="4371" max="4371" width="23.5703125" style="568" customWidth="1"/>
    <col min="4372" max="4372" width="52.85546875" style="568" customWidth="1"/>
    <col min="4373" max="4373" width="17" style="568" bestFit="1" customWidth="1"/>
    <col min="4374" max="4374" width="10.140625" style="568" customWidth="1"/>
    <col min="4375" max="4608" width="9.140625" style="568"/>
    <col min="4609" max="4609" width="4" style="568" customWidth="1"/>
    <col min="4610" max="4610" width="23.140625" style="568" bestFit="1" customWidth="1"/>
    <col min="4611" max="4611" width="17.140625" style="568" customWidth="1"/>
    <col min="4612" max="4612" width="24.140625" style="568" customWidth="1"/>
    <col min="4613" max="4613" width="14.85546875" style="568" customWidth="1"/>
    <col min="4614" max="4614" width="15.42578125" style="568" customWidth="1"/>
    <col min="4615" max="4615" width="14.42578125" style="568" customWidth="1"/>
    <col min="4616" max="4616" width="9" style="568" customWidth="1"/>
    <col min="4617" max="4617" width="29.7109375" style="568" customWidth="1"/>
    <col min="4618" max="4618" width="16.5703125" style="568" customWidth="1"/>
    <col min="4619" max="4619" width="29.42578125" style="568" customWidth="1"/>
    <col min="4620" max="4620" width="8.5703125" style="568" bestFit="1" customWidth="1"/>
    <col min="4621" max="4622" width="12.5703125" style="568" customWidth="1"/>
    <col min="4623" max="4623" width="16.42578125" style="568" customWidth="1"/>
    <col min="4624" max="4624" width="15.7109375" style="568" customWidth="1"/>
    <col min="4625" max="4625" width="0" style="568" hidden="1" customWidth="1"/>
    <col min="4626" max="4626" width="15.42578125" style="568" customWidth="1"/>
    <col min="4627" max="4627" width="23.5703125" style="568" customWidth="1"/>
    <col min="4628" max="4628" width="52.85546875" style="568" customWidth="1"/>
    <col min="4629" max="4629" width="17" style="568" bestFit="1" customWidth="1"/>
    <col min="4630" max="4630" width="10.140625" style="568" customWidth="1"/>
    <col min="4631" max="4864" width="9.140625" style="568"/>
    <col min="4865" max="4865" width="4" style="568" customWidth="1"/>
    <col min="4866" max="4866" width="23.140625" style="568" bestFit="1" customWidth="1"/>
    <col min="4867" max="4867" width="17.140625" style="568" customWidth="1"/>
    <col min="4868" max="4868" width="24.140625" style="568" customWidth="1"/>
    <col min="4869" max="4869" width="14.85546875" style="568" customWidth="1"/>
    <col min="4870" max="4870" width="15.42578125" style="568" customWidth="1"/>
    <col min="4871" max="4871" width="14.42578125" style="568" customWidth="1"/>
    <col min="4872" max="4872" width="9" style="568" customWidth="1"/>
    <col min="4873" max="4873" width="29.7109375" style="568" customWidth="1"/>
    <col min="4874" max="4874" width="16.5703125" style="568" customWidth="1"/>
    <col min="4875" max="4875" width="29.42578125" style="568" customWidth="1"/>
    <col min="4876" max="4876" width="8.5703125" style="568" bestFit="1" customWidth="1"/>
    <col min="4877" max="4878" width="12.5703125" style="568" customWidth="1"/>
    <col min="4879" max="4879" width="16.42578125" style="568" customWidth="1"/>
    <col min="4880" max="4880" width="15.7109375" style="568" customWidth="1"/>
    <col min="4881" max="4881" width="0" style="568" hidden="1" customWidth="1"/>
    <col min="4882" max="4882" width="15.42578125" style="568" customWidth="1"/>
    <col min="4883" max="4883" width="23.5703125" style="568" customWidth="1"/>
    <col min="4884" max="4884" width="52.85546875" style="568" customWidth="1"/>
    <col min="4885" max="4885" width="17" style="568" bestFit="1" customWidth="1"/>
    <col min="4886" max="4886" width="10.140625" style="568" customWidth="1"/>
    <col min="4887" max="5120" width="9.140625" style="568"/>
    <col min="5121" max="5121" width="4" style="568" customWidth="1"/>
    <col min="5122" max="5122" width="23.140625" style="568" bestFit="1" customWidth="1"/>
    <col min="5123" max="5123" width="17.140625" style="568" customWidth="1"/>
    <col min="5124" max="5124" width="24.140625" style="568" customWidth="1"/>
    <col min="5125" max="5125" width="14.85546875" style="568" customWidth="1"/>
    <col min="5126" max="5126" width="15.42578125" style="568" customWidth="1"/>
    <col min="5127" max="5127" width="14.42578125" style="568" customWidth="1"/>
    <col min="5128" max="5128" width="9" style="568" customWidth="1"/>
    <col min="5129" max="5129" width="29.7109375" style="568" customWidth="1"/>
    <col min="5130" max="5130" width="16.5703125" style="568" customWidth="1"/>
    <col min="5131" max="5131" width="29.42578125" style="568" customWidth="1"/>
    <col min="5132" max="5132" width="8.5703125" style="568" bestFit="1" customWidth="1"/>
    <col min="5133" max="5134" width="12.5703125" style="568" customWidth="1"/>
    <col min="5135" max="5135" width="16.42578125" style="568" customWidth="1"/>
    <col min="5136" max="5136" width="15.7109375" style="568" customWidth="1"/>
    <col min="5137" max="5137" width="0" style="568" hidden="1" customWidth="1"/>
    <col min="5138" max="5138" width="15.42578125" style="568" customWidth="1"/>
    <col min="5139" max="5139" width="23.5703125" style="568" customWidth="1"/>
    <col min="5140" max="5140" width="52.85546875" style="568" customWidth="1"/>
    <col min="5141" max="5141" width="17" style="568" bestFit="1" customWidth="1"/>
    <col min="5142" max="5142" width="10.140625" style="568" customWidth="1"/>
    <col min="5143" max="5376" width="9.140625" style="568"/>
    <col min="5377" max="5377" width="4" style="568" customWidth="1"/>
    <col min="5378" max="5378" width="23.140625" style="568" bestFit="1" customWidth="1"/>
    <col min="5379" max="5379" width="17.140625" style="568" customWidth="1"/>
    <col min="5380" max="5380" width="24.140625" style="568" customWidth="1"/>
    <col min="5381" max="5381" width="14.85546875" style="568" customWidth="1"/>
    <col min="5382" max="5382" width="15.42578125" style="568" customWidth="1"/>
    <col min="5383" max="5383" width="14.42578125" style="568" customWidth="1"/>
    <col min="5384" max="5384" width="9" style="568" customWidth="1"/>
    <col min="5385" max="5385" width="29.7109375" style="568" customWidth="1"/>
    <col min="5386" max="5386" width="16.5703125" style="568" customWidth="1"/>
    <col min="5387" max="5387" width="29.42578125" style="568" customWidth="1"/>
    <col min="5388" max="5388" width="8.5703125" style="568" bestFit="1" customWidth="1"/>
    <col min="5389" max="5390" width="12.5703125" style="568" customWidth="1"/>
    <col min="5391" max="5391" width="16.42578125" style="568" customWidth="1"/>
    <col min="5392" max="5392" width="15.7109375" style="568" customWidth="1"/>
    <col min="5393" max="5393" width="0" style="568" hidden="1" customWidth="1"/>
    <col min="5394" max="5394" width="15.42578125" style="568" customWidth="1"/>
    <col min="5395" max="5395" width="23.5703125" style="568" customWidth="1"/>
    <col min="5396" max="5396" width="52.85546875" style="568" customWidth="1"/>
    <col min="5397" max="5397" width="17" style="568" bestFit="1" customWidth="1"/>
    <col min="5398" max="5398" width="10.140625" style="568" customWidth="1"/>
    <col min="5399" max="5632" width="9.140625" style="568"/>
    <col min="5633" max="5633" width="4" style="568" customWidth="1"/>
    <col min="5634" max="5634" width="23.140625" style="568" bestFit="1" customWidth="1"/>
    <col min="5635" max="5635" width="17.140625" style="568" customWidth="1"/>
    <col min="5636" max="5636" width="24.140625" style="568" customWidth="1"/>
    <col min="5637" max="5637" width="14.85546875" style="568" customWidth="1"/>
    <col min="5638" max="5638" width="15.42578125" style="568" customWidth="1"/>
    <col min="5639" max="5639" width="14.42578125" style="568" customWidth="1"/>
    <col min="5640" max="5640" width="9" style="568" customWidth="1"/>
    <col min="5641" max="5641" width="29.7109375" style="568" customWidth="1"/>
    <col min="5642" max="5642" width="16.5703125" style="568" customWidth="1"/>
    <col min="5643" max="5643" width="29.42578125" style="568" customWidth="1"/>
    <col min="5644" max="5644" width="8.5703125" style="568" bestFit="1" customWidth="1"/>
    <col min="5645" max="5646" width="12.5703125" style="568" customWidth="1"/>
    <col min="5647" max="5647" width="16.42578125" style="568" customWidth="1"/>
    <col min="5648" max="5648" width="15.7109375" style="568" customWidth="1"/>
    <col min="5649" max="5649" width="0" style="568" hidden="1" customWidth="1"/>
    <col min="5650" max="5650" width="15.42578125" style="568" customWidth="1"/>
    <col min="5651" max="5651" width="23.5703125" style="568" customWidth="1"/>
    <col min="5652" max="5652" width="52.85546875" style="568" customWidth="1"/>
    <col min="5653" max="5653" width="17" style="568" bestFit="1" customWidth="1"/>
    <col min="5654" max="5654" width="10.140625" style="568" customWidth="1"/>
    <col min="5655" max="5888" width="9.140625" style="568"/>
    <col min="5889" max="5889" width="4" style="568" customWidth="1"/>
    <col min="5890" max="5890" width="23.140625" style="568" bestFit="1" customWidth="1"/>
    <col min="5891" max="5891" width="17.140625" style="568" customWidth="1"/>
    <col min="5892" max="5892" width="24.140625" style="568" customWidth="1"/>
    <col min="5893" max="5893" width="14.85546875" style="568" customWidth="1"/>
    <col min="5894" max="5894" width="15.42578125" style="568" customWidth="1"/>
    <col min="5895" max="5895" width="14.42578125" style="568" customWidth="1"/>
    <col min="5896" max="5896" width="9" style="568" customWidth="1"/>
    <col min="5897" max="5897" width="29.7109375" style="568" customWidth="1"/>
    <col min="5898" max="5898" width="16.5703125" style="568" customWidth="1"/>
    <col min="5899" max="5899" width="29.42578125" style="568" customWidth="1"/>
    <col min="5900" max="5900" width="8.5703125" style="568" bestFit="1" customWidth="1"/>
    <col min="5901" max="5902" width="12.5703125" style="568" customWidth="1"/>
    <col min="5903" max="5903" width="16.42578125" style="568" customWidth="1"/>
    <col min="5904" max="5904" width="15.7109375" style="568" customWidth="1"/>
    <col min="5905" max="5905" width="0" style="568" hidden="1" customWidth="1"/>
    <col min="5906" max="5906" width="15.42578125" style="568" customWidth="1"/>
    <col min="5907" max="5907" width="23.5703125" style="568" customWidth="1"/>
    <col min="5908" max="5908" width="52.85546875" style="568" customWidth="1"/>
    <col min="5909" max="5909" width="17" style="568" bestFit="1" customWidth="1"/>
    <col min="5910" max="5910" width="10.140625" style="568" customWidth="1"/>
    <col min="5911" max="6144" width="9.140625" style="568"/>
    <col min="6145" max="6145" width="4" style="568" customWidth="1"/>
    <col min="6146" max="6146" width="23.140625" style="568" bestFit="1" customWidth="1"/>
    <col min="6147" max="6147" width="17.140625" style="568" customWidth="1"/>
    <col min="6148" max="6148" width="24.140625" style="568" customWidth="1"/>
    <col min="6149" max="6149" width="14.85546875" style="568" customWidth="1"/>
    <col min="6150" max="6150" width="15.42578125" style="568" customWidth="1"/>
    <col min="6151" max="6151" width="14.42578125" style="568" customWidth="1"/>
    <col min="6152" max="6152" width="9" style="568" customWidth="1"/>
    <col min="6153" max="6153" width="29.7109375" style="568" customWidth="1"/>
    <col min="6154" max="6154" width="16.5703125" style="568" customWidth="1"/>
    <col min="6155" max="6155" width="29.42578125" style="568" customWidth="1"/>
    <col min="6156" max="6156" width="8.5703125" style="568" bestFit="1" customWidth="1"/>
    <col min="6157" max="6158" width="12.5703125" style="568" customWidth="1"/>
    <col min="6159" max="6159" width="16.42578125" style="568" customWidth="1"/>
    <col min="6160" max="6160" width="15.7109375" style="568" customWidth="1"/>
    <col min="6161" max="6161" width="0" style="568" hidden="1" customWidth="1"/>
    <col min="6162" max="6162" width="15.42578125" style="568" customWidth="1"/>
    <col min="6163" max="6163" width="23.5703125" style="568" customWidth="1"/>
    <col min="6164" max="6164" width="52.85546875" style="568" customWidth="1"/>
    <col min="6165" max="6165" width="17" style="568" bestFit="1" customWidth="1"/>
    <col min="6166" max="6166" width="10.140625" style="568" customWidth="1"/>
    <col min="6167" max="6400" width="9.140625" style="568"/>
    <col min="6401" max="6401" width="4" style="568" customWidth="1"/>
    <col min="6402" max="6402" width="23.140625" style="568" bestFit="1" customWidth="1"/>
    <col min="6403" max="6403" width="17.140625" style="568" customWidth="1"/>
    <col min="6404" max="6404" width="24.140625" style="568" customWidth="1"/>
    <col min="6405" max="6405" width="14.85546875" style="568" customWidth="1"/>
    <col min="6406" max="6406" width="15.42578125" style="568" customWidth="1"/>
    <col min="6407" max="6407" width="14.42578125" style="568" customWidth="1"/>
    <col min="6408" max="6408" width="9" style="568" customWidth="1"/>
    <col min="6409" max="6409" width="29.7109375" style="568" customWidth="1"/>
    <col min="6410" max="6410" width="16.5703125" style="568" customWidth="1"/>
    <col min="6411" max="6411" width="29.42578125" style="568" customWidth="1"/>
    <col min="6412" max="6412" width="8.5703125" style="568" bestFit="1" customWidth="1"/>
    <col min="6413" max="6414" width="12.5703125" style="568" customWidth="1"/>
    <col min="6415" max="6415" width="16.42578125" style="568" customWidth="1"/>
    <col min="6416" max="6416" width="15.7109375" style="568" customWidth="1"/>
    <col min="6417" max="6417" width="0" style="568" hidden="1" customWidth="1"/>
    <col min="6418" max="6418" width="15.42578125" style="568" customWidth="1"/>
    <col min="6419" max="6419" width="23.5703125" style="568" customWidth="1"/>
    <col min="6420" max="6420" width="52.85546875" style="568" customWidth="1"/>
    <col min="6421" max="6421" width="17" style="568" bestFit="1" customWidth="1"/>
    <col min="6422" max="6422" width="10.140625" style="568" customWidth="1"/>
    <col min="6423" max="6656" width="9.140625" style="568"/>
    <col min="6657" max="6657" width="4" style="568" customWidth="1"/>
    <col min="6658" max="6658" width="23.140625" style="568" bestFit="1" customWidth="1"/>
    <col min="6659" max="6659" width="17.140625" style="568" customWidth="1"/>
    <col min="6660" max="6660" width="24.140625" style="568" customWidth="1"/>
    <col min="6661" max="6661" width="14.85546875" style="568" customWidth="1"/>
    <col min="6662" max="6662" width="15.42578125" style="568" customWidth="1"/>
    <col min="6663" max="6663" width="14.42578125" style="568" customWidth="1"/>
    <col min="6664" max="6664" width="9" style="568" customWidth="1"/>
    <col min="6665" max="6665" width="29.7109375" style="568" customWidth="1"/>
    <col min="6666" max="6666" width="16.5703125" style="568" customWidth="1"/>
    <col min="6667" max="6667" width="29.42578125" style="568" customWidth="1"/>
    <col min="6668" max="6668" width="8.5703125" style="568" bestFit="1" customWidth="1"/>
    <col min="6669" max="6670" width="12.5703125" style="568" customWidth="1"/>
    <col min="6671" max="6671" width="16.42578125" style="568" customWidth="1"/>
    <col min="6672" max="6672" width="15.7109375" style="568" customWidth="1"/>
    <col min="6673" max="6673" width="0" style="568" hidden="1" customWidth="1"/>
    <col min="6674" max="6674" width="15.42578125" style="568" customWidth="1"/>
    <col min="6675" max="6675" width="23.5703125" style="568" customWidth="1"/>
    <col min="6676" max="6676" width="52.85546875" style="568" customWidth="1"/>
    <col min="6677" max="6677" width="17" style="568" bestFit="1" customWidth="1"/>
    <col min="6678" max="6678" width="10.140625" style="568" customWidth="1"/>
    <col min="6679" max="6912" width="9.140625" style="568"/>
    <col min="6913" max="6913" width="4" style="568" customWidth="1"/>
    <col min="6914" max="6914" width="23.140625" style="568" bestFit="1" customWidth="1"/>
    <col min="6915" max="6915" width="17.140625" style="568" customWidth="1"/>
    <col min="6916" max="6916" width="24.140625" style="568" customWidth="1"/>
    <col min="6917" max="6917" width="14.85546875" style="568" customWidth="1"/>
    <col min="6918" max="6918" width="15.42578125" style="568" customWidth="1"/>
    <col min="6919" max="6919" width="14.42578125" style="568" customWidth="1"/>
    <col min="6920" max="6920" width="9" style="568" customWidth="1"/>
    <col min="6921" max="6921" width="29.7109375" style="568" customWidth="1"/>
    <col min="6922" max="6922" width="16.5703125" style="568" customWidth="1"/>
    <col min="6923" max="6923" width="29.42578125" style="568" customWidth="1"/>
    <col min="6924" max="6924" width="8.5703125" style="568" bestFit="1" customWidth="1"/>
    <col min="6925" max="6926" width="12.5703125" style="568" customWidth="1"/>
    <col min="6927" max="6927" width="16.42578125" style="568" customWidth="1"/>
    <col min="6928" max="6928" width="15.7109375" style="568" customWidth="1"/>
    <col min="6929" max="6929" width="0" style="568" hidden="1" customWidth="1"/>
    <col min="6930" max="6930" width="15.42578125" style="568" customWidth="1"/>
    <col min="6931" max="6931" width="23.5703125" style="568" customWidth="1"/>
    <col min="6932" max="6932" width="52.85546875" style="568" customWidth="1"/>
    <col min="6933" max="6933" width="17" style="568" bestFit="1" customWidth="1"/>
    <col min="6934" max="6934" width="10.140625" style="568" customWidth="1"/>
    <col min="6935" max="7168" width="9.140625" style="568"/>
    <col min="7169" max="7169" width="4" style="568" customWidth="1"/>
    <col min="7170" max="7170" width="23.140625" style="568" bestFit="1" customWidth="1"/>
    <col min="7171" max="7171" width="17.140625" style="568" customWidth="1"/>
    <col min="7172" max="7172" width="24.140625" style="568" customWidth="1"/>
    <col min="7173" max="7173" width="14.85546875" style="568" customWidth="1"/>
    <col min="7174" max="7174" width="15.42578125" style="568" customWidth="1"/>
    <col min="7175" max="7175" width="14.42578125" style="568" customWidth="1"/>
    <col min="7176" max="7176" width="9" style="568" customWidth="1"/>
    <col min="7177" max="7177" width="29.7109375" style="568" customWidth="1"/>
    <col min="7178" max="7178" width="16.5703125" style="568" customWidth="1"/>
    <col min="7179" max="7179" width="29.42578125" style="568" customWidth="1"/>
    <col min="7180" max="7180" width="8.5703125" style="568" bestFit="1" customWidth="1"/>
    <col min="7181" max="7182" width="12.5703125" style="568" customWidth="1"/>
    <col min="7183" max="7183" width="16.42578125" style="568" customWidth="1"/>
    <col min="7184" max="7184" width="15.7109375" style="568" customWidth="1"/>
    <col min="7185" max="7185" width="0" style="568" hidden="1" customWidth="1"/>
    <col min="7186" max="7186" width="15.42578125" style="568" customWidth="1"/>
    <col min="7187" max="7187" width="23.5703125" style="568" customWidth="1"/>
    <col min="7188" max="7188" width="52.85546875" style="568" customWidth="1"/>
    <col min="7189" max="7189" width="17" style="568" bestFit="1" customWidth="1"/>
    <col min="7190" max="7190" width="10.140625" style="568" customWidth="1"/>
    <col min="7191" max="7424" width="9.140625" style="568"/>
    <col min="7425" max="7425" width="4" style="568" customWidth="1"/>
    <col min="7426" max="7426" width="23.140625" style="568" bestFit="1" customWidth="1"/>
    <col min="7427" max="7427" width="17.140625" style="568" customWidth="1"/>
    <col min="7428" max="7428" width="24.140625" style="568" customWidth="1"/>
    <col min="7429" max="7429" width="14.85546875" style="568" customWidth="1"/>
    <col min="7430" max="7430" width="15.42578125" style="568" customWidth="1"/>
    <col min="7431" max="7431" width="14.42578125" style="568" customWidth="1"/>
    <col min="7432" max="7432" width="9" style="568" customWidth="1"/>
    <col min="7433" max="7433" width="29.7109375" style="568" customWidth="1"/>
    <col min="7434" max="7434" width="16.5703125" style="568" customWidth="1"/>
    <col min="7435" max="7435" width="29.42578125" style="568" customWidth="1"/>
    <col min="7436" max="7436" width="8.5703125" style="568" bestFit="1" customWidth="1"/>
    <col min="7437" max="7438" width="12.5703125" style="568" customWidth="1"/>
    <col min="7439" max="7439" width="16.42578125" style="568" customWidth="1"/>
    <col min="7440" max="7440" width="15.7109375" style="568" customWidth="1"/>
    <col min="7441" max="7441" width="0" style="568" hidden="1" customWidth="1"/>
    <col min="7442" max="7442" width="15.42578125" style="568" customWidth="1"/>
    <col min="7443" max="7443" width="23.5703125" style="568" customWidth="1"/>
    <col min="7444" max="7444" width="52.85546875" style="568" customWidth="1"/>
    <col min="7445" max="7445" width="17" style="568" bestFit="1" customWidth="1"/>
    <col min="7446" max="7446" width="10.140625" style="568" customWidth="1"/>
    <col min="7447" max="7680" width="9.140625" style="568"/>
    <col min="7681" max="7681" width="4" style="568" customWidth="1"/>
    <col min="7682" max="7682" width="23.140625" style="568" bestFit="1" customWidth="1"/>
    <col min="7683" max="7683" width="17.140625" style="568" customWidth="1"/>
    <col min="7684" max="7684" width="24.140625" style="568" customWidth="1"/>
    <col min="7685" max="7685" width="14.85546875" style="568" customWidth="1"/>
    <col min="7686" max="7686" width="15.42578125" style="568" customWidth="1"/>
    <col min="7687" max="7687" width="14.42578125" style="568" customWidth="1"/>
    <col min="7688" max="7688" width="9" style="568" customWidth="1"/>
    <col min="7689" max="7689" width="29.7109375" style="568" customWidth="1"/>
    <col min="7690" max="7690" width="16.5703125" style="568" customWidth="1"/>
    <col min="7691" max="7691" width="29.42578125" style="568" customWidth="1"/>
    <col min="7692" max="7692" width="8.5703125" style="568" bestFit="1" customWidth="1"/>
    <col min="7693" max="7694" width="12.5703125" style="568" customWidth="1"/>
    <col min="7695" max="7695" width="16.42578125" style="568" customWidth="1"/>
    <col min="7696" max="7696" width="15.7109375" style="568" customWidth="1"/>
    <col min="7697" max="7697" width="0" style="568" hidden="1" customWidth="1"/>
    <col min="7698" max="7698" width="15.42578125" style="568" customWidth="1"/>
    <col min="7699" max="7699" width="23.5703125" style="568" customWidth="1"/>
    <col min="7700" max="7700" width="52.85546875" style="568" customWidth="1"/>
    <col min="7701" max="7701" width="17" style="568" bestFit="1" customWidth="1"/>
    <col min="7702" max="7702" width="10.140625" style="568" customWidth="1"/>
    <col min="7703" max="7936" width="9.140625" style="568"/>
    <col min="7937" max="7937" width="4" style="568" customWidth="1"/>
    <col min="7938" max="7938" width="23.140625" style="568" bestFit="1" customWidth="1"/>
    <col min="7939" max="7939" width="17.140625" style="568" customWidth="1"/>
    <col min="7940" max="7940" width="24.140625" style="568" customWidth="1"/>
    <col min="7941" max="7941" width="14.85546875" style="568" customWidth="1"/>
    <col min="7942" max="7942" width="15.42578125" style="568" customWidth="1"/>
    <col min="7943" max="7943" width="14.42578125" style="568" customWidth="1"/>
    <col min="7944" max="7944" width="9" style="568" customWidth="1"/>
    <col min="7945" max="7945" width="29.7109375" style="568" customWidth="1"/>
    <col min="7946" max="7946" width="16.5703125" style="568" customWidth="1"/>
    <col min="7947" max="7947" width="29.42578125" style="568" customWidth="1"/>
    <col min="7948" max="7948" width="8.5703125" style="568" bestFit="1" customWidth="1"/>
    <col min="7949" max="7950" width="12.5703125" style="568" customWidth="1"/>
    <col min="7951" max="7951" width="16.42578125" style="568" customWidth="1"/>
    <col min="7952" max="7952" width="15.7109375" style="568" customWidth="1"/>
    <col min="7953" max="7953" width="0" style="568" hidden="1" customWidth="1"/>
    <col min="7954" max="7954" width="15.42578125" style="568" customWidth="1"/>
    <col min="7955" max="7955" width="23.5703125" style="568" customWidth="1"/>
    <col min="7956" max="7956" width="52.85546875" style="568" customWidth="1"/>
    <col min="7957" max="7957" width="17" style="568" bestFit="1" customWidth="1"/>
    <col min="7958" max="7958" width="10.140625" style="568" customWidth="1"/>
    <col min="7959" max="8192" width="9.140625" style="568"/>
    <col min="8193" max="8193" width="4" style="568" customWidth="1"/>
    <col min="8194" max="8194" width="23.140625" style="568" bestFit="1" customWidth="1"/>
    <col min="8195" max="8195" width="17.140625" style="568" customWidth="1"/>
    <col min="8196" max="8196" width="24.140625" style="568" customWidth="1"/>
    <col min="8197" max="8197" width="14.85546875" style="568" customWidth="1"/>
    <col min="8198" max="8198" width="15.42578125" style="568" customWidth="1"/>
    <col min="8199" max="8199" width="14.42578125" style="568" customWidth="1"/>
    <col min="8200" max="8200" width="9" style="568" customWidth="1"/>
    <col min="8201" max="8201" width="29.7109375" style="568" customWidth="1"/>
    <col min="8202" max="8202" width="16.5703125" style="568" customWidth="1"/>
    <col min="8203" max="8203" width="29.42578125" style="568" customWidth="1"/>
    <col min="8204" max="8204" width="8.5703125" style="568" bestFit="1" customWidth="1"/>
    <col min="8205" max="8206" width="12.5703125" style="568" customWidth="1"/>
    <col min="8207" max="8207" width="16.42578125" style="568" customWidth="1"/>
    <col min="8208" max="8208" width="15.7109375" style="568" customWidth="1"/>
    <col min="8209" max="8209" width="0" style="568" hidden="1" customWidth="1"/>
    <col min="8210" max="8210" width="15.42578125" style="568" customWidth="1"/>
    <col min="8211" max="8211" width="23.5703125" style="568" customWidth="1"/>
    <col min="8212" max="8212" width="52.85546875" style="568" customWidth="1"/>
    <col min="8213" max="8213" width="17" style="568" bestFit="1" customWidth="1"/>
    <col min="8214" max="8214" width="10.140625" style="568" customWidth="1"/>
    <col min="8215" max="8448" width="9.140625" style="568"/>
    <col min="8449" max="8449" width="4" style="568" customWidth="1"/>
    <col min="8450" max="8450" width="23.140625" style="568" bestFit="1" customWidth="1"/>
    <col min="8451" max="8451" width="17.140625" style="568" customWidth="1"/>
    <col min="8452" max="8452" width="24.140625" style="568" customWidth="1"/>
    <col min="8453" max="8453" width="14.85546875" style="568" customWidth="1"/>
    <col min="8454" max="8454" width="15.42578125" style="568" customWidth="1"/>
    <col min="8455" max="8455" width="14.42578125" style="568" customWidth="1"/>
    <col min="8456" max="8456" width="9" style="568" customWidth="1"/>
    <col min="8457" max="8457" width="29.7109375" style="568" customWidth="1"/>
    <col min="8458" max="8458" width="16.5703125" style="568" customWidth="1"/>
    <col min="8459" max="8459" width="29.42578125" style="568" customWidth="1"/>
    <col min="8460" max="8460" width="8.5703125" style="568" bestFit="1" customWidth="1"/>
    <col min="8461" max="8462" width="12.5703125" style="568" customWidth="1"/>
    <col min="8463" max="8463" width="16.42578125" style="568" customWidth="1"/>
    <col min="8464" max="8464" width="15.7109375" style="568" customWidth="1"/>
    <col min="8465" max="8465" width="0" style="568" hidden="1" customWidth="1"/>
    <col min="8466" max="8466" width="15.42578125" style="568" customWidth="1"/>
    <col min="8467" max="8467" width="23.5703125" style="568" customWidth="1"/>
    <col min="8468" max="8468" width="52.85546875" style="568" customWidth="1"/>
    <col min="8469" max="8469" width="17" style="568" bestFit="1" customWidth="1"/>
    <col min="8470" max="8470" width="10.140625" style="568" customWidth="1"/>
    <col min="8471" max="8704" width="9.140625" style="568"/>
    <col min="8705" max="8705" width="4" style="568" customWidth="1"/>
    <col min="8706" max="8706" width="23.140625" style="568" bestFit="1" customWidth="1"/>
    <col min="8707" max="8707" width="17.140625" style="568" customWidth="1"/>
    <col min="8708" max="8708" width="24.140625" style="568" customWidth="1"/>
    <col min="8709" max="8709" width="14.85546875" style="568" customWidth="1"/>
    <col min="8710" max="8710" width="15.42578125" style="568" customWidth="1"/>
    <col min="8711" max="8711" width="14.42578125" style="568" customWidth="1"/>
    <col min="8712" max="8712" width="9" style="568" customWidth="1"/>
    <col min="8713" max="8713" width="29.7109375" style="568" customWidth="1"/>
    <col min="8714" max="8714" width="16.5703125" style="568" customWidth="1"/>
    <col min="8715" max="8715" width="29.42578125" style="568" customWidth="1"/>
    <col min="8716" max="8716" width="8.5703125" style="568" bestFit="1" customWidth="1"/>
    <col min="8717" max="8718" width="12.5703125" style="568" customWidth="1"/>
    <col min="8719" max="8719" width="16.42578125" style="568" customWidth="1"/>
    <col min="8720" max="8720" width="15.7109375" style="568" customWidth="1"/>
    <col min="8721" max="8721" width="0" style="568" hidden="1" customWidth="1"/>
    <col min="8722" max="8722" width="15.42578125" style="568" customWidth="1"/>
    <col min="8723" max="8723" width="23.5703125" style="568" customWidth="1"/>
    <col min="8724" max="8724" width="52.85546875" style="568" customWidth="1"/>
    <col min="8725" max="8725" width="17" style="568" bestFit="1" customWidth="1"/>
    <col min="8726" max="8726" width="10.140625" style="568" customWidth="1"/>
    <col min="8727" max="8960" width="9.140625" style="568"/>
    <col min="8961" max="8961" width="4" style="568" customWidth="1"/>
    <col min="8962" max="8962" width="23.140625" style="568" bestFit="1" customWidth="1"/>
    <col min="8963" max="8963" width="17.140625" style="568" customWidth="1"/>
    <col min="8964" max="8964" width="24.140625" style="568" customWidth="1"/>
    <col min="8965" max="8965" width="14.85546875" style="568" customWidth="1"/>
    <col min="8966" max="8966" width="15.42578125" style="568" customWidth="1"/>
    <col min="8967" max="8967" width="14.42578125" style="568" customWidth="1"/>
    <col min="8968" max="8968" width="9" style="568" customWidth="1"/>
    <col min="8969" max="8969" width="29.7109375" style="568" customWidth="1"/>
    <col min="8970" max="8970" width="16.5703125" style="568" customWidth="1"/>
    <col min="8971" max="8971" width="29.42578125" style="568" customWidth="1"/>
    <col min="8972" max="8972" width="8.5703125" style="568" bestFit="1" customWidth="1"/>
    <col min="8973" max="8974" width="12.5703125" style="568" customWidth="1"/>
    <col min="8975" max="8975" width="16.42578125" style="568" customWidth="1"/>
    <col min="8976" max="8976" width="15.7109375" style="568" customWidth="1"/>
    <col min="8977" max="8977" width="0" style="568" hidden="1" customWidth="1"/>
    <col min="8978" max="8978" width="15.42578125" style="568" customWidth="1"/>
    <col min="8979" max="8979" width="23.5703125" style="568" customWidth="1"/>
    <col min="8980" max="8980" width="52.85546875" style="568" customWidth="1"/>
    <col min="8981" max="8981" width="17" style="568" bestFit="1" customWidth="1"/>
    <col min="8982" max="8982" width="10.140625" style="568" customWidth="1"/>
    <col min="8983" max="9216" width="9.140625" style="568"/>
    <col min="9217" max="9217" width="4" style="568" customWidth="1"/>
    <col min="9218" max="9218" width="23.140625" style="568" bestFit="1" customWidth="1"/>
    <col min="9219" max="9219" width="17.140625" style="568" customWidth="1"/>
    <col min="9220" max="9220" width="24.140625" style="568" customWidth="1"/>
    <col min="9221" max="9221" width="14.85546875" style="568" customWidth="1"/>
    <col min="9222" max="9222" width="15.42578125" style="568" customWidth="1"/>
    <col min="9223" max="9223" width="14.42578125" style="568" customWidth="1"/>
    <col min="9224" max="9224" width="9" style="568" customWidth="1"/>
    <col min="9225" max="9225" width="29.7109375" style="568" customWidth="1"/>
    <col min="9226" max="9226" width="16.5703125" style="568" customWidth="1"/>
    <col min="9227" max="9227" width="29.42578125" style="568" customWidth="1"/>
    <col min="9228" max="9228" width="8.5703125" style="568" bestFit="1" customWidth="1"/>
    <col min="9229" max="9230" width="12.5703125" style="568" customWidth="1"/>
    <col min="9231" max="9231" width="16.42578125" style="568" customWidth="1"/>
    <col min="9232" max="9232" width="15.7109375" style="568" customWidth="1"/>
    <col min="9233" max="9233" width="0" style="568" hidden="1" customWidth="1"/>
    <col min="9234" max="9234" width="15.42578125" style="568" customWidth="1"/>
    <col min="9235" max="9235" width="23.5703125" style="568" customWidth="1"/>
    <col min="9236" max="9236" width="52.85546875" style="568" customWidth="1"/>
    <col min="9237" max="9237" width="17" style="568" bestFit="1" customWidth="1"/>
    <col min="9238" max="9238" width="10.140625" style="568" customWidth="1"/>
    <col min="9239" max="9472" width="9.140625" style="568"/>
    <col min="9473" max="9473" width="4" style="568" customWidth="1"/>
    <col min="9474" max="9474" width="23.140625" style="568" bestFit="1" customWidth="1"/>
    <col min="9475" max="9475" width="17.140625" style="568" customWidth="1"/>
    <col min="9476" max="9476" width="24.140625" style="568" customWidth="1"/>
    <col min="9477" max="9477" width="14.85546875" style="568" customWidth="1"/>
    <col min="9478" max="9478" width="15.42578125" style="568" customWidth="1"/>
    <col min="9479" max="9479" width="14.42578125" style="568" customWidth="1"/>
    <col min="9480" max="9480" width="9" style="568" customWidth="1"/>
    <col min="9481" max="9481" width="29.7109375" style="568" customWidth="1"/>
    <col min="9482" max="9482" width="16.5703125" style="568" customWidth="1"/>
    <col min="9483" max="9483" width="29.42578125" style="568" customWidth="1"/>
    <col min="9484" max="9484" width="8.5703125" style="568" bestFit="1" customWidth="1"/>
    <col min="9485" max="9486" width="12.5703125" style="568" customWidth="1"/>
    <col min="9487" max="9487" width="16.42578125" style="568" customWidth="1"/>
    <col min="9488" max="9488" width="15.7109375" style="568" customWidth="1"/>
    <col min="9489" max="9489" width="0" style="568" hidden="1" customWidth="1"/>
    <col min="9490" max="9490" width="15.42578125" style="568" customWidth="1"/>
    <col min="9491" max="9491" width="23.5703125" style="568" customWidth="1"/>
    <col min="9492" max="9492" width="52.85546875" style="568" customWidth="1"/>
    <col min="9493" max="9493" width="17" style="568" bestFit="1" customWidth="1"/>
    <col min="9494" max="9494" width="10.140625" style="568" customWidth="1"/>
    <col min="9495" max="9728" width="9.140625" style="568"/>
    <col min="9729" max="9729" width="4" style="568" customWidth="1"/>
    <col min="9730" max="9730" width="23.140625" style="568" bestFit="1" customWidth="1"/>
    <col min="9731" max="9731" width="17.140625" style="568" customWidth="1"/>
    <col min="9732" max="9732" width="24.140625" style="568" customWidth="1"/>
    <col min="9733" max="9733" width="14.85546875" style="568" customWidth="1"/>
    <col min="9734" max="9734" width="15.42578125" style="568" customWidth="1"/>
    <col min="9735" max="9735" width="14.42578125" style="568" customWidth="1"/>
    <col min="9736" max="9736" width="9" style="568" customWidth="1"/>
    <col min="9737" max="9737" width="29.7109375" style="568" customWidth="1"/>
    <col min="9738" max="9738" width="16.5703125" style="568" customWidth="1"/>
    <col min="9739" max="9739" width="29.42578125" style="568" customWidth="1"/>
    <col min="9740" max="9740" width="8.5703125" style="568" bestFit="1" customWidth="1"/>
    <col min="9741" max="9742" width="12.5703125" style="568" customWidth="1"/>
    <col min="9743" max="9743" width="16.42578125" style="568" customWidth="1"/>
    <col min="9744" max="9744" width="15.7109375" style="568" customWidth="1"/>
    <col min="9745" max="9745" width="0" style="568" hidden="1" customWidth="1"/>
    <col min="9746" max="9746" width="15.42578125" style="568" customWidth="1"/>
    <col min="9747" max="9747" width="23.5703125" style="568" customWidth="1"/>
    <col min="9748" max="9748" width="52.85546875" style="568" customWidth="1"/>
    <col min="9749" max="9749" width="17" style="568" bestFit="1" customWidth="1"/>
    <col min="9750" max="9750" width="10.140625" style="568" customWidth="1"/>
    <col min="9751" max="9984" width="9.140625" style="568"/>
    <col min="9985" max="9985" width="4" style="568" customWidth="1"/>
    <col min="9986" max="9986" width="23.140625" style="568" bestFit="1" customWidth="1"/>
    <col min="9987" max="9987" width="17.140625" style="568" customWidth="1"/>
    <col min="9988" max="9988" width="24.140625" style="568" customWidth="1"/>
    <col min="9989" max="9989" width="14.85546875" style="568" customWidth="1"/>
    <col min="9990" max="9990" width="15.42578125" style="568" customWidth="1"/>
    <col min="9991" max="9991" width="14.42578125" style="568" customWidth="1"/>
    <col min="9992" max="9992" width="9" style="568" customWidth="1"/>
    <col min="9993" max="9993" width="29.7109375" style="568" customWidth="1"/>
    <col min="9994" max="9994" width="16.5703125" style="568" customWidth="1"/>
    <col min="9995" max="9995" width="29.42578125" style="568" customWidth="1"/>
    <col min="9996" max="9996" width="8.5703125" style="568" bestFit="1" customWidth="1"/>
    <col min="9997" max="9998" width="12.5703125" style="568" customWidth="1"/>
    <col min="9999" max="9999" width="16.42578125" style="568" customWidth="1"/>
    <col min="10000" max="10000" width="15.7109375" style="568" customWidth="1"/>
    <col min="10001" max="10001" width="0" style="568" hidden="1" customWidth="1"/>
    <col min="10002" max="10002" width="15.42578125" style="568" customWidth="1"/>
    <col min="10003" max="10003" width="23.5703125" style="568" customWidth="1"/>
    <col min="10004" max="10004" width="52.85546875" style="568" customWidth="1"/>
    <col min="10005" max="10005" width="17" style="568" bestFit="1" customWidth="1"/>
    <col min="10006" max="10006" width="10.140625" style="568" customWidth="1"/>
    <col min="10007" max="10240" width="9.140625" style="568"/>
    <col min="10241" max="10241" width="4" style="568" customWidth="1"/>
    <col min="10242" max="10242" width="23.140625" style="568" bestFit="1" customWidth="1"/>
    <col min="10243" max="10243" width="17.140625" style="568" customWidth="1"/>
    <col min="10244" max="10244" width="24.140625" style="568" customWidth="1"/>
    <col min="10245" max="10245" width="14.85546875" style="568" customWidth="1"/>
    <col min="10246" max="10246" width="15.42578125" style="568" customWidth="1"/>
    <col min="10247" max="10247" width="14.42578125" style="568" customWidth="1"/>
    <col min="10248" max="10248" width="9" style="568" customWidth="1"/>
    <col min="10249" max="10249" width="29.7109375" style="568" customWidth="1"/>
    <col min="10250" max="10250" width="16.5703125" style="568" customWidth="1"/>
    <col min="10251" max="10251" width="29.42578125" style="568" customWidth="1"/>
    <col min="10252" max="10252" width="8.5703125" style="568" bestFit="1" customWidth="1"/>
    <col min="10253" max="10254" width="12.5703125" style="568" customWidth="1"/>
    <col min="10255" max="10255" width="16.42578125" style="568" customWidth="1"/>
    <col min="10256" max="10256" width="15.7109375" style="568" customWidth="1"/>
    <col min="10257" max="10257" width="0" style="568" hidden="1" customWidth="1"/>
    <col min="10258" max="10258" width="15.42578125" style="568" customWidth="1"/>
    <col min="10259" max="10259" width="23.5703125" style="568" customWidth="1"/>
    <col min="10260" max="10260" width="52.85546875" style="568" customWidth="1"/>
    <col min="10261" max="10261" width="17" style="568" bestFit="1" customWidth="1"/>
    <col min="10262" max="10262" width="10.140625" style="568" customWidth="1"/>
    <col min="10263" max="10496" width="9.140625" style="568"/>
    <col min="10497" max="10497" width="4" style="568" customWidth="1"/>
    <col min="10498" max="10498" width="23.140625" style="568" bestFit="1" customWidth="1"/>
    <col min="10499" max="10499" width="17.140625" style="568" customWidth="1"/>
    <col min="10500" max="10500" width="24.140625" style="568" customWidth="1"/>
    <col min="10501" max="10501" width="14.85546875" style="568" customWidth="1"/>
    <col min="10502" max="10502" width="15.42578125" style="568" customWidth="1"/>
    <col min="10503" max="10503" width="14.42578125" style="568" customWidth="1"/>
    <col min="10504" max="10504" width="9" style="568" customWidth="1"/>
    <col min="10505" max="10505" width="29.7109375" style="568" customWidth="1"/>
    <col min="10506" max="10506" width="16.5703125" style="568" customWidth="1"/>
    <col min="10507" max="10507" width="29.42578125" style="568" customWidth="1"/>
    <col min="10508" max="10508" width="8.5703125" style="568" bestFit="1" customWidth="1"/>
    <col min="10509" max="10510" width="12.5703125" style="568" customWidth="1"/>
    <col min="10511" max="10511" width="16.42578125" style="568" customWidth="1"/>
    <col min="10512" max="10512" width="15.7109375" style="568" customWidth="1"/>
    <col min="10513" max="10513" width="0" style="568" hidden="1" customWidth="1"/>
    <col min="10514" max="10514" width="15.42578125" style="568" customWidth="1"/>
    <col min="10515" max="10515" width="23.5703125" style="568" customWidth="1"/>
    <col min="10516" max="10516" width="52.85546875" style="568" customWidth="1"/>
    <col min="10517" max="10517" width="17" style="568" bestFit="1" customWidth="1"/>
    <col min="10518" max="10518" width="10.140625" style="568" customWidth="1"/>
    <col min="10519" max="10752" width="9.140625" style="568"/>
    <col min="10753" max="10753" width="4" style="568" customWidth="1"/>
    <col min="10754" max="10754" width="23.140625" style="568" bestFit="1" customWidth="1"/>
    <col min="10755" max="10755" width="17.140625" style="568" customWidth="1"/>
    <col min="10756" max="10756" width="24.140625" style="568" customWidth="1"/>
    <col min="10757" max="10757" width="14.85546875" style="568" customWidth="1"/>
    <col min="10758" max="10758" width="15.42578125" style="568" customWidth="1"/>
    <col min="10759" max="10759" width="14.42578125" style="568" customWidth="1"/>
    <col min="10760" max="10760" width="9" style="568" customWidth="1"/>
    <col min="10761" max="10761" width="29.7109375" style="568" customWidth="1"/>
    <col min="10762" max="10762" width="16.5703125" style="568" customWidth="1"/>
    <col min="10763" max="10763" width="29.42578125" style="568" customWidth="1"/>
    <col min="10764" max="10764" width="8.5703125" style="568" bestFit="1" customWidth="1"/>
    <col min="10765" max="10766" width="12.5703125" style="568" customWidth="1"/>
    <col min="10767" max="10767" width="16.42578125" style="568" customWidth="1"/>
    <col min="10768" max="10768" width="15.7109375" style="568" customWidth="1"/>
    <col min="10769" max="10769" width="0" style="568" hidden="1" customWidth="1"/>
    <col min="10770" max="10770" width="15.42578125" style="568" customWidth="1"/>
    <col min="10771" max="10771" width="23.5703125" style="568" customWidth="1"/>
    <col min="10772" max="10772" width="52.85546875" style="568" customWidth="1"/>
    <col min="10773" max="10773" width="17" style="568" bestFit="1" customWidth="1"/>
    <col min="10774" max="10774" width="10.140625" style="568" customWidth="1"/>
    <col min="10775" max="11008" width="9.140625" style="568"/>
    <col min="11009" max="11009" width="4" style="568" customWidth="1"/>
    <col min="11010" max="11010" width="23.140625" style="568" bestFit="1" customWidth="1"/>
    <col min="11011" max="11011" width="17.140625" style="568" customWidth="1"/>
    <col min="11012" max="11012" width="24.140625" style="568" customWidth="1"/>
    <col min="11013" max="11013" width="14.85546875" style="568" customWidth="1"/>
    <col min="11014" max="11014" width="15.42578125" style="568" customWidth="1"/>
    <col min="11015" max="11015" width="14.42578125" style="568" customWidth="1"/>
    <col min="11016" max="11016" width="9" style="568" customWidth="1"/>
    <col min="11017" max="11017" width="29.7109375" style="568" customWidth="1"/>
    <col min="11018" max="11018" width="16.5703125" style="568" customWidth="1"/>
    <col min="11019" max="11019" width="29.42578125" style="568" customWidth="1"/>
    <col min="11020" max="11020" width="8.5703125" style="568" bestFit="1" customWidth="1"/>
    <col min="11021" max="11022" width="12.5703125" style="568" customWidth="1"/>
    <col min="11023" max="11023" width="16.42578125" style="568" customWidth="1"/>
    <col min="11024" max="11024" width="15.7109375" style="568" customWidth="1"/>
    <col min="11025" max="11025" width="0" style="568" hidden="1" customWidth="1"/>
    <col min="11026" max="11026" width="15.42578125" style="568" customWidth="1"/>
    <col min="11027" max="11027" width="23.5703125" style="568" customWidth="1"/>
    <col min="11028" max="11028" width="52.85546875" style="568" customWidth="1"/>
    <col min="11029" max="11029" width="17" style="568" bestFit="1" customWidth="1"/>
    <col min="11030" max="11030" width="10.140625" style="568" customWidth="1"/>
    <col min="11031" max="11264" width="9.140625" style="568"/>
    <col min="11265" max="11265" width="4" style="568" customWidth="1"/>
    <col min="11266" max="11266" width="23.140625" style="568" bestFit="1" customWidth="1"/>
    <col min="11267" max="11267" width="17.140625" style="568" customWidth="1"/>
    <col min="11268" max="11268" width="24.140625" style="568" customWidth="1"/>
    <col min="11269" max="11269" width="14.85546875" style="568" customWidth="1"/>
    <col min="11270" max="11270" width="15.42578125" style="568" customWidth="1"/>
    <col min="11271" max="11271" width="14.42578125" style="568" customWidth="1"/>
    <col min="11272" max="11272" width="9" style="568" customWidth="1"/>
    <col min="11273" max="11273" width="29.7109375" style="568" customWidth="1"/>
    <col min="11274" max="11274" width="16.5703125" style="568" customWidth="1"/>
    <col min="11275" max="11275" width="29.42578125" style="568" customWidth="1"/>
    <col min="11276" max="11276" width="8.5703125" style="568" bestFit="1" customWidth="1"/>
    <col min="11277" max="11278" width="12.5703125" style="568" customWidth="1"/>
    <col min="11279" max="11279" width="16.42578125" style="568" customWidth="1"/>
    <col min="11280" max="11280" width="15.7109375" style="568" customWidth="1"/>
    <col min="11281" max="11281" width="0" style="568" hidden="1" customWidth="1"/>
    <col min="11282" max="11282" width="15.42578125" style="568" customWidth="1"/>
    <col min="11283" max="11283" width="23.5703125" style="568" customWidth="1"/>
    <col min="11284" max="11284" width="52.85546875" style="568" customWidth="1"/>
    <col min="11285" max="11285" width="17" style="568" bestFit="1" customWidth="1"/>
    <col min="11286" max="11286" width="10.140625" style="568" customWidth="1"/>
    <col min="11287" max="11520" width="9.140625" style="568"/>
    <col min="11521" max="11521" width="4" style="568" customWidth="1"/>
    <col min="11522" max="11522" width="23.140625" style="568" bestFit="1" customWidth="1"/>
    <col min="11523" max="11523" width="17.140625" style="568" customWidth="1"/>
    <col min="11524" max="11524" width="24.140625" style="568" customWidth="1"/>
    <col min="11525" max="11525" width="14.85546875" style="568" customWidth="1"/>
    <col min="11526" max="11526" width="15.42578125" style="568" customWidth="1"/>
    <col min="11527" max="11527" width="14.42578125" style="568" customWidth="1"/>
    <col min="11528" max="11528" width="9" style="568" customWidth="1"/>
    <col min="11529" max="11529" width="29.7109375" style="568" customWidth="1"/>
    <col min="11530" max="11530" width="16.5703125" style="568" customWidth="1"/>
    <col min="11531" max="11531" width="29.42578125" style="568" customWidth="1"/>
    <col min="11532" max="11532" width="8.5703125" style="568" bestFit="1" customWidth="1"/>
    <col min="11533" max="11534" width="12.5703125" style="568" customWidth="1"/>
    <col min="11535" max="11535" width="16.42578125" style="568" customWidth="1"/>
    <col min="11536" max="11536" width="15.7109375" style="568" customWidth="1"/>
    <col min="11537" max="11537" width="0" style="568" hidden="1" customWidth="1"/>
    <col min="11538" max="11538" width="15.42578125" style="568" customWidth="1"/>
    <col min="11539" max="11539" width="23.5703125" style="568" customWidth="1"/>
    <col min="11540" max="11540" width="52.85546875" style="568" customWidth="1"/>
    <col min="11541" max="11541" width="17" style="568" bestFit="1" customWidth="1"/>
    <col min="11542" max="11542" width="10.140625" style="568" customWidth="1"/>
    <col min="11543" max="11776" width="9.140625" style="568"/>
    <col min="11777" max="11777" width="4" style="568" customWidth="1"/>
    <col min="11778" max="11778" width="23.140625" style="568" bestFit="1" customWidth="1"/>
    <col min="11779" max="11779" width="17.140625" style="568" customWidth="1"/>
    <col min="11780" max="11780" width="24.140625" style="568" customWidth="1"/>
    <col min="11781" max="11781" width="14.85546875" style="568" customWidth="1"/>
    <col min="11782" max="11782" width="15.42578125" style="568" customWidth="1"/>
    <col min="11783" max="11783" width="14.42578125" style="568" customWidth="1"/>
    <col min="11784" max="11784" width="9" style="568" customWidth="1"/>
    <col min="11785" max="11785" width="29.7109375" style="568" customWidth="1"/>
    <col min="11786" max="11786" width="16.5703125" style="568" customWidth="1"/>
    <col min="11787" max="11787" width="29.42578125" style="568" customWidth="1"/>
    <col min="11788" max="11788" width="8.5703125" style="568" bestFit="1" customWidth="1"/>
    <col min="11789" max="11790" width="12.5703125" style="568" customWidth="1"/>
    <col min="11791" max="11791" width="16.42578125" style="568" customWidth="1"/>
    <col min="11792" max="11792" width="15.7109375" style="568" customWidth="1"/>
    <col min="11793" max="11793" width="0" style="568" hidden="1" customWidth="1"/>
    <col min="11794" max="11794" width="15.42578125" style="568" customWidth="1"/>
    <col min="11795" max="11795" width="23.5703125" style="568" customWidth="1"/>
    <col min="11796" max="11796" width="52.85546875" style="568" customWidth="1"/>
    <col min="11797" max="11797" width="17" style="568" bestFit="1" customWidth="1"/>
    <col min="11798" max="11798" width="10.140625" style="568" customWidth="1"/>
    <col min="11799" max="12032" width="9.140625" style="568"/>
    <col min="12033" max="12033" width="4" style="568" customWidth="1"/>
    <col min="12034" max="12034" width="23.140625" style="568" bestFit="1" customWidth="1"/>
    <col min="12035" max="12035" width="17.140625" style="568" customWidth="1"/>
    <col min="12036" max="12036" width="24.140625" style="568" customWidth="1"/>
    <col min="12037" max="12037" width="14.85546875" style="568" customWidth="1"/>
    <col min="12038" max="12038" width="15.42578125" style="568" customWidth="1"/>
    <col min="12039" max="12039" width="14.42578125" style="568" customWidth="1"/>
    <col min="12040" max="12040" width="9" style="568" customWidth="1"/>
    <col min="12041" max="12041" width="29.7109375" style="568" customWidth="1"/>
    <col min="12042" max="12042" width="16.5703125" style="568" customWidth="1"/>
    <col min="12043" max="12043" width="29.42578125" style="568" customWidth="1"/>
    <col min="12044" max="12044" width="8.5703125" style="568" bestFit="1" customWidth="1"/>
    <col min="12045" max="12046" width="12.5703125" style="568" customWidth="1"/>
    <col min="12047" max="12047" width="16.42578125" style="568" customWidth="1"/>
    <col min="12048" max="12048" width="15.7109375" style="568" customWidth="1"/>
    <col min="12049" max="12049" width="0" style="568" hidden="1" customWidth="1"/>
    <col min="12050" max="12050" width="15.42578125" style="568" customWidth="1"/>
    <col min="12051" max="12051" width="23.5703125" style="568" customWidth="1"/>
    <col min="12052" max="12052" width="52.85546875" style="568" customWidth="1"/>
    <col min="12053" max="12053" width="17" style="568" bestFit="1" customWidth="1"/>
    <col min="12054" max="12054" width="10.140625" style="568" customWidth="1"/>
    <col min="12055" max="12288" width="9.140625" style="568"/>
    <col min="12289" max="12289" width="4" style="568" customWidth="1"/>
    <col min="12290" max="12290" width="23.140625" style="568" bestFit="1" customWidth="1"/>
    <col min="12291" max="12291" width="17.140625" style="568" customWidth="1"/>
    <col min="12292" max="12292" width="24.140625" style="568" customWidth="1"/>
    <col min="12293" max="12293" width="14.85546875" style="568" customWidth="1"/>
    <col min="12294" max="12294" width="15.42578125" style="568" customWidth="1"/>
    <col min="12295" max="12295" width="14.42578125" style="568" customWidth="1"/>
    <col min="12296" max="12296" width="9" style="568" customWidth="1"/>
    <col min="12297" max="12297" width="29.7109375" style="568" customWidth="1"/>
    <col min="12298" max="12298" width="16.5703125" style="568" customWidth="1"/>
    <col min="12299" max="12299" width="29.42578125" style="568" customWidth="1"/>
    <col min="12300" max="12300" width="8.5703125" style="568" bestFit="1" customWidth="1"/>
    <col min="12301" max="12302" width="12.5703125" style="568" customWidth="1"/>
    <col min="12303" max="12303" width="16.42578125" style="568" customWidth="1"/>
    <col min="12304" max="12304" width="15.7109375" style="568" customWidth="1"/>
    <col min="12305" max="12305" width="0" style="568" hidden="1" customWidth="1"/>
    <col min="12306" max="12306" width="15.42578125" style="568" customWidth="1"/>
    <col min="12307" max="12307" width="23.5703125" style="568" customWidth="1"/>
    <col min="12308" max="12308" width="52.85546875" style="568" customWidth="1"/>
    <col min="12309" max="12309" width="17" style="568" bestFit="1" customWidth="1"/>
    <col min="12310" max="12310" width="10.140625" style="568" customWidth="1"/>
    <col min="12311" max="12544" width="9.140625" style="568"/>
    <col min="12545" max="12545" width="4" style="568" customWidth="1"/>
    <col min="12546" max="12546" width="23.140625" style="568" bestFit="1" customWidth="1"/>
    <col min="12547" max="12547" width="17.140625" style="568" customWidth="1"/>
    <col min="12548" max="12548" width="24.140625" style="568" customWidth="1"/>
    <col min="12549" max="12549" width="14.85546875" style="568" customWidth="1"/>
    <col min="12550" max="12550" width="15.42578125" style="568" customWidth="1"/>
    <col min="12551" max="12551" width="14.42578125" style="568" customWidth="1"/>
    <col min="12552" max="12552" width="9" style="568" customWidth="1"/>
    <col min="12553" max="12553" width="29.7109375" style="568" customWidth="1"/>
    <col min="12554" max="12554" width="16.5703125" style="568" customWidth="1"/>
    <col min="12555" max="12555" width="29.42578125" style="568" customWidth="1"/>
    <col min="12556" max="12556" width="8.5703125" style="568" bestFit="1" customWidth="1"/>
    <col min="12557" max="12558" width="12.5703125" style="568" customWidth="1"/>
    <col min="12559" max="12559" width="16.42578125" style="568" customWidth="1"/>
    <col min="12560" max="12560" width="15.7109375" style="568" customWidth="1"/>
    <col min="12561" max="12561" width="0" style="568" hidden="1" customWidth="1"/>
    <col min="12562" max="12562" width="15.42578125" style="568" customWidth="1"/>
    <col min="12563" max="12563" width="23.5703125" style="568" customWidth="1"/>
    <col min="12564" max="12564" width="52.85546875" style="568" customWidth="1"/>
    <col min="12565" max="12565" width="17" style="568" bestFit="1" customWidth="1"/>
    <col min="12566" max="12566" width="10.140625" style="568" customWidth="1"/>
    <col min="12567" max="12800" width="9.140625" style="568"/>
    <col min="12801" max="12801" width="4" style="568" customWidth="1"/>
    <col min="12802" max="12802" width="23.140625" style="568" bestFit="1" customWidth="1"/>
    <col min="12803" max="12803" width="17.140625" style="568" customWidth="1"/>
    <col min="12804" max="12804" width="24.140625" style="568" customWidth="1"/>
    <col min="12805" max="12805" width="14.85546875" style="568" customWidth="1"/>
    <col min="12806" max="12806" width="15.42578125" style="568" customWidth="1"/>
    <col min="12807" max="12807" width="14.42578125" style="568" customWidth="1"/>
    <col min="12808" max="12808" width="9" style="568" customWidth="1"/>
    <col min="12809" max="12809" width="29.7109375" style="568" customWidth="1"/>
    <col min="12810" max="12810" width="16.5703125" style="568" customWidth="1"/>
    <col min="12811" max="12811" width="29.42578125" style="568" customWidth="1"/>
    <col min="12812" max="12812" width="8.5703125" style="568" bestFit="1" customWidth="1"/>
    <col min="12813" max="12814" width="12.5703125" style="568" customWidth="1"/>
    <col min="12815" max="12815" width="16.42578125" style="568" customWidth="1"/>
    <col min="12816" max="12816" width="15.7109375" style="568" customWidth="1"/>
    <col min="12817" max="12817" width="0" style="568" hidden="1" customWidth="1"/>
    <col min="12818" max="12818" width="15.42578125" style="568" customWidth="1"/>
    <col min="12819" max="12819" width="23.5703125" style="568" customWidth="1"/>
    <col min="12820" max="12820" width="52.85546875" style="568" customWidth="1"/>
    <col min="12821" max="12821" width="17" style="568" bestFit="1" customWidth="1"/>
    <col min="12822" max="12822" width="10.140625" style="568" customWidth="1"/>
    <col min="12823" max="13056" width="9.140625" style="568"/>
    <col min="13057" max="13057" width="4" style="568" customWidth="1"/>
    <col min="13058" max="13058" width="23.140625" style="568" bestFit="1" customWidth="1"/>
    <col min="13059" max="13059" width="17.140625" style="568" customWidth="1"/>
    <col min="13060" max="13060" width="24.140625" style="568" customWidth="1"/>
    <col min="13061" max="13061" width="14.85546875" style="568" customWidth="1"/>
    <col min="13062" max="13062" width="15.42578125" style="568" customWidth="1"/>
    <col min="13063" max="13063" width="14.42578125" style="568" customWidth="1"/>
    <col min="13064" max="13064" width="9" style="568" customWidth="1"/>
    <col min="13065" max="13065" width="29.7109375" style="568" customWidth="1"/>
    <col min="13066" max="13066" width="16.5703125" style="568" customWidth="1"/>
    <col min="13067" max="13067" width="29.42578125" style="568" customWidth="1"/>
    <col min="13068" max="13068" width="8.5703125" style="568" bestFit="1" customWidth="1"/>
    <col min="13069" max="13070" width="12.5703125" style="568" customWidth="1"/>
    <col min="13071" max="13071" width="16.42578125" style="568" customWidth="1"/>
    <col min="13072" max="13072" width="15.7109375" style="568" customWidth="1"/>
    <col min="13073" max="13073" width="0" style="568" hidden="1" customWidth="1"/>
    <col min="13074" max="13074" width="15.42578125" style="568" customWidth="1"/>
    <col min="13075" max="13075" width="23.5703125" style="568" customWidth="1"/>
    <col min="13076" max="13076" width="52.85546875" style="568" customWidth="1"/>
    <col min="13077" max="13077" width="17" style="568" bestFit="1" customWidth="1"/>
    <col min="13078" max="13078" width="10.140625" style="568" customWidth="1"/>
    <col min="13079" max="13312" width="9.140625" style="568"/>
    <col min="13313" max="13313" width="4" style="568" customWidth="1"/>
    <col min="13314" max="13314" width="23.140625" style="568" bestFit="1" customWidth="1"/>
    <col min="13315" max="13315" width="17.140625" style="568" customWidth="1"/>
    <col min="13316" max="13316" width="24.140625" style="568" customWidth="1"/>
    <col min="13317" max="13317" width="14.85546875" style="568" customWidth="1"/>
    <col min="13318" max="13318" width="15.42578125" style="568" customWidth="1"/>
    <col min="13319" max="13319" width="14.42578125" style="568" customWidth="1"/>
    <col min="13320" max="13320" width="9" style="568" customWidth="1"/>
    <col min="13321" max="13321" width="29.7109375" style="568" customWidth="1"/>
    <col min="13322" max="13322" width="16.5703125" style="568" customWidth="1"/>
    <col min="13323" max="13323" width="29.42578125" style="568" customWidth="1"/>
    <col min="13324" max="13324" width="8.5703125" style="568" bestFit="1" customWidth="1"/>
    <col min="13325" max="13326" width="12.5703125" style="568" customWidth="1"/>
    <col min="13327" max="13327" width="16.42578125" style="568" customWidth="1"/>
    <col min="13328" max="13328" width="15.7109375" style="568" customWidth="1"/>
    <col min="13329" max="13329" width="0" style="568" hidden="1" customWidth="1"/>
    <col min="13330" max="13330" width="15.42578125" style="568" customWidth="1"/>
    <col min="13331" max="13331" width="23.5703125" style="568" customWidth="1"/>
    <col min="13332" max="13332" width="52.85546875" style="568" customWidth="1"/>
    <col min="13333" max="13333" width="17" style="568" bestFit="1" customWidth="1"/>
    <col min="13334" max="13334" width="10.140625" style="568" customWidth="1"/>
    <col min="13335" max="13568" width="9.140625" style="568"/>
    <col min="13569" max="13569" width="4" style="568" customWidth="1"/>
    <col min="13570" max="13570" width="23.140625" style="568" bestFit="1" customWidth="1"/>
    <col min="13571" max="13571" width="17.140625" style="568" customWidth="1"/>
    <col min="13572" max="13572" width="24.140625" style="568" customWidth="1"/>
    <col min="13573" max="13573" width="14.85546875" style="568" customWidth="1"/>
    <col min="13574" max="13574" width="15.42578125" style="568" customWidth="1"/>
    <col min="13575" max="13575" width="14.42578125" style="568" customWidth="1"/>
    <col min="13576" max="13576" width="9" style="568" customWidth="1"/>
    <col min="13577" max="13577" width="29.7109375" style="568" customWidth="1"/>
    <col min="13578" max="13578" width="16.5703125" style="568" customWidth="1"/>
    <col min="13579" max="13579" width="29.42578125" style="568" customWidth="1"/>
    <col min="13580" max="13580" width="8.5703125" style="568" bestFit="1" customWidth="1"/>
    <col min="13581" max="13582" width="12.5703125" style="568" customWidth="1"/>
    <col min="13583" max="13583" width="16.42578125" style="568" customWidth="1"/>
    <col min="13584" max="13584" width="15.7109375" style="568" customWidth="1"/>
    <col min="13585" max="13585" width="0" style="568" hidden="1" customWidth="1"/>
    <col min="13586" max="13586" width="15.42578125" style="568" customWidth="1"/>
    <col min="13587" max="13587" width="23.5703125" style="568" customWidth="1"/>
    <col min="13588" max="13588" width="52.85546875" style="568" customWidth="1"/>
    <col min="13589" max="13589" width="17" style="568" bestFit="1" customWidth="1"/>
    <col min="13590" max="13590" width="10.140625" style="568" customWidth="1"/>
    <col min="13591" max="13824" width="9.140625" style="568"/>
    <col min="13825" max="13825" width="4" style="568" customWidth="1"/>
    <col min="13826" max="13826" width="23.140625" style="568" bestFit="1" customWidth="1"/>
    <col min="13827" max="13827" width="17.140625" style="568" customWidth="1"/>
    <col min="13828" max="13828" width="24.140625" style="568" customWidth="1"/>
    <col min="13829" max="13829" width="14.85546875" style="568" customWidth="1"/>
    <col min="13830" max="13830" width="15.42578125" style="568" customWidth="1"/>
    <col min="13831" max="13831" width="14.42578125" style="568" customWidth="1"/>
    <col min="13832" max="13832" width="9" style="568" customWidth="1"/>
    <col min="13833" max="13833" width="29.7109375" style="568" customWidth="1"/>
    <col min="13834" max="13834" width="16.5703125" style="568" customWidth="1"/>
    <col min="13835" max="13835" width="29.42578125" style="568" customWidth="1"/>
    <col min="13836" max="13836" width="8.5703125" style="568" bestFit="1" customWidth="1"/>
    <col min="13837" max="13838" width="12.5703125" style="568" customWidth="1"/>
    <col min="13839" max="13839" width="16.42578125" style="568" customWidth="1"/>
    <col min="13840" max="13840" width="15.7109375" style="568" customWidth="1"/>
    <col min="13841" max="13841" width="0" style="568" hidden="1" customWidth="1"/>
    <col min="13842" max="13842" width="15.42578125" style="568" customWidth="1"/>
    <col min="13843" max="13843" width="23.5703125" style="568" customWidth="1"/>
    <col min="13844" max="13844" width="52.85546875" style="568" customWidth="1"/>
    <col min="13845" max="13845" width="17" style="568" bestFit="1" customWidth="1"/>
    <col min="13846" max="13846" width="10.140625" style="568" customWidth="1"/>
    <col min="13847" max="14080" width="9.140625" style="568"/>
    <col min="14081" max="14081" width="4" style="568" customWidth="1"/>
    <col min="14082" max="14082" width="23.140625" style="568" bestFit="1" customWidth="1"/>
    <col min="14083" max="14083" width="17.140625" style="568" customWidth="1"/>
    <col min="14084" max="14084" width="24.140625" style="568" customWidth="1"/>
    <col min="14085" max="14085" width="14.85546875" style="568" customWidth="1"/>
    <col min="14086" max="14086" width="15.42578125" style="568" customWidth="1"/>
    <col min="14087" max="14087" width="14.42578125" style="568" customWidth="1"/>
    <col min="14088" max="14088" width="9" style="568" customWidth="1"/>
    <col min="14089" max="14089" width="29.7109375" style="568" customWidth="1"/>
    <col min="14090" max="14090" width="16.5703125" style="568" customWidth="1"/>
    <col min="14091" max="14091" width="29.42578125" style="568" customWidth="1"/>
    <col min="14092" max="14092" width="8.5703125" style="568" bestFit="1" customWidth="1"/>
    <col min="14093" max="14094" width="12.5703125" style="568" customWidth="1"/>
    <col min="14095" max="14095" width="16.42578125" style="568" customWidth="1"/>
    <col min="14096" max="14096" width="15.7109375" style="568" customWidth="1"/>
    <col min="14097" max="14097" width="0" style="568" hidden="1" customWidth="1"/>
    <col min="14098" max="14098" width="15.42578125" style="568" customWidth="1"/>
    <col min="14099" max="14099" width="23.5703125" style="568" customWidth="1"/>
    <col min="14100" max="14100" width="52.85546875" style="568" customWidth="1"/>
    <col min="14101" max="14101" width="17" style="568" bestFit="1" customWidth="1"/>
    <col min="14102" max="14102" width="10.140625" style="568" customWidth="1"/>
    <col min="14103" max="14336" width="9.140625" style="568"/>
    <col min="14337" max="14337" width="4" style="568" customWidth="1"/>
    <col min="14338" max="14338" width="23.140625" style="568" bestFit="1" customWidth="1"/>
    <col min="14339" max="14339" width="17.140625" style="568" customWidth="1"/>
    <col min="14340" max="14340" width="24.140625" style="568" customWidth="1"/>
    <col min="14341" max="14341" width="14.85546875" style="568" customWidth="1"/>
    <col min="14342" max="14342" width="15.42578125" style="568" customWidth="1"/>
    <col min="14343" max="14343" width="14.42578125" style="568" customWidth="1"/>
    <col min="14344" max="14344" width="9" style="568" customWidth="1"/>
    <col min="14345" max="14345" width="29.7109375" style="568" customWidth="1"/>
    <col min="14346" max="14346" width="16.5703125" style="568" customWidth="1"/>
    <col min="14347" max="14347" width="29.42578125" style="568" customWidth="1"/>
    <col min="14348" max="14348" width="8.5703125" style="568" bestFit="1" customWidth="1"/>
    <col min="14349" max="14350" width="12.5703125" style="568" customWidth="1"/>
    <col min="14351" max="14351" width="16.42578125" style="568" customWidth="1"/>
    <col min="14352" max="14352" width="15.7109375" style="568" customWidth="1"/>
    <col min="14353" max="14353" width="0" style="568" hidden="1" customWidth="1"/>
    <col min="14354" max="14354" width="15.42578125" style="568" customWidth="1"/>
    <col min="14355" max="14355" width="23.5703125" style="568" customWidth="1"/>
    <col min="14356" max="14356" width="52.85546875" style="568" customWidth="1"/>
    <col min="14357" max="14357" width="17" style="568" bestFit="1" customWidth="1"/>
    <col min="14358" max="14358" width="10.140625" style="568" customWidth="1"/>
    <col min="14359" max="14592" width="9.140625" style="568"/>
    <col min="14593" max="14593" width="4" style="568" customWidth="1"/>
    <col min="14594" max="14594" width="23.140625" style="568" bestFit="1" customWidth="1"/>
    <col min="14595" max="14595" width="17.140625" style="568" customWidth="1"/>
    <col min="14596" max="14596" width="24.140625" style="568" customWidth="1"/>
    <col min="14597" max="14597" width="14.85546875" style="568" customWidth="1"/>
    <col min="14598" max="14598" width="15.42578125" style="568" customWidth="1"/>
    <col min="14599" max="14599" width="14.42578125" style="568" customWidth="1"/>
    <col min="14600" max="14600" width="9" style="568" customWidth="1"/>
    <col min="14601" max="14601" width="29.7109375" style="568" customWidth="1"/>
    <col min="14602" max="14602" width="16.5703125" style="568" customWidth="1"/>
    <col min="14603" max="14603" width="29.42578125" style="568" customWidth="1"/>
    <col min="14604" max="14604" width="8.5703125" style="568" bestFit="1" customWidth="1"/>
    <col min="14605" max="14606" width="12.5703125" style="568" customWidth="1"/>
    <col min="14607" max="14607" width="16.42578125" style="568" customWidth="1"/>
    <col min="14608" max="14608" width="15.7109375" style="568" customWidth="1"/>
    <col min="14609" max="14609" width="0" style="568" hidden="1" customWidth="1"/>
    <col min="14610" max="14610" width="15.42578125" style="568" customWidth="1"/>
    <col min="14611" max="14611" width="23.5703125" style="568" customWidth="1"/>
    <col min="14612" max="14612" width="52.85546875" style="568" customWidth="1"/>
    <col min="14613" max="14613" width="17" style="568" bestFit="1" customWidth="1"/>
    <col min="14614" max="14614" width="10.140625" style="568" customWidth="1"/>
    <col min="14615" max="14848" width="9.140625" style="568"/>
    <col min="14849" max="14849" width="4" style="568" customWidth="1"/>
    <col min="14850" max="14850" width="23.140625" style="568" bestFit="1" customWidth="1"/>
    <col min="14851" max="14851" width="17.140625" style="568" customWidth="1"/>
    <col min="14852" max="14852" width="24.140625" style="568" customWidth="1"/>
    <col min="14853" max="14853" width="14.85546875" style="568" customWidth="1"/>
    <col min="14854" max="14854" width="15.42578125" style="568" customWidth="1"/>
    <col min="14855" max="14855" width="14.42578125" style="568" customWidth="1"/>
    <col min="14856" max="14856" width="9" style="568" customWidth="1"/>
    <col min="14857" max="14857" width="29.7109375" style="568" customWidth="1"/>
    <col min="14858" max="14858" width="16.5703125" style="568" customWidth="1"/>
    <col min="14859" max="14859" width="29.42578125" style="568" customWidth="1"/>
    <col min="14860" max="14860" width="8.5703125" style="568" bestFit="1" customWidth="1"/>
    <col min="14861" max="14862" width="12.5703125" style="568" customWidth="1"/>
    <col min="14863" max="14863" width="16.42578125" style="568" customWidth="1"/>
    <col min="14864" max="14864" width="15.7109375" style="568" customWidth="1"/>
    <col min="14865" max="14865" width="0" style="568" hidden="1" customWidth="1"/>
    <col min="14866" max="14866" width="15.42578125" style="568" customWidth="1"/>
    <col min="14867" max="14867" width="23.5703125" style="568" customWidth="1"/>
    <col min="14868" max="14868" width="52.85546875" style="568" customWidth="1"/>
    <col min="14869" max="14869" width="17" style="568" bestFit="1" customWidth="1"/>
    <col min="14870" max="14870" width="10.140625" style="568" customWidth="1"/>
    <col min="14871" max="15104" width="9.140625" style="568"/>
    <col min="15105" max="15105" width="4" style="568" customWidth="1"/>
    <col min="15106" max="15106" width="23.140625" style="568" bestFit="1" customWidth="1"/>
    <col min="15107" max="15107" width="17.140625" style="568" customWidth="1"/>
    <col min="15108" max="15108" width="24.140625" style="568" customWidth="1"/>
    <col min="15109" max="15109" width="14.85546875" style="568" customWidth="1"/>
    <col min="15110" max="15110" width="15.42578125" style="568" customWidth="1"/>
    <col min="15111" max="15111" width="14.42578125" style="568" customWidth="1"/>
    <col min="15112" max="15112" width="9" style="568" customWidth="1"/>
    <col min="15113" max="15113" width="29.7109375" style="568" customWidth="1"/>
    <col min="15114" max="15114" width="16.5703125" style="568" customWidth="1"/>
    <col min="15115" max="15115" width="29.42578125" style="568" customWidth="1"/>
    <col min="15116" max="15116" width="8.5703125" style="568" bestFit="1" customWidth="1"/>
    <col min="15117" max="15118" width="12.5703125" style="568" customWidth="1"/>
    <col min="15119" max="15119" width="16.42578125" style="568" customWidth="1"/>
    <col min="15120" max="15120" width="15.7109375" style="568" customWidth="1"/>
    <col min="15121" max="15121" width="0" style="568" hidden="1" customWidth="1"/>
    <col min="15122" max="15122" width="15.42578125" style="568" customWidth="1"/>
    <col min="15123" max="15123" width="23.5703125" style="568" customWidth="1"/>
    <col min="15124" max="15124" width="52.85546875" style="568" customWidth="1"/>
    <col min="15125" max="15125" width="17" style="568" bestFit="1" customWidth="1"/>
    <col min="15126" max="15126" width="10.140625" style="568" customWidth="1"/>
    <col min="15127" max="15360" width="9.140625" style="568"/>
    <col min="15361" max="15361" width="4" style="568" customWidth="1"/>
    <col min="15362" max="15362" width="23.140625" style="568" bestFit="1" customWidth="1"/>
    <col min="15363" max="15363" width="17.140625" style="568" customWidth="1"/>
    <col min="15364" max="15364" width="24.140625" style="568" customWidth="1"/>
    <col min="15365" max="15365" width="14.85546875" style="568" customWidth="1"/>
    <col min="15366" max="15366" width="15.42578125" style="568" customWidth="1"/>
    <col min="15367" max="15367" width="14.42578125" style="568" customWidth="1"/>
    <col min="15368" max="15368" width="9" style="568" customWidth="1"/>
    <col min="15369" max="15369" width="29.7109375" style="568" customWidth="1"/>
    <col min="15370" max="15370" width="16.5703125" style="568" customWidth="1"/>
    <col min="15371" max="15371" width="29.42578125" style="568" customWidth="1"/>
    <col min="15372" max="15372" width="8.5703125" style="568" bestFit="1" customWidth="1"/>
    <col min="15373" max="15374" width="12.5703125" style="568" customWidth="1"/>
    <col min="15375" max="15375" width="16.42578125" style="568" customWidth="1"/>
    <col min="15376" max="15376" width="15.7109375" style="568" customWidth="1"/>
    <col min="15377" max="15377" width="0" style="568" hidden="1" customWidth="1"/>
    <col min="15378" max="15378" width="15.42578125" style="568" customWidth="1"/>
    <col min="15379" max="15379" width="23.5703125" style="568" customWidth="1"/>
    <col min="15380" max="15380" width="52.85546875" style="568" customWidth="1"/>
    <col min="15381" max="15381" width="17" style="568" bestFit="1" customWidth="1"/>
    <col min="15382" max="15382" width="10.140625" style="568" customWidth="1"/>
    <col min="15383" max="15616" width="9.140625" style="568"/>
    <col min="15617" max="15617" width="4" style="568" customWidth="1"/>
    <col min="15618" max="15618" width="23.140625" style="568" bestFit="1" customWidth="1"/>
    <col min="15619" max="15619" width="17.140625" style="568" customWidth="1"/>
    <col min="15620" max="15620" width="24.140625" style="568" customWidth="1"/>
    <col min="15621" max="15621" width="14.85546875" style="568" customWidth="1"/>
    <col min="15622" max="15622" width="15.42578125" style="568" customWidth="1"/>
    <col min="15623" max="15623" width="14.42578125" style="568" customWidth="1"/>
    <col min="15624" max="15624" width="9" style="568" customWidth="1"/>
    <col min="15625" max="15625" width="29.7109375" style="568" customWidth="1"/>
    <col min="15626" max="15626" width="16.5703125" style="568" customWidth="1"/>
    <col min="15627" max="15627" width="29.42578125" style="568" customWidth="1"/>
    <col min="15628" max="15628" width="8.5703125" style="568" bestFit="1" customWidth="1"/>
    <col min="15629" max="15630" width="12.5703125" style="568" customWidth="1"/>
    <col min="15631" max="15631" width="16.42578125" style="568" customWidth="1"/>
    <col min="15632" max="15632" width="15.7109375" style="568" customWidth="1"/>
    <col min="15633" max="15633" width="0" style="568" hidden="1" customWidth="1"/>
    <col min="15634" max="15634" width="15.42578125" style="568" customWidth="1"/>
    <col min="15635" max="15635" width="23.5703125" style="568" customWidth="1"/>
    <col min="15636" max="15636" width="52.85546875" style="568" customWidth="1"/>
    <col min="15637" max="15637" width="17" style="568" bestFit="1" customWidth="1"/>
    <col min="15638" max="15638" width="10.140625" style="568" customWidth="1"/>
    <col min="15639" max="15872" width="9.140625" style="568"/>
    <col min="15873" max="15873" width="4" style="568" customWidth="1"/>
    <col min="15874" max="15874" width="23.140625" style="568" bestFit="1" customWidth="1"/>
    <col min="15875" max="15875" width="17.140625" style="568" customWidth="1"/>
    <col min="15876" max="15876" width="24.140625" style="568" customWidth="1"/>
    <col min="15877" max="15877" width="14.85546875" style="568" customWidth="1"/>
    <col min="15878" max="15878" width="15.42578125" style="568" customWidth="1"/>
    <col min="15879" max="15879" width="14.42578125" style="568" customWidth="1"/>
    <col min="15880" max="15880" width="9" style="568" customWidth="1"/>
    <col min="15881" max="15881" width="29.7109375" style="568" customWidth="1"/>
    <col min="15882" max="15882" width="16.5703125" style="568" customWidth="1"/>
    <col min="15883" max="15883" width="29.42578125" style="568" customWidth="1"/>
    <col min="15884" max="15884" width="8.5703125" style="568" bestFit="1" customWidth="1"/>
    <col min="15885" max="15886" width="12.5703125" style="568" customWidth="1"/>
    <col min="15887" max="15887" width="16.42578125" style="568" customWidth="1"/>
    <col min="15888" max="15888" width="15.7109375" style="568" customWidth="1"/>
    <col min="15889" max="15889" width="0" style="568" hidden="1" customWidth="1"/>
    <col min="15890" max="15890" width="15.42578125" style="568" customWidth="1"/>
    <col min="15891" max="15891" width="23.5703125" style="568" customWidth="1"/>
    <col min="15892" max="15892" width="52.85546875" style="568" customWidth="1"/>
    <col min="15893" max="15893" width="17" style="568" bestFit="1" customWidth="1"/>
    <col min="15894" max="15894" width="10.140625" style="568" customWidth="1"/>
    <col min="15895" max="16128" width="9.140625" style="568"/>
    <col min="16129" max="16129" width="4" style="568" customWidth="1"/>
    <col min="16130" max="16130" width="23.140625" style="568" bestFit="1" customWidth="1"/>
    <col min="16131" max="16131" width="17.140625" style="568" customWidth="1"/>
    <col min="16132" max="16132" width="24.140625" style="568" customWidth="1"/>
    <col min="16133" max="16133" width="14.85546875" style="568" customWidth="1"/>
    <col min="16134" max="16134" width="15.42578125" style="568" customWidth="1"/>
    <col min="16135" max="16135" width="14.42578125" style="568" customWidth="1"/>
    <col min="16136" max="16136" width="9" style="568" customWidth="1"/>
    <col min="16137" max="16137" width="29.7109375" style="568" customWidth="1"/>
    <col min="16138" max="16138" width="16.5703125" style="568" customWidth="1"/>
    <col min="16139" max="16139" width="29.42578125" style="568" customWidth="1"/>
    <col min="16140" max="16140" width="8.5703125" style="568" bestFit="1" customWidth="1"/>
    <col min="16141" max="16142" width="12.5703125" style="568" customWidth="1"/>
    <col min="16143" max="16143" width="16.42578125" style="568" customWidth="1"/>
    <col min="16144" max="16144" width="15.7109375" style="568" customWidth="1"/>
    <col min="16145" max="16145" width="0" style="568" hidden="1" customWidth="1"/>
    <col min="16146" max="16146" width="15.42578125" style="568" customWidth="1"/>
    <col min="16147" max="16147" width="23.5703125" style="568" customWidth="1"/>
    <col min="16148" max="16148" width="52.85546875" style="568" customWidth="1"/>
    <col min="16149" max="16149" width="17" style="568" bestFit="1" customWidth="1"/>
    <col min="16150" max="16150" width="10.140625" style="568" customWidth="1"/>
    <col min="16151" max="16384" width="9.140625" style="568"/>
  </cols>
  <sheetData>
    <row r="1" spans="1:22" ht="12.75" thickBot="1"/>
    <row r="2" spans="1:22" s="573" customFormat="1" ht="12.75" thickBot="1">
      <c r="A2" s="570" t="s">
        <v>673</v>
      </c>
      <c r="B2" s="571" t="s">
        <v>674</v>
      </c>
      <c r="C2" s="571" t="s">
        <v>675</v>
      </c>
      <c r="D2" s="571" t="s">
        <v>676</v>
      </c>
      <c r="E2" s="571" t="s">
        <v>677</v>
      </c>
      <c r="F2" s="571" t="s">
        <v>678</v>
      </c>
      <c r="G2" s="571" t="s">
        <v>679</v>
      </c>
      <c r="H2" s="571" t="s">
        <v>680</v>
      </c>
      <c r="I2" s="571" t="s">
        <v>681</v>
      </c>
      <c r="J2" s="571" t="s">
        <v>682</v>
      </c>
      <c r="K2" s="571" t="s">
        <v>683</v>
      </c>
      <c r="L2" s="571" t="s">
        <v>684</v>
      </c>
      <c r="M2" s="571" t="s">
        <v>685</v>
      </c>
      <c r="N2" s="571" t="s">
        <v>686</v>
      </c>
      <c r="O2" s="571" t="s">
        <v>687</v>
      </c>
      <c r="P2" s="571" t="s">
        <v>688</v>
      </c>
      <c r="Q2" s="571" t="s">
        <v>689</v>
      </c>
      <c r="R2" s="571" t="s">
        <v>690</v>
      </c>
      <c r="S2" s="572" t="s">
        <v>691</v>
      </c>
      <c r="T2" s="571" t="s">
        <v>692</v>
      </c>
      <c r="U2" s="571" t="s">
        <v>693</v>
      </c>
      <c r="V2" s="571" t="s">
        <v>694</v>
      </c>
    </row>
    <row r="3" spans="1:22">
      <c r="A3" s="574">
        <v>1</v>
      </c>
      <c r="B3" s="575" t="s">
        <v>664</v>
      </c>
      <c r="C3" s="568" t="s">
        <v>695</v>
      </c>
      <c r="D3" s="568" t="s">
        <v>696</v>
      </c>
      <c r="J3" s="576"/>
      <c r="K3" s="568" t="s">
        <v>697</v>
      </c>
      <c r="L3" s="577" t="e">
        <f>#REF!</f>
        <v>#REF!</v>
      </c>
      <c r="M3" s="578" t="e">
        <f>#REF!</f>
        <v>#REF!</v>
      </c>
      <c r="N3" s="578" t="e">
        <f>#REF!</f>
        <v>#REF!</v>
      </c>
      <c r="O3" s="579" t="e">
        <f>#REF!</f>
        <v>#REF!</v>
      </c>
      <c r="P3" s="580" t="e">
        <f>#REF!</f>
        <v>#REF!</v>
      </c>
      <c r="R3" s="579" t="s">
        <v>698</v>
      </c>
      <c r="S3" s="581" t="e">
        <f>#REF!</f>
        <v>#REF!</v>
      </c>
      <c r="T3" s="568" t="s">
        <v>699</v>
      </c>
      <c r="U3" s="582" t="s">
        <v>708</v>
      </c>
    </row>
    <row r="4" spans="1:22">
      <c r="A4" s="574">
        <v>2</v>
      </c>
      <c r="B4" s="568" t="s">
        <v>665</v>
      </c>
      <c r="C4" s="568" t="s">
        <v>695</v>
      </c>
      <c r="D4" s="568" t="s">
        <v>696</v>
      </c>
      <c r="F4" s="576"/>
      <c r="G4" s="576"/>
      <c r="I4" s="576"/>
      <c r="J4" s="576"/>
      <c r="K4" s="568" t="s">
        <v>697</v>
      </c>
      <c r="L4" s="577">
        <f>'Viva City'!C9</f>
        <v>0.41499999999999998</v>
      </c>
      <c r="M4" s="578">
        <f>'Viva City'!D26</f>
        <v>1170900</v>
      </c>
      <c r="N4" s="578">
        <f>'Viva City'!D39</f>
        <v>1170900</v>
      </c>
      <c r="O4" s="579">
        <f>'Viva City'!D40</f>
        <v>0.47861559484157484</v>
      </c>
      <c r="P4" s="580">
        <f>'Viva City'!D41</f>
        <v>560411</v>
      </c>
      <c r="Q4" s="568" t="s">
        <v>701</v>
      </c>
      <c r="R4" s="579" t="s">
        <v>698</v>
      </c>
      <c r="S4" s="583">
        <f>'Viva City'!C200</f>
        <v>144007.80700848522</v>
      </c>
      <c r="T4" s="568" t="s">
        <v>702</v>
      </c>
      <c r="U4" s="582" t="s">
        <v>708</v>
      </c>
    </row>
    <row r="5" spans="1:22" ht="23.25" customHeight="1">
      <c r="A5" s="574">
        <v>3</v>
      </c>
      <c r="B5" s="568" t="s">
        <v>666</v>
      </c>
      <c r="C5" s="568" t="s">
        <v>703</v>
      </c>
      <c r="D5" s="568" t="s">
        <v>696</v>
      </c>
      <c r="F5" s="576"/>
      <c r="G5" s="576"/>
      <c r="I5" s="568" t="s">
        <v>704</v>
      </c>
      <c r="J5" s="576"/>
      <c r="K5" s="568" t="s">
        <v>705</v>
      </c>
      <c r="L5" s="577">
        <v>1</v>
      </c>
      <c r="M5" s="578" t="e">
        <f>#REF!</f>
        <v>#REF!</v>
      </c>
      <c r="N5" s="578" t="e">
        <f>#REF!</f>
        <v>#REF!</v>
      </c>
      <c r="O5" s="579" t="e">
        <f>8358/M5</f>
        <v>#REF!</v>
      </c>
      <c r="P5" s="580" t="e">
        <f>M5*O5</f>
        <v>#REF!</v>
      </c>
      <c r="Q5" s="568" t="s">
        <v>706</v>
      </c>
      <c r="R5" s="579" t="s">
        <v>698</v>
      </c>
      <c r="S5" s="583" t="e">
        <f>#REF!</f>
        <v>#REF!</v>
      </c>
      <c r="T5" s="575" t="s">
        <v>707</v>
      </c>
      <c r="U5" s="582" t="s">
        <v>708</v>
      </c>
    </row>
    <row r="6" spans="1:22" ht="24">
      <c r="A6" s="574">
        <v>4</v>
      </c>
      <c r="B6" s="568" t="s">
        <v>709</v>
      </c>
      <c r="C6" s="568" t="s">
        <v>695</v>
      </c>
      <c r="D6" s="584" t="s">
        <v>710</v>
      </c>
      <c r="E6" s="584"/>
      <c r="F6" s="585"/>
      <c r="G6" s="585"/>
      <c r="H6" s="585"/>
      <c r="I6" s="585"/>
      <c r="J6" s="585"/>
      <c r="K6" s="568" t="s">
        <v>709</v>
      </c>
      <c r="L6" s="577">
        <v>0.44500000000000001</v>
      </c>
      <c r="M6" s="578">
        <v>700000</v>
      </c>
      <c r="N6" s="586" t="s">
        <v>711</v>
      </c>
      <c r="O6" s="587" t="s">
        <v>711</v>
      </c>
      <c r="P6" s="588" t="s">
        <v>711</v>
      </c>
      <c r="Q6" s="568" t="s">
        <v>712</v>
      </c>
      <c r="R6" s="589" t="s">
        <v>713</v>
      </c>
      <c r="S6" s="583">
        <f>70000/49*44.5</f>
        <v>63571.428571428572</v>
      </c>
      <c r="T6" s="568" t="s">
        <v>714</v>
      </c>
      <c r="U6" s="582" t="s">
        <v>708</v>
      </c>
    </row>
    <row r="7" spans="1:22">
      <c r="A7" s="574">
        <v>5</v>
      </c>
      <c r="B7" s="568" t="s">
        <v>667</v>
      </c>
      <c r="C7" s="568" t="s">
        <v>703</v>
      </c>
      <c r="D7" s="584"/>
      <c r="E7" s="584"/>
      <c r="F7" s="584">
        <v>90000</v>
      </c>
      <c r="G7" s="584">
        <v>200000</v>
      </c>
      <c r="H7" s="584"/>
      <c r="I7" s="584"/>
      <c r="J7" s="584"/>
      <c r="K7" s="568" t="s">
        <v>715</v>
      </c>
      <c r="L7" s="577">
        <v>1</v>
      </c>
      <c r="M7" s="580">
        <v>20000</v>
      </c>
      <c r="N7" s="588"/>
      <c r="O7" s="587"/>
      <c r="P7" s="588"/>
      <c r="R7" s="589" t="s">
        <v>698</v>
      </c>
      <c r="S7" s="583" t="e">
        <f>#REF!</f>
        <v>#REF!</v>
      </c>
      <c r="T7" s="619"/>
      <c r="U7" s="582" t="s">
        <v>708</v>
      </c>
    </row>
    <row r="8" spans="1:22">
      <c r="A8" s="574">
        <v>6</v>
      </c>
      <c r="B8" s="568" t="s">
        <v>668</v>
      </c>
      <c r="C8" s="568" t="s">
        <v>717</v>
      </c>
      <c r="D8" s="584"/>
      <c r="E8" s="584"/>
      <c r="F8" s="584"/>
      <c r="G8" s="584"/>
      <c r="H8" s="584"/>
      <c r="I8" s="584"/>
      <c r="J8" s="584"/>
      <c r="K8" s="568" t="s">
        <v>715</v>
      </c>
      <c r="L8" s="577">
        <v>1</v>
      </c>
      <c r="M8" s="580">
        <v>74140.5</v>
      </c>
      <c r="N8" s="588"/>
      <c r="O8" s="587"/>
      <c r="P8" s="620"/>
      <c r="R8" s="589" t="s">
        <v>698</v>
      </c>
      <c r="S8" s="583" t="e">
        <f>#REF!</f>
        <v>#REF!</v>
      </c>
      <c r="T8" s="575"/>
      <c r="U8" s="582" t="s">
        <v>708</v>
      </c>
    </row>
    <row r="9" spans="1:22" s="590" customFormat="1">
      <c r="A9" s="574">
        <v>7</v>
      </c>
      <c r="B9" s="590" t="s">
        <v>720</v>
      </c>
      <c r="D9" s="590" t="s">
        <v>721</v>
      </c>
      <c r="E9" s="591">
        <v>0.4</v>
      </c>
      <c r="H9" s="590">
        <f>'[13]Villa DN'!D26</f>
        <v>20</v>
      </c>
      <c r="I9" s="590" t="s">
        <v>722</v>
      </c>
      <c r="J9" s="590" t="s">
        <v>711</v>
      </c>
      <c r="K9" s="590" t="s">
        <v>723</v>
      </c>
      <c r="L9" s="591"/>
      <c r="M9" s="592"/>
      <c r="N9" s="592"/>
      <c r="O9" s="593"/>
      <c r="P9" s="592"/>
      <c r="R9" s="594" t="s">
        <v>713</v>
      </c>
      <c r="S9" s="595">
        <f>110144.649742-28081.8735</f>
        <v>82062.776241999993</v>
      </c>
      <c r="U9" s="596"/>
      <c r="V9" s="597"/>
    </row>
    <row r="10" spans="1:22" s="598" customFormat="1" ht="13.5" customHeight="1">
      <c r="B10" s="598" t="s">
        <v>724</v>
      </c>
      <c r="K10" s="599"/>
      <c r="M10" s="600" t="e">
        <f>SUM(M3:M9)</f>
        <v>#REF!</v>
      </c>
      <c r="N10" s="600"/>
      <c r="O10" s="600"/>
      <c r="P10" s="600"/>
      <c r="R10" s="600"/>
      <c r="S10" s="600" t="e">
        <f>SUM(S3:S9)</f>
        <v>#REF!</v>
      </c>
      <c r="T10" s="600"/>
    </row>
    <row r="11" spans="1:22" s="598" customFormat="1" ht="13.5" customHeight="1">
      <c r="B11" s="598" t="s">
        <v>725</v>
      </c>
      <c r="K11" s="599"/>
      <c r="M11" s="600"/>
      <c r="N11" s="600"/>
      <c r="O11" s="600"/>
      <c r="P11" s="600"/>
      <c r="R11" s="600"/>
      <c r="S11" s="600" t="e">
        <f>'Project Summary'!T11</f>
        <v>#REF!</v>
      </c>
      <c r="T11" s="600"/>
    </row>
    <row r="12" spans="1:22" ht="36">
      <c r="B12" s="575" t="s">
        <v>726</v>
      </c>
      <c r="M12" s="569" t="e">
        <f>M10/10000</f>
        <v>#REF!</v>
      </c>
      <c r="S12" s="569">
        <v>306750</v>
      </c>
      <c r="T12" s="569"/>
    </row>
    <row r="13" spans="1:22">
      <c r="B13" s="568" t="s">
        <v>727</v>
      </c>
      <c r="S13" s="569">
        <v>-69684</v>
      </c>
      <c r="T13" s="569" t="s">
        <v>739</v>
      </c>
      <c r="U13" s="621">
        <f>U15*S18*10^-6</f>
        <v>1230000</v>
      </c>
    </row>
    <row r="14" spans="1:22">
      <c r="B14" s="568" t="s">
        <v>740</v>
      </c>
      <c r="S14" s="569">
        <f>S23-180000</f>
        <v>428980</v>
      </c>
      <c r="T14" s="569" t="s">
        <v>741</v>
      </c>
      <c r="U14" s="621">
        <f>U13+S23</f>
        <v>1838980</v>
      </c>
    </row>
    <row r="15" spans="1:22">
      <c r="B15" s="598" t="s">
        <v>728</v>
      </c>
      <c r="S15" s="569" t="e">
        <f>SUM(S10:S14)</f>
        <v>#REF!</v>
      </c>
      <c r="T15" s="569" t="s">
        <v>742</v>
      </c>
      <c r="U15" s="569">
        <v>75000000</v>
      </c>
    </row>
    <row r="16" spans="1:22">
      <c r="B16" s="568" t="s">
        <v>729</v>
      </c>
      <c r="S16" s="569">
        <v>125000000</v>
      </c>
      <c r="T16" s="609" t="s">
        <v>743</v>
      </c>
      <c r="U16" s="621">
        <v>125000000</v>
      </c>
    </row>
    <row r="17" spans="2:26" s="598" customFormat="1" ht="15">
      <c r="B17" s="598" t="s">
        <v>730</v>
      </c>
      <c r="M17" s="600"/>
      <c r="N17" s="600"/>
      <c r="O17" s="600"/>
      <c r="P17" s="600"/>
      <c r="R17" s="600"/>
      <c r="S17" s="601" t="e">
        <f>S15*10^6/S16</f>
        <v>#REF!</v>
      </c>
      <c r="T17" s="601"/>
      <c r="U17" s="602"/>
      <c r="V17" s="603"/>
      <c r="W17" s="603"/>
      <c r="X17" s="603"/>
      <c r="Y17" s="603"/>
      <c r="Z17" s="603"/>
    </row>
    <row r="18" spans="2:26" ht="14.25">
      <c r="B18" s="568" t="s">
        <v>731</v>
      </c>
      <c r="S18" s="569">
        <v>16400</v>
      </c>
      <c r="T18" s="569">
        <f>U14/(U16*10^-6)</f>
        <v>14711.84</v>
      </c>
      <c r="U18" s="616"/>
      <c r="V18" s="605"/>
      <c r="W18" s="605"/>
      <c r="X18" s="605"/>
      <c r="Y18" s="605"/>
      <c r="Z18" s="605"/>
    </row>
    <row r="19" spans="2:26" ht="15" thickBot="1">
      <c r="B19" s="568" t="s">
        <v>732</v>
      </c>
      <c r="S19" s="606" t="e">
        <f>S17/S18-1</f>
        <v>#REF!</v>
      </c>
      <c r="T19" s="606" t="e">
        <f>S17/T18-1</f>
        <v>#REF!</v>
      </c>
      <c r="U19" s="622"/>
      <c r="V19" s="605"/>
      <c r="W19" s="605"/>
      <c r="X19" s="605"/>
      <c r="Y19" s="605"/>
      <c r="Z19" s="605"/>
    </row>
    <row r="20" spans="2:26">
      <c r="P20" s="623" t="s">
        <v>744</v>
      </c>
      <c r="Q20" s="624"/>
      <c r="R20" s="625" t="s">
        <v>745</v>
      </c>
      <c r="S20" s="625"/>
      <c r="T20" s="626"/>
    </row>
    <row r="21" spans="2:26">
      <c r="P21" s="627">
        <f>75000000*0.25</f>
        <v>18750000</v>
      </c>
      <c r="R21" s="578">
        <v>10000</v>
      </c>
      <c r="S21" s="578">
        <f>R21*P21/10^6</f>
        <v>187500</v>
      </c>
      <c r="T21" s="628" t="e">
        <f>25%*#REF!</f>
        <v>#REF!</v>
      </c>
      <c r="U21" s="607"/>
      <c r="V21" s="608"/>
      <c r="W21" s="608"/>
      <c r="X21" s="608"/>
      <c r="Y21" s="608"/>
      <c r="Z21" s="608"/>
    </row>
    <row r="22" spans="2:26">
      <c r="P22" s="627">
        <v>25700000</v>
      </c>
      <c r="R22" s="578">
        <f>S18</f>
        <v>16400</v>
      </c>
      <c r="S22" s="578">
        <f>R22*P22/10^6</f>
        <v>421480</v>
      </c>
      <c r="T22" s="628" t="e">
        <f>25%*#REF!</f>
        <v>#REF!</v>
      </c>
      <c r="U22" s="621" t="e">
        <f>SUM(S7:S8)-S22</f>
        <v>#REF!</v>
      </c>
      <c r="V22" s="569" t="e">
        <f>S22-T21-T22</f>
        <v>#REF!</v>
      </c>
      <c r="W22" s="569"/>
      <c r="X22" s="569"/>
      <c r="Y22" s="569"/>
      <c r="Z22" s="569"/>
    </row>
    <row r="23" spans="2:26" ht="12.75" thickBot="1">
      <c r="P23" s="629"/>
      <c r="Q23" s="630"/>
      <c r="R23" s="631">
        <f>S23/(SUM(P21:P22)*10^-6)</f>
        <v>13700.337457817774</v>
      </c>
      <c r="S23" s="631">
        <f>SUM(S21:S22)</f>
        <v>608980</v>
      </c>
      <c r="T23" s="632" t="e">
        <f>S23-SUM(T21:T22)</f>
        <v>#REF!</v>
      </c>
    </row>
    <row r="25" spans="2:26">
      <c r="M25" s="609"/>
      <c r="N25" s="609"/>
      <c r="S25" s="569">
        <f>(S18+R23*(U16/U15))/(1+U16/U15)</f>
        <v>14712.710911136106</v>
      </c>
    </row>
    <row r="26" spans="2:26">
      <c r="S26" s="606" t="e">
        <f>S17/S25-1</f>
        <v>#REF!</v>
      </c>
    </row>
    <row r="30" spans="2:26" ht="12.75" thickBot="1"/>
    <row r="31" spans="2:26">
      <c r="S31" s="575" t="s">
        <v>664</v>
      </c>
      <c r="T31" s="581">
        <v>186383.31788141446</v>
      </c>
    </row>
    <row r="32" spans="2:26">
      <c r="S32" s="568" t="s">
        <v>665</v>
      </c>
      <c r="T32" s="583">
        <v>289782.62541854871</v>
      </c>
    </row>
    <row r="33" spans="19:20">
      <c r="S33" s="568" t="s">
        <v>666</v>
      </c>
      <c r="T33" s="583">
        <v>282667.72437026864</v>
      </c>
    </row>
    <row r="34" spans="19:20">
      <c r="S34" s="568" t="s">
        <v>667</v>
      </c>
      <c r="T34" s="583">
        <v>81313.003833026101</v>
      </c>
    </row>
    <row r="35" spans="19:20">
      <c r="S35" s="568" t="s">
        <v>668</v>
      </c>
      <c r="T35" s="583">
        <v>263266.0889801333</v>
      </c>
    </row>
    <row r="36" spans="19:20">
      <c r="S36" s="590" t="s">
        <v>720</v>
      </c>
      <c r="T36" s="595">
        <v>145634.20481342857</v>
      </c>
    </row>
  </sheetData>
  <pageMargins left="0.7" right="0.7" top="0.75" bottom="0.75" header="0.3" footer="0.3"/>
  <pageSetup paperSize="9" orientation="portrait" r:id="rId1"/>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L42"/>
  <sheetViews>
    <sheetView workbookViewId="0">
      <selection activeCell="B2" sqref="B2:D13"/>
    </sheetView>
  </sheetViews>
  <sheetFormatPr defaultRowHeight="14.25"/>
  <cols>
    <col min="1" max="1" width="2.42578125" style="604" customWidth="1"/>
    <col min="2" max="2" width="26.42578125" style="604" customWidth="1"/>
    <col min="3" max="3" width="16" style="604" customWidth="1"/>
    <col min="4" max="4" width="15.7109375" style="604" bestFit="1" customWidth="1"/>
    <col min="5" max="5" width="14.7109375" style="604" customWidth="1"/>
    <col min="6" max="6" width="32.140625" style="604" bestFit="1" customWidth="1"/>
    <col min="7" max="7" width="17" style="604" bestFit="1" customWidth="1"/>
    <col min="8" max="8" width="25.140625" style="604" bestFit="1" customWidth="1"/>
    <col min="9" max="9" width="12" style="604" bestFit="1" customWidth="1"/>
    <col min="10" max="10" width="32.140625" style="604" bestFit="1" customWidth="1"/>
    <col min="11" max="11" width="26.42578125" style="604" bestFit="1" customWidth="1"/>
    <col min="12" max="12" width="11.5703125" style="604" bestFit="1" customWidth="1"/>
    <col min="13" max="257" width="9.140625" style="604"/>
    <col min="258" max="258" width="20.85546875" style="604" customWidth="1"/>
    <col min="259" max="259" width="10.5703125" style="604" bestFit="1" customWidth="1"/>
    <col min="260" max="261" width="12.7109375" style="604" bestFit="1" customWidth="1"/>
    <col min="262" max="513" width="9.140625" style="604"/>
    <col min="514" max="514" width="20.85546875" style="604" customWidth="1"/>
    <col min="515" max="515" width="10.5703125" style="604" bestFit="1" customWidth="1"/>
    <col min="516" max="517" width="12.7109375" style="604" bestFit="1" customWidth="1"/>
    <col min="518" max="769" width="9.140625" style="604"/>
    <col min="770" max="770" width="20.85546875" style="604" customWidth="1"/>
    <col min="771" max="771" width="10.5703125" style="604" bestFit="1" customWidth="1"/>
    <col min="772" max="773" width="12.7109375" style="604" bestFit="1" customWidth="1"/>
    <col min="774" max="1025" width="9.140625" style="604"/>
    <col min="1026" max="1026" width="20.85546875" style="604" customWidth="1"/>
    <col min="1027" max="1027" width="10.5703125" style="604" bestFit="1" customWidth="1"/>
    <col min="1028" max="1029" width="12.7109375" style="604" bestFit="1" customWidth="1"/>
    <col min="1030" max="1281" width="9.140625" style="604"/>
    <col min="1282" max="1282" width="20.85546875" style="604" customWidth="1"/>
    <col min="1283" max="1283" width="10.5703125" style="604" bestFit="1" customWidth="1"/>
    <col min="1284" max="1285" width="12.7109375" style="604" bestFit="1" customWidth="1"/>
    <col min="1286" max="1537" width="9.140625" style="604"/>
    <col min="1538" max="1538" width="20.85546875" style="604" customWidth="1"/>
    <col min="1539" max="1539" width="10.5703125" style="604" bestFit="1" customWidth="1"/>
    <col min="1540" max="1541" width="12.7109375" style="604" bestFit="1" customWidth="1"/>
    <col min="1542" max="1793" width="9.140625" style="604"/>
    <col min="1794" max="1794" width="20.85546875" style="604" customWidth="1"/>
    <col min="1795" max="1795" width="10.5703125" style="604" bestFit="1" customWidth="1"/>
    <col min="1796" max="1797" width="12.7109375" style="604" bestFit="1" customWidth="1"/>
    <col min="1798" max="2049" width="9.140625" style="604"/>
    <col min="2050" max="2050" width="20.85546875" style="604" customWidth="1"/>
    <col min="2051" max="2051" width="10.5703125" style="604" bestFit="1" customWidth="1"/>
    <col min="2052" max="2053" width="12.7109375" style="604" bestFit="1" customWidth="1"/>
    <col min="2054" max="2305" width="9.140625" style="604"/>
    <col min="2306" max="2306" width="20.85546875" style="604" customWidth="1"/>
    <col min="2307" max="2307" width="10.5703125" style="604" bestFit="1" customWidth="1"/>
    <col min="2308" max="2309" width="12.7109375" style="604" bestFit="1" customWidth="1"/>
    <col min="2310" max="2561" width="9.140625" style="604"/>
    <col min="2562" max="2562" width="20.85546875" style="604" customWidth="1"/>
    <col min="2563" max="2563" width="10.5703125" style="604" bestFit="1" customWidth="1"/>
    <col min="2564" max="2565" width="12.7109375" style="604" bestFit="1" customWidth="1"/>
    <col min="2566" max="2817" width="9.140625" style="604"/>
    <col min="2818" max="2818" width="20.85546875" style="604" customWidth="1"/>
    <col min="2819" max="2819" width="10.5703125" style="604" bestFit="1" customWidth="1"/>
    <col min="2820" max="2821" width="12.7109375" style="604" bestFit="1" customWidth="1"/>
    <col min="2822" max="3073" width="9.140625" style="604"/>
    <col min="3074" max="3074" width="20.85546875" style="604" customWidth="1"/>
    <col min="3075" max="3075" width="10.5703125" style="604" bestFit="1" customWidth="1"/>
    <col min="3076" max="3077" width="12.7109375" style="604" bestFit="1" customWidth="1"/>
    <col min="3078" max="3329" width="9.140625" style="604"/>
    <col min="3330" max="3330" width="20.85546875" style="604" customWidth="1"/>
    <col min="3331" max="3331" width="10.5703125" style="604" bestFit="1" customWidth="1"/>
    <col min="3332" max="3333" width="12.7109375" style="604" bestFit="1" customWidth="1"/>
    <col min="3334" max="3585" width="9.140625" style="604"/>
    <col min="3586" max="3586" width="20.85546875" style="604" customWidth="1"/>
    <col min="3587" max="3587" width="10.5703125" style="604" bestFit="1" customWidth="1"/>
    <col min="3588" max="3589" width="12.7109375" style="604" bestFit="1" customWidth="1"/>
    <col min="3590" max="3841" width="9.140625" style="604"/>
    <col min="3842" max="3842" width="20.85546875" style="604" customWidth="1"/>
    <col min="3843" max="3843" width="10.5703125" style="604" bestFit="1" customWidth="1"/>
    <col min="3844" max="3845" width="12.7109375" style="604" bestFit="1" customWidth="1"/>
    <col min="3846" max="4097" width="9.140625" style="604"/>
    <col min="4098" max="4098" width="20.85546875" style="604" customWidth="1"/>
    <col min="4099" max="4099" width="10.5703125" style="604" bestFit="1" customWidth="1"/>
    <col min="4100" max="4101" width="12.7109375" style="604" bestFit="1" customWidth="1"/>
    <col min="4102" max="4353" width="9.140625" style="604"/>
    <col min="4354" max="4354" width="20.85546875" style="604" customWidth="1"/>
    <col min="4355" max="4355" width="10.5703125" style="604" bestFit="1" customWidth="1"/>
    <col min="4356" max="4357" width="12.7109375" style="604" bestFit="1" customWidth="1"/>
    <col min="4358" max="4609" width="9.140625" style="604"/>
    <col min="4610" max="4610" width="20.85546875" style="604" customWidth="1"/>
    <col min="4611" max="4611" width="10.5703125" style="604" bestFit="1" customWidth="1"/>
    <col min="4612" max="4613" width="12.7109375" style="604" bestFit="1" customWidth="1"/>
    <col min="4614" max="4865" width="9.140625" style="604"/>
    <col min="4866" max="4866" width="20.85546875" style="604" customWidth="1"/>
    <col min="4867" max="4867" width="10.5703125" style="604" bestFit="1" customWidth="1"/>
    <col min="4868" max="4869" width="12.7109375" style="604" bestFit="1" customWidth="1"/>
    <col min="4870" max="5121" width="9.140625" style="604"/>
    <col min="5122" max="5122" width="20.85546875" style="604" customWidth="1"/>
    <col min="5123" max="5123" width="10.5703125" style="604" bestFit="1" customWidth="1"/>
    <col min="5124" max="5125" width="12.7109375" style="604" bestFit="1" customWidth="1"/>
    <col min="5126" max="5377" width="9.140625" style="604"/>
    <col min="5378" max="5378" width="20.85546875" style="604" customWidth="1"/>
    <col min="5379" max="5379" width="10.5703125" style="604" bestFit="1" customWidth="1"/>
    <col min="5380" max="5381" width="12.7109375" style="604" bestFit="1" customWidth="1"/>
    <col min="5382" max="5633" width="9.140625" style="604"/>
    <col min="5634" max="5634" width="20.85546875" style="604" customWidth="1"/>
    <col min="5635" max="5635" width="10.5703125" style="604" bestFit="1" customWidth="1"/>
    <col min="5636" max="5637" width="12.7109375" style="604" bestFit="1" customWidth="1"/>
    <col min="5638" max="5889" width="9.140625" style="604"/>
    <col min="5890" max="5890" width="20.85546875" style="604" customWidth="1"/>
    <col min="5891" max="5891" width="10.5703125" style="604" bestFit="1" customWidth="1"/>
    <col min="5892" max="5893" width="12.7109375" style="604" bestFit="1" customWidth="1"/>
    <col min="5894" max="6145" width="9.140625" style="604"/>
    <col min="6146" max="6146" width="20.85546875" style="604" customWidth="1"/>
    <col min="6147" max="6147" width="10.5703125" style="604" bestFit="1" customWidth="1"/>
    <col min="6148" max="6149" width="12.7109375" style="604" bestFit="1" customWidth="1"/>
    <col min="6150" max="6401" width="9.140625" style="604"/>
    <col min="6402" max="6402" width="20.85546875" style="604" customWidth="1"/>
    <col min="6403" max="6403" width="10.5703125" style="604" bestFit="1" customWidth="1"/>
    <col min="6404" max="6405" width="12.7109375" style="604" bestFit="1" customWidth="1"/>
    <col min="6406" max="6657" width="9.140625" style="604"/>
    <col min="6658" max="6658" width="20.85546875" style="604" customWidth="1"/>
    <col min="6659" max="6659" width="10.5703125" style="604" bestFit="1" customWidth="1"/>
    <col min="6660" max="6661" width="12.7109375" style="604" bestFit="1" customWidth="1"/>
    <col min="6662" max="6913" width="9.140625" style="604"/>
    <col min="6914" max="6914" width="20.85546875" style="604" customWidth="1"/>
    <col min="6915" max="6915" width="10.5703125" style="604" bestFit="1" customWidth="1"/>
    <col min="6916" max="6917" width="12.7109375" style="604" bestFit="1" customWidth="1"/>
    <col min="6918" max="7169" width="9.140625" style="604"/>
    <col min="7170" max="7170" width="20.85546875" style="604" customWidth="1"/>
    <col min="7171" max="7171" width="10.5703125" style="604" bestFit="1" customWidth="1"/>
    <col min="7172" max="7173" width="12.7109375" style="604" bestFit="1" customWidth="1"/>
    <col min="7174" max="7425" width="9.140625" style="604"/>
    <col min="7426" max="7426" width="20.85546875" style="604" customWidth="1"/>
    <col min="7427" max="7427" width="10.5703125" style="604" bestFit="1" customWidth="1"/>
    <col min="7428" max="7429" width="12.7109375" style="604" bestFit="1" customWidth="1"/>
    <col min="7430" max="7681" width="9.140625" style="604"/>
    <col min="7682" max="7682" width="20.85546875" style="604" customWidth="1"/>
    <col min="7683" max="7683" width="10.5703125" style="604" bestFit="1" customWidth="1"/>
    <col min="7684" max="7685" width="12.7109375" style="604" bestFit="1" customWidth="1"/>
    <col min="7686" max="7937" width="9.140625" style="604"/>
    <col min="7938" max="7938" width="20.85546875" style="604" customWidth="1"/>
    <col min="7939" max="7939" width="10.5703125" style="604" bestFit="1" customWidth="1"/>
    <col min="7940" max="7941" width="12.7109375" style="604" bestFit="1" customWidth="1"/>
    <col min="7942" max="8193" width="9.140625" style="604"/>
    <col min="8194" max="8194" width="20.85546875" style="604" customWidth="1"/>
    <col min="8195" max="8195" width="10.5703125" style="604" bestFit="1" customWidth="1"/>
    <col min="8196" max="8197" width="12.7109375" style="604" bestFit="1" customWidth="1"/>
    <col min="8198" max="8449" width="9.140625" style="604"/>
    <col min="8450" max="8450" width="20.85546875" style="604" customWidth="1"/>
    <col min="8451" max="8451" width="10.5703125" style="604" bestFit="1" customWidth="1"/>
    <col min="8452" max="8453" width="12.7109375" style="604" bestFit="1" customWidth="1"/>
    <col min="8454" max="8705" width="9.140625" style="604"/>
    <col min="8706" max="8706" width="20.85546875" style="604" customWidth="1"/>
    <col min="8707" max="8707" width="10.5703125" style="604" bestFit="1" customWidth="1"/>
    <col min="8708" max="8709" width="12.7109375" style="604" bestFit="1" customWidth="1"/>
    <col min="8710" max="8961" width="9.140625" style="604"/>
    <col min="8962" max="8962" width="20.85546875" style="604" customWidth="1"/>
    <col min="8963" max="8963" width="10.5703125" style="604" bestFit="1" customWidth="1"/>
    <col min="8964" max="8965" width="12.7109375" style="604" bestFit="1" customWidth="1"/>
    <col min="8966" max="9217" width="9.140625" style="604"/>
    <col min="9218" max="9218" width="20.85546875" style="604" customWidth="1"/>
    <col min="9219" max="9219" width="10.5703125" style="604" bestFit="1" customWidth="1"/>
    <col min="9220" max="9221" width="12.7109375" style="604" bestFit="1" customWidth="1"/>
    <col min="9222" max="9473" width="9.140625" style="604"/>
    <col min="9474" max="9474" width="20.85546875" style="604" customWidth="1"/>
    <col min="9475" max="9475" width="10.5703125" style="604" bestFit="1" customWidth="1"/>
    <col min="9476" max="9477" width="12.7109375" style="604" bestFit="1" customWidth="1"/>
    <col min="9478" max="9729" width="9.140625" style="604"/>
    <col min="9730" max="9730" width="20.85546875" style="604" customWidth="1"/>
    <col min="9731" max="9731" width="10.5703125" style="604" bestFit="1" customWidth="1"/>
    <col min="9732" max="9733" width="12.7109375" style="604" bestFit="1" customWidth="1"/>
    <col min="9734" max="9985" width="9.140625" style="604"/>
    <col min="9986" max="9986" width="20.85546875" style="604" customWidth="1"/>
    <col min="9987" max="9987" width="10.5703125" style="604" bestFit="1" customWidth="1"/>
    <col min="9988" max="9989" width="12.7109375" style="604" bestFit="1" customWidth="1"/>
    <col min="9990" max="10241" width="9.140625" style="604"/>
    <col min="10242" max="10242" width="20.85546875" style="604" customWidth="1"/>
    <col min="10243" max="10243" width="10.5703125" style="604" bestFit="1" customWidth="1"/>
    <col min="10244" max="10245" width="12.7109375" style="604" bestFit="1" customWidth="1"/>
    <col min="10246" max="10497" width="9.140625" style="604"/>
    <col min="10498" max="10498" width="20.85546875" style="604" customWidth="1"/>
    <col min="10499" max="10499" width="10.5703125" style="604" bestFit="1" customWidth="1"/>
    <col min="10500" max="10501" width="12.7109375" style="604" bestFit="1" customWidth="1"/>
    <col min="10502" max="10753" width="9.140625" style="604"/>
    <col min="10754" max="10754" width="20.85546875" style="604" customWidth="1"/>
    <col min="10755" max="10755" width="10.5703125" style="604" bestFit="1" customWidth="1"/>
    <col min="10756" max="10757" width="12.7109375" style="604" bestFit="1" customWidth="1"/>
    <col min="10758" max="11009" width="9.140625" style="604"/>
    <col min="11010" max="11010" width="20.85546875" style="604" customWidth="1"/>
    <col min="11011" max="11011" width="10.5703125" style="604" bestFit="1" customWidth="1"/>
    <col min="11012" max="11013" width="12.7109375" style="604" bestFit="1" customWidth="1"/>
    <col min="11014" max="11265" width="9.140625" style="604"/>
    <col min="11266" max="11266" width="20.85546875" style="604" customWidth="1"/>
    <col min="11267" max="11267" width="10.5703125" style="604" bestFit="1" customWidth="1"/>
    <col min="11268" max="11269" width="12.7109375" style="604" bestFit="1" customWidth="1"/>
    <col min="11270" max="11521" width="9.140625" style="604"/>
    <col min="11522" max="11522" width="20.85546875" style="604" customWidth="1"/>
    <col min="11523" max="11523" width="10.5703125" style="604" bestFit="1" customWidth="1"/>
    <col min="11524" max="11525" width="12.7109375" style="604" bestFit="1" customWidth="1"/>
    <col min="11526" max="11777" width="9.140625" style="604"/>
    <col min="11778" max="11778" width="20.85546875" style="604" customWidth="1"/>
    <col min="11779" max="11779" width="10.5703125" style="604" bestFit="1" customWidth="1"/>
    <col min="11780" max="11781" width="12.7109375" style="604" bestFit="1" customWidth="1"/>
    <col min="11782" max="12033" width="9.140625" style="604"/>
    <col min="12034" max="12034" width="20.85546875" style="604" customWidth="1"/>
    <col min="12035" max="12035" width="10.5703125" style="604" bestFit="1" customWidth="1"/>
    <col min="12036" max="12037" width="12.7109375" style="604" bestFit="1" customWidth="1"/>
    <col min="12038" max="12289" width="9.140625" style="604"/>
    <col min="12290" max="12290" width="20.85546875" style="604" customWidth="1"/>
    <col min="12291" max="12291" width="10.5703125" style="604" bestFit="1" customWidth="1"/>
    <col min="12292" max="12293" width="12.7109375" style="604" bestFit="1" customWidth="1"/>
    <col min="12294" max="12545" width="9.140625" style="604"/>
    <col min="12546" max="12546" width="20.85546875" style="604" customWidth="1"/>
    <col min="12547" max="12547" width="10.5703125" style="604" bestFit="1" customWidth="1"/>
    <col min="12548" max="12549" width="12.7109375" style="604" bestFit="1" customWidth="1"/>
    <col min="12550" max="12801" width="9.140625" style="604"/>
    <col min="12802" max="12802" width="20.85546875" style="604" customWidth="1"/>
    <col min="12803" max="12803" width="10.5703125" style="604" bestFit="1" customWidth="1"/>
    <col min="12804" max="12805" width="12.7109375" style="604" bestFit="1" customWidth="1"/>
    <col min="12806" max="13057" width="9.140625" style="604"/>
    <col min="13058" max="13058" width="20.85546875" style="604" customWidth="1"/>
    <col min="13059" max="13059" width="10.5703125" style="604" bestFit="1" customWidth="1"/>
    <col min="13060" max="13061" width="12.7109375" style="604" bestFit="1" customWidth="1"/>
    <col min="13062" max="13313" width="9.140625" style="604"/>
    <col min="13314" max="13314" width="20.85546875" style="604" customWidth="1"/>
    <col min="13315" max="13315" width="10.5703125" style="604" bestFit="1" customWidth="1"/>
    <col min="13316" max="13317" width="12.7109375" style="604" bestFit="1" customWidth="1"/>
    <col min="13318" max="13569" width="9.140625" style="604"/>
    <col min="13570" max="13570" width="20.85546875" style="604" customWidth="1"/>
    <col min="13571" max="13571" width="10.5703125" style="604" bestFit="1" customWidth="1"/>
    <col min="13572" max="13573" width="12.7109375" style="604" bestFit="1" customWidth="1"/>
    <col min="13574" max="13825" width="9.140625" style="604"/>
    <col min="13826" max="13826" width="20.85546875" style="604" customWidth="1"/>
    <col min="13827" max="13827" width="10.5703125" style="604" bestFit="1" customWidth="1"/>
    <col min="13828" max="13829" width="12.7109375" style="604" bestFit="1" customWidth="1"/>
    <col min="13830" max="14081" width="9.140625" style="604"/>
    <col min="14082" max="14082" width="20.85546875" style="604" customWidth="1"/>
    <col min="14083" max="14083" width="10.5703125" style="604" bestFit="1" customWidth="1"/>
    <col min="14084" max="14085" width="12.7109375" style="604" bestFit="1" customWidth="1"/>
    <col min="14086" max="14337" width="9.140625" style="604"/>
    <col min="14338" max="14338" width="20.85546875" style="604" customWidth="1"/>
    <col min="14339" max="14339" width="10.5703125" style="604" bestFit="1" customWidth="1"/>
    <col min="14340" max="14341" width="12.7109375" style="604" bestFit="1" customWidth="1"/>
    <col min="14342" max="14593" width="9.140625" style="604"/>
    <col min="14594" max="14594" width="20.85546875" style="604" customWidth="1"/>
    <col min="14595" max="14595" width="10.5703125" style="604" bestFit="1" customWidth="1"/>
    <col min="14596" max="14597" width="12.7109375" style="604" bestFit="1" customWidth="1"/>
    <col min="14598" max="14849" width="9.140625" style="604"/>
    <col min="14850" max="14850" width="20.85546875" style="604" customWidth="1"/>
    <col min="14851" max="14851" width="10.5703125" style="604" bestFit="1" customWidth="1"/>
    <col min="14852" max="14853" width="12.7109375" style="604" bestFit="1" customWidth="1"/>
    <col min="14854" max="15105" width="9.140625" style="604"/>
    <col min="15106" max="15106" width="20.85546875" style="604" customWidth="1"/>
    <col min="15107" max="15107" width="10.5703125" style="604" bestFit="1" customWidth="1"/>
    <col min="15108" max="15109" width="12.7109375" style="604" bestFit="1" customWidth="1"/>
    <col min="15110" max="15361" width="9.140625" style="604"/>
    <col min="15362" max="15362" width="20.85546875" style="604" customWidth="1"/>
    <col min="15363" max="15363" width="10.5703125" style="604" bestFit="1" customWidth="1"/>
    <col min="15364" max="15365" width="12.7109375" style="604" bestFit="1" customWidth="1"/>
    <col min="15366" max="15617" width="9.140625" style="604"/>
    <col min="15618" max="15618" width="20.85546875" style="604" customWidth="1"/>
    <col min="15619" max="15619" width="10.5703125" style="604" bestFit="1" customWidth="1"/>
    <col min="15620" max="15621" width="12.7109375" style="604" bestFit="1" customWidth="1"/>
    <col min="15622" max="15873" width="9.140625" style="604"/>
    <col min="15874" max="15874" width="20.85546875" style="604" customWidth="1"/>
    <col min="15875" max="15875" width="10.5703125" style="604" bestFit="1" customWidth="1"/>
    <col min="15876" max="15877" width="12.7109375" style="604" bestFit="1" customWidth="1"/>
    <col min="15878" max="16129" width="9.140625" style="604"/>
    <col min="16130" max="16130" width="20.85546875" style="604" customWidth="1"/>
    <col min="16131" max="16131" width="10.5703125" style="604" bestFit="1" customWidth="1"/>
    <col min="16132" max="16133" width="12.7109375" style="604" bestFit="1" customWidth="1"/>
    <col min="16134" max="16384" width="9.140625" style="604"/>
  </cols>
  <sheetData>
    <row r="1" spans="3:6" ht="15.75" thickBot="1">
      <c r="C1" s="930"/>
      <c r="D1" s="931"/>
    </row>
    <row r="16" spans="3:6">
      <c r="F16" s="604">
        <v>1000</v>
      </c>
    </row>
    <row r="17" spans="2:12">
      <c r="F17" s="604">
        <v>75000</v>
      </c>
      <c r="G17" s="604">
        <f>F17+25700</f>
        <v>100700</v>
      </c>
    </row>
    <row r="18" spans="2:12">
      <c r="F18" s="901">
        <f>F16/F17</f>
        <v>1.3333333333333334E-2</v>
      </c>
      <c r="G18" s="901">
        <f>F16/G17</f>
        <v>9.9304865938430985E-3</v>
      </c>
    </row>
    <row r="19" spans="2:12">
      <c r="G19" s="604">
        <f>(G18-F18)/F18</f>
        <v>-0.25521350546176769</v>
      </c>
    </row>
    <row r="26" spans="2:12" ht="15.75" thickBot="1">
      <c r="D26" s="602"/>
      <c r="E26" s="602"/>
    </row>
    <row r="27" spans="2:12" ht="15">
      <c r="B27" s="610"/>
      <c r="C27" s="612" t="s">
        <v>996</v>
      </c>
      <c r="F27" s="569" t="s">
        <v>739</v>
      </c>
      <c r="G27" s="621">
        <f>G29*15300</f>
        <v>1147500000000</v>
      </c>
      <c r="I27" s="569"/>
    </row>
    <row r="28" spans="2:12" ht="15">
      <c r="B28" s="613" t="s">
        <v>737</v>
      </c>
      <c r="C28" s="615" t="e">
        <f>('Project Summary'!T15+'RNAV_No dilution'!S7-('RNAV_No dilution'!S7-'RNAV_No dilution'!S21))/'RNAV Summary'!G30*10^6</f>
        <v>#REF!</v>
      </c>
      <c r="F28" s="569" t="s">
        <v>741</v>
      </c>
      <c r="G28" s="621">
        <f>G27+I35*10^6</f>
        <v>1335000000000</v>
      </c>
      <c r="H28" s="569">
        <f>G27+I37*10^6</f>
        <v>1728210000000</v>
      </c>
      <c r="I28" s="569"/>
      <c r="J28" s="616">
        <f>G27/10^6+'RNAV_No dilution'!S22</f>
        <v>1568980</v>
      </c>
      <c r="K28" s="616">
        <f>G27/10^6+'RNAV_11,000'!S23</f>
        <v>1430200</v>
      </c>
      <c r="L28" s="616">
        <f>G27/10^6+'Valuation summary'!T30</f>
        <v>1404500</v>
      </c>
    </row>
    <row r="29" spans="2:12" ht="15">
      <c r="B29" s="613" t="s">
        <v>997</v>
      </c>
      <c r="C29" s="615">
        <f>G32</f>
        <v>14240</v>
      </c>
      <c r="F29" s="569" t="s">
        <v>742</v>
      </c>
      <c r="G29" s="569">
        <v>75000000</v>
      </c>
      <c r="H29" s="569"/>
      <c r="I29" s="569"/>
      <c r="J29" s="616">
        <f>G29+G36</f>
        <v>100700000</v>
      </c>
    </row>
    <row r="30" spans="2:12" ht="15.75" thickBot="1">
      <c r="B30" s="617" t="s">
        <v>732</v>
      </c>
      <c r="C30" s="795" t="e">
        <f>(C28/C29)-1</f>
        <v>#REF!</v>
      </c>
      <c r="F30" s="609" t="s">
        <v>743</v>
      </c>
      <c r="G30" s="621">
        <f>G29+G35</f>
        <v>93750000</v>
      </c>
      <c r="H30" s="569">
        <f>G29+SUM(G35:G36)</f>
        <v>119450000</v>
      </c>
      <c r="I30" s="569"/>
      <c r="J30" s="604">
        <f>J28/$J$29*10^6</f>
        <v>15580.734856007944</v>
      </c>
      <c r="K30" s="796">
        <f>K28/$J$29*10^6</f>
        <v>14202.581926514398</v>
      </c>
      <c r="L30" s="796">
        <f>L28/$J$29*10^6</f>
        <v>13947.368421052632</v>
      </c>
    </row>
    <row r="31" spans="2:12" ht="15.75" thickBot="1">
      <c r="F31" s="600"/>
      <c r="G31" s="598"/>
      <c r="H31" s="600"/>
      <c r="I31" s="601"/>
      <c r="J31" s="601"/>
      <c r="K31" s="602"/>
    </row>
    <row r="32" spans="2:12" ht="15.75" thickBot="1">
      <c r="C32" s="2267" t="s">
        <v>733</v>
      </c>
      <c r="D32" s="2268"/>
      <c r="E32" s="2269"/>
      <c r="F32" s="569"/>
      <c r="G32" s="568">
        <f>G28/G30</f>
        <v>14240</v>
      </c>
      <c r="H32" s="797">
        <f>H28/H30</f>
        <v>14468.061950606949</v>
      </c>
      <c r="I32" s="569"/>
      <c r="J32" s="569"/>
      <c r="K32" s="616"/>
    </row>
    <row r="33" spans="2:11" ht="15.75" thickBot="1">
      <c r="B33" s="610"/>
      <c r="C33" s="611" t="s">
        <v>734</v>
      </c>
      <c r="D33" s="611" t="s">
        <v>735</v>
      </c>
      <c r="E33" s="612" t="s">
        <v>736</v>
      </c>
      <c r="G33" s="569"/>
      <c r="H33" s="568"/>
      <c r="I33" s="569"/>
      <c r="J33" s="606"/>
      <c r="K33" s="622"/>
    </row>
    <row r="34" spans="2:11" ht="15">
      <c r="B34" s="613" t="s">
        <v>737</v>
      </c>
      <c r="C34" s="614" t="e">
        <f>(SUM('RNAV_No dilution'!S10:S13,'RNAV_No dilution'!V22)/(G29+G36)*10^6)</f>
        <v>#REF!</v>
      </c>
      <c r="D34" s="614" t="e">
        <f>(SUM('RNAV_11,000'!S10:S14,'RNAV_11,000'!U23)/(G29+G36)*10^6)</f>
        <v>#REF!</v>
      </c>
      <c r="E34" s="615" t="e">
        <f>(SUM('Valuation summary'!T16:T20,'Valuation summary'!V30)/(G29+G36)*10^6)</f>
        <v>#REF!</v>
      </c>
      <c r="G34" s="623" t="s">
        <v>744</v>
      </c>
      <c r="H34" s="625" t="s">
        <v>745</v>
      </c>
      <c r="I34" s="625"/>
      <c r="J34" s="568"/>
    </row>
    <row r="35" spans="2:11" ht="15">
      <c r="B35" s="613" t="s">
        <v>738</v>
      </c>
      <c r="C35" s="614">
        <f>J30</f>
        <v>15580.734856007944</v>
      </c>
      <c r="D35" s="614">
        <f>K30</f>
        <v>14202.581926514398</v>
      </c>
      <c r="E35" s="615">
        <f>L30</f>
        <v>13947.368421052632</v>
      </c>
      <c r="G35" s="627">
        <f>75000000*0.25</f>
        <v>18750000</v>
      </c>
      <c r="H35" s="578">
        <v>10000</v>
      </c>
      <c r="I35" s="578">
        <f>H35*G35/10^6</f>
        <v>187500</v>
      </c>
      <c r="J35" s="798">
        <f>J29/4</f>
        <v>25175000</v>
      </c>
      <c r="K35" s="796">
        <f>J35*H35/10^6</f>
        <v>251750</v>
      </c>
    </row>
    <row r="36" spans="2:11" ht="15.75" thickBot="1">
      <c r="B36" s="617" t="s">
        <v>732</v>
      </c>
      <c r="C36" s="618" t="e">
        <f>(C34/C35)-1</f>
        <v>#REF!</v>
      </c>
      <c r="D36" s="618" t="e">
        <f>(D34/D35)-1</f>
        <v>#REF!</v>
      </c>
      <c r="E36" s="795" t="e">
        <f>(E34/E35)-1</f>
        <v>#REF!</v>
      </c>
      <c r="G36" s="627">
        <v>25700000</v>
      </c>
      <c r="H36" s="578">
        <v>15300</v>
      </c>
      <c r="I36" s="578">
        <f>H36*G36/10^6</f>
        <v>393210</v>
      </c>
      <c r="J36" s="568"/>
    </row>
    <row r="37" spans="2:11" ht="15" thickBot="1">
      <c r="G37" s="629"/>
      <c r="H37" s="631">
        <f>I37/(SUM(G35:G36)*10^-6)</f>
        <v>13064.341957255345</v>
      </c>
      <c r="I37" s="631">
        <f>SUM(I35:I36)</f>
        <v>580710</v>
      </c>
      <c r="J37" s="568"/>
    </row>
    <row r="38" spans="2:11" ht="15.75" thickBot="1">
      <c r="C38" s="2267" t="s">
        <v>998</v>
      </c>
      <c r="D38" s="2268"/>
      <c r="E38" s="2269"/>
    </row>
    <row r="39" spans="2:11" ht="15">
      <c r="B39" s="610"/>
      <c r="C39" s="611" t="s">
        <v>734</v>
      </c>
      <c r="D39" s="611" t="s">
        <v>735</v>
      </c>
      <c r="E39" s="612" t="s">
        <v>736</v>
      </c>
      <c r="H39" s="796">
        <f>(J29+J35)*10^6</f>
        <v>125875000000000</v>
      </c>
    </row>
    <row r="40" spans="2:11" ht="15">
      <c r="B40" s="613" t="s">
        <v>737</v>
      </c>
      <c r="C40" s="614" t="e">
        <f>(SUM('RNAV_No dilution'!S10:S13,('RNAV_No dilution'!S22+'RNAV Summary'!K35-'RNAV_No dilution'!T21-'RNAV_No dilution'!T22)))/(J29+J35)*10^6</f>
        <v>#REF!</v>
      </c>
      <c r="D40" s="614" t="e">
        <f>(SUM('RNAV_11,000'!S10:S14,('RNAV_11,000'!S23+'RNAV Summary'!K35-'RNAV_11,000'!T22-'RNAV_11,000'!T23)))/(J29+J35)*10^6</f>
        <v>#REF!</v>
      </c>
      <c r="E40" s="615" t="e">
        <f>(SUM('Valuation summary'!T16:T20,('Valuation summary'!T30+'RNAV Summary'!K35-'Valuation summary'!U29-'Valuation summary'!U30)))/(J29+J35)*10^6</f>
        <v>#REF!</v>
      </c>
    </row>
    <row r="41" spans="2:11" ht="15">
      <c r="B41" s="613" t="s">
        <v>738</v>
      </c>
      <c r="C41" s="614">
        <f>(J28+$K$35)/($J$29+$J$35)*10^6</f>
        <v>14464.587884806357</v>
      </c>
      <c r="D41" s="614">
        <f>(K28+$K$35)/($J$29+$J$35)*10^6</f>
        <v>13362.065541211519</v>
      </c>
      <c r="E41" s="614">
        <f>(L28+$K$35)/($J$29+$J$35)*10^6</f>
        <v>13157.894736842105</v>
      </c>
      <c r="G41" s="616" t="e">
        <f>('RNAV_No dilution'!S22+'RNAV Summary'!K35-'RNAV_No dilution'!T21-'RNAV_No dilution'!T22)</f>
        <v>#REF!</v>
      </c>
      <c r="H41" s="616" t="e">
        <f>('RNAV_11,000'!S23+'RNAV Summary'!K35-'RNAV_11,000'!T22-'RNAV_11,000'!T23)</f>
        <v>#REF!</v>
      </c>
      <c r="I41" s="616" t="e">
        <f>('Valuation summary'!T30+'RNAV Summary'!K35-'Valuation summary'!U29-'Valuation summary'!U30)</f>
        <v>#REF!</v>
      </c>
    </row>
    <row r="42" spans="2:11" ht="15.75" thickBot="1">
      <c r="B42" s="617" t="s">
        <v>732</v>
      </c>
      <c r="C42" s="618" t="e">
        <f>(C40/C41)-1</f>
        <v>#REF!</v>
      </c>
      <c r="D42" s="618" t="e">
        <f>(D40/D41)-1</f>
        <v>#REF!</v>
      </c>
      <c r="E42" s="795" t="e">
        <f>(E40/E41)-1</f>
        <v>#REF!</v>
      </c>
    </row>
  </sheetData>
  <mergeCells count="2">
    <mergeCell ref="C38:E38"/>
    <mergeCell ref="C32:E32"/>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27"/>
  <sheetViews>
    <sheetView zoomScaleNormal="100" workbookViewId="0">
      <pane xSplit="2" ySplit="2" topLeftCell="N3" activePane="bottomRight" state="frozen"/>
      <selection activeCell="N63" sqref="N63"/>
      <selection pane="topRight" activeCell="N63" sqref="N63"/>
      <selection pane="bottomLeft" activeCell="N63" sqref="N63"/>
      <selection pane="bottomRight" activeCell="S9" sqref="S9"/>
    </sheetView>
  </sheetViews>
  <sheetFormatPr defaultRowHeight="12"/>
  <cols>
    <col min="1" max="1" width="4" style="568" customWidth="1"/>
    <col min="2" max="2" width="23.140625" style="568" bestFit="1" customWidth="1"/>
    <col min="3" max="3" width="17.140625" style="568" customWidth="1"/>
    <col min="4" max="4" width="24.140625" style="568" customWidth="1"/>
    <col min="5" max="5" width="14.85546875" style="568" customWidth="1"/>
    <col min="6" max="6" width="15.42578125" style="568" customWidth="1"/>
    <col min="7" max="7" width="14.42578125" style="568" customWidth="1"/>
    <col min="8" max="8" width="9" style="568" customWidth="1"/>
    <col min="9" max="9" width="29.7109375" style="568" customWidth="1"/>
    <col min="10" max="10" width="16.5703125" style="568" customWidth="1"/>
    <col min="11" max="11" width="29.42578125" style="568" customWidth="1"/>
    <col min="12" max="12" width="8.5703125" style="568" bestFit="1" customWidth="1"/>
    <col min="13" max="14" width="12.5703125" style="569" customWidth="1"/>
    <col min="15" max="15" width="16.42578125" style="569" customWidth="1"/>
    <col min="16" max="16" width="15.7109375" style="569" customWidth="1"/>
    <col min="17" max="17" width="38.140625" style="568" hidden="1" customWidth="1"/>
    <col min="18" max="18" width="15.42578125" style="569" customWidth="1"/>
    <col min="19" max="19" width="16.85546875" style="569" customWidth="1"/>
    <col min="20" max="20" width="52.85546875" style="568" customWidth="1"/>
    <col min="21" max="21" width="17" style="568" bestFit="1" customWidth="1"/>
    <col min="22" max="22" width="10.140625" style="568" customWidth="1"/>
    <col min="23" max="256" width="9.140625" style="568"/>
    <col min="257" max="257" width="4" style="568" customWidth="1"/>
    <col min="258" max="258" width="23.140625" style="568" bestFit="1" customWidth="1"/>
    <col min="259" max="259" width="17.140625" style="568" customWidth="1"/>
    <col min="260" max="260" width="24.140625" style="568" customWidth="1"/>
    <col min="261" max="261" width="14.85546875" style="568" customWidth="1"/>
    <col min="262" max="262" width="15.42578125" style="568" customWidth="1"/>
    <col min="263" max="263" width="14.42578125" style="568" customWidth="1"/>
    <col min="264" max="264" width="9" style="568" customWidth="1"/>
    <col min="265" max="265" width="29.7109375" style="568" customWidth="1"/>
    <col min="266" max="266" width="16.5703125" style="568" customWidth="1"/>
    <col min="267" max="267" width="29.42578125" style="568" customWidth="1"/>
    <col min="268" max="268" width="8.5703125" style="568" bestFit="1" customWidth="1"/>
    <col min="269" max="270" width="12.5703125" style="568" customWidth="1"/>
    <col min="271" max="271" width="16.42578125" style="568" customWidth="1"/>
    <col min="272" max="272" width="15.7109375" style="568" customWidth="1"/>
    <col min="273" max="273" width="0" style="568" hidden="1" customWidth="1"/>
    <col min="274" max="274" width="15.42578125" style="568" customWidth="1"/>
    <col min="275" max="275" width="16.85546875" style="568" customWidth="1"/>
    <col min="276" max="276" width="52.85546875" style="568" customWidth="1"/>
    <col min="277" max="277" width="17" style="568" bestFit="1" customWidth="1"/>
    <col min="278" max="278" width="10.140625" style="568" customWidth="1"/>
    <col min="279" max="512" width="9.140625" style="568"/>
    <col min="513" max="513" width="4" style="568" customWidth="1"/>
    <col min="514" max="514" width="23.140625" style="568" bestFit="1" customWidth="1"/>
    <col min="515" max="515" width="17.140625" style="568" customWidth="1"/>
    <col min="516" max="516" width="24.140625" style="568" customWidth="1"/>
    <col min="517" max="517" width="14.85546875" style="568" customWidth="1"/>
    <col min="518" max="518" width="15.42578125" style="568" customWidth="1"/>
    <col min="519" max="519" width="14.42578125" style="568" customWidth="1"/>
    <col min="520" max="520" width="9" style="568" customWidth="1"/>
    <col min="521" max="521" width="29.7109375" style="568" customWidth="1"/>
    <col min="522" max="522" width="16.5703125" style="568" customWidth="1"/>
    <col min="523" max="523" width="29.42578125" style="568" customWidth="1"/>
    <col min="524" max="524" width="8.5703125" style="568" bestFit="1" customWidth="1"/>
    <col min="525" max="526" width="12.5703125" style="568" customWidth="1"/>
    <col min="527" max="527" width="16.42578125" style="568" customWidth="1"/>
    <col min="528" max="528" width="15.7109375" style="568" customWidth="1"/>
    <col min="529" max="529" width="0" style="568" hidden="1" customWidth="1"/>
    <col min="530" max="530" width="15.42578125" style="568" customWidth="1"/>
    <col min="531" max="531" width="16.85546875" style="568" customWidth="1"/>
    <col min="532" max="532" width="52.85546875" style="568" customWidth="1"/>
    <col min="533" max="533" width="17" style="568" bestFit="1" customWidth="1"/>
    <col min="534" max="534" width="10.140625" style="568" customWidth="1"/>
    <col min="535" max="768" width="9.140625" style="568"/>
    <col min="769" max="769" width="4" style="568" customWidth="1"/>
    <col min="770" max="770" width="23.140625" style="568" bestFit="1" customWidth="1"/>
    <col min="771" max="771" width="17.140625" style="568" customWidth="1"/>
    <col min="772" max="772" width="24.140625" style="568" customWidth="1"/>
    <col min="773" max="773" width="14.85546875" style="568" customWidth="1"/>
    <col min="774" max="774" width="15.42578125" style="568" customWidth="1"/>
    <col min="775" max="775" width="14.42578125" style="568" customWidth="1"/>
    <col min="776" max="776" width="9" style="568" customWidth="1"/>
    <col min="777" max="777" width="29.7109375" style="568" customWidth="1"/>
    <col min="778" max="778" width="16.5703125" style="568" customWidth="1"/>
    <col min="779" max="779" width="29.42578125" style="568" customWidth="1"/>
    <col min="780" max="780" width="8.5703125" style="568" bestFit="1" customWidth="1"/>
    <col min="781" max="782" width="12.5703125" style="568" customWidth="1"/>
    <col min="783" max="783" width="16.42578125" style="568" customWidth="1"/>
    <col min="784" max="784" width="15.7109375" style="568" customWidth="1"/>
    <col min="785" max="785" width="0" style="568" hidden="1" customWidth="1"/>
    <col min="786" max="786" width="15.42578125" style="568" customWidth="1"/>
    <col min="787" max="787" width="16.85546875" style="568" customWidth="1"/>
    <col min="788" max="788" width="52.85546875" style="568" customWidth="1"/>
    <col min="789" max="789" width="17" style="568" bestFit="1" customWidth="1"/>
    <col min="790" max="790" width="10.140625" style="568" customWidth="1"/>
    <col min="791" max="1024" width="9.140625" style="568"/>
    <col min="1025" max="1025" width="4" style="568" customWidth="1"/>
    <col min="1026" max="1026" width="23.140625" style="568" bestFit="1" customWidth="1"/>
    <col min="1027" max="1027" width="17.140625" style="568" customWidth="1"/>
    <col min="1028" max="1028" width="24.140625" style="568" customWidth="1"/>
    <col min="1029" max="1029" width="14.85546875" style="568" customWidth="1"/>
    <col min="1030" max="1030" width="15.42578125" style="568" customWidth="1"/>
    <col min="1031" max="1031" width="14.42578125" style="568" customWidth="1"/>
    <col min="1032" max="1032" width="9" style="568" customWidth="1"/>
    <col min="1033" max="1033" width="29.7109375" style="568" customWidth="1"/>
    <col min="1034" max="1034" width="16.5703125" style="568" customWidth="1"/>
    <col min="1035" max="1035" width="29.42578125" style="568" customWidth="1"/>
    <col min="1036" max="1036" width="8.5703125" style="568" bestFit="1" customWidth="1"/>
    <col min="1037" max="1038" width="12.5703125" style="568" customWidth="1"/>
    <col min="1039" max="1039" width="16.42578125" style="568" customWidth="1"/>
    <col min="1040" max="1040" width="15.7109375" style="568" customWidth="1"/>
    <col min="1041" max="1041" width="0" style="568" hidden="1" customWidth="1"/>
    <col min="1042" max="1042" width="15.42578125" style="568" customWidth="1"/>
    <col min="1043" max="1043" width="16.85546875" style="568" customWidth="1"/>
    <col min="1044" max="1044" width="52.85546875" style="568" customWidth="1"/>
    <col min="1045" max="1045" width="17" style="568" bestFit="1" customWidth="1"/>
    <col min="1046" max="1046" width="10.140625" style="568" customWidth="1"/>
    <col min="1047" max="1280" width="9.140625" style="568"/>
    <col min="1281" max="1281" width="4" style="568" customWidth="1"/>
    <col min="1282" max="1282" width="23.140625" style="568" bestFit="1" customWidth="1"/>
    <col min="1283" max="1283" width="17.140625" style="568" customWidth="1"/>
    <col min="1284" max="1284" width="24.140625" style="568" customWidth="1"/>
    <col min="1285" max="1285" width="14.85546875" style="568" customWidth="1"/>
    <col min="1286" max="1286" width="15.42578125" style="568" customWidth="1"/>
    <col min="1287" max="1287" width="14.42578125" style="568" customWidth="1"/>
    <col min="1288" max="1288" width="9" style="568" customWidth="1"/>
    <col min="1289" max="1289" width="29.7109375" style="568" customWidth="1"/>
    <col min="1290" max="1290" width="16.5703125" style="568" customWidth="1"/>
    <col min="1291" max="1291" width="29.42578125" style="568" customWidth="1"/>
    <col min="1292" max="1292" width="8.5703125" style="568" bestFit="1" customWidth="1"/>
    <col min="1293" max="1294" width="12.5703125" style="568" customWidth="1"/>
    <col min="1295" max="1295" width="16.42578125" style="568" customWidth="1"/>
    <col min="1296" max="1296" width="15.7109375" style="568" customWidth="1"/>
    <col min="1297" max="1297" width="0" style="568" hidden="1" customWidth="1"/>
    <col min="1298" max="1298" width="15.42578125" style="568" customWidth="1"/>
    <col min="1299" max="1299" width="16.85546875" style="568" customWidth="1"/>
    <col min="1300" max="1300" width="52.85546875" style="568" customWidth="1"/>
    <col min="1301" max="1301" width="17" style="568" bestFit="1" customWidth="1"/>
    <col min="1302" max="1302" width="10.140625" style="568" customWidth="1"/>
    <col min="1303" max="1536" width="9.140625" style="568"/>
    <col min="1537" max="1537" width="4" style="568" customWidth="1"/>
    <col min="1538" max="1538" width="23.140625" style="568" bestFit="1" customWidth="1"/>
    <col min="1539" max="1539" width="17.140625" style="568" customWidth="1"/>
    <col min="1540" max="1540" width="24.140625" style="568" customWidth="1"/>
    <col min="1541" max="1541" width="14.85546875" style="568" customWidth="1"/>
    <col min="1542" max="1542" width="15.42578125" style="568" customWidth="1"/>
    <col min="1543" max="1543" width="14.42578125" style="568" customWidth="1"/>
    <col min="1544" max="1544" width="9" style="568" customWidth="1"/>
    <col min="1545" max="1545" width="29.7109375" style="568" customWidth="1"/>
    <col min="1546" max="1546" width="16.5703125" style="568" customWidth="1"/>
    <col min="1547" max="1547" width="29.42578125" style="568" customWidth="1"/>
    <col min="1548" max="1548" width="8.5703125" style="568" bestFit="1" customWidth="1"/>
    <col min="1549" max="1550" width="12.5703125" style="568" customWidth="1"/>
    <col min="1551" max="1551" width="16.42578125" style="568" customWidth="1"/>
    <col min="1552" max="1552" width="15.7109375" style="568" customWidth="1"/>
    <col min="1553" max="1553" width="0" style="568" hidden="1" customWidth="1"/>
    <col min="1554" max="1554" width="15.42578125" style="568" customWidth="1"/>
    <col min="1555" max="1555" width="16.85546875" style="568" customWidth="1"/>
    <col min="1556" max="1556" width="52.85546875" style="568" customWidth="1"/>
    <col min="1557" max="1557" width="17" style="568" bestFit="1" customWidth="1"/>
    <col min="1558" max="1558" width="10.140625" style="568" customWidth="1"/>
    <col min="1559" max="1792" width="9.140625" style="568"/>
    <col min="1793" max="1793" width="4" style="568" customWidth="1"/>
    <col min="1794" max="1794" width="23.140625" style="568" bestFit="1" customWidth="1"/>
    <col min="1795" max="1795" width="17.140625" style="568" customWidth="1"/>
    <col min="1796" max="1796" width="24.140625" style="568" customWidth="1"/>
    <col min="1797" max="1797" width="14.85546875" style="568" customWidth="1"/>
    <col min="1798" max="1798" width="15.42578125" style="568" customWidth="1"/>
    <col min="1799" max="1799" width="14.42578125" style="568" customWidth="1"/>
    <col min="1800" max="1800" width="9" style="568" customWidth="1"/>
    <col min="1801" max="1801" width="29.7109375" style="568" customWidth="1"/>
    <col min="1802" max="1802" width="16.5703125" style="568" customWidth="1"/>
    <col min="1803" max="1803" width="29.42578125" style="568" customWidth="1"/>
    <col min="1804" max="1804" width="8.5703125" style="568" bestFit="1" customWidth="1"/>
    <col min="1805" max="1806" width="12.5703125" style="568" customWidth="1"/>
    <col min="1807" max="1807" width="16.42578125" style="568" customWidth="1"/>
    <col min="1808" max="1808" width="15.7109375" style="568" customWidth="1"/>
    <col min="1809" max="1809" width="0" style="568" hidden="1" customWidth="1"/>
    <col min="1810" max="1810" width="15.42578125" style="568" customWidth="1"/>
    <col min="1811" max="1811" width="16.85546875" style="568" customWidth="1"/>
    <col min="1812" max="1812" width="52.85546875" style="568" customWidth="1"/>
    <col min="1813" max="1813" width="17" style="568" bestFit="1" customWidth="1"/>
    <col min="1814" max="1814" width="10.140625" style="568" customWidth="1"/>
    <col min="1815" max="2048" width="9.140625" style="568"/>
    <col min="2049" max="2049" width="4" style="568" customWidth="1"/>
    <col min="2050" max="2050" width="23.140625" style="568" bestFit="1" customWidth="1"/>
    <col min="2051" max="2051" width="17.140625" style="568" customWidth="1"/>
    <col min="2052" max="2052" width="24.140625" style="568" customWidth="1"/>
    <col min="2053" max="2053" width="14.85546875" style="568" customWidth="1"/>
    <col min="2054" max="2054" width="15.42578125" style="568" customWidth="1"/>
    <col min="2055" max="2055" width="14.42578125" style="568" customWidth="1"/>
    <col min="2056" max="2056" width="9" style="568" customWidth="1"/>
    <col min="2057" max="2057" width="29.7109375" style="568" customWidth="1"/>
    <col min="2058" max="2058" width="16.5703125" style="568" customWidth="1"/>
    <col min="2059" max="2059" width="29.42578125" style="568" customWidth="1"/>
    <col min="2060" max="2060" width="8.5703125" style="568" bestFit="1" customWidth="1"/>
    <col min="2061" max="2062" width="12.5703125" style="568" customWidth="1"/>
    <col min="2063" max="2063" width="16.42578125" style="568" customWidth="1"/>
    <col min="2064" max="2064" width="15.7109375" style="568" customWidth="1"/>
    <col min="2065" max="2065" width="0" style="568" hidden="1" customWidth="1"/>
    <col min="2066" max="2066" width="15.42578125" style="568" customWidth="1"/>
    <col min="2067" max="2067" width="16.85546875" style="568" customWidth="1"/>
    <col min="2068" max="2068" width="52.85546875" style="568" customWidth="1"/>
    <col min="2069" max="2069" width="17" style="568" bestFit="1" customWidth="1"/>
    <col min="2070" max="2070" width="10.140625" style="568" customWidth="1"/>
    <col min="2071" max="2304" width="9.140625" style="568"/>
    <col min="2305" max="2305" width="4" style="568" customWidth="1"/>
    <col min="2306" max="2306" width="23.140625" style="568" bestFit="1" customWidth="1"/>
    <col min="2307" max="2307" width="17.140625" style="568" customWidth="1"/>
    <col min="2308" max="2308" width="24.140625" style="568" customWidth="1"/>
    <col min="2309" max="2309" width="14.85546875" style="568" customWidth="1"/>
    <col min="2310" max="2310" width="15.42578125" style="568" customWidth="1"/>
    <col min="2311" max="2311" width="14.42578125" style="568" customWidth="1"/>
    <col min="2312" max="2312" width="9" style="568" customWidth="1"/>
    <col min="2313" max="2313" width="29.7109375" style="568" customWidth="1"/>
    <col min="2314" max="2314" width="16.5703125" style="568" customWidth="1"/>
    <col min="2315" max="2315" width="29.42578125" style="568" customWidth="1"/>
    <col min="2316" max="2316" width="8.5703125" style="568" bestFit="1" customWidth="1"/>
    <col min="2317" max="2318" width="12.5703125" style="568" customWidth="1"/>
    <col min="2319" max="2319" width="16.42578125" style="568" customWidth="1"/>
    <col min="2320" max="2320" width="15.7109375" style="568" customWidth="1"/>
    <col min="2321" max="2321" width="0" style="568" hidden="1" customWidth="1"/>
    <col min="2322" max="2322" width="15.42578125" style="568" customWidth="1"/>
    <col min="2323" max="2323" width="16.85546875" style="568" customWidth="1"/>
    <col min="2324" max="2324" width="52.85546875" style="568" customWidth="1"/>
    <col min="2325" max="2325" width="17" style="568" bestFit="1" customWidth="1"/>
    <col min="2326" max="2326" width="10.140625" style="568" customWidth="1"/>
    <col min="2327" max="2560" width="9.140625" style="568"/>
    <col min="2561" max="2561" width="4" style="568" customWidth="1"/>
    <col min="2562" max="2562" width="23.140625" style="568" bestFit="1" customWidth="1"/>
    <col min="2563" max="2563" width="17.140625" style="568" customWidth="1"/>
    <col min="2564" max="2564" width="24.140625" style="568" customWidth="1"/>
    <col min="2565" max="2565" width="14.85546875" style="568" customWidth="1"/>
    <col min="2566" max="2566" width="15.42578125" style="568" customWidth="1"/>
    <col min="2567" max="2567" width="14.42578125" style="568" customWidth="1"/>
    <col min="2568" max="2568" width="9" style="568" customWidth="1"/>
    <col min="2569" max="2569" width="29.7109375" style="568" customWidth="1"/>
    <col min="2570" max="2570" width="16.5703125" style="568" customWidth="1"/>
    <col min="2571" max="2571" width="29.42578125" style="568" customWidth="1"/>
    <col min="2572" max="2572" width="8.5703125" style="568" bestFit="1" customWidth="1"/>
    <col min="2573" max="2574" width="12.5703125" style="568" customWidth="1"/>
    <col min="2575" max="2575" width="16.42578125" style="568" customWidth="1"/>
    <col min="2576" max="2576" width="15.7109375" style="568" customWidth="1"/>
    <col min="2577" max="2577" width="0" style="568" hidden="1" customWidth="1"/>
    <col min="2578" max="2578" width="15.42578125" style="568" customWidth="1"/>
    <col min="2579" max="2579" width="16.85546875" style="568" customWidth="1"/>
    <col min="2580" max="2580" width="52.85546875" style="568" customWidth="1"/>
    <col min="2581" max="2581" width="17" style="568" bestFit="1" customWidth="1"/>
    <col min="2582" max="2582" width="10.140625" style="568" customWidth="1"/>
    <col min="2583" max="2816" width="9.140625" style="568"/>
    <col min="2817" max="2817" width="4" style="568" customWidth="1"/>
    <col min="2818" max="2818" width="23.140625" style="568" bestFit="1" customWidth="1"/>
    <col min="2819" max="2819" width="17.140625" style="568" customWidth="1"/>
    <col min="2820" max="2820" width="24.140625" style="568" customWidth="1"/>
    <col min="2821" max="2821" width="14.85546875" style="568" customWidth="1"/>
    <col min="2822" max="2822" width="15.42578125" style="568" customWidth="1"/>
    <col min="2823" max="2823" width="14.42578125" style="568" customWidth="1"/>
    <col min="2824" max="2824" width="9" style="568" customWidth="1"/>
    <col min="2825" max="2825" width="29.7109375" style="568" customWidth="1"/>
    <col min="2826" max="2826" width="16.5703125" style="568" customWidth="1"/>
    <col min="2827" max="2827" width="29.42578125" style="568" customWidth="1"/>
    <col min="2828" max="2828" width="8.5703125" style="568" bestFit="1" customWidth="1"/>
    <col min="2829" max="2830" width="12.5703125" style="568" customWidth="1"/>
    <col min="2831" max="2831" width="16.42578125" style="568" customWidth="1"/>
    <col min="2832" max="2832" width="15.7109375" style="568" customWidth="1"/>
    <col min="2833" max="2833" width="0" style="568" hidden="1" customWidth="1"/>
    <col min="2834" max="2834" width="15.42578125" style="568" customWidth="1"/>
    <col min="2835" max="2835" width="16.85546875" style="568" customWidth="1"/>
    <col min="2836" max="2836" width="52.85546875" style="568" customWidth="1"/>
    <col min="2837" max="2837" width="17" style="568" bestFit="1" customWidth="1"/>
    <col min="2838" max="2838" width="10.140625" style="568" customWidth="1"/>
    <col min="2839" max="3072" width="9.140625" style="568"/>
    <col min="3073" max="3073" width="4" style="568" customWidth="1"/>
    <col min="3074" max="3074" width="23.140625" style="568" bestFit="1" customWidth="1"/>
    <col min="3075" max="3075" width="17.140625" style="568" customWidth="1"/>
    <col min="3076" max="3076" width="24.140625" style="568" customWidth="1"/>
    <col min="3077" max="3077" width="14.85546875" style="568" customWidth="1"/>
    <col min="3078" max="3078" width="15.42578125" style="568" customWidth="1"/>
    <col min="3079" max="3079" width="14.42578125" style="568" customWidth="1"/>
    <col min="3080" max="3080" width="9" style="568" customWidth="1"/>
    <col min="3081" max="3081" width="29.7109375" style="568" customWidth="1"/>
    <col min="3082" max="3082" width="16.5703125" style="568" customWidth="1"/>
    <col min="3083" max="3083" width="29.42578125" style="568" customWidth="1"/>
    <col min="3084" max="3084" width="8.5703125" style="568" bestFit="1" customWidth="1"/>
    <col min="3085" max="3086" width="12.5703125" style="568" customWidth="1"/>
    <col min="3087" max="3087" width="16.42578125" style="568" customWidth="1"/>
    <col min="3088" max="3088" width="15.7109375" style="568" customWidth="1"/>
    <col min="3089" max="3089" width="0" style="568" hidden="1" customWidth="1"/>
    <col min="3090" max="3090" width="15.42578125" style="568" customWidth="1"/>
    <col min="3091" max="3091" width="16.85546875" style="568" customWidth="1"/>
    <col min="3092" max="3092" width="52.85546875" style="568" customWidth="1"/>
    <col min="3093" max="3093" width="17" style="568" bestFit="1" customWidth="1"/>
    <col min="3094" max="3094" width="10.140625" style="568" customWidth="1"/>
    <col min="3095" max="3328" width="9.140625" style="568"/>
    <col min="3329" max="3329" width="4" style="568" customWidth="1"/>
    <col min="3330" max="3330" width="23.140625" style="568" bestFit="1" customWidth="1"/>
    <col min="3331" max="3331" width="17.140625" style="568" customWidth="1"/>
    <col min="3332" max="3332" width="24.140625" style="568" customWidth="1"/>
    <col min="3333" max="3333" width="14.85546875" style="568" customWidth="1"/>
    <col min="3334" max="3334" width="15.42578125" style="568" customWidth="1"/>
    <col min="3335" max="3335" width="14.42578125" style="568" customWidth="1"/>
    <col min="3336" max="3336" width="9" style="568" customWidth="1"/>
    <col min="3337" max="3337" width="29.7109375" style="568" customWidth="1"/>
    <col min="3338" max="3338" width="16.5703125" style="568" customWidth="1"/>
    <col min="3339" max="3339" width="29.42578125" style="568" customWidth="1"/>
    <col min="3340" max="3340" width="8.5703125" style="568" bestFit="1" customWidth="1"/>
    <col min="3341" max="3342" width="12.5703125" style="568" customWidth="1"/>
    <col min="3343" max="3343" width="16.42578125" style="568" customWidth="1"/>
    <col min="3344" max="3344" width="15.7109375" style="568" customWidth="1"/>
    <col min="3345" max="3345" width="0" style="568" hidden="1" customWidth="1"/>
    <col min="3346" max="3346" width="15.42578125" style="568" customWidth="1"/>
    <col min="3347" max="3347" width="16.85546875" style="568" customWidth="1"/>
    <col min="3348" max="3348" width="52.85546875" style="568" customWidth="1"/>
    <col min="3349" max="3349" width="17" style="568" bestFit="1" customWidth="1"/>
    <col min="3350" max="3350" width="10.140625" style="568" customWidth="1"/>
    <col min="3351" max="3584" width="9.140625" style="568"/>
    <col min="3585" max="3585" width="4" style="568" customWidth="1"/>
    <col min="3586" max="3586" width="23.140625" style="568" bestFit="1" customWidth="1"/>
    <col min="3587" max="3587" width="17.140625" style="568" customWidth="1"/>
    <col min="3588" max="3588" width="24.140625" style="568" customWidth="1"/>
    <col min="3589" max="3589" width="14.85546875" style="568" customWidth="1"/>
    <col min="3590" max="3590" width="15.42578125" style="568" customWidth="1"/>
    <col min="3591" max="3591" width="14.42578125" style="568" customWidth="1"/>
    <col min="3592" max="3592" width="9" style="568" customWidth="1"/>
    <col min="3593" max="3593" width="29.7109375" style="568" customWidth="1"/>
    <col min="3594" max="3594" width="16.5703125" style="568" customWidth="1"/>
    <col min="3595" max="3595" width="29.42578125" style="568" customWidth="1"/>
    <col min="3596" max="3596" width="8.5703125" style="568" bestFit="1" customWidth="1"/>
    <col min="3597" max="3598" width="12.5703125" style="568" customWidth="1"/>
    <col min="3599" max="3599" width="16.42578125" style="568" customWidth="1"/>
    <col min="3600" max="3600" width="15.7109375" style="568" customWidth="1"/>
    <col min="3601" max="3601" width="0" style="568" hidden="1" customWidth="1"/>
    <col min="3602" max="3602" width="15.42578125" style="568" customWidth="1"/>
    <col min="3603" max="3603" width="16.85546875" style="568" customWidth="1"/>
    <col min="3604" max="3604" width="52.85546875" style="568" customWidth="1"/>
    <col min="3605" max="3605" width="17" style="568" bestFit="1" customWidth="1"/>
    <col min="3606" max="3606" width="10.140625" style="568" customWidth="1"/>
    <col min="3607" max="3840" width="9.140625" style="568"/>
    <col min="3841" max="3841" width="4" style="568" customWidth="1"/>
    <col min="3842" max="3842" width="23.140625" style="568" bestFit="1" customWidth="1"/>
    <col min="3843" max="3843" width="17.140625" style="568" customWidth="1"/>
    <col min="3844" max="3844" width="24.140625" style="568" customWidth="1"/>
    <col min="3845" max="3845" width="14.85546875" style="568" customWidth="1"/>
    <col min="3846" max="3846" width="15.42578125" style="568" customWidth="1"/>
    <col min="3847" max="3847" width="14.42578125" style="568" customWidth="1"/>
    <col min="3848" max="3848" width="9" style="568" customWidth="1"/>
    <col min="3849" max="3849" width="29.7109375" style="568" customWidth="1"/>
    <col min="3850" max="3850" width="16.5703125" style="568" customWidth="1"/>
    <col min="3851" max="3851" width="29.42578125" style="568" customWidth="1"/>
    <col min="3852" max="3852" width="8.5703125" style="568" bestFit="1" customWidth="1"/>
    <col min="3853" max="3854" width="12.5703125" style="568" customWidth="1"/>
    <col min="3855" max="3855" width="16.42578125" style="568" customWidth="1"/>
    <col min="3856" max="3856" width="15.7109375" style="568" customWidth="1"/>
    <col min="3857" max="3857" width="0" style="568" hidden="1" customWidth="1"/>
    <col min="3858" max="3858" width="15.42578125" style="568" customWidth="1"/>
    <col min="3859" max="3859" width="16.85546875" style="568" customWidth="1"/>
    <col min="3860" max="3860" width="52.85546875" style="568" customWidth="1"/>
    <col min="3861" max="3861" width="17" style="568" bestFit="1" customWidth="1"/>
    <col min="3862" max="3862" width="10.140625" style="568" customWidth="1"/>
    <col min="3863" max="4096" width="9.140625" style="568"/>
    <col min="4097" max="4097" width="4" style="568" customWidth="1"/>
    <col min="4098" max="4098" width="23.140625" style="568" bestFit="1" customWidth="1"/>
    <col min="4099" max="4099" width="17.140625" style="568" customWidth="1"/>
    <col min="4100" max="4100" width="24.140625" style="568" customWidth="1"/>
    <col min="4101" max="4101" width="14.85546875" style="568" customWidth="1"/>
    <col min="4102" max="4102" width="15.42578125" style="568" customWidth="1"/>
    <col min="4103" max="4103" width="14.42578125" style="568" customWidth="1"/>
    <col min="4104" max="4104" width="9" style="568" customWidth="1"/>
    <col min="4105" max="4105" width="29.7109375" style="568" customWidth="1"/>
    <col min="4106" max="4106" width="16.5703125" style="568" customWidth="1"/>
    <col min="4107" max="4107" width="29.42578125" style="568" customWidth="1"/>
    <col min="4108" max="4108" width="8.5703125" style="568" bestFit="1" customWidth="1"/>
    <col min="4109" max="4110" width="12.5703125" style="568" customWidth="1"/>
    <col min="4111" max="4111" width="16.42578125" style="568" customWidth="1"/>
    <col min="4112" max="4112" width="15.7109375" style="568" customWidth="1"/>
    <col min="4113" max="4113" width="0" style="568" hidden="1" customWidth="1"/>
    <col min="4114" max="4114" width="15.42578125" style="568" customWidth="1"/>
    <col min="4115" max="4115" width="16.85546875" style="568" customWidth="1"/>
    <col min="4116" max="4116" width="52.85546875" style="568" customWidth="1"/>
    <col min="4117" max="4117" width="17" style="568" bestFit="1" customWidth="1"/>
    <col min="4118" max="4118" width="10.140625" style="568" customWidth="1"/>
    <col min="4119" max="4352" width="9.140625" style="568"/>
    <col min="4353" max="4353" width="4" style="568" customWidth="1"/>
    <col min="4354" max="4354" width="23.140625" style="568" bestFit="1" customWidth="1"/>
    <col min="4355" max="4355" width="17.140625" style="568" customWidth="1"/>
    <col min="4356" max="4356" width="24.140625" style="568" customWidth="1"/>
    <col min="4357" max="4357" width="14.85546875" style="568" customWidth="1"/>
    <col min="4358" max="4358" width="15.42578125" style="568" customWidth="1"/>
    <col min="4359" max="4359" width="14.42578125" style="568" customWidth="1"/>
    <col min="4360" max="4360" width="9" style="568" customWidth="1"/>
    <col min="4361" max="4361" width="29.7109375" style="568" customWidth="1"/>
    <col min="4362" max="4362" width="16.5703125" style="568" customWidth="1"/>
    <col min="4363" max="4363" width="29.42578125" style="568" customWidth="1"/>
    <col min="4364" max="4364" width="8.5703125" style="568" bestFit="1" customWidth="1"/>
    <col min="4365" max="4366" width="12.5703125" style="568" customWidth="1"/>
    <col min="4367" max="4367" width="16.42578125" style="568" customWidth="1"/>
    <col min="4368" max="4368" width="15.7109375" style="568" customWidth="1"/>
    <col min="4369" max="4369" width="0" style="568" hidden="1" customWidth="1"/>
    <col min="4370" max="4370" width="15.42578125" style="568" customWidth="1"/>
    <col min="4371" max="4371" width="16.85546875" style="568" customWidth="1"/>
    <col min="4372" max="4372" width="52.85546875" style="568" customWidth="1"/>
    <col min="4373" max="4373" width="17" style="568" bestFit="1" customWidth="1"/>
    <col min="4374" max="4374" width="10.140625" style="568" customWidth="1"/>
    <col min="4375" max="4608" width="9.140625" style="568"/>
    <col min="4609" max="4609" width="4" style="568" customWidth="1"/>
    <col min="4610" max="4610" width="23.140625" style="568" bestFit="1" customWidth="1"/>
    <col min="4611" max="4611" width="17.140625" style="568" customWidth="1"/>
    <col min="4612" max="4612" width="24.140625" style="568" customWidth="1"/>
    <col min="4613" max="4613" width="14.85546875" style="568" customWidth="1"/>
    <col min="4614" max="4614" width="15.42578125" style="568" customWidth="1"/>
    <col min="4615" max="4615" width="14.42578125" style="568" customWidth="1"/>
    <col min="4616" max="4616" width="9" style="568" customWidth="1"/>
    <col min="4617" max="4617" width="29.7109375" style="568" customWidth="1"/>
    <col min="4618" max="4618" width="16.5703125" style="568" customWidth="1"/>
    <col min="4619" max="4619" width="29.42578125" style="568" customWidth="1"/>
    <col min="4620" max="4620" width="8.5703125" style="568" bestFit="1" customWidth="1"/>
    <col min="4621" max="4622" width="12.5703125" style="568" customWidth="1"/>
    <col min="4623" max="4623" width="16.42578125" style="568" customWidth="1"/>
    <col min="4624" max="4624" width="15.7109375" style="568" customWidth="1"/>
    <col min="4625" max="4625" width="0" style="568" hidden="1" customWidth="1"/>
    <col min="4626" max="4626" width="15.42578125" style="568" customWidth="1"/>
    <col min="4627" max="4627" width="16.85546875" style="568" customWidth="1"/>
    <col min="4628" max="4628" width="52.85546875" style="568" customWidth="1"/>
    <col min="4629" max="4629" width="17" style="568" bestFit="1" customWidth="1"/>
    <col min="4630" max="4630" width="10.140625" style="568" customWidth="1"/>
    <col min="4631" max="4864" width="9.140625" style="568"/>
    <col min="4865" max="4865" width="4" style="568" customWidth="1"/>
    <col min="4866" max="4866" width="23.140625" style="568" bestFit="1" customWidth="1"/>
    <col min="4867" max="4867" width="17.140625" style="568" customWidth="1"/>
    <col min="4868" max="4868" width="24.140625" style="568" customWidth="1"/>
    <col min="4869" max="4869" width="14.85546875" style="568" customWidth="1"/>
    <col min="4870" max="4870" width="15.42578125" style="568" customWidth="1"/>
    <col min="4871" max="4871" width="14.42578125" style="568" customWidth="1"/>
    <col min="4872" max="4872" width="9" style="568" customWidth="1"/>
    <col min="4873" max="4873" width="29.7109375" style="568" customWidth="1"/>
    <col min="4874" max="4874" width="16.5703125" style="568" customWidth="1"/>
    <col min="4875" max="4875" width="29.42578125" style="568" customWidth="1"/>
    <col min="4876" max="4876" width="8.5703125" style="568" bestFit="1" customWidth="1"/>
    <col min="4877" max="4878" width="12.5703125" style="568" customWidth="1"/>
    <col min="4879" max="4879" width="16.42578125" style="568" customWidth="1"/>
    <col min="4880" max="4880" width="15.7109375" style="568" customWidth="1"/>
    <col min="4881" max="4881" width="0" style="568" hidden="1" customWidth="1"/>
    <col min="4882" max="4882" width="15.42578125" style="568" customWidth="1"/>
    <col min="4883" max="4883" width="16.85546875" style="568" customWidth="1"/>
    <col min="4884" max="4884" width="52.85546875" style="568" customWidth="1"/>
    <col min="4885" max="4885" width="17" style="568" bestFit="1" customWidth="1"/>
    <col min="4886" max="4886" width="10.140625" style="568" customWidth="1"/>
    <col min="4887" max="5120" width="9.140625" style="568"/>
    <col min="5121" max="5121" width="4" style="568" customWidth="1"/>
    <col min="5122" max="5122" width="23.140625" style="568" bestFit="1" customWidth="1"/>
    <col min="5123" max="5123" width="17.140625" style="568" customWidth="1"/>
    <col min="5124" max="5124" width="24.140625" style="568" customWidth="1"/>
    <col min="5125" max="5125" width="14.85546875" style="568" customWidth="1"/>
    <col min="5126" max="5126" width="15.42578125" style="568" customWidth="1"/>
    <col min="5127" max="5127" width="14.42578125" style="568" customWidth="1"/>
    <col min="5128" max="5128" width="9" style="568" customWidth="1"/>
    <col min="5129" max="5129" width="29.7109375" style="568" customWidth="1"/>
    <col min="5130" max="5130" width="16.5703125" style="568" customWidth="1"/>
    <col min="5131" max="5131" width="29.42578125" style="568" customWidth="1"/>
    <col min="5132" max="5132" width="8.5703125" style="568" bestFit="1" customWidth="1"/>
    <col min="5133" max="5134" width="12.5703125" style="568" customWidth="1"/>
    <col min="5135" max="5135" width="16.42578125" style="568" customWidth="1"/>
    <col min="5136" max="5136" width="15.7109375" style="568" customWidth="1"/>
    <col min="5137" max="5137" width="0" style="568" hidden="1" customWidth="1"/>
    <col min="5138" max="5138" width="15.42578125" style="568" customWidth="1"/>
    <col min="5139" max="5139" width="16.85546875" style="568" customWidth="1"/>
    <col min="5140" max="5140" width="52.85546875" style="568" customWidth="1"/>
    <col min="5141" max="5141" width="17" style="568" bestFit="1" customWidth="1"/>
    <col min="5142" max="5142" width="10.140625" style="568" customWidth="1"/>
    <col min="5143" max="5376" width="9.140625" style="568"/>
    <col min="5377" max="5377" width="4" style="568" customWidth="1"/>
    <col min="5378" max="5378" width="23.140625" style="568" bestFit="1" customWidth="1"/>
    <col min="5379" max="5379" width="17.140625" style="568" customWidth="1"/>
    <col min="5380" max="5380" width="24.140625" style="568" customWidth="1"/>
    <col min="5381" max="5381" width="14.85546875" style="568" customWidth="1"/>
    <col min="5382" max="5382" width="15.42578125" style="568" customWidth="1"/>
    <col min="5383" max="5383" width="14.42578125" style="568" customWidth="1"/>
    <col min="5384" max="5384" width="9" style="568" customWidth="1"/>
    <col min="5385" max="5385" width="29.7109375" style="568" customWidth="1"/>
    <col min="5386" max="5386" width="16.5703125" style="568" customWidth="1"/>
    <col min="5387" max="5387" width="29.42578125" style="568" customWidth="1"/>
    <col min="5388" max="5388" width="8.5703125" style="568" bestFit="1" customWidth="1"/>
    <col min="5389" max="5390" width="12.5703125" style="568" customWidth="1"/>
    <col min="5391" max="5391" width="16.42578125" style="568" customWidth="1"/>
    <col min="5392" max="5392" width="15.7109375" style="568" customWidth="1"/>
    <col min="5393" max="5393" width="0" style="568" hidden="1" customWidth="1"/>
    <col min="5394" max="5394" width="15.42578125" style="568" customWidth="1"/>
    <col min="5395" max="5395" width="16.85546875" style="568" customWidth="1"/>
    <col min="5396" max="5396" width="52.85546875" style="568" customWidth="1"/>
    <col min="5397" max="5397" width="17" style="568" bestFit="1" customWidth="1"/>
    <col min="5398" max="5398" width="10.140625" style="568" customWidth="1"/>
    <col min="5399" max="5632" width="9.140625" style="568"/>
    <col min="5633" max="5633" width="4" style="568" customWidth="1"/>
    <col min="5634" max="5634" width="23.140625" style="568" bestFit="1" customWidth="1"/>
    <col min="5635" max="5635" width="17.140625" style="568" customWidth="1"/>
    <col min="5636" max="5636" width="24.140625" style="568" customWidth="1"/>
    <col min="5637" max="5637" width="14.85546875" style="568" customWidth="1"/>
    <col min="5638" max="5638" width="15.42578125" style="568" customWidth="1"/>
    <col min="5639" max="5639" width="14.42578125" style="568" customWidth="1"/>
    <col min="5640" max="5640" width="9" style="568" customWidth="1"/>
    <col min="5641" max="5641" width="29.7109375" style="568" customWidth="1"/>
    <col min="5642" max="5642" width="16.5703125" style="568" customWidth="1"/>
    <col min="5643" max="5643" width="29.42578125" style="568" customWidth="1"/>
    <col min="5644" max="5644" width="8.5703125" style="568" bestFit="1" customWidth="1"/>
    <col min="5645" max="5646" width="12.5703125" style="568" customWidth="1"/>
    <col min="5647" max="5647" width="16.42578125" style="568" customWidth="1"/>
    <col min="5648" max="5648" width="15.7109375" style="568" customWidth="1"/>
    <col min="5649" max="5649" width="0" style="568" hidden="1" customWidth="1"/>
    <col min="5650" max="5650" width="15.42578125" style="568" customWidth="1"/>
    <col min="5651" max="5651" width="16.85546875" style="568" customWidth="1"/>
    <col min="5652" max="5652" width="52.85546875" style="568" customWidth="1"/>
    <col min="5653" max="5653" width="17" style="568" bestFit="1" customWidth="1"/>
    <col min="5654" max="5654" width="10.140625" style="568" customWidth="1"/>
    <col min="5655" max="5888" width="9.140625" style="568"/>
    <col min="5889" max="5889" width="4" style="568" customWidth="1"/>
    <col min="5890" max="5890" width="23.140625" style="568" bestFit="1" customWidth="1"/>
    <col min="5891" max="5891" width="17.140625" style="568" customWidth="1"/>
    <col min="5892" max="5892" width="24.140625" style="568" customWidth="1"/>
    <col min="5893" max="5893" width="14.85546875" style="568" customWidth="1"/>
    <col min="5894" max="5894" width="15.42578125" style="568" customWidth="1"/>
    <col min="5895" max="5895" width="14.42578125" style="568" customWidth="1"/>
    <col min="5896" max="5896" width="9" style="568" customWidth="1"/>
    <col min="5897" max="5897" width="29.7109375" style="568" customWidth="1"/>
    <col min="5898" max="5898" width="16.5703125" style="568" customWidth="1"/>
    <col min="5899" max="5899" width="29.42578125" style="568" customWidth="1"/>
    <col min="5900" max="5900" width="8.5703125" style="568" bestFit="1" customWidth="1"/>
    <col min="5901" max="5902" width="12.5703125" style="568" customWidth="1"/>
    <col min="5903" max="5903" width="16.42578125" style="568" customWidth="1"/>
    <col min="5904" max="5904" width="15.7109375" style="568" customWidth="1"/>
    <col min="5905" max="5905" width="0" style="568" hidden="1" customWidth="1"/>
    <col min="5906" max="5906" width="15.42578125" style="568" customWidth="1"/>
    <col min="5907" max="5907" width="16.85546875" style="568" customWidth="1"/>
    <col min="5908" max="5908" width="52.85546875" style="568" customWidth="1"/>
    <col min="5909" max="5909" width="17" style="568" bestFit="1" customWidth="1"/>
    <col min="5910" max="5910" width="10.140625" style="568" customWidth="1"/>
    <col min="5911" max="6144" width="9.140625" style="568"/>
    <col min="6145" max="6145" width="4" style="568" customWidth="1"/>
    <col min="6146" max="6146" width="23.140625" style="568" bestFit="1" customWidth="1"/>
    <col min="6147" max="6147" width="17.140625" style="568" customWidth="1"/>
    <col min="6148" max="6148" width="24.140625" style="568" customWidth="1"/>
    <col min="6149" max="6149" width="14.85546875" style="568" customWidth="1"/>
    <col min="6150" max="6150" width="15.42578125" style="568" customWidth="1"/>
    <col min="6151" max="6151" width="14.42578125" style="568" customWidth="1"/>
    <col min="6152" max="6152" width="9" style="568" customWidth="1"/>
    <col min="6153" max="6153" width="29.7109375" style="568" customWidth="1"/>
    <col min="6154" max="6154" width="16.5703125" style="568" customWidth="1"/>
    <col min="6155" max="6155" width="29.42578125" style="568" customWidth="1"/>
    <col min="6156" max="6156" width="8.5703125" style="568" bestFit="1" customWidth="1"/>
    <col min="6157" max="6158" width="12.5703125" style="568" customWidth="1"/>
    <col min="6159" max="6159" width="16.42578125" style="568" customWidth="1"/>
    <col min="6160" max="6160" width="15.7109375" style="568" customWidth="1"/>
    <col min="6161" max="6161" width="0" style="568" hidden="1" customWidth="1"/>
    <col min="6162" max="6162" width="15.42578125" style="568" customWidth="1"/>
    <col min="6163" max="6163" width="16.85546875" style="568" customWidth="1"/>
    <col min="6164" max="6164" width="52.85546875" style="568" customWidth="1"/>
    <col min="6165" max="6165" width="17" style="568" bestFit="1" customWidth="1"/>
    <col min="6166" max="6166" width="10.140625" style="568" customWidth="1"/>
    <col min="6167" max="6400" width="9.140625" style="568"/>
    <col min="6401" max="6401" width="4" style="568" customWidth="1"/>
    <col min="6402" max="6402" width="23.140625" style="568" bestFit="1" customWidth="1"/>
    <col min="6403" max="6403" width="17.140625" style="568" customWidth="1"/>
    <col min="6404" max="6404" width="24.140625" style="568" customWidth="1"/>
    <col min="6405" max="6405" width="14.85546875" style="568" customWidth="1"/>
    <col min="6406" max="6406" width="15.42578125" style="568" customWidth="1"/>
    <col min="6407" max="6407" width="14.42578125" style="568" customWidth="1"/>
    <col min="6408" max="6408" width="9" style="568" customWidth="1"/>
    <col min="6409" max="6409" width="29.7109375" style="568" customWidth="1"/>
    <col min="6410" max="6410" width="16.5703125" style="568" customWidth="1"/>
    <col min="6411" max="6411" width="29.42578125" style="568" customWidth="1"/>
    <col min="6412" max="6412" width="8.5703125" style="568" bestFit="1" customWidth="1"/>
    <col min="6413" max="6414" width="12.5703125" style="568" customWidth="1"/>
    <col min="6415" max="6415" width="16.42578125" style="568" customWidth="1"/>
    <col min="6416" max="6416" width="15.7109375" style="568" customWidth="1"/>
    <col min="6417" max="6417" width="0" style="568" hidden="1" customWidth="1"/>
    <col min="6418" max="6418" width="15.42578125" style="568" customWidth="1"/>
    <col min="6419" max="6419" width="16.85546875" style="568" customWidth="1"/>
    <col min="6420" max="6420" width="52.85546875" style="568" customWidth="1"/>
    <col min="6421" max="6421" width="17" style="568" bestFit="1" customWidth="1"/>
    <col min="6422" max="6422" width="10.140625" style="568" customWidth="1"/>
    <col min="6423" max="6656" width="9.140625" style="568"/>
    <col min="6657" max="6657" width="4" style="568" customWidth="1"/>
    <col min="6658" max="6658" width="23.140625" style="568" bestFit="1" customWidth="1"/>
    <col min="6659" max="6659" width="17.140625" style="568" customWidth="1"/>
    <col min="6660" max="6660" width="24.140625" style="568" customWidth="1"/>
    <col min="6661" max="6661" width="14.85546875" style="568" customWidth="1"/>
    <col min="6662" max="6662" width="15.42578125" style="568" customWidth="1"/>
    <col min="6663" max="6663" width="14.42578125" style="568" customWidth="1"/>
    <col min="6664" max="6664" width="9" style="568" customWidth="1"/>
    <col min="6665" max="6665" width="29.7109375" style="568" customWidth="1"/>
    <col min="6666" max="6666" width="16.5703125" style="568" customWidth="1"/>
    <col min="6667" max="6667" width="29.42578125" style="568" customWidth="1"/>
    <col min="6668" max="6668" width="8.5703125" style="568" bestFit="1" customWidth="1"/>
    <col min="6669" max="6670" width="12.5703125" style="568" customWidth="1"/>
    <col min="6671" max="6671" width="16.42578125" style="568" customWidth="1"/>
    <col min="6672" max="6672" width="15.7109375" style="568" customWidth="1"/>
    <col min="6673" max="6673" width="0" style="568" hidden="1" customWidth="1"/>
    <col min="6674" max="6674" width="15.42578125" style="568" customWidth="1"/>
    <col min="6675" max="6675" width="16.85546875" style="568" customWidth="1"/>
    <col min="6676" max="6676" width="52.85546875" style="568" customWidth="1"/>
    <col min="6677" max="6677" width="17" style="568" bestFit="1" customWidth="1"/>
    <col min="6678" max="6678" width="10.140625" style="568" customWidth="1"/>
    <col min="6679" max="6912" width="9.140625" style="568"/>
    <col min="6913" max="6913" width="4" style="568" customWidth="1"/>
    <col min="6914" max="6914" width="23.140625" style="568" bestFit="1" customWidth="1"/>
    <col min="6915" max="6915" width="17.140625" style="568" customWidth="1"/>
    <col min="6916" max="6916" width="24.140625" style="568" customWidth="1"/>
    <col min="6917" max="6917" width="14.85546875" style="568" customWidth="1"/>
    <col min="6918" max="6918" width="15.42578125" style="568" customWidth="1"/>
    <col min="6919" max="6919" width="14.42578125" style="568" customWidth="1"/>
    <col min="6920" max="6920" width="9" style="568" customWidth="1"/>
    <col min="6921" max="6921" width="29.7109375" style="568" customWidth="1"/>
    <col min="6922" max="6922" width="16.5703125" style="568" customWidth="1"/>
    <col min="6923" max="6923" width="29.42578125" style="568" customWidth="1"/>
    <col min="6924" max="6924" width="8.5703125" style="568" bestFit="1" customWidth="1"/>
    <col min="6925" max="6926" width="12.5703125" style="568" customWidth="1"/>
    <col min="6927" max="6927" width="16.42578125" style="568" customWidth="1"/>
    <col min="6928" max="6928" width="15.7109375" style="568" customWidth="1"/>
    <col min="6929" max="6929" width="0" style="568" hidden="1" customWidth="1"/>
    <col min="6930" max="6930" width="15.42578125" style="568" customWidth="1"/>
    <col min="6931" max="6931" width="16.85546875" style="568" customWidth="1"/>
    <col min="6932" max="6932" width="52.85546875" style="568" customWidth="1"/>
    <col min="6933" max="6933" width="17" style="568" bestFit="1" customWidth="1"/>
    <col min="6934" max="6934" width="10.140625" style="568" customWidth="1"/>
    <col min="6935" max="7168" width="9.140625" style="568"/>
    <col min="7169" max="7169" width="4" style="568" customWidth="1"/>
    <col min="7170" max="7170" width="23.140625" style="568" bestFit="1" customWidth="1"/>
    <col min="7171" max="7171" width="17.140625" style="568" customWidth="1"/>
    <col min="7172" max="7172" width="24.140625" style="568" customWidth="1"/>
    <col min="7173" max="7173" width="14.85546875" style="568" customWidth="1"/>
    <col min="7174" max="7174" width="15.42578125" style="568" customWidth="1"/>
    <col min="7175" max="7175" width="14.42578125" style="568" customWidth="1"/>
    <col min="7176" max="7176" width="9" style="568" customWidth="1"/>
    <col min="7177" max="7177" width="29.7109375" style="568" customWidth="1"/>
    <col min="7178" max="7178" width="16.5703125" style="568" customWidth="1"/>
    <col min="7179" max="7179" width="29.42578125" style="568" customWidth="1"/>
    <col min="7180" max="7180" width="8.5703125" style="568" bestFit="1" customWidth="1"/>
    <col min="7181" max="7182" width="12.5703125" style="568" customWidth="1"/>
    <col min="7183" max="7183" width="16.42578125" style="568" customWidth="1"/>
    <col min="7184" max="7184" width="15.7109375" style="568" customWidth="1"/>
    <col min="7185" max="7185" width="0" style="568" hidden="1" customWidth="1"/>
    <col min="7186" max="7186" width="15.42578125" style="568" customWidth="1"/>
    <col min="7187" max="7187" width="16.85546875" style="568" customWidth="1"/>
    <col min="7188" max="7188" width="52.85546875" style="568" customWidth="1"/>
    <col min="7189" max="7189" width="17" style="568" bestFit="1" customWidth="1"/>
    <col min="7190" max="7190" width="10.140625" style="568" customWidth="1"/>
    <col min="7191" max="7424" width="9.140625" style="568"/>
    <col min="7425" max="7425" width="4" style="568" customWidth="1"/>
    <col min="7426" max="7426" width="23.140625" style="568" bestFit="1" customWidth="1"/>
    <col min="7427" max="7427" width="17.140625" style="568" customWidth="1"/>
    <col min="7428" max="7428" width="24.140625" style="568" customWidth="1"/>
    <col min="7429" max="7429" width="14.85546875" style="568" customWidth="1"/>
    <col min="7430" max="7430" width="15.42578125" style="568" customWidth="1"/>
    <col min="7431" max="7431" width="14.42578125" style="568" customWidth="1"/>
    <col min="7432" max="7432" width="9" style="568" customWidth="1"/>
    <col min="7433" max="7433" width="29.7109375" style="568" customWidth="1"/>
    <col min="7434" max="7434" width="16.5703125" style="568" customWidth="1"/>
    <col min="7435" max="7435" width="29.42578125" style="568" customWidth="1"/>
    <col min="7436" max="7436" width="8.5703125" style="568" bestFit="1" customWidth="1"/>
    <col min="7437" max="7438" width="12.5703125" style="568" customWidth="1"/>
    <col min="7439" max="7439" width="16.42578125" style="568" customWidth="1"/>
    <col min="7440" max="7440" width="15.7109375" style="568" customWidth="1"/>
    <col min="7441" max="7441" width="0" style="568" hidden="1" customWidth="1"/>
    <col min="7442" max="7442" width="15.42578125" style="568" customWidth="1"/>
    <col min="7443" max="7443" width="16.85546875" style="568" customWidth="1"/>
    <col min="7444" max="7444" width="52.85546875" style="568" customWidth="1"/>
    <col min="7445" max="7445" width="17" style="568" bestFit="1" customWidth="1"/>
    <col min="7446" max="7446" width="10.140625" style="568" customWidth="1"/>
    <col min="7447" max="7680" width="9.140625" style="568"/>
    <col min="7681" max="7681" width="4" style="568" customWidth="1"/>
    <col min="7682" max="7682" width="23.140625" style="568" bestFit="1" customWidth="1"/>
    <col min="7683" max="7683" width="17.140625" style="568" customWidth="1"/>
    <col min="7684" max="7684" width="24.140625" style="568" customWidth="1"/>
    <col min="7685" max="7685" width="14.85546875" style="568" customWidth="1"/>
    <col min="7686" max="7686" width="15.42578125" style="568" customWidth="1"/>
    <col min="7687" max="7687" width="14.42578125" style="568" customWidth="1"/>
    <col min="7688" max="7688" width="9" style="568" customWidth="1"/>
    <col min="7689" max="7689" width="29.7109375" style="568" customWidth="1"/>
    <col min="7690" max="7690" width="16.5703125" style="568" customWidth="1"/>
    <col min="7691" max="7691" width="29.42578125" style="568" customWidth="1"/>
    <col min="7692" max="7692" width="8.5703125" style="568" bestFit="1" customWidth="1"/>
    <col min="7693" max="7694" width="12.5703125" style="568" customWidth="1"/>
    <col min="7695" max="7695" width="16.42578125" style="568" customWidth="1"/>
    <col min="7696" max="7696" width="15.7109375" style="568" customWidth="1"/>
    <col min="7697" max="7697" width="0" style="568" hidden="1" customWidth="1"/>
    <col min="7698" max="7698" width="15.42578125" style="568" customWidth="1"/>
    <col min="7699" max="7699" width="16.85546875" style="568" customWidth="1"/>
    <col min="7700" max="7700" width="52.85546875" style="568" customWidth="1"/>
    <col min="7701" max="7701" width="17" style="568" bestFit="1" customWidth="1"/>
    <col min="7702" max="7702" width="10.140625" style="568" customWidth="1"/>
    <col min="7703" max="7936" width="9.140625" style="568"/>
    <col min="7937" max="7937" width="4" style="568" customWidth="1"/>
    <col min="7938" max="7938" width="23.140625" style="568" bestFit="1" customWidth="1"/>
    <col min="7939" max="7939" width="17.140625" style="568" customWidth="1"/>
    <col min="7940" max="7940" width="24.140625" style="568" customWidth="1"/>
    <col min="7941" max="7941" width="14.85546875" style="568" customWidth="1"/>
    <col min="7942" max="7942" width="15.42578125" style="568" customWidth="1"/>
    <col min="7943" max="7943" width="14.42578125" style="568" customWidth="1"/>
    <col min="7944" max="7944" width="9" style="568" customWidth="1"/>
    <col min="7945" max="7945" width="29.7109375" style="568" customWidth="1"/>
    <col min="7946" max="7946" width="16.5703125" style="568" customWidth="1"/>
    <col min="7947" max="7947" width="29.42578125" style="568" customWidth="1"/>
    <col min="7948" max="7948" width="8.5703125" style="568" bestFit="1" customWidth="1"/>
    <col min="7949" max="7950" width="12.5703125" style="568" customWidth="1"/>
    <col min="7951" max="7951" width="16.42578125" style="568" customWidth="1"/>
    <col min="7952" max="7952" width="15.7109375" style="568" customWidth="1"/>
    <col min="7953" max="7953" width="0" style="568" hidden="1" customWidth="1"/>
    <col min="7954" max="7954" width="15.42578125" style="568" customWidth="1"/>
    <col min="7955" max="7955" width="16.85546875" style="568" customWidth="1"/>
    <col min="7956" max="7956" width="52.85546875" style="568" customWidth="1"/>
    <col min="7957" max="7957" width="17" style="568" bestFit="1" customWidth="1"/>
    <col min="7958" max="7958" width="10.140625" style="568" customWidth="1"/>
    <col min="7959" max="8192" width="9.140625" style="568"/>
    <col min="8193" max="8193" width="4" style="568" customWidth="1"/>
    <col min="8194" max="8194" width="23.140625" style="568" bestFit="1" customWidth="1"/>
    <col min="8195" max="8195" width="17.140625" style="568" customWidth="1"/>
    <col min="8196" max="8196" width="24.140625" style="568" customWidth="1"/>
    <col min="8197" max="8197" width="14.85546875" style="568" customWidth="1"/>
    <col min="8198" max="8198" width="15.42578125" style="568" customWidth="1"/>
    <col min="8199" max="8199" width="14.42578125" style="568" customWidth="1"/>
    <col min="8200" max="8200" width="9" style="568" customWidth="1"/>
    <col min="8201" max="8201" width="29.7109375" style="568" customWidth="1"/>
    <col min="8202" max="8202" width="16.5703125" style="568" customWidth="1"/>
    <col min="8203" max="8203" width="29.42578125" style="568" customWidth="1"/>
    <col min="8204" max="8204" width="8.5703125" style="568" bestFit="1" customWidth="1"/>
    <col min="8205" max="8206" width="12.5703125" style="568" customWidth="1"/>
    <col min="8207" max="8207" width="16.42578125" style="568" customWidth="1"/>
    <col min="8208" max="8208" width="15.7109375" style="568" customWidth="1"/>
    <col min="8209" max="8209" width="0" style="568" hidden="1" customWidth="1"/>
    <col min="8210" max="8210" width="15.42578125" style="568" customWidth="1"/>
    <col min="8211" max="8211" width="16.85546875" style="568" customWidth="1"/>
    <col min="8212" max="8212" width="52.85546875" style="568" customWidth="1"/>
    <col min="8213" max="8213" width="17" style="568" bestFit="1" customWidth="1"/>
    <col min="8214" max="8214" width="10.140625" style="568" customWidth="1"/>
    <col min="8215" max="8448" width="9.140625" style="568"/>
    <col min="8449" max="8449" width="4" style="568" customWidth="1"/>
    <col min="8450" max="8450" width="23.140625" style="568" bestFit="1" customWidth="1"/>
    <col min="8451" max="8451" width="17.140625" style="568" customWidth="1"/>
    <col min="8452" max="8452" width="24.140625" style="568" customWidth="1"/>
    <col min="8453" max="8453" width="14.85546875" style="568" customWidth="1"/>
    <col min="8454" max="8454" width="15.42578125" style="568" customWidth="1"/>
    <col min="8455" max="8455" width="14.42578125" style="568" customWidth="1"/>
    <col min="8456" max="8456" width="9" style="568" customWidth="1"/>
    <col min="8457" max="8457" width="29.7109375" style="568" customWidth="1"/>
    <col min="8458" max="8458" width="16.5703125" style="568" customWidth="1"/>
    <col min="8459" max="8459" width="29.42578125" style="568" customWidth="1"/>
    <col min="8460" max="8460" width="8.5703125" style="568" bestFit="1" customWidth="1"/>
    <col min="8461" max="8462" width="12.5703125" style="568" customWidth="1"/>
    <col min="8463" max="8463" width="16.42578125" style="568" customWidth="1"/>
    <col min="8464" max="8464" width="15.7109375" style="568" customWidth="1"/>
    <col min="8465" max="8465" width="0" style="568" hidden="1" customWidth="1"/>
    <col min="8466" max="8466" width="15.42578125" style="568" customWidth="1"/>
    <col min="8467" max="8467" width="16.85546875" style="568" customWidth="1"/>
    <col min="8468" max="8468" width="52.85546875" style="568" customWidth="1"/>
    <col min="8469" max="8469" width="17" style="568" bestFit="1" customWidth="1"/>
    <col min="8470" max="8470" width="10.140625" style="568" customWidth="1"/>
    <col min="8471" max="8704" width="9.140625" style="568"/>
    <col min="8705" max="8705" width="4" style="568" customWidth="1"/>
    <col min="8706" max="8706" width="23.140625" style="568" bestFit="1" customWidth="1"/>
    <col min="8707" max="8707" width="17.140625" style="568" customWidth="1"/>
    <col min="8708" max="8708" width="24.140625" style="568" customWidth="1"/>
    <col min="8709" max="8709" width="14.85546875" style="568" customWidth="1"/>
    <col min="8710" max="8710" width="15.42578125" style="568" customWidth="1"/>
    <col min="8711" max="8711" width="14.42578125" style="568" customWidth="1"/>
    <col min="8712" max="8712" width="9" style="568" customWidth="1"/>
    <col min="8713" max="8713" width="29.7109375" style="568" customWidth="1"/>
    <col min="8714" max="8714" width="16.5703125" style="568" customWidth="1"/>
    <col min="8715" max="8715" width="29.42578125" style="568" customWidth="1"/>
    <col min="8716" max="8716" width="8.5703125" style="568" bestFit="1" customWidth="1"/>
    <col min="8717" max="8718" width="12.5703125" style="568" customWidth="1"/>
    <col min="8719" max="8719" width="16.42578125" style="568" customWidth="1"/>
    <col min="8720" max="8720" width="15.7109375" style="568" customWidth="1"/>
    <col min="8721" max="8721" width="0" style="568" hidden="1" customWidth="1"/>
    <col min="8722" max="8722" width="15.42578125" style="568" customWidth="1"/>
    <col min="8723" max="8723" width="16.85546875" style="568" customWidth="1"/>
    <col min="8724" max="8724" width="52.85546875" style="568" customWidth="1"/>
    <col min="8725" max="8725" width="17" style="568" bestFit="1" customWidth="1"/>
    <col min="8726" max="8726" width="10.140625" style="568" customWidth="1"/>
    <col min="8727" max="8960" width="9.140625" style="568"/>
    <col min="8961" max="8961" width="4" style="568" customWidth="1"/>
    <col min="8962" max="8962" width="23.140625" style="568" bestFit="1" customWidth="1"/>
    <col min="8963" max="8963" width="17.140625" style="568" customWidth="1"/>
    <col min="8964" max="8964" width="24.140625" style="568" customWidth="1"/>
    <col min="8965" max="8965" width="14.85546875" style="568" customWidth="1"/>
    <col min="8966" max="8966" width="15.42578125" style="568" customWidth="1"/>
    <col min="8967" max="8967" width="14.42578125" style="568" customWidth="1"/>
    <col min="8968" max="8968" width="9" style="568" customWidth="1"/>
    <col min="8969" max="8969" width="29.7109375" style="568" customWidth="1"/>
    <col min="8970" max="8970" width="16.5703125" style="568" customWidth="1"/>
    <col min="8971" max="8971" width="29.42578125" style="568" customWidth="1"/>
    <col min="8972" max="8972" width="8.5703125" style="568" bestFit="1" customWidth="1"/>
    <col min="8973" max="8974" width="12.5703125" style="568" customWidth="1"/>
    <col min="8975" max="8975" width="16.42578125" style="568" customWidth="1"/>
    <col min="8976" max="8976" width="15.7109375" style="568" customWidth="1"/>
    <col min="8977" max="8977" width="0" style="568" hidden="1" customWidth="1"/>
    <col min="8978" max="8978" width="15.42578125" style="568" customWidth="1"/>
    <col min="8979" max="8979" width="16.85546875" style="568" customWidth="1"/>
    <col min="8980" max="8980" width="52.85546875" style="568" customWidth="1"/>
    <col min="8981" max="8981" width="17" style="568" bestFit="1" customWidth="1"/>
    <col min="8982" max="8982" width="10.140625" style="568" customWidth="1"/>
    <col min="8983" max="9216" width="9.140625" style="568"/>
    <col min="9217" max="9217" width="4" style="568" customWidth="1"/>
    <col min="9218" max="9218" width="23.140625" style="568" bestFit="1" customWidth="1"/>
    <col min="9219" max="9219" width="17.140625" style="568" customWidth="1"/>
    <col min="9220" max="9220" width="24.140625" style="568" customWidth="1"/>
    <col min="9221" max="9221" width="14.85546875" style="568" customWidth="1"/>
    <col min="9222" max="9222" width="15.42578125" style="568" customWidth="1"/>
    <col min="9223" max="9223" width="14.42578125" style="568" customWidth="1"/>
    <col min="9224" max="9224" width="9" style="568" customWidth="1"/>
    <col min="9225" max="9225" width="29.7109375" style="568" customWidth="1"/>
    <col min="9226" max="9226" width="16.5703125" style="568" customWidth="1"/>
    <col min="9227" max="9227" width="29.42578125" style="568" customWidth="1"/>
    <col min="9228" max="9228" width="8.5703125" style="568" bestFit="1" customWidth="1"/>
    <col min="9229" max="9230" width="12.5703125" style="568" customWidth="1"/>
    <col min="9231" max="9231" width="16.42578125" style="568" customWidth="1"/>
    <col min="9232" max="9232" width="15.7109375" style="568" customWidth="1"/>
    <col min="9233" max="9233" width="0" style="568" hidden="1" customWidth="1"/>
    <col min="9234" max="9234" width="15.42578125" style="568" customWidth="1"/>
    <col min="9235" max="9235" width="16.85546875" style="568" customWidth="1"/>
    <col min="9236" max="9236" width="52.85546875" style="568" customWidth="1"/>
    <col min="9237" max="9237" width="17" style="568" bestFit="1" customWidth="1"/>
    <col min="9238" max="9238" width="10.140625" style="568" customWidth="1"/>
    <col min="9239" max="9472" width="9.140625" style="568"/>
    <col min="9473" max="9473" width="4" style="568" customWidth="1"/>
    <col min="9474" max="9474" width="23.140625" style="568" bestFit="1" customWidth="1"/>
    <col min="9475" max="9475" width="17.140625" style="568" customWidth="1"/>
    <col min="9476" max="9476" width="24.140625" style="568" customWidth="1"/>
    <col min="9477" max="9477" width="14.85546875" style="568" customWidth="1"/>
    <col min="9478" max="9478" width="15.42578125" style="568" customWidth="1"/>
    <col min="9479" max="9479" width="14.42578125" style="568" customWidth="1"/>
    <col min="9480" max="9480" width="9" style="568" customWidth="1"/>
    <col min="9481" max="9481" width="29.7109375" style="568" customWidth="1"/>
    <col min="9482" max="9482" width="16.5703125" style="568" customWidth="1"/>
    <col min="9483" max="9483" width="29.42578125" style="568" customWidth="1"/>
    <col min="9484" max="9484" width="8.5703125" style="568" bestFit="1" customWidth="1"/>
    <col min="9485" max="9486" width="12.5703125" style="568" customWidth="1"/>
    <col min="9487" max="9487" width="16.42578125" style="568" customWidth="1"/>
    <col min="9488" max="9488" width="15.7109375" style="568" customWidth="1"/>
    <col min="9489" max="9489" width="0" style="568" hidden="1" customWidth="1"/>
    <col min="9490" max="9490" width="15.42578125" style="568" customWidth="1"/>
    <col min="9491" max="9491" width="16.85546875" style="568" customWidth="1"/>
    <col min="9492" max="9492" width="52.85546875" style="568" customWidth="1"/>
    <col min="9493" max="9493" width="17" style="568" bestFit="1" customWidth="1"/>
    <col min="9494" max="9494" width="10.140625" style="568" customWidth="1"/>
    <col min="9495" max="9728" width="9.140625" style="568"/>
    <col min="9729" max="9729" width="4" style="568" customWidth="1"/>
    <col min="9730" max="9730" width="23.140625" style="568" bestFit="1" customWidth="1"/>
    <col min="9731" max="9731" width="17.140625" style="568" customWidth="1"/>
    <col min="9732" max="9732" width="24.140625" style="568" customWidth="1"/>
    <col min="9733" max="9733" width="14.85546875" style="568" customWidth="1"/>
    <col min="9734" max="9734" width="15.42578125" style="568" customWidth="1"/>
    <col min="9735" max="9735" width="14.42578125" style="568" customWidth="1"/>
    <col min="9736" max="9736" width="9" style="568" customWidth="1"/>
    <col min="9737" max="9737" width="29.7109375" style="568" customWidth="1"/>
    <col min="9738" max="9738" width="16.5703125" style="568" customWidth="1"/>
    <col min="9739" max="9739" width="29.42578125" style="568" customWidth="1"/>
    <col min="9740" max="9740" width="8.5703125" style="568" bestFit="1" customWidth="1"/>
    <col min="9741" max="9742" width="12.5703125" style="568" customWidth="1"/>
    <col min="9743" max="9743" width="16.42578125" style="568" customWidth="1"/>
    <col min="9744" max="9744" width="15.7109375" style="568" customWidth="1"/>
    <col min="9745" max="9745" width="0" style="568" hidden="1" customWidth="1"/>
    <col min="9746" max="9746" width="15.42578125" style="568" customWidth="1"/>
    <col min="9747" max="9747" width="16.85546875" style="568" customWidth="1"/>
    <col min="9748" max="9748" width="52.85546875" style="568" customWidth="1"/>
    <col min="9749" max="9749" width="17" style="568" bestFit="1" customWidth="1"/>
    <col min="9750" max="9750" width="10.140625" style="568" customWidth="1"/>
    <col min="9751" max="9984" width="9.140625" style="568"/>
    <col min="9985" max="9985" width="4" style="568" customWidth="1"/>
    <col min="9986" max="9986" width="23.140625" style="568" bestFit="1" customWidth="1"/>
    <col min="9987" max="9987" width="17.140625" style="568" customWidth="1"/>
    <col min="9988" max="9988" width="24.140625" style="568" customWidth="1"/>
    <col min="9989" max="9989" width="14.85546875" style="568" customWidth="1"/>
    <col min="9990" max="9990" width="15.42578125" style="568" customWidth="1"/>
    <col min="9991" max="9991" width="14.42578125" style="568" customWidth="1"/>
    <col min="9992" max="9992" width="9" style="568" customWidth="1"/>
    <col min="9993" max="9993" width="29.7109375" style="568" customWidth="1"/>
    <col min="9994" max="9994" width="16.5703125" style="568" customWidth="1"/>
    <col min="9995" max="9995" width="29.42578125" style="568" customWidth="1"/>
    <col min="9996" max="9996" width="8.5703125" style="568" bestFit="1" customWidth="1"/>
    <col min="9997" max="9998" width="12.5703125" style="568" customWidth="1"/>
    <col min="9999" max="9999" width="16.42578125" style="568" customWidth="1"/>
    <col min="10000" max="10000" width="15.7109375" style="568" customWidth="1"/>
    <col min="10001" max="10001" width="0" style="568" hidden="1" customWidth="1"/>
    <col min="10002" max="10002" width="15.42578125" style="568" customWidth="1"/>
    <col min="10003" max="10003" width="16.85546875" style="568" customWidth="1"/>
    <col min="10004" max="10004" width="52.85546875" style="568" customWidth="1"/>
    <col min="10005" max="10005" width="17" style="568" bestFit="1" customWidth="1"/>
    <col min="10006" max="10006" width="10.140625" style="568" customWidth="1"/>
    <col min="10007" max="10240" width="9.140625" style="568"/>
    <col min="10241" max="10241" width="4" style="568" customWidth="1"/>
    <col min="10242" max="10242" width="23.140625" style="568" bestFit="1" customWidth="1"/>
    <col min="10243" max="10243" width="17.140625" style="568" customWidth="1"/>
    <col min="10244" max="10244" width="24.140625" style="568" customWidth="1"/>
    <col min="10245" max="10245" width="14.85546875" style="568" customWidth="1"/>
    <col min="10246" max="10246" width="15.42578125" style="568" customWidth="1"/>
    <col min="10247" max="10247" width="14.42578125" style="568" customWidth="1"/>
    <col min="10248" max="10248" width="9" style="568" customWidth="1"/>
    <col min="10249" max="10249" width="29.7109375" style="568" customWidth="1"/>
    <col min="10250" max="10250" width="16.5703125" style="568" customWidth="1"/>
    <col min="10251" max="10251" width="29.42578125" style="568" customWidth="1"/>
    <col min="10252" max="10252" width="8.5703125" style="568" bestFit="1" customWidth="1"/>
    <col min="10253" max="10254" width="12.5703125" style="568" customWidth="1"/>
    <col min="10255" max="10255" width="16.42578125" style="568" customWidth="1"/>
    <col min="10256" max="10256" width="15.7109375" style="568" customWidth="1"/>
    <col min="10257" max="10257" width="0" style="568" hidden="1" customWidth="1"/>
    <col min="10258" max="10258" width="15.42578125" style="568" customWidth="1"/>
    <col min="10259" max="10259" width="16.85546875" style="568" customWidth="1"/>
    <col min="10260" max="10260" width="52.85546875" style="568" customWidth="1"/>
    <col min="10261" max="10261" width="17" style="568" bestFit="1" customWidth="1"/>
    <col min="10262" max="10262" width="10.140625" style="568" customWidth="1"/>
    <col min="10263" max="10496" width="9.140625" style="568"/>
    <col min="10497" max="10497" width="4" style="568" customWidth="1"/>
    <col min="10498" max="10498" width="23.140625" style="568" bestFit="1" customWidth="1"/>
    <col min="10499" max="10499" width="17.140625" style="568" customWidth="1"/>
    <col min="10500" max="10500" width="24.140625" style="568" customWidth="1"/>
    <col min="10501" max="10501" width="14.85546875" style="568" customWidth="1"/>
    <col min="10502" max="10502" width="15.42578125" style="568" customWidth="1"/>
    <col min="10503" max="10503" width="14.42578125" style="568" customWidth="1"/>
    <col min="10504" max="10504" width="9" style="568" customWidth="1"/>
    <col min="10505" max="10505" width="29.7109375" style="568" customWidth="1"/>
    <col min="10506" max="10506" width="16.5703125" style="568" customWidth="1"/>
    <col min="10507" max="10507" width="29.42578125" style="568" customWidth="1"/>
    <col min="10508" max="10508" width="8.5703125" style="568" bestFit="1" customWidth="1"/>
    <col min="10509" max="10510" width="12.5703125" style="568" customWidth="1"/>
    <col min="10511" max="10511" width="16.42578125" style="568" customWidth="1"/>
    <col min="10512" max="10512" width="15.7109375" style="568" customWidth="1"/>
    <col min="10513" max="10513" width="0" style="568" hidden="1" customWidth="1"/>
    <col min="10514" max="10514" width="15.42578125" style="568" customWidth="1"/>
    <col min="10515" max="10515" width="16.85546875" style="568" customWidth="1"/>
    <col min="10516" max="10516" width="52.85546875" style="568" customWidth="1"/>
    <col min="10517" max="10517" width="17" style="568" bestFit="1" customWidth="1"/>
    <col min="10518" max="10518" width="10.140625" style="568" customWidth="1"/>
    <col min="10519" max="10752" width="9.140625" style="568"/>
    <col min="10753" max="10753" width="4" style="568" customWidth="1"/>
    <col min="10754" max="10754" width="23.140625" style="568" bestFit="1" customWidth="1"/>
    <col min="10755" max="10755" width="17.140625" style="568" customWidth="1"/>
    <col min="10756" max="10756" width="24.140625" style="568" customWidth="1"/>
    <col min="10757" max="10757" width="14.85546875" style="568" customWidth="1"/>
    <col min="10758" max="10758" width="15.42578125" style="568" customWidth="1"/>
    <col min="10759" max="10759" width="14.42578125" style="568" customWidth="1"/>
    <col min="10760" max="10760" width="9" style="568" customWidth="1"/>
    <col min="10761" max="10761" width="29.7109375" style="568" customWidth="1"/>
    <col min="10762" max="10762" width="16.5703125" style="568" customWidth="1"/>
    <col min="10763" max="10763" width="29.42578125" style="568" customWidth="1"/>
    <col min="10764" max="10764" width="8.5703125" style="568" bestFit="1" customWidth="1"/>
    <col min="10765" max="10766" width="12.5703125" style="568" customWidth="1"/>
    <col min="10767" max="10767" width="16.42578125" style="568" customWidth="1"/>
    <col min="10768" max="10768" width="15.7109375" style="568" customWidth="1"/>
    <col min="10769" max="10769" width="0" style="568" hidden="1" customWidth="1"/>
    <col min="10770" max="10770" width="15.42578125" style="568" customWidth="1"/>
    <col min="10771" max="10771" width="16.85546875" style="568" customWidth="1"/>
    <col min="10772" max="10772" width="52.85546875" style="568" customWidth="1"/>
    <col min="10773" max="10773" width="17" style="568" bestFit="1" customWidth="1"/>
    <col min="10774" max="10774" width="10.140625" style="568" customWidth="1"/>
    <col min="10775" max="11008" width="9.140625" style="568"/>
    <col min="11009" max="11009" width="4" style="568" customWidth="1"/>
    <col min="11010" max="11010" width="23.140625" style="568" bestFit="1" customWidth="1"/>
    <col min="11011" max="11011" width="17.140625" style="568" customWidth="1"/>
    <col min="11012" max="11012" width="24.140625" style="568" customWidth="1"/>
    <col min="11013" max="11013" width="14.85546875" style="568" customWidth="1"/>
    <col min="11014" max="11014" width="15.42578125" style="568" customWidth="1"/>
    <col min="11015" max="11015" width="14.42578125" style="568" customWidth="1"/>
    <col min="11016" max="11016" width="9" style="568" customWidth="1"/>
    <col min="11017" max="11017" width="29.7109375" style="568" customWidth="1"/>
    <col min="11018" max="11018" width="16.5703125" style="568" customWidth="1"/>
    <col min="11019" max="11019" width="29.42578125" style="568" customWidth="1"/>
    <col min="11020" max="11020" width="8.5703125" style="568" bestFit="1" customWidth="1"/>
    <col min="11021" max="11022" width="12.5703125" style="568" customWidth="1"/>
    <col min="11023" max="11023" width="16.42578125" style="568" customWidth="1"/>
    <col min="11024" max="11024" width="15.7109375" style="568" customWidth="1"/>
    <col min="11025" max="11025" width="0" style="568" hidden="1" customWidth="1"/>
    <col min="11026" max="11026" width="15.42578125" style="568" customWidth="1"/>
    <col min="11027" max="11027" width="16.85546875" style="568" customWidth="1"/>
    <col min="11028" max="11028" width="52.85546875" style="568" customWidth="1"/>
    <col min="11029" max="11029" width="17" style="568" bestFit="1" customWidth="1"/>
    <col min="11030" max="11030" width="10.140625" style="568" customWidth="1"/>
    <col min="11031" max="11264" width="9.140625" style="568"/>
    <col min="11265" max="11265" width="4" style="568" customWidth="1"/>
    <col min="11266" max="11266" width="23.140625" style="568" bestFit="1" customWidth="1"/>
    <col min="11267" max="11267" width="17.140625" style="568" customWidth="1"/>
    <col min="11268" max="11268" width="24.140625" style="568" customWidth="1"/>
    <col min="11269" max="11269" width="14.85546875" style="568" customWidth="1"/>
    <col min="11270" max="11270" width="15.42578125" style="568" customWidth="1"/>
    <col min="11271" max="11271" width="14.42578125" style="568" customWidth="1"/>
    <col min="11272" max="11272" width="9" style="568" customWidth="1"/>
    <col min="11273" max="11273" width="29.7109375" style="568" customWidth="1"/>
    <col min="11274" max="11274" width="16.5703125" style="568" customWidth="1"/>
    <col min="11275" max="11275" width="29.42578125" style="568" customWidth="1"/>
    <col min="11276" max="11276" width="8.5703125" style="568" bestFit="1" customWidth="1"/>
    <col min="11277" max="11278" width="12.5703125" style="568" customWidth="1"/>
    <col min="11279" max="11279" width="16.42578125" style="568" customWidth="1"/>
    <col min="11280" max="11280" width="15.7109375" style="568" customWidth="1"/>
    <col min="11281" max="11281" width="0" style="568" hidden="1" customWidth="1"/>
    <col min="11282" max="11282" width="15.42578125" style="568" customWidth="1"/>
    <col min="11283" max="11283" width="16.85546875" style="568" customWidth="1"/>
    <col min="11284" max="11284" width="52.85546875" style="568" customWidth="1"/>
    <col min="11285" max="11285" width="17" style="568" bestFit="1" customWidth="1"/>
    <col min="11286" max="11286" width="10.140625" style="568" customWidth="1"/>
    <col min="11287" max="11520" width="9.140625" style="568"/>
    <col min="11521" max="11521" width="4" style="568" customWidth="1"/>
    <col min="11522" max="11522" width="23.140625" style="568" bestFit="1" customWidth="1"/>
    <col min="11523" max="11523" width="17.140625" style="568" customWidth="1"/>
    <col min="11524" max="11524" width="24.140625" style="568" customWidth="1"/>
    <col min="11525" max="11525" width="14.85546875" style="568" customWidth="1"/>
    <col min="11526" max="11526" width="15.42578125" style="568" customWidth="1"/>
    <col min="11527" max="11527" width="14.42578125" style="568" customWidth="1"/>
    <col min="11528" max="11528" width="9" style="568" customWidth="1"/>
    <col min="11529" max="11529" width="29.7109375" style="568" customWidth="1"/>
    <col min="11530" max="11530" width="16.5703125" style="568" customWidth="1"/>
    <col min="11531" max="11531" width="29.42578125" style="568" customWidth="1"/>
    <col min="11532" max="11532" width="8.5703125" style="568" bestFit="1" customWidth="1"/>
    <col min="11533" max="11534" width="12.5703125" style="568" customWidth="1"/>
    <col min="11535" max="11535" width="16.42578125" style="568" customWidth="1"/>
    <col min="11536" max="11536" width="15.7109375" style="568" customWidth="1"/>
    <col min="11537" max="11537" width="0" style="568" hidden="1" customWidth="1"/>
    <col min="11538" max="11538" width="15.42578125" style="568" customWidth="1"/>
    <col min="11539" max="11539" width="16.85546875" style="568" customWidth="1"/>
    <col min="11540" max="11540" width="52.85546875" style="568" customWidth="1"/>
    <col min="11541" max="11541" width="17" style="568" bestFit="1" customWidth="1"/>
    <col min="11542" max="11542" width="10.140625" style="568" customWidth="1"/>
    <col min="11543" max="11776" width="9.140625" style="568"/>
    <col min="11777" max="11777" width="4" style="568" customWidth="1"/>
    <col min="11778" max="11778" width="23.140625" style="568" bestFit="1" customWidth="1"/>
    <col min="11779" max="11779" width="17.140625" style="568" customWidth="1"/>
    <col min="11780" max="11780" width="24.140625" style="568" customWidth="1"/>
    <col min="11781" max="11781" width="14.85546875" style="568" customWidth="1"/>
    <col min="11782" max="11782" width="15.42578125" style="568" customWidth="1"/>
    <col min="11783" max="11783" width="14.42578125" style="568" customWidth="1"/>
    <col min="11784" max="11784" width="9" style="568" customWidth="1"/>
    <col min="11785" max="11785" width="29.7109375" style="568" customWidth="1"/>
    <col min="11786" max="11786" width="16.5703125" style="568" customWidth="1"/>
    <col min="11787" max="11787" width="29.42578125" style="568" customWidth="1"/>
    <col min="11788" max="11788" width="8.5703125" style="568" bestFit="1" customWidth="1"/>
    <col min="11789" max="11790" width="12.5703125" style="568" customWidth="1"/>
    <col min="11791" max="11791" width="16.42578125" style="568" customWidth="1"/>
    <col min="11792" max="11792" width="15.7109375" style="568" customWidth="1"/>
    <col min="11793" max="11793" width="0" style="568" hidden="1" customWidth="1"/>
    <col min="11794" max="11794" width="15.42578125" style="568" customWidth="1"/>
    <col min="11795" max="11795" width="16.85546875" style="568" customWidth="1"/>
    <col min="11796" max="11796" width="52.85546875" style="568" customWidth="1"/>
    <col min="11797" max="11797" width="17" style="568" bestFit="1" customWidth="1"/>
    <col min="11798" max="11798" width="10.140625" style="568" customWidth="1"/>
    <col min="11799" max="12032" width="9.140625" style="568"/>
    <col min="12033" max="12033" width="4" style="568" customWidth="1"/>
    <col min="12034" max="12034" width="23.140625" style="568" bestFit="1" customWidth="1"/>
    <col min="12035" max="12035" width="17.140625" style="568" customWidth="1"/>
    <col min="12036" max="12036" width="24.140625" style="568" customWidth="1"/>
    <col min="12037" max="12037" width="14.85546875" style="568" customWidth="1"/>
    <col min="12038" max="12038" width="15.42578125" style="568" customWidth="1"/>
    <col min="12039" max="12039" width="14.42578125" style="568" customWidth="1"/>
    <col min="12040" max="12040" width="9" style="568" customWidth="1"/>
    <col min="12041" max="12041" width="29.7109375" style="568" customWidth="1"/>
    <col min="12042" max="12042" width="16.5703125" style="568" customWidth="1"/>
    <col min="12043" max="12043" width="29.42578125" style="568" customWidth="1"/>
    <col min="12044" max="12044" width="8.5703125" style="568" bestFit="1" customWidth="1"/>
    <col min="12045" max="12046" width="12.5703125" style="568" customWidth="1"/>
    <col min="12047" max="12047" width="16.42578125" style="568" customWidth="1"/>
    <col min="12048" max="12048" width="15.7109375" style="568" customWidth="1"/>
    <col min="12049" max="12049" width="0" style="568" hidden="1" customWidth="1"/>
    <col min="12050" max="12050" width="15.42578125" style="568" customWidth="1"/>
    <col min="12051" max="12051" width="16.85546875" style="568" customWidth="1"/>
    <col min="12052" max="12052" width="52.85546875" style="568" customWidth="1"/>
    <col min="12053" max="12053" width="17" style="568" bestFit="1" customWidth="1"/>
    <col min="12054" max="12054" width="10.140625" style="568" customWidth="1"/>
    <col min="12055" max="12288" width="9.140625" style="568"/>
    <col min="12289" max="12289" width="4" style="568" customWidth="1"/>
    <col min="12290" max="12290" width="23.140625" style="568" bestFit="1" customWidth="1"/>
    <col min="12291" max="12291" width="17.140625" style="568" customWidth="1"/>
    <col min="12292" max="12292" width="24.140625" style="568" customWidth="1"/>
    <col min="12293" max="12293" width="14.85546875" style="568" customWidth="1"/>
    <col min="12294" max="12294" width="15.42578125" style="568" customWidth="1"/>
    <col min="12295" max="12295" width="14.42578125" style="568" customWidth="1"/>
    <col min="12296" max="12296" width="9" style="568" customWidth="1"/>
    <col min="12297" max="12297" width="29.7109375" style="568" customWidth="1"/>
    <col min="12298" max="12298" width="16.5703125" style="568" customWidth="1"/>
    <col min="12299" max="12299" width="29.42578125" style="568" customWidth="1"/>
    <col min="12300" max="12300" width="8.5703125" style="568" bestFit="1" customWidth="1"/>
    <col min="12301" max="12302" width="12.5703125" style="568" customWidth="1"/>
    <col min="12303" max="12303" width="16.42578125" style="568" customWidth="1"/>
    <col min="12304" max="12304" width="15.7109375" style="568" customWidth="1"/>
    <col min="12305" max="12305" width="0" style="568" hidden="1" customWidth="1"/>
    <col min="12306" max="12306" width="15.42578125" style="568" customWidth="1"/>
    <col min="12307" max="12307" width="16.85546875" style="568" customWidth="1"/>
    <col min="12308" max="12308" width="52.85546875" style="568" customWidth="1"/>
    <col min="12309" max="12309" width="17" style="568" bestFit="1" customWidth="1"/>
    <col min="12310" max="12310" width="10.140625" style="568" customWidth="1"/>
    <col min="12311" max="12544" width="9.140625" style="568"/>
    <col min="12545" max="12545" width="4" style="568" customWidth="1"/>
    <col min="12546" max="12546" width="23.140625" style="568" bestFit="1" customWidth="1"/>
    <col min="12547" max="12547" width="17.140625" style="568" customWidth="1"/>
    <col min="12548" max="12548" width="24.140625" style="568" customWidth="1"/>
    <col min="12549" max="12549" width="14.85546875" style="568" customWidth="1"/>
    <col min="12550" max="12550" width="15.42578125" style="568" customWidth="1"/>
    <col min="12551" max="12551" width="14.42578125" style="568" customWidth="1"/>
    <col min="12552" max="12552" width="9" style="568" customWidth="1"/>
    <col min="12553" max="12553" width="29.7109375" style="568" customWidth="1"/>
    <col min="12554" max="12554" width="16.5703125" style="568" customWidth="1"/>
    <col min="12555" max="12555" width="29.42578125" style="568" customWidth="1"/>
    <col min="12556" max="12556" width="8.5703125" style="568" bestFit="1" customWidth="1"/>
    <col min="12557" max="12558" width="12.5703125" style="568" customWidth="1"/>
    <col min="12559" max="12559" width="16.42578125" style="568" customWidth="1"/>
    <col min="12560" max="12560" width="15.7109375" style="568" customWidth="1"/>
    <col min="12561" max="12561" width="0" style="568" hidden="1" customWidth="1"/>
    <col min="12562" max="12562" width="15.42578125" style="568" customWidth="1"/>
    <col min="12563" max="12563" width="16.85546875" style="568" customWidth="1"/>
    <col min="12564" max="12564" width="52.85546875" style="568" customWidth="1"/>
    <col min="12565" max="12565" width="17" style="568" bestFit="1" customWidth="1"/>
    <col min="12566" max="12566" width="10.140625" style="568" customWidth="1"/>
    <col min="12567" max="12800" width="9.140625" style="568"/>
    <col min="12801" max="12801" width="4" style="568" customWidth="1"/>
    <col min="12802" max="12802" width="23.140625" style="568" bestFit="1" customWidth="1"/>
    <col min="12803" max="12803" width="17.140625" style="568" customWidth="1"/>
    <col min="12804" max="12804" width="24.140625" style="568" customWidth="1"/>
    <col min="12805" max="12805" width="14.85546875" style="568" customWidth="1"/>
    <col min="12806" max="12806" width="15.42578125" style="568" customWidth="1"/>
    <col min="12807" max="12807" width="14.42578125" style="568" customWidth="1"/>
    <col min="12808" max="12808" width="9" style="568" customWidth="1"/>
    <col min="12809" max="12809" width="29.7109375" style="568" customWidth="1"/>
    <col min="12810" max="12810" width="16.5703125" style="568" customWidth="1"/>
    <col min="12811" max="12811" width="29.42578125" style="568" customWidth="1"/>
    <col min="12812" max="12812" width="8.5703125" style="568" bestFit="1" customWidth="1"/>
    <col min="12813" max="12814" width="12.5703125" style="568" customWidth="1"/>
    <col min="12815" max="12815" width="16.42578125" style="568" customWidth="1"/>
    <col min="12816" max="12816" width="15.7109375" style="568" customWidth="1"/>
    <col min="12817" max="12817" width="0" style="568" hidden="1" customWidth="1"/>
    <col min="12818" max="12818" width="15.42578125" style="568" customWidth="1"/>
    <col min="12819" max="12819" width="16.85546875" style="568" customWidth="1"/>
    <col min="12820" max="12820" width="52.85546875" style="568" customWidth="1"/>
    <col min="12821" max="12821" width="17" style="568" bestFit="1" customWidth="1"/>
    <col min="12822" max="12822" width="10.140625" style="568" customWidth="1"/>
    <col min="12823" max="13056" width="9.140625" style="568"/>
    <col min="13057" max="13057" width="4" style="568" customWidth="1"/>
    <col min="13058" max="13058" width="23.140625" style="568" bestFit="1" customWidth="1"/>
    <col min="13059" max="13059" width="17.140625" style="568" customWidth="1"/>
    <col min="13060" max="13060" width="24.140625" style="568" customWidth="1"/>
    <col min="13061" max="13061" width="14.85546875" style="568" customWidth="1"/>
    <col min="13062" max="13062" width="15.42578125" style="568" customWidth="1"/>
    <col min="13063" max="13063" width="14.42578125" style="568" customWidth="1"/>
    <col min="13064" max="13064" width="9" style="568" customWidth="1"/>
    <col min="13065" max="13065" width="29.7109375" style="568" customWidth="1"/>
    <col min="13066" max="13066" width="16.5703125" style="568" customWidth="1"/>
    <col min="13067" max="13067" width="29.42578125" style="568" customWidth="1"/>
    <col min="13068" max="13068" width="8.5703125" style="568" bestFit="1" customWidth="1"/>
    <col min="13069" max="13070" width="12.5703125" style="568" customWidth="1"/>
    <col min="13071" max="13071" width="16.42578125" style="568" customWidth="1"/>
    <col min="13072" max="13072" width="15.7109375" style="568" customWidth="1"/>
    <col min="13073" max="13073" width="0" style="568" hidden="1" customWidth="1"/>
    <col min="13074" max="13074" width="15.42578125" style="568" customWidth="1"/>
    <col min="13075" max="13075" width="16.85546875" style="568" customWidth="1"/>
    <col min="13076" max="13076" width="52.85546875" style="568" customWidth="1"/>
    <col min="13077" max="13077" width="17" style="568" bestFit="1" customWidth="1"/>
    <col min="13078" max="13078" width="10.140625" style="568" customWidth="1"/>
    <col min="13079" max="13312" width="9.140625" style="568"/>
    <col min="13313" max="13313" width="4" style="568" customWidth="1"/>
    <col min="13314" max="13314" width="23.140625" style="568" bestFit="1" customWidth="1"/>
    <col min="13315" max="13315" width="17.140625" style="568" customWidth="1"/>
    <col min="13316" max="13316" width="24.140625" style="568" customWidth="1"/>
    <col min="13317" max="13317" width="14.85546875" style="568" customWidth="1"/>
    <col min="13318" max="13318" width="15.42578125" style="568" customWidth="1"/>
    <col min="13319" max="13319" width="14.42578125" style="568" customWidth="1"/>
    <col min="13320" max="13320" width="9" style="568" customWidth="1"/>
    <col min="13321" max="13321" width="29.7109375" style="568" customWidth="1"/>
    <col min="13322" max="13322" width="16.5703125" style="568" customWidth="1"/>
    <col min="13323" max="13323" width="29.42578125" style="568" customWidth="1"/>
    <col min="13324" max="13324" width="8.5703125" style="568" bestFit="1" customWidth="1"/>
    <col min="13325" max="13326" width="12.5703125" style="568" customWidth="1"/>
    <col min="13327" max="13327" width="16.42578125" style="568" customWidth="1"/>
    <col min="13328" max="13328" width="15.7109375" style="568" customWidth="1"/>
    <col min="13329" max="13329" width="0" style="568" hidden="1" customWidth="1"/>
    <col min="13330" max="13330" width="15.42578125" style="568" customWidth="1"/>
    <col min="13331" max="13331" width="16.85546875" style="568" customWidth="1"/>
    <col min="13332" max="13332" width="52.85546875" style="568" customWidth="1"/>
    <col min="13333" max="13333" width="17" style="568" bestFit="1" customWidth="1"/>
    <col min="13334" max="13334" width="10.140625" style="568" customWidth="1"/>
    <col min="13335" max="13568" width="9.140625" style="568"/>
    <col min="13569" max="13569" width="4" style="568" customWidth="1"/>
    <col min="13570" max="13570" width="23.140625" style="568" bestFit="1" customWidth="1"/>
    <col min="13571" max="13571" width="17.140625" style="568" customWidth="1"/>
    <col min="13572" max="13572" width="24.140625" style="568" customWidth="1"/>
    <col min="13573" max="13573" width="14.85546875" style="568" customWidth="1"/>
    <col min="13574" max="13574" width="15.42578125" style="568" customWidth="1"/>
    <col min="13575" max="13575" width="14.42578125" style="568" customWidth="1"/>
    <col min="13576" max="13576" width="9" style="568" customWidth="1"/>
    <col min="13577" max="13577" width="29.7109375" style="568" customWidth="1"/>
    <col min="13578" max="13578" width="16.5703125" style="568" customWidth="1"/>
    <col min="13579" max="13579" width="29.42578125" style="568" customWidth="1"/>
    <col min="13580" max="13580" width="8.5703125" style="568" bestFit="1" customWidth="1"/>
    <col min="13581" max="13582" width="12.5703125" style="568" customWidth="1"/>
    <col min="13583" max="13583" width="16.42578125" style="568" customWidth="1"/>
    <col min="13584" max="13584" width="15.7109375" style="568" customWidth="1"/>
    <col min="13585" max="13585" width="0" style="568" hidden="1" customWidth="1"/>
    <col min="13586" max="13586" width="15.42578125" style="568" customWidth="1"/>
    <col min="13587" max="13587" width="16.85546875" style="568" customWidth="1"/>
    <col min="13588" max="13588" width="52.85546875" style="568" customWidth="1"/>
    <col min="13589" max="13589" width="17" style="568" bestFit="1" customWidth="1"/>
    <col min="13590" max="13590" width="10.140625" style="568" customWidth="1"/>
    <col min="13591" max="13824" width="9.140625" style="568"/>
    <col min="13825" max="13825" width="4" style="568" customWidth="1"/>
    <col min="13826" max="13826" width="23.140625" style="568" bestFit="1" customWidth="1"/>
    <col min="13827" max="13827" width="17.140625" style="568" customWidth="1"/>
    <col min="13828" max="13828" width="24.140625" style="568" customWidth="1"/>
    <col min="13829" max="13829" width="14.85546875" style="568" customWidth="1"/>
    <col min="13830" max="13830" width="15.42578125" style="568" customWidth="1"/>
    <col min="13831" max="13831" width="14.42578125" style="568" customWidth="1"/>
    <col min="13832" max="13832" width="9" style="568" customWidth="1"/>
    <col min="13833" max="13833" width="29.7109375" style="568" customWidth="1"/>
    <col min="13834" max="13834" width="16.5703125" style="568" customWidth="1"/>
    <col min="13835" max="13835" width="29.42578125" style="568" customWidth="1"/>
    <col min="13836" max="13836" width="8.5703125" style="568" bestFit="1" customWidth="1"/>
    <col min="13837" max="13838" width="12.5703125" style="568" customWidth="1"/>
    <col min="13839" max="13839" width="16.42578125" style="568" customWidth="1"/>
    <col min="13840" max="13840" width="15.7109375" style="568" customWidth="1"/>
    <col min="13841" max="13841" width="0" style="568" hidden="1" customWidth="1"/>
    <col min="13842" max="13842" width="15.42578125" style="568" customWidth="1"/>
    <col min="13843" max="13843" width="16.85546875" style="568" customWidth="1"/>
    <col min="13844" max="13844" width="52.85546875" style="568" customWidth="1"/>
    <col min="13845" max="13845" width="17" style="568" bestFit="1" customWidth="1"/>
    <col min="13846" max="13846" width="10.140625" style="568" customWidth="1"/>
    <col min="13847" max="14080" width="9.140625" style="568"/>
    <col min="14081" max="14081" width="4" style="568" customWidth="1"/>
    <col min="14082" max="14082" width="23.140625" style="568" bestFit="1" customWidth="1"/>
    <col min="14083" max="14083" width="17.140625" style="568" customWidth="1"/>
    <col min="14084" max="14084" width="24.140625" style="568" customWidth="1"/>
    <col min="14085" max="14085" width="14.85546875" style="568" customWidth="1"/>
    <col min="14086" max="14086" width="15.42578125" style="568" customWidth="1"/>
    <col min="14087" max="14087" width="14.42578125" style="568" customWidth="1"/>
    <col min="14088" max="14088" width="9" style="568" customWidth="1"/>
    <col min="14089" max="14089" width="29.7109375" style="568" customWidth="1"/>
    <col min="14090" max="14090" width="16.5703125" style="568" customWidth="1"/>
    <col min="14091" max="14091" width="29.42578125" style="568" customWidth="1"/>
    <col min="14092" max="14092" width="8.5703125" style="568" bestFit="1" customWidth="1"/>
    <col min="14093" max="14094" width="12.5703125" style="568" customWidth="1"/>
    <col min="14095" max="14095" width="16.42578125" style="568" customWidth="1"/>
    <col min="14096" max="14096" width="15.7109375" style="568" customWidth="1"/>
    <col min="14097" max="14097" width="0" style="568" hidden="1" customWidth="1"/>
    <col min="14098" max="14098" width="15.42578125" style="568" customWidth="1"/>
    <col min="14099" max="14099" width="16.85546875" style="568" customWidth="1"/>
    <col min="14100" max="14100" width="52.85546875" style="568" customWidth="1"/>
    <col min="14101" max="14101" width="17" style="568" bestFit="1" customWidth="1"/>
    <col min="14102" max="14102" width="10.140625" style="568" customWidth="1"/>
    <col min="14103" max="14336" width="9.140625" style="568"/>
    <col min="14337" max="14337" width="4" style="568" customWidth="1"/>
    <col min="14338" max="14338" width="23.140625" style="568" bestFit="1" customWidth="1"/>
    <col min="14339" max="14339" width="17.140625" style="568" customWidth="1"/>
    <col min="14340" max="14340" width="24.140625" style="568" customWidth="1"/>
    <col min="14341" max="14341" width="14.85546875" style="568" customWidth="1"/>
    <col min="14342" max="14342" width="15.42578125" style="568" customWidth="1"/>
    <col min="14343" max="14343" width="14.42578125" style="568" customWidth="1"/>
    <col min="14344" max="14344" width="9" style="568" customWidth="1"/>
    <col min="14345" max="14345" width="29.7109375" style="568" customWidth="1"/>
    <col min="14346" max="14346" width="16.5703125" style="568" customWidth="1"/>
    <col min="14347" max="14347" width="29.42578125" style="568" customWidth="1"/>
    <col min="14348" max="14348" width="8.5703125" style="568" bestFit="1" customWidth="1"/>
    <col min="14349" max="14350" width="12.5703125" style="568" customWidth="1"/>
    <col min="14351" max="14351" width="16.42578125" style="568" customWidth="1"/>
    <col min="14352" max="14352" width="15.7109375" style="568" customWidth="1"/>
    <col min="14353" max="14353" width="0" style="568" hidden="1" customWidth="1"/>
    <col min="14354" max="14354" width="15.42578125" style="568" customWidth="1"/>
    <col min="14355" max="14355" width="16.85546875" style="568" customWidth="1"/>
    <col min="14356" max="14356" width="52.85546875" style="568" customWidth="1"/>
    <col min="14357" max="14357" width="17" style="568" bestFit="1" customWidth="1"/>
    <col min="14358" max="14358" width="10.140625" style="568" customWidth="1"/>
    <col min="14359" max="14592" width="9.140625" style="568"/>
    <col min="14593" max="14593" width="4" style="568" customWidth="1"/>
    <col min="14594" max="14594" width="23.140625" style="568" bestFit="1" customWidth="1"/>
    <col min="14595" max="14595" width="17.140625" style="568" customWidth="1"/>
    <col min="14596" max="14596" width="24.140625" style="568" customWidth="1"/>
    <col min="14597" max="14597" width="14.85546875" style="568" customWidth="1"/>
    <col min="14598" max="14598" width="15.42578125" style="568" customWidth="1"/>
    <col min="14599" max="14599" width="14.42578125" style="568" customWidth="1"/>
    <col min="14600" max="14600" width="9" style="568" customWidth="1"/>
    <col min="14601" max="14601" width="29.7109375" style="568" customWidth="1"/>
    <col min="14602" max="14602" width="16.5703125" style="568" customWidth="1"/>
    <col min="14603" max="14603" width="29.42578125" style="568" customWidth="1"/>
    <col min="14604" max="14604" width="8.5703125" style="568" bestFit="1" customWidth="1"/>
    <col min="14605" max="14606" width="12.5703125" style="568" customWidth="1"/>
    <col min="14607" max="14607" width="16.42578125" style="568" customWidth="1"/>
    <col min="14608" max="14608" width="15.7109375" style="568" customWidth="1"/>
    <col min="14609" max="14609" width="0" style="568" hidden="1" customWidth="1"/>
    <col min="14610" max="14610" width="15.42578125" style="568" customWidth="1"/>
    <col min="14611" max="14611" width="16.85546875" style="568" customWidth="1"/>
    <col min="14612" max="14612" width="52.85546875" style="568" customWidth="1"/>
    <col min="14613" max="14613" width="17" style="568" bestFit="1" customWidth="1"/>
    <col min="14614" max="14614" width="10.140625" style="568" customWidth="1"/>
    <col min="14615" max="14848" width="9.140625" style="568"/>
    <col min="14849" max="14849" width="4" style="568" customWidth="1"/>
    <col min="14850" max="14850" width="23.140625" style="568" bestFit="1" customWidth="1"/>
    <col min="14851" max="14851" width="17.140625" style="568" customWidth="1"/>
    <col min="14852" max="14852" width="24.140625" style="568" customWidth="1"/>
    <col min="14853" max="14853" width="14.85546875" style="568" customWidth="1"/>
    <col min="14854" max="14854" width="15.42578125" style="568" customWidth="1"/>
    <col min="14855" max="14855" width="14.42578125" style="568" customWidth="1"/>
    <col min="14856" max="14856" width="9" style="568" customWidth="1"/>
    <col min="14857" max="14857" width="29.7109375" style="568" customWidth="1"/>
    <col min="14858" max="14858" width="16.5703125" style="568" customWidth="1"/>
    <col min="14859" max="14859" width="29.42578125" style="568" customWidth="1"/>
    <col min="14860" max="14860" width="8.5703125" style="568" bestFit="1" customWidth="1"/>
    <col min="14861" max="14862" width="12.5703125" style="568" customWidth="1"/>
    <col min="14863" max="14863" width="16.42578125" style="568" customWidth="1"/>
    <col min="14864" max="14864" width="15.7109375" style="568" customWidth="1"/>
    <col min="14865" max="14865" width="0" style="568" hidden="1" customWidth="1"/>
    <col min="14866" max="14866" width="15.42578125" style="568" customWidth="1"/>
    <col min="14867" max="14867" width="16.85546875" style="568" customWidth="1"/>
    <col min="14868" max="14868" width="52.85546875" style="568" customWidth="1"/>
    <col min="14869" max="14869" width="17" style="568" bestFit="1" customWidth="1"/>
    <col min="14870" max="14870" width="10.140625" style="568" customWidth="1"/>
    <col min="14871" max="15104" width="9.140625" style="568"/>
    <col min="15105" max="15105" width="4" style="568" customWidth="1"/>
    <col min="15106" max="15106" width="23.140625" style="568" bestFit="1" customWidth="1"/>
    <col min="15107" max="15107" width="17.140625" style="568" customWidth="1"/>
    <col min="15108" max="15108" width="24.140625" style="568" customWidth="1"/>
    <col min="15109" max="15109" width="14.85546875" style="568" customWidth="1"/>
    <col min="15110" max="15110" width="15.42578125" style="568" customWidth="1"/>
    <col min="15111" max="15111" width="14.42578125" style="568" customWidth="1"/>
    <col min="15112" max="15112" width="9" style="568" customWidth="1"/>
    <col min="15113" max="15113" width="29.7109375" style="568" customWidth="1"/>
    <col min="15114" max="15114" width="16.5703125" style="568" customWidth="1"/>
    <col min="15115" max="15115" width="29.42578125" style="568" customWidth="1"/>
    <col min="15116" max="15116" width="8.5703125" style="568" bestFit="1" customWidth="1"/>
    <col min="15117" max="15118" width="12.5703125" style="568" customWidth="1"/>
    <col min="15119" max="15119" width="16.42578125" style="568" customWidth="1"/>
    <col min="15120" max="15120" width="15.7109375" style="568" customWidth="1"/>
    <col min="15121" max="15121" width="0" style="568" hidden="1" customWidth="1"/>
    <col min="15122" max="15122" width="15.42578125" style="568" customWidth="1"/>
    <col min="15123" max="15123" width="16.85546875" style="568" customWidth="1"/>
    <col min="15124" max="15124" width="52.85546875" style="568" customWidth="1"/>
    <col min="15125" max="15125" width="17" style="568" bestFit="1" customWidth="1"/>
    <col min="15126" max="15126" width="10.140625" style="568" customWidth="1"/>
    <col min="15127" max="15360" width="9.140625" style="568"/>
    <col min="15361" max="15361" width="4" style="568" customWidth="1"/>
    <col min="15362" max="15362" width="23.140625" style="568" bestFit="1" customWidth="1"/>
    <col min="15363" max="15363" width="17.140625" style="568" customWidth="1"/>
    <col min="15364" max="15364" width="24.140625" style="568" customWidth="1"/>
    <col min="15365" max="15365" width="14.85546875" style="568" customWidth="1"/>
    <col min="15366" max="15366" width="15.42578125" style="568" customWidth="1"/>
    <col min="15367" max="15367" width="14.42578125" style="568" customWidth="1"/>
    <col min="15368" max="15368" width="9" style="568" customWidth="1"/>
    <col min="15369" max="15369" width="29.7109375" style="568" customWidth="1"/>
    <col min="15370" max="15370" width="16.5703125" style="568" customWidth="1"/>
    <col min="15371" max="15371" width="29.42578125" style="568" customWidth="1"/>
    <col min="15372" max="15372" width="8.5703125" style="568" bestFit="1" customWidth="1"/>
    <col min="15373" max="15374" width="12.5703125" style="568" customWidth="1"/>
    <col min="15375" max="15375" width="16.42578125" style="568" customWidth="1"/>
    <col min="15376" max="15376" width="15.7109375" style="568" customWidth="1"/>
    <col min="15377" max="15377" width="0" style="568" hidden="1" customWidth="1"/>
    <col min="15378" max="15378" width="15.42578125" style="568" customWidth="1"/>
    <col min="15379" max="15379" width="16.85546875" style="568" customWidth="1"/>
    <col min="15380" max="15380" width="52.85546875" style="568" customWidth="1"/>
    <col min="15381" max="15381" width="17" style="568" bestFit="1" customWidth="1"/>
    <col min="15382" max="15382" width="10.140625" style="568" customWidth="1"/>
    <col min="15383" max="15616" width="9.140625" style="568"/>
    <col min="15617" max="15617" width="4" style="568" customWidth="1"/>
    <col min="15618" max="15618" width="23.140625" style="568" bestFit="1" customWidth="1"/>
    <col min="15619" max="15619" width="17.140625" style="568" customWidth="1"/>
    <col min="15620" max="15620" width="24.140625" style="568" customWidth="1"/>
    <col min="15621" max="15621" width="14.85546875" style="568" customWidth="1"/>
    <col min="15622" max="15622" width="15.42578125" style="568" customWidth="1"/>
    <col min="15623" max="15623" width="14.42578125" style="568" customWidth="1"/>
    <col min="15624" max="15624" width="9" style="568" customWidth="1"/>
    <col min="15625" max="15625" width="29.7109375" style="568" customWidth="1"/>
    <col min="15626" max="15626" width="16.5703125" style="568" customWidth="1"/>
    <col min="15627" max="15627" width="29.42578125" style="568" customWidth="1"/>
    <col min="15628" max="15628" width="8.5703125" style="568" bestFit="1" customWidth="1"/>
    <col min="15629" max="15630" width="12.5703125" style="568" customWidth="1"/>
    <col min="15631" max="15631" width="16.42578125" style="568" customWidth="1"/>
    <col min="15632" max="15632" width="15.7109375" style="568" customWidth="1"/>
    <col min="15633" max="15633" width="0" style="568" hidden="1" customWidth="1"/>
    <col min="15634" max="15634" width="15.42578125" style="568" customWidth="1"/>
    <col min="15635" max="15635" width="16.85546875" style="568" customWidth="1"/>
    <col min="15636" max="15636" width="52.85546875" style="568" customWidth="1"/>
    <col min="15637" max="15637" width="17" style="568" bestFit="1" customWidth="1"/>
    <col min="15638" max="15638" width="10.140625" style="568" customWidth="1"/>
    <col min="15639" max="15872" width="9.140625" style="568"/>
    <col min="15873" max="15873" width="4" style="568" customWidth="1"/>
    <col min="15874" max="15874" width="23.140625" style="568" bestFit="1" customWidth="1"/>
    <col min="15875" max="15875" width="17.140625" style="568" customWidth="1"/>
    <col min="15876" max="15876" width="24.140625" style="568" customWidth="1"/>
    <col min="15877" max="15877" width="14.85546875" style="568" customWidth="1"/>
    <col min="15878" max="15878" width="15.42578125" style="568" customWidth="1"/>
    <col min="15879" max="15879" width="14.42578125" style="568" customWidth="1"/>
    <col min="15880" max="15880" width="9" style="568" customWidth="1"/>
    <col min="15881" max="15881" width="29.7109375" style="568" customWidth="1"/>
    <col min="15882" max="15882" width="16.5703125" style="568" customWidth="1"/>
    <col min="15883" max="15883" width="29.42578125" style="568" customWidth="1"/>
    <col min="15884" max="15884" width="8.5703125" style="568" bestFit="1" customWidth="1"/>
    <col min="15885" max="15886" width="12.5703125" style="568" customWidth="1"/>
    <col min="15887" max="15887" width="16.42578125" style="568" customWidth="1"/>
    <col min="15888" max="15888" width="15.7109375" style="568" customWidth="1"/>
    <col min="15889" max="15889" width="0" style="568" hidden="1" customWidth="1"/>
    <col min="15890" max="15890" width="15.42578125" style="568" customWidth="1"/>
    <col min="15891" max="15891" width="16.85546875" style="568" customWidth="1"/>
    <col min="15892" max="15892" width="52.85546875" style="568" customWidth="1"/>
    <col min="15893" max="15893" width="17" style="568" bestFit="1" customWidth="1"/>
    <col min="15894" max="15894" width="10.140625" style="568" customWidth="1"/>
    <col min="15895" max="16128" width="9.140625" style="568"/>
    <col min="16129" max="16129" width="4" style="568" customWidth="1"/>
    <col min="16130" max="16130" width="23.140625" style="568" bestFit="1" customWidth="1"/>
    <col min="16131" max="16131" width="17.140625" style="568" customWidth="1"/>
    <col min="16132" max="16132" width="24.140625" style="568" customWidth="1"/>
    <col min="16133" max="16133" width="14.85546875" style="568" customWidth="1"/>
    <col min="16134" max="16134" width="15.42578125" style="568" customWidth="1"/>
    <col min="16135" max="16135" width="14.42578125" style="568" customWidth="1"/>
    <col min="16136" max="16136" width="9" style="568" customWidth="1"/>
    <col min="16137" max="16137" width="29.7109375" style="568" customWidth="1"/>
    <col min="16138" max="16138" width="16.5703125" style="568" customWidth="1"/>
    <col min="16139" max="16139" width="29.42578125" style="568" customWidth="1"/>
    <col min="16140" max="16140" width="8.5703125" style="568" bestFit="1" customWidth="1"/>
    <col min="16141" max="16142" width="12.5703125" style="568" customWidth="1"/>
    <col min="16143" max="16143" width="16.42578125" style="568" customWidth="1"/>
    <col min="16144" max="16144" width="15.7109375" style="568" customWidth="1"/>
    <col min="16145" max="16145" width="0" style="568" hidden="1" customWidth="1"/>
    <col min="16146" max="16146" width="15.42578125" style="568" customWidth="1"/>
    <col min="16147" max="16147" width="16.85546875" style="568" customWidth="1"/>
    <col min="16148" max="16148" width="52.85546875" style="568" customWidth="1"/>
    <col min="16149" max="16149" width="17" style="568" bestFit="1" customWidth="1"/>
    <col min="16150" max="16150" width="10.140625" style="568" customWidth="1"/>
    <col min="16151" max="16384" width="9.140625" style="568"/>
  </cols>
  <sheetData>
    <row r="1" spans="1:22" ht="12.75" thickBot="1"/>
    <row r="2" spans="1:22" s="573" customFormat="1" ht="12.75" thickBot="1">
      <c r="A2" s="570" t="s">
        <v>673</v>
      </c>
      <c r="B2" s="571" t="s">
        <v>674</v>
      </c>
      <c r="C2" s="571" t="s">
        <v>675</v>
      </c>
      <c r="D2" s="571" t="s">
        <v>676</v>
      </c>
      <c r="E2" s="571" t="s">
        <v>677</v>
      </c>
      <c r="F2" s="571" t="s">
        <v>678</v>
      </c>
      <c r="G2" s="571" t="s">
        <v>679</v>
      </c>
      <c r="H2" s="571" t="s">
        <v>680</v>
      </c>
      <c r="I2" s="571" t="s">
        <v>681</v>
      </c>
      <c r="J2" s="571" t="s">
        <v>682</v>
      </c>
      <c r="K2" s="571" t="s">
        <v>683</v>
      </c>
      <c r="L2" s="571" t="s">
        <v>684</v>
      </c>
      <c r="M2" s="571" t="s">
        <v>685</v>
      </c>
      <c r="N2" s="571" t="s">
        <v>686</v>
      </c>
      <c r="O2" s="571" t="s">
        <v>687</v>
      </c>
      <c r="P2" s="571" t="s">
        <v>688</v>
      </c>
      <c r="Q2" s="571" t="s">
        <v>689</v>
      </c>
      <c r="R2" s="571" t="s">
        <v>690</v>
      </c>
      <c r="S2" s="572" t="s">
        <v>691</v>
      </c>
      <c r="T2" s="571" t="s">
        <v>692</v>
      </c>
      <c r="U2" s="571" t="s">
        <v>693</v>
      </c>
      <c r="V2" s="571" t="s">
        <v>694</v>
      </c>
    </row>
    <row r="3" spans="1:22">
      <c r="A3" s="574">
        <v>1</v>
      </c>
      <c r="B3" s="575" t="s">
        <v>664</v>
      </c>
      <c r="C3" s="568" t="s">
        <v>695</v>
      </c>
      <c r="D3" s="568" t="s">
        <v>696</v>
      </c>
      <c r="J3" s="576"/>
      <c r="K3" s="568" t="s">
        <v>697</v>
      </c>
      <c r="L3" s="577" t="e">
        <f>#REF!</f>
        <v>#REF!</v>
      </c>
      <c r="M3" s="578" t="e">
        <f>#REF!</f>
        <v>#REF!</v>
      </c>
      <c r="N3" s="578" t="e">
        <f>#REF!</f>
        <v>#REF!</v>
      </c>
      <c r="O3" s="579" t="e">
        <f>#REF!</f>
        <v>#REF!</v>
      </c>
      <c r="P3" s="580" t="e">
        <f>#REF!</f>
        <v>#REF!</v>
      </c>
      <c r="R3" s="579" t="s">
        <v>698</v>
      </c>
      <c r="S3" s="581" t="e">
        <f>#REF!</f>
        <v>#REF!</v>
      </c>
      <c r="T3" s="568" t="s">
        <v>699</v>
      </c>
      <c r="U3" s="582" t="s">
        <v>700</v>
      </c>
    </row>
    <row r="4" spans="1:22">
      <c r="A4" s="574">
        <v>2</v>
      </c>
      <c r="B4" s="568" t="s">
        <v>665</v>
      </c>
      <c r="C4" s="568" t="s">
        <v>695</v>
      </c>
      <c r="D4" s="568" t="s">
        <v>696</v>
      </c>
      <c r="F4" s="576"/>
      <c r="G4" s="576"/>
      <c r="I4" s="576"/>
      <c r="J4" s="576"/>
      <c r="K4" s="568" t="s">
        <v>697</v>
      </c>
      <c r="L4" s="577">
        <f>'Viva City'!C9</f>
        <v>0.41499999999999998</v>
      </c>
      <c r="M4" s="578">
        <f>'Viva City'!D26</f>
        <v>1170900</v>
      </c>
      <c r="N4" s="578">
        <f>'Viva City'!D39</f>
        <v>1170900</v>
      </c>
      <c r="O4" s="579">
        <f>'Viva City'!D40</f>
        <v>0.47861559484157484</v>
      </c>
      <c r="P4" s="580">
        <f>'Viva City'!D41</f>
        <v>560411</v>
      </c>
      <c r="Q4" s="568" t="s">
        <v>701</v>
      </c>
      <c r="R4" s="579" t="s">
        <v>698</v>
      </c>
      <c r="S4" s="583">
        <f>'Viva City'!C200</f>
        <v>144007.80700848522</v>
      </c>
      <c r="T4" s="568" t="s">
        <v>702</v>
      </c>
      <c r="U4" s="582" t="s">
        <v>700</v>
      </c>
    </row>
    <row r="5" spans="1:22" ht="23.25" customHeight="1">
      <c r="A5" s="574">
        <v>3</v>
      </c>
      <c r="B5" s="568" t="s">
        <v>666</v>
      </c>
      <c r="C5" s="568" t="s">
        <v>703</v>
      </c>
      <c r="D5" s="568" t="s">
        <v>696</v>
      </c>
      <c r="F5" s="576"/>
      <c r="G5" s="576"/>
      <c r="I5" s="568" t="s">
        <v>704</v>
      </c>
      <c r="J5" s="576"/>
      <c r="K5" s="568" t="s">
        <v>705</v>
      </c>
      <c r="L5" s="577">
        <v>1</v>
      </c>
      <c r="M5" s="578" t="e">
        <f>#REF!</f>
        <v>#REF!</v>
      </c>
      <c r="N5" s="578" t="e">
        <f>#REF!</f>
        <v>#REF!</v>
      </c>
      <c r="O5" s="579" t="e">
        <f>8358/M5</f>
        <v>#REF!</v>
      </c>
      <c r="P5" s="580" t="e">
        <f>M5*O5</f>
        <v>#REF!</v>
      </c>
      <c r="Q5" s="568" t="s">
        <v>706</v>
      </c>
      <c r="R5" s="579" t="s">
        <v>698</v>
      </c>
      <c r="S5" s="583" t="e">
        <f>#REF!</f>
        <v>#REF!</v>
      </c>
      <c r="T5" s="575" t="s">
        <v>707</v>
      </c>
      <c r="U5" s="582" t="s">
        <v>708</v>
      </c>
    </row>
    <row r="6" spans="1:22" ht="24">
      <c r="A6" s="574">
        <v>4</v>
      </c>
      <c r="B6" s="568" t="s">
        <v>709</v>
      </c>
      <c r="C6" s="568" t="s">
        <v>695</v>
      </c>
      <c r="D6" s="584" t="s">
        <v>710</v>
      </c>
      <c r="E6" s="584"/>
      <c r="F6" s="585"/>
      <c r="G6" s="585"/>
      <c r="H6" s="585"/>
      <c r="I6" s="585"/>
      <c r="J6" s="585"/>
      <c r="K6" s="568" t="s">
        <v>709</v>
      </c>
      <c r="L6" s="577">
        <v>0.44500000000000001</v>
      </c>
      <c r="M6" s="578">
        <v>700000</v>
      </c>
      <c r="N6" s="586" t="s">
        <v>711</v>
      </c>
      <c r="O6" s="587" t="s">
        <v>711</v>
      </c>
      <c r="P6" s="588" t="s">
        <v>711</v>
      </c>
      <c r="Q6" s="568" t="s">
        <v>712</v>
      </c>
      <c r="R6" s="589" t="s">
        <v>713</v>
      </c>
      <c r="S6" s="583">
        <f>70000/49*44.5</f>
        <v>63571.428571428572</v>
      </c>
      <c r="T6" s="568" t="s">
        <v>714</v>
      </c>
      <c r="U6" s="582" t="s">
        <v>700</v>
      </c>
    </row>
    <row r="7" spans="1:22">
      <c r="A7" s="574">
        <v>5</v>
      </c>
      <c r="B7" s="568" t="s">
        <v>667</v>
      </c>
      <c r="C7" s="568" t="s">
        <v>703</v>
      </c>
      <c r="D7" s="584"/>
      <c r="E7" s="584"/>
      <c r="F7" s="584">
        <v>90000</v>
      </c>
      <c r="G7" s="584">
        <v>200000</v>
      </c>
      <c r="H7" s="584"/>
      <c r="I7" s="584"/>
      <c r="J7" s="584"/>
      <c r="K7" s="568" t="s">
        <v>715</v>
      </c>
      <c r="L7" s="577">
        <v>1</v>
      </c>
      <c r="M7" s="580">
        <v>20000</v>
      </c>
      <c r="N7" s="588"/>
      <c r="O7" s="587"/>
      <c r="P7" s="588"/>
      <c r="R7" s="589" t="s">
        <v>698</v>
      </c>
      <c r="S7" s="583" t="e">
        <f>#REF!</f>
        <v>#REF!</v>
      </c>
      <c r="T7" s="619"/>
      <c r="U7" s="582" t="s">
        <v>700</v>
      </c>
    </row>
    <row r="8" spans="1:22">
      <c r="A8" s="574">
        <v>6</v>
      </c>
      <c r="B8" s="568" t="s">
        <v>668</v>
      </c>
      <c r="C8" s="568" t="s">
        <v>717</v>
      </c>
      <c r="D8" s="584"/>
      <c r="E8" s="584"/>
      <c r="F8" s="584"/>
      <c r="G8" s="584"/>
      <c r="H8" s="584"/>
      <c r="I8" s="584"/>
      <c r="J8" s="584"/>
      <c r="K8" s="568" t="s">
        <v>715</v>
      </c>
      <c r="L8" s="577">
        <v>1</v>
      </c>
      <c r="M8" s="580">
        <v>74140.5</v>
      </c>
      <c r="N8" s="588"/>
      <c r="O8" s="587"/>
      <c r="P8" s="620"/>
      <c r="R8" s="589" t="s">
        <v>698</v>
      </c>
      <c r="S8" s="583" t="e">
        <f>#REF!</f>
        <v>#REF!</v>
      </c>
      <c r="T8" s="575"/>
      <c r="U8" s="582" t="s">
        <v>700</v>
      </c>
    </row>
    <row r="9" spans="1:22" s="590" customFormat="1">
      <c r="A9" s="574">
        <v>7</v>
      </c>
      <c r="B9" s="590" t="s">
        <v>720</v>
      </c>
      <c r="D9" s="590" t="s">
        <v>721</v>
      </c>
      <c r="E9" s="591">
        <v>0.4</v>
      </c>
      <c r="H9" s="590">
        <f>'[13]Villa DN'!D26</f>
        <v>20</v>
      </c>
      <c r="I9" s="590" t="s">
        <v>722</v>
      </c>
      <c r="J9" s="590" t="s">
        <v>711</v>
      </c>
      <c r="K9" s="590" t="s">
        <v>723</v>
      </c>
      <c r="L9" s="591"/>
      <c r="M9" s="592"/>
      <c r="N9" s="592"/>
      <c r="O9" s="593"/>
      <c r="P9" s="592"/>
      <c r="R9" s="594" t="s">
        <v>713</v>
      </c>
      <c r="S9" s="595">
        <v>9424</v>
      </c>
      <c r="U9" s="596"/>
      <c r="V9" s="597"/>
    </row>
    <row r="10" spans="1:22" s="598" customFormat="1" ht="13.5" customHeight="1">
      <c r="B10" s="598" t="s">
        <v>724</v>
      </c>
      <c r="K10" s="599"/>
      <c r="M10" s="600" t="e">
        <f>SUM(M3:M9)</f>
        <v>#REF!</v>
      </c>
      <c r="N10" s="600"/>
      <c r="O10" s="600"/>
      <c r="P10" s="600"/>
      <c r="R10" s="600"/>
      <c r="S10" s="600" t="e">
        <f>SUM(S3:S9)</f>
        <v>#REF!</v>
      </c>
      <c r="T10" s="600"/>
    </row>
    <row r="11" spans="1:22" s="598" customFormat="1" ht="13.5" customHeight="1">
      <c r="B11" s="598" t="s">
        <v>725</v>
      </c>
      <c r="K11" s="599"/>
      <c r="M11" s="600"/>
      <c r="N11" s="600"/>
      <c r="O11" s="600"/>
      <c r="P11" s="600"/>
      <c r="R11" s="600"/>
      <c r="S11" s="600" t="e">
        <f>'Valuation summary'!T17</f>
        <v>#REF!</v>
      </c>
      <c r="T11" s="600"/>
    </row>
    <row r="12" spans="1:22" s="598" customFormat="1" ht="13.5" customHeight="1">
      <c r="B12" s="598" t="s">
        <v>1106</v>
      </c>
      <c r="K12" s="599"/>
      <c r="M12" s="600"/>
      <c r="N12" s="600"/>
      <c r="O12" s="600"/>
      <c r="P12" s="600"/>
      <c r="R12" s="600"/>
      <c r="S12" s="600" t="e">
        <f>'Valuation summary'!T18</f>
        <v>#REF!</v>
      </c>
      <c r="T12" s="600"/>
    </row>
    <row r="13" spans="1:22" ht="36">
      <c r="B13" s="575" t="s">
        <v>726</v>
      </c>
      <c r="M13" s="569" t="e">
        <f>M10/10000</f>
        <v>#REF!</v>
      </c>
      <c r="S13" s="569">
        <v>306750</v>
      </c>
      <c r="T13" s="569"/>
    </row>
    <row r="14" spans="1:22">
      <c r="B14" s="568" t="s">
        <v>727</v>
      </c>
      <c r="S14" s="569">
        <v>-69684</v>
      </c>
      <c r="T14" s="569" t="s">
        <v>739</v>
      </c>
      <c r="U14" s="621">
        <f>U16*S19*10^-6</f>
        <v>1200000</v>
      </c>
    </row>
    <row r="15" spans="1:22">
      <c r="B15" s="568" t="s">
        <v>740</v>
      </c>
      <c r="S15" s="569">
        <f>S24-180000</f>
        <v>290200</v>
      </c>
      <c r="T15" s="569" t="s">
        <v>741</v>
      </c>
      <c r="U15" s="621">
        <f>U14+S24</f>
        <v>1670200</v>
      </c>
    </row>
    <row r="16" spans="1:22">
      <c r="B16" s="598" t="s">
        <v>728</v>
      </c>
      <c r="S16" s="569" t="e">
        <f>SUM(S10:S15)</f>
        <v>#REF!</v>
      </c>
      <c r="T16" s="569" t="s">
        <v>742</v>
      </c>
      <c r="U16" s="569">
        <v>75000000</v>
      </c>
    </row>
    <row r="17" spans="2:26">
      <c r="B17" s="568" t="s">
        <v>729</v>
      </c>
      <c r="S17" s="569">
        <v>125000000</v>
      </c>
      <c r="T17" s="609" t="s">
        <v>743</v>
      </c>
      <c r="U17" s="621">
        <v>125000000</v>
      </c>
    </row>
    <row r="18" spans="2:26" s="598" customFormat="1" ht="15">
      <c r="B18" s="598" t="s">
        <v>730</v>
      </c>
      <c r="M18" s="600"/>
      <c r="N18" s="600"/>
      <c r="O18" s="600"/>
      <c r="P18" s="600"/>
      <c r="R18" s="600"/>
      <c r="S18" s="601" t="e">
        <f>S16*10^6/S17</f>
        <v>#REF!</v>
      </c>
      <c r="T18" s="601"/>
      <c r="U18" s="602"/>
      <c r="V18" s="603"/>
      <c r="W18" s="603"/>
      <c r="X18" s="603"/>
      <c r="Y18" s="603"/>
      <c r="Z18" s="603"/>
    </row>
    <row r="19" spans="2:26" ht="14.25">
      <c r="B19" s="568" t="s">
        <v>731</v>
      </c>
      <c r="S19" s="569">
        <v>16000</v>
      </c>
      <c r="T19" s="569">
        <f>U15/(U17*10^-6)</f>
        <v>13361.6</v>
      </c>
      <c r="U19" s="604"/>
      <c r="V19" s="605"/>
      <c r="W19" s="605"/>
      <c r="X19" s="605"/>
      <c r="Y19" s="605"/>
      <c r="Z19" s="605"/>
    </row>
    <row r="20" spans="2:26" ht="14.25">
      <c r="B20" s="568" t="s">
        <v>732</v>
      </c>
      <c r="S20" s="606" t="e">
        <f>S18/S19-1</f>
        <v>#REF!</v>
      </c>
      <c r="T20" s="606" t="e">
        <f>S18/T19-1</f>
        <v>#REF!</v>
      </c>
      <c r="U20" s="604"/>
      <c r="V20" s="605"/>
      <c r="W20" s="605"/>
      <c r="X20" s="605"/>
      <c r="Y20" s="605"/>
      <c r="Z20" s="605"/>
    </row>
    <row r="22" spans="2:26">
      <c r="P22" s="569">
        <f>75000000*0.25</f>
        <v>18750000</v>
      </c>
      <c r="R22" s="569">
        <v>10000</v>
      </c>
      <c r="S22" s="569">
        <f>R22*P22/10^6</f>
        <v>187500</v>
      </c>
      <c r="T22" s="569" t="e">
        <f>25%*#REF!</f>
        <v>#REF!</v>
      </c>
      <c r="U22" s="607"/>
      <c r="V22" s="608"/>
      <c r="W22" s="608"/>
      <c r="X22" s="608"/>
      <c r="Y22" s="608"/>
      <c r="Z22" s="608"/>
    </row>
    <row r="23" spans="2:26">
      <c r="P23" s="569">
        <v>25700000</v>
      </c>
      <c r="R23" s="569">
        <v>11000</v>
      </c>
      <c r="S23" s="569">
        <f>R23*P23/10^6</f>
        <v>282700</v>
      </c>
      <c r="T23" s="569" t="e">
        <f>25%*#REF!</f>
        <v>#REF!</v>
      </c>
      <c r="U23" s="621" t="e">
        <f>S23-T22-T23</f>
        <v>#REF!</v>
      </c>
      <c r="V23" s="569"/>
      <c r="W23" s="569"/>
      <c r="X23" s="569"/>
      <c r="Y23" s="569"/>
      <c r="Z23" s="569"/>
    </row>
    <row r="24" spans="2:26">
      <c r="R24" s="569">
        <f>AVERAGE(R22:R23)</f>
        <v>10500</v>
      </c>
      <c r="S24" s="569">
        <f>SUM(S22:S23)</f>
        <v>470200</v>
      </c>
      <c r="T24" s="621" t="e">
        <f>S24-SUM(T22:T23)</f>
        <v>#REF!</v>
      </c>
    </row>
    <row r="26" spans="2:26">
      <c r="M26" s="609"/>
      <c r="N26" s="609"/>
      <c r="S26" s="569">
        <f>(S19+R24*(U17/U16))/(1+U17/U16)</f>
        <v>12562.499999999998</v>
      </c>
    </row>
    <row r="27" spans="2:26">
      <c r="S27" s="606" t="e">
        <f>S18/S26-1</f>
        <v>#REF!</v>
      </c>
    </row>
  </sheetData>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27"/>
  <sheetViews>
    <sheetView zoomScaleNormal="100" workbookViewId="0">
      <pane xSplit="2" ySplit="2" topLeftCell="O3" activePane="bottomRight" state="frozen"/>
      <selection activeCell="T12" activeCellId="1" sqref="R8 T12"/>
      <selection pane="topRight" activeCell="T12" activeCellId="1" sqref="R8 T12"/>
      <selection pane="bottomLeft" activeCell="T12" activeCellId="1" sqref="R8 T12"/>
      <selection pane="bottomRight" activeCell="S9" sqref="S9"/>
    </sheetView>
  </sheetViews>
  <sheetFormatPr defaultRowHeight="12"/>
  <cols>
    <col min="1" max="1" width="4" style="568" customWidth="1"/>
    <col min="2" max="2" width="23.140625" style="568" bestFit="1" customWidth="1"/>
    <col min="3" max="3" width="17.140625" style="568" customWidth="1"/>
    <col min="4" max="4" width="24.140625" style="568" customWidth="1"/>
    <col min="5" max="5" width="14.85546875" style="568" customWidth="1"/>
    <col min="6" max="6" width="15.42578125" style="568" customWidth="1"/>
    <col min="7" max="7" width="14.42578125" style="568" customWidth="1"/>
    <col min="8" max="8" width="9" style="568" customWidth="1"/>
    <col min="9" max="9" width="29.7109375" style="568" customWidth="1"/>
    <col min="10" max="10" width="16.5703125" style="568" customWidth="1"/>
    <col min="11" max="11" width="29.42578125" style="568" customWidth="1"/>
    <col min="12" max="12" width="8.5703125" style="568" bestFit="1" customWidth="1"/>
    <col min="13" max="14" width="12.5703125" style="569" customWidth="1"/>
    <col min="15" max="15" width="16.42578125" style="569" customWidth="1"/>
    <col min="16" max="16" width="15.7109375" style="569" customWidth="1"/>
    <col min="17" max="17" width="38.140625" style="568" hidden="1" customWidth="1"/>
    <col min="18" max="18" width="15.42578125" style="569" customWidth="1"/>
    <col min="19" max="19" width="16.85546875" style="569" customWidth="1"/>
    <col min="20" max="20" width="52.85546875" style="568" customWidth="1"/>
    <col min="21" max="21" width="17" style="568" bestFit="1" customWidth="1"/>
    <col min="22" max="22" width="10.140625" style="568" customWidth="1"/>
    <col min="23" max="256" width="9.140625" style="568"/>
    <col min="257" max="257" width="4" style="568" customWidth="1"/>
    <col min="258" max="258" width="23.140625" style="568" bestFit="1" customWidth="1"/>
    <col min="259" max="259" width="17.140625" style="568" customWidth="1"/>
    <col min="260" max="260" width="24.140625" style="568" customWidth="1"/>
    <col min="261" max="261" width="14.85546875" style="568" customWidth="1"/>
    <col min="262" max="262" width="15.42578125" style="568" customWidth="1"/>
    <col min="263" max="263" width="14.42578125" style="568" customWidth="1"/>
    <col min="264" max="264" width="9" style="568" customWidth="1"/>
    <col min="265" max="265" width="29.7109375" style="568" customWidth="1"/>
    <col min="266" max="266" width="16.5703125" style="568" customWidth="1"/>
    <col min="267" max="267" width="29.42578125" style="568" customWidth="1"/>
    <col min="268" max="268" width="8.5703125" style="568" bestFit="1" customWidth="1"/>
    <col min="269" max="270" width="12.5703125" style="568" customWidth="1"/>
    <col min="271" max="271" width="16.42578125" style="568" customWidth="1"/>
    <col min="272" max="272" width="15.7109375" style="568" customWidth="1"/>
    <col min="273" max="273" width="0" style="568" hidden="1" customWidth="1"/>
    <col min="274" max="274" width="15.42578125" style="568" customWidth="1"/>
    <col min="275" max="275" width="16.85546875" style="568" customWidth="1"/>
    <col min="276" max="276" width="52.85546875" style="568" customWidth="1"/>
    <col min="277" max="277" width="17" style="568" bestFit="1" customWidth="1"/>
    <col min="278" max="278" width="10.140625" style="568" customWidth="1"/>
    <col min="279" max="512" width="9.140625" style="568"/>
    <col min="513" max="513" width="4" style="568" customWidth="1"/>
    <col min="514" max="514" width="23.140625" style="568" bestFit="1" customWidth="1"/>
    <col min="515" max="515" width="17.140625" style="568" customWidth="1"/>
    <col min="516" max="516" width="24.140625" style="568" customWidth="1"/>
    <col min="517" max="517" width="14.85546875" style="568" customWidth="1"/>
    <col min="518" max="518" width="15.42578125" style="568" customWidth="1"/>
    <col min="519" max="519" width="14.42578125" style="568" customWidth="1"/>
    <col min="520" max="520" width="9" style="568" customWidth="1"/>
    <col min="521" max="521" width="29.7109375" style="568" customWidth="1"/>
    <col min="522" max="522" width="16.5703125" style="568" customWidth="1"/>
    <col min="523" max="523" width="29.42578125" style="568" customWidth="1"/>
    <col min="524" max="524" width="8.5703125" style="568" bestFit="1" customWidth="1"/>
    <col min="525" max="526" width="12.5703125" style="568" customWidth="1"/>
    <col min="527" max="527" width="16.42578125" style="568" customWidth="1"/>
    <col min="528" max="528" width="15.7109375" style="568" customWidth="1"/>
    <col min="529" max="529" width="0" style="568" hidden="1" customWidth="1"/>
    <col min="530" max="530" width="15.42578125" style="568" customWidth="1"/>
    <col min="531" max="531" width="16.85546875" style="568" customWidth="1"/>
    <col min="532" max="532" width="52.85546875" style="568" customWidth="1"/>
    <col min="533" max="533" width="17" style="568" bestFit="1" customWidth="1"/>
    <col min="534" max="534" width="10.140625" style="568" customWidth="1"/>
    <col min="535" max="768" width="9.140625" style="568"/>
    <col min="769" max="769" width="4" style="568" customWidth="1"/>
    <col min="770" max="770" width="23.140625" style="568" bestFit="1" customWidth="1"/>
    <col min="771" max="771" width="17.140625" style="568" customWidth="1"/>
    <col min="772" max="772" width="24.140625" style="568" customWidth="1"/>
    <col min="773" max="773" width="14.85546875" style="568" customWidth="1"/>
    <col min="774" max="774" width="15.42578125" style="568" customWidth="1"/>
    <col min="775" max="775" width="14.42578125" style="568" customWidth="1"/>
    <col min="776" max="776" width="9" style="568" customWidth="1"/>
    <col min="777" max="777" width="29.7109375" style="568" customWidth="1"/>
    <col min="778" max="778" width="16.5703125" style="568" customWidth="1"/>
    <col min="779" max="779" width="29.42578125" style="568" customWidth="1"/>
    <col min="780" max="780" width="8.5703125" style="568" bestFit="1" customWidth="1"/>
    <col min="781" max="782" width="12.5703125" style="568" customWidth="1"/>
    <col min="783" max="783" width="16.42578125" style="568" customWidth="1"/>
    <col min="784" max="784" width="15.7109375" style="568" customWidth="1"/>
    <col min="785" max="785" width="0" style="568" hidden="1" customWidth="1"/>
    <col min="786" max="786" width="15.42578125" style="568" customWidth="1"/>
    <col min="787" max="787" width="16.85546875" style="568" customWidth="1"/>
    <col min="788" max="788" width="52.85546875" style="568" customWidth="1"/>
    <col min="789" max="789" width="17" style="568" bestFit="1" customWidth="1"/>
    <col min="790" max="790" width="10.140625" style="568" customWidth="1"/>
    <col min="791" max="1024" width="9.140625" style="568"/>
    <col min="1025" max="1025" width="4" style="568" customWidth="1"/>
    <col min="1026" max="1026" width="23.140625" style="568" bestFit="1" customWidth="1"/>
    <col min="1027" max="1027" width="17.140625" style="568" customWidth="1"/>
    <col min="1028" max="1028" width="24.140625" style="568" customWidth="1"/>
    <col min="1029" max="1029" width="14.85546875" style="568" customWidth="1"/>
    <col min="1030" max="1030" width="15.42578125" style="568" customWidth="1"/>
    <col min="1031" max="1031" width="14.42578125" style="568" customWidth="1"/>
    <col min="1032" max="1032" width="9" style="568" customWidth="1"/>
    <col min="1033" max="1033" width="29.7109375" style="568" customWidth="1"/>
    <col min="1034" max="1034" width="16.5703125" style="568" customWidth="1"/>
    <col min="1035" max="1035" width="29.42578125" style="568" customWidth="1"/>
    <col min="1036" max="1036" width="8.5703125" style="568" bestFit="1" customWidth="1"/>
    <col min="1037" max="1038" width="12.5703125" style="568" customWidth="1"/>
    <col min="1039" max="1039" width="16.42578125" style="568" customWidth="1"/>
    <col min="1040" max="1040" width="15.7109375" style="568" customWidth="1"/>
    <col min="1041" max="1041" width="0" style="568" hidden="1" customWidth="1"/>
    <col min="1042" max="1042" width="15.42578125" style="568" customWidth="1"/>
    <col min="1043" max="1043" width="16.85546875" style="568" customWidth="1"/>
    <col min="1044" max="1044" width="52.85546875" style="568" customWidth="1"/>
    <col min="1045" max="1045" width="17" style="568" bestFit="1" customWidth="1"/>
    <col min="1046" max="1046" width="10.140625" style="568" customWidth="1"/>
    <col min="1047" max="1280" width="9.140625" style="568"/>
    <col min="1281" max="1281" width="4" style="568" customWidth="1"/>
    <col min="1282" max="1282" width="23.140625" style="568" bestFit="1" customWidth="1"/>
    <col min="1283" max="1283" width="17.140625" style="568" customWidth="1"/>
    <col min="1284" max="1284" width="24.140625" style="568" customWidth="1"/>
    <col min="1285" max="1285" width="14.85546875" style="568" customWidth="1"/>
    <col min="1286" max="1286" width="15.42578125" style="568" customWidth="1"/>
    <col min="1287" max="1287" width="14.42578125" style="568" customWidth="1"/>
    <col min="1288" max="1288" width="9" style="568" customWidth="1"/>
    <col min="1289" max="1289" width="29.7109375" style="568" customWidth="1"/>
    <col min="1290" max="1290" width="16.5703125" style="568" customWidth="1"/>
    <col min="1291" max="1291" width="29.42578125" style="568" customWidth="1"/>
    <col min="1292" max="1292" width="8.5703125" style="568" bestFit="1" customWidth="1"/>
    <col min="1293" max="1294" width="12.5703125" style="568" customWidth="1"/>
    <col min="1295" max="1295" width="16.42578125" style="568" customWidth="1"/>
    <col min="1296" max="1296" width="15.7109375" style="568" customWidth="1"/>
    <col min="1297" max="1297" width="0" style="568" hidden="1" customWidth="1"/>
    <col min="1298" max="1298" width="15.42578125" style="568" customWidth="1"/>
    <col min="1299" max="1299" width="16.85546875" style="568" customWidth="1"/>
    <col min="1300" max="1300" width="52.85546875" style="568" customWidth="1"/>
    <col min="1301" max="1301" width="17" style="568" bestFit="1" customWidth="1"/>
    <col min="1302" max="1302" width="10.140625" style="568" customWidth="1"/>
    <col min="1303" max="1536" width="9.140625" style="568"/>
    <col min="1537" max="1537" width="4" style="568" customWidth="1"/>
    <col min="1538" max="1538" width="23.140625" style="568" bestFit="1" customWidth="1"/>
    <col min="1539" max="1539" width="17.140625" style="568" customWidth="1"/>
    <col min="1540" max="1540" width="24.140625" style="568" customWidth="1"/>
    <col min="1541" max="1541" width="14.85546875" style="568" customWidth="1"/>
    <col min="1542" max="1542" width="15.42578125" style="568" customWidth="1"/>
    <col min="1543" max="1543" width="14.42578125" style="568" customWidth="1"/>
    <col min="1544" max="1544" width="9" style="568" customWidth="1"/>
    <col min="1545" max="1545" width="29.7109375" style="568" customWidth="1"/>
    <col min="1546" max="1546" width="16.5703125" style="568" customWidth="1"/>
    <col min="1547" max="1547" width="29.42578125" style="568" customWidth="1"/>
    <col min="1548" max="1548" width="8.5703125" style="568" bestFit="1" customWidth="1"/>
    <col min="1549" max="1550" width="12.5703125" style="568" customWidth="1"/>
    <col min="1551" max="1551" width="16.42578125" style="568" customWidth="1"/>
    <col min="1552" max="1552" width="15.7109375" style="568" customWidth="1"/>
    <col min="1553" max="1553" width="0" style="568" hidden="1" customWidth="1"/>
    <col min="1554" max="1554" width="15.42578125" style="568" customWidth="1"/>
    <col min="1555" max="1555" width="16.85546875" style="568" customWidth="1"/>
    <col min="1556" max="1556" width="52.85546875" style="568" customWidth="1"/>
    <col min="1557" max="1557" width="17" style="568" bestFit="1" customWidth="1"/>
    <col min="1558" max="1558" width="10.140625" style="568" customWidth="1"/>
    <col min="1559" max="1792" width="9.140625" style="568"/>
    <col min="1793" max="1793" width="4" style="568" customWidth="1"/>
    <col min="1794" max="1794" width="23.140625" style="568" bestFit="1" customWidth="1"/>
    <col min="1795" max="1795" width="17.140625" style="568" customWidth="1"/>
    <col min="1796" max="1796" width="24.140625" style="568" customWidth="1"/>
    <col min="1797" max="1797" width="14.85546875" style="568" customWidth="1"/>
    <col min="1798" max="1798" width="15.42578125" style="568" customWidth="1"/>
    <col min="1799" max="1799" width="14.42578125" style="568" customWidth="1"/>
    <col min="1800" max="1800" width="9" style="568" customWidth="1"/>
    <col min="1801" max="1801" width="29.7109375" style="568" customWidth="1"/>
    <col min="1802" max="1802" width="16.5703125" style="568" customWidth="1"/>
    <col min="1803" max="1803" width="29.42578125" style="568" customWidth="1"/>
    <col min="1804" max="1804" width="8.5703125" style="568" bestFit="1" customWidth="1"/>
    <col min="1805" max="1806" width="12.5703125" style="568" customWidth="1"/>
    <col min="1807" max="1807" width="16.42578125" style="568" customWidth="1"/>
    <col min="1808" max="1808" width="15.7109375" style="568" customWidth="1"/>
    <col min="1809" max="1809" width="0" style="568" hidden="1" customWidth="1"/>
    <col min="1810" max="1810" width="15.42578125" style="568" customWidth="1"/>
    <col min="1811" max="1811" width="16.85546875" style="568" customWidth="1"/>
    <col min="1812" max="1812" width="52.85546875" style="568" customWidth="1"/>
    <col min="1813" max="1813" width="17" style="568" bestFit="1" customWidth="1"/>
    <col min="1814" max="1814" width="10.140625" style="568" customWidth="1"/>
    <col min="1815" max="2048" width="9.140625" style="568"/>
    <col min="2049" max="2049" width="4" style="568" customWidth="1"/>
    <col min="2050" max="2050" width="23.140625" style="568" bestFit="1" customWidth="1"/>
    <col min="2051" max="2051" width="17.140625" style="568" customWidth="1"/>
    <col min="2052" max="2052" width="24.140625" style="568" customWidth="1"/>
    <col min="2053" max="2053" width="14.85546875" style="568" customWidth="1"/>
    <col min="2054" max="2054" width="15.42578125" style="568" customWidth="1"/>
    <col min="2055" max="2055" width="14.42578125" style="568" customWidth="1"/>
    <col min="2056" max="2056" width="9" style="568" customWidth="1"/>
    <col min="2057" max="2057" width="29.7109375" style="568" customWidth="1"/>
    <col min="2058" max="2058" width="16.5703125" style="568" customWidth="1"/>
    <col min="2059" max="2059" width="29.42578125" style="568" customWidth="1"/>
    <col min="2060" max="2060" width="8.5703125" style="568" bestFit="1" customWidth="1"/>
    <col min="2061" max="2062" width="12.5703125" style="568" customWidth="1"/>
    <col min="2063" max="2063" width="16.42578125" style="568" customWidth="1"/>
    <col min="2064" max="2064" width="15.7109375" style="568" customWidth="1"/>
    <col min="2065" max="2065" width="0" style="568" hidden="1" customWidth="1"/>
    <col min="2066" max="2066" width="15.42578125" style="568" customWidth="1"/>
    <col min="2067" max="2067" width="16.85546875" style="568" customWidth="1"/>
    <col min="2068" max="2068" width="52.85546875" style="568" customWidth="1"/>
    <col min="2069" max="2069" width="17" style="568" bestFit="1" customWidth="1"/>
    <col min="2070" max="2070" width="10.140625" style="568" customWidth="1"/>
    <col min="2071" max="2304" width="9.140625" style="568"/>
    <col min="2305" max="2305" width="4" style="568" customWidth="1"/>
    <col min="2306" max="2306" width="23.140625" style="568" bestFit="1" customWidth="1"/>
    <col min="2307" max="2307" width="17.140625" style="568" customWidth="1"/>
    <col min="2308" max="2308" width="24.140625" style="568" customWidth="1"/>
    <col min="2309" max="2309" width="14.85546875" style="568" customWidth="1"/>
    <col min="2310" max="2310" width="15.42578125" style="568" customWidth="1"/>
    <col min="2311" max="2311" width="14.42578125" style="568" customWidth="1"/>
    <col min="2312" max="2312" width="9" style="568" customWidth="1"/>
    <col min="2313" max="2313" width="29.7109375" style="568" customWidth="1"/>
    <col min="2314" max="2314" width="16.5703125" style="568" customWidth="1"/>
    <col min="2315" max="2315" width="29.42578125" style="568" customWidth="1"/>
    <col min="2316" max="2316" width="8.5703125" style="568" bestFit="1" customWidth="1"/>
    <col min="2317" max="2318" width="12.5703125" style="568" customWidth="1"/>
    <col min="2319" max="2319" width="16.42578125" style="568" customWidth="1"/>
    <col min="2320" max="2320" width="15.7109375" style="568" customWidth="1"/>
    <col min="2321" max="2321" width="0" style="568" hidden="1" customWidth="1"/>
    <col min="2322" max="2322" width="15.42578125" style="568" customWidth="1"/>
    <col min="2323" max="2323" width="16.85546875" style="568" customWidth="1"/>
    <col min="2324" max="2324" width="52.85546875" style="568" customWidth="1"/>
    <col min="2325" max="2325" width="17" style="568" bestFit="1" customWidth="1"/>
    <col min="2326" max="2326" width="10.140625" style="568" customWidth="1"/>
    <col min="2327" max="2560" width="9.140625" style="568"/>
    <col min="2561" max="2561" width="4" style="568" customWidth="1"/>
    <col min="2562" max="2562" width="23.140625" style="568" bestFit="1" customWidth="1"/>
    <col min="2563" max="2563" width="17.140625" style="568" customWidth="1"/>
    <col min="2564" max="2564" width="24.140625" style="568" customWidth="1"/>
    <col min="2565" max="2565" width="14.85546875" style="568" customWidth="1"/>
    <col min="2566" max="2566" width="15.42578125" style="568" customWidth="1"/>
    <col min="2567" max="2567" width="14.42578125" style="568" customWidth="1"/>
    <col min="2568" max="2568" width="9" style="568" customWidth="1"/>
    <col min="2569" max="2569" width="29.7109375" style="568" customWidth="1"/>
    <col min="2570" max="2570" width="16.5703125" style="568" customWidth="1"/>
    <col min="2571" max="2571" width="29.42578125" style="568" customWidth="1"/>
    <col min="2572" max="2572" width="8.5703125" style="568" bestFit="1" customWidth="1"/>
    <col min="2573" max="2574" width="12.5703125" style="568" customWidth="1"/>
    <col min="2575" max="2575" width="16.42578125" style="568" customWidth="1"/>
    <col min="2576" max="2576" width="15.7109375" style="568" customWidth="1"/>
    <col min="2577" max="2577" width="0" style="568" hidden="1" customWidth="1"/>
    <col min="2578" max="2578" width="15.42578125" style="568" customWidth="1"/>
    <col min="2579" max="2579" width="16.85546875" style="568" customWidth="1"/>
    <col min="2580" max="2580" width="52.85546875" style="568" customWidth="1"/>
    <col min="2581" max="2581" width="17" style="568" bestFit="1" customWidth="1"/>
    <col min="2582" max="2582" width="10.140625" style="568" customWidth="1"/>
    <col min="2583" max="2816" width="9.140625" style="568"/>
    <col min="2817" max="2817" width="4" style="568" customWidth="1"/>
    <col min="2818" max="2818" width="23.140625" style="568" bestFit="1" customWidth="1"/>
    <col min="2819" max="2819" width="17.140625" style="568" customWidth="1"/>
    <col min="2820" max="2820" width="24.140625" style="568" customWidth="1"/>
    <col min="2821" max="2821" width="14.85546875" style="568" customWidth="1"/>
    <col min="2822" max="2822" width="15.42578125" style="568" customWidth="1"/>
    <col min="2823" max="2823" width="14.42578125" style="568" customWidth="1"/>
    <col min="2824" max="2824" width="9" style="568" customWidth="1"/>
    <col min="2825" max="2825" width="29.7109375" style="568" customWidth="1"/>
    <col min="2826" max="2826" width="16.5703125" style="568" customWidth="1"/>
    <col min="2827" max="2827" width="29.42578125" style="568" customWidth="1"/>
    <col min="2828" max="2828" width="8.5703125" style="568" bestFit="1" customWidth="1"/>
    <col min="2829" max="2830" width="12.5703125" style="568" customWidth="1"/>
    <col min="2831" max="2831" width="16.42578125" style="568" customWidth="1"/>
    <col min="2832" max="2832" width="15.7109375" style="568" customWidth="1"/>
    <col min="2833" max="2833" width="0" style="568" hidden="1" customWidth="1"/>
    <col min="2834" max="2834" width="15.42578125" style="568" customWidth="1"/>
    <col min="2835" max="2835" width="16.85546875" style="568" customWidth="1"/>
    <col min="2836" max="2836" width="52.85546875" style="568" customWidth="1"/>
    <col min="2837" max="2837" width="17" style="568" bestFit="1" customWidth="1"/>
    <col min="2838" max="2838" width="10.140625" style="568" customWidth="1"/>
    <col min="2839" max="3072" width="9.140625" style="568"/>
    <col min="3073" max="3073" width="4" style="568" customWidth="1"/>
    <col min="3074" max="3074" width="23.140625" style="568" bestFit="1" customWidth="1"/>
    <col min="3075" max="3075" width="17.140625" style="568" customWidth="1"/>
    <col min="3076" max="3076" width="24.140625" style="568" customWidth="1"/>
    <col min="3077" max="3077" width="14.85546875" style="568" customWidth="1"/>
    <col min="3078" max="3078" width="15.42578125" style="568" customWidth="1"/>
    <col min="3079" max="3079" width="14.42578125" style="568" customWidth="1"/>
    <col min="3080" max="3080" width="9" style="568" customWidth="1"/>
    <col min="3081" max="3081" width="29.7109375" style="568" customWidth="1"/>
    <col min="3082" max="3082" width="16.5703125" style="568" customWidth="1"/>
    <col min="3083" max="3083" width="29.42578125" style="568" customWidth="1"/>
    <col min="3084" max="3084" width="8.5703125" style="568" bestFit="1" customWidth="1"/>
    <col min="3085" max="3086" width="12.5703125" style="568" customWidth="1"/>
    <col min="3087" max="3087" width="16.42578125" style="568" customWidth="1"/>
    <col min="3088" max="3088" width="15.7109375" style="568" customWidth="1"/>
    <col min="3089" max="3089" width="0" style="568" hidden="1" customWidth="1"/>
    <col min="3090" max="3090" width="15.42578125" style="568" customWidth="1"/>
    <col min="3091" max="3091" width="16.85546875" style="568" customWidth="1"/>
    <col min="3092" max="3092" width="52.85546875" style="568" customWidth="1"/>
    <col min="3093" max="3093" width="17" style="568" bestFit="1" customWidth="1"/>
    <col min="3094" max="3094" width="10.140625" style="568" customWidth="1"/>
    <col min="3095" max="3328" width="9.140625" style="568"/>
    <col min="3329" max="3329" width="4" style="568" customWidth="1"/>
    <col min="3330" max="3330" width="23.140625" style="568" bestFit="1" customWidth="1"/>
    <col min="3331" max="3331" width="17.140625" style="568" customWidth="1"/>
    <col min="3332" max="3332" width="24.140625" style="568" customWidth="1"/>
    <col min="3333" max="3333" width="14.85546875" style="568" customWidth="1"/>
    <col min="3334" max="3334" width="15.42578125" style="568" customWidth="1"/>
    <col min="3335" max="3335" width="14.42578125" style="568" customWidth="1"/>
    <col min="3336" max="3336" width="9" style="568" customWidth="1"/>
    <col min="3337" max="3337" width="29.7109375" style="568" customWidth="1"/>
    <col min="3338" max="3338" width="16.5703125" style="568" customWidth="1"/>
    <col min="3339" max="3339" width="29.42578125" style="568" customWidth="1"/>
    <col min="3340" max="3340" width="8.5703125" style="568" bestFit="1" customWidth="1"/>
    <col min="3341" max="3342" width="12.5703125" style="568" customWidth="1"/>
    <col min="3343" max="3343" width="16.42578125" style="568" customWidth="1"/>
    <col min="3344" max="3344" width="15.7109375" style="568" customWidth="1"/>
    <col min="3345" max="3345" width="0" style="568" hidden="1" customWidth="1"/>
    <col min="3346" max="3346" width="15.42578125" style="568" customWidth="1"/>
    <col min="3347" max="3347" width="16.85546875" style="568" customWidth="1"/>
    <col min="3348" max="3348" width="52.85546875" style="568" customWidth="1"/>
    <col min="3349" max="3349" width="17" style="568" bestFit="1" customWidth="1"/>
    <col min="3350" max="3350" width="10.140625" style="568" customWidth="1"/>
    <col min="3351" max="3584" width="9.140625" style="568"/>
    <col min="3585" max="3585" width="4" style="568" customWidth="1"/>
    <col min="3586" max="3586" width="23.140625" style="568" bestFit="1" customWidth="1"/>
    <col min="3587" max="3587" width="17.140625" style="568" customWidth="1"/>
    <col min="3588" max="3588" width="24.140625" style="568" customWidth="1"/>
    <col min="3589" max="3589" width="14.85546875" style="568" customWidth="1"/>
    <col min="3590" max="3590" width="15.42578125" style="568" customWidth="1"/>
    <col min="3591" max="3591" width="14.42578125" style="568" customWidth="1"/>
    <col min="3592" max="3592" width="9" style="568" customWidth="1"/>
    <col min="3593" max="3593" width="29.7109375" style="568" customWidth="1"/>
    <col min="3594" max="3594" width="16.5703125" style="568" customWidth="1"/>
    <col min="3595" max="3595" width="29.42578125" style="568" customWidth="1"/>
    <col min="3596" max="3596" width="8.5703125" style="568" bestFit="1" customWidth="1"/>
    <col min="3597" max="3598" width="12.5703125" style="568" customWidth="1"/>
    <col min="3599" max="3599" width="16.42578125" style="568" customWidth="1"/>
    <col min="3600" max="3600" width="15.7109375" style="568" customWidth="1"/>
    <col min="3601" max="3601" width="0" style="568" hidden="1" customWidth="1"/>
    <col min="3602" max="3602" width="15.42578125" style="568" customWidth="1"/>
    <col min="3603" max="3603" width="16.85546875" style="568" customWidth="1"/>
    <col min="3604" max="3604" width="52.85546875" style="568" customWidth="1"/>
    <col min="3605" max="3605" width="17" style="568" bestFit="1" customWidth="1"/>
    <col min="3606" max="3606" width="10.140625" style="568" customWidth="1"/>
    <col min="3607" max="3840" width="9.140625" style="568"/>
    <col min="3841" max="3841" width="4" style="568" customWidth="1"/>
    <col min="3842" max="3842" width="23.140625" style="568" bestFit="1" customWidth="1"/>
    <col min="3843" max="3843" width="17.140625" style="568" customWidth="1"/>
    <col min="3844" max="3844" width="24.140625" style="568" customWidth="1"/>
    <col min="3845" max="3845" width="14.85546875" style="568" customWidth="1"/>
    <col min="3846" max="3846" width="15.42578125" style="568" customWidth="1"/>
    <col min="3847" max="3847" width="14.42578125" style="568" customWidth="1"/>
    <col min="3848" max="3848" width="9" style="568" customWidth="1"/>
    <col min="3849" max="3849" width="29.7109375" style="568" customWidth="1"/>
    <col min="3850" max="3850" width="16.5703125" style="568" customWidth="1"/>
    <col min="3851" max="3851" width="29.42578125" style="568" customWidth="1"/>
    <col min="3852" max="3852" width="8.5703125" style="568" bestFit="1" customWidth="1"/>
    <col min="3853" max="3854" width="12.5703125" style="568" customWidth="1"/>
    <col min="3855" max="3855" width="16.42578125" style="568" customWidth="1"/>
    <col min="3856" max="3856" width="15.7109375" style="568" customWidth="1"/>
    <col min="3857" max="3857" width="0" style="568" hidden="1" customWidth="1"/>
    <col min="3858" max="3858" width="15.42578125" style="568" customWidth="1"/>
    <col min="3859" max="3859" width="16.85546875" style="568" customWidth="1"/>
    <col min="3860" max="3860" width="52.85546875" style="568" customWidth="1"/>
    <col min="3861" max="3861" width="17" style="568" bestFit="1" customWidth="1"/>
    <col min="3862" max="3862" width="10.140625" style="568" customWidth="1"/>
    <col min="3863" max="4096" width="9.140625" style="568"/>
    <col min="4097" max="4097" width="4" style="568" customWidth="1"/>
    <col min="4098" max="4098" width="23.140625" style="568" bestFit="1" customWidth="1"/>
    <col min="4099" max="4099" width="17.140625" style="568" customWidth="1"/>
    <col min="4100" max="4100" width="24.140625" style="568" customWidth="1"/>
    <col min="4101" max="4101" width="14.85546875" style="568" customWidth="1"/>
    <col min="4102" max="4102" width="15.42578125" style="568" customWidth="1"/>
    <col min="4103" max="4103" width="14.42578125" style="568" customWidth="1"/>
    <col min="4104" max="4104" width="9" style="568" customWidth="1"/>
    <col min="4105" max="4105" width="29.7109375" style="568" customWidth="1"/>
    <col min="4106" max="4106" width="16.5703125" style="568" customWidth="1"/>
    <col min="4107" max="4107" width="29.42578125" style="568" customWidth="1"/>
    <col min="4108" max="4108" width="8.5703125" style="568" bestFit="1" customWidth="1"/>
    <col min="4109" max="4110" width="12.5703125" style="568" customWidth="1"/>
    <col min="4111" max="4111" width="16.42578125" style="568" customWidth="1"/>
    <col min="4112" max="4112" width="15.7109375" style="568" customWidth="1"/>
    <col min="4113" max="4113" width="0" style="568" hidden="1" customWidth="1"/>
    <col min="4114" max="4114" width="15.42578125" style="568" customWidth="1"/>
    <col min="4115" max="4115" width="16.85546875" style="568" customWidth="1"/>
    <col min="4116" max="4116" width="52.85546875" style="568" customWidth="1"/>
    <col min="4117" max="4117" width="17" style="568" bestFit="1" customWidth="1"/>
    <col min="4118" max="4118" width="10.140625" style="568" customWidth="1"/>
    <col min="4119" max="4352" width="9.140625" style="568"/>
    <col min="4353" max="4353" width="4" style="568" customWidth="1"/>
    <col min="4354" max="4354" width="23.140625" style="568" bestFit="1" customWidth="1"/>
    <col min="4355" max="4355" width="17.140625" style="568" customWidth="1"/>
    <col min="4356" max="4356" width="24.140625" style="568" customWidth="1"/>
    <col min="4357" max="4357" width="14.85546875" style="568" customWidth="1"/>
    <col min="4358" max="4358" width="15.42578125" style="568" customWidth="1"/>
    <col min="4359" max="4359" width="14.42578125" style="568" customWidth="1"/>
    <col min="4360" max="4360" width="9" style="568" customWidth="1"/>
    <col min="4361" max="4361" width="29.7109375" style="568" customWidth="1"/>
    <col min="4362" max="4362" width="16.5703125" style="568" customWidth="1"/>
    <col min="4363" max="4363" width="29.42578125" style="568" customWidth="1"/>
    <col min="4364" max="4364" width="8.5703125" style="568" bestFit="1" customWidth="1"/>
    <col min="4365" max="4366" width="12.5703125" style="568" customWidth="1"/>
    <col min="4367" max="4367" width="16.42578125" style="568" customWidth="1"/>
    <col min="4368" max="4368" width="15.7109375" style="568" customWidth="1"/>
    <col min="4369" max="4369" width="0" style="568" hidden="1" customWidth="1"/>
    <col min="4370" max="4370" width="15.42578125" style="568" customWidth="1"/>
    <col min="4371" max="4371" width="16.85546875" style="568" customWidth="1"/>
    <col min="4372" max="4372" width="52.85546875" style="568" customWidth="1"/>
    <col min="4373" max="4373" width="17" style="568" bestFit="1" customWidth="1"/>
    <col min="4374" max="4374" width="10.140625" style="568" customWidth="1"/>
    <col min="4375" max="4608" width="9.140625" style="568"/>
    <col min="4609" max="4609" width="4" style="568" customWidth="1"/>
    <col min="4610" max="4610" width="23.140625" style="568" bestFit="1" customWidth="1"/>
    <col min="4611" max="4611" width="17.140625" style="568" customWidth="1"/>
    <col min="4612" max="4612" width="24.140625" style="568" customWidth="1"/>
    <col min="4613" max="4613" width="14.85546875" style="568" customWidth="1"/>
    <col min="4614" max="4614" width="15.42578125" style="568" customWidth="1"/>
    <col min="4615" max="4615" width="14.42578125" style="568" customWidth="1"/>
    <col min="4616" max="4616" width="9" style="568" customWidth="1"/>
    <col min="4617" max="4617" width="29.7109375" style="568" customWidth="1"/>
    <col min="4618" max="4618" width="16.5703125" style="568" customWidth="1"/>
    <col min="4619" max="4619" width="29.42578125" style="568" customWidth="1"/>
    <col min="4620" max="4620" width="8.5703125" style="568" bestFit="1" customWidth="1"/>
    <col min="4621" max="4622" width="12.5703125" style="568" customWidth="1"/>
    <col min="4623" max="4623" width="16.42578125" style="568" customWidth="1"/>
    <col min="4624" max="4624" width="15.7109375" style="568" customWidth="1"/>
    <col min="4625" max="4625" width="0" style="568" hidden="1" customWidth="1"/>
    <col min="4626" max="4626" width="15.42578125" style="568" customWidth="1"/>
    <col min="4627" max="4627" width="16.85546875" style="568" customWidth="1"/>
    <col min="4628" max="4628" width="52.85546875" style="568" customWidth="1"/>
    <col min="4629" max="4629" width="17" style="568" bestFit="1" customWidth="1"/>
    <col min="4630" max="4630" width="10.140625" style="568" customWidth="1"/>
    <col min="4631" max="4864" width="9.140625" style="568"/>
    <col min="4865" max="4865" width="4" style="568" customWidth="1"/>
    <col min="4866" max="4866" width="23.140625" style="568" bestFit="1" customWidth="1"/>
    <col min="4867" max="4867" width="17.140625" style="568" customWidth="1"/>
    <col min="4868" max="4868" width="24.140625" style="568" customWidth="1"/>
    <col min="4869" max="4869" width="14.85546875" style="568" customWidth="1"/>
    <col min="4870" max="4870" width="15.42578125" style="568" customWidth="1"/>
    <col min="4871" max="4871" width="14.42578125" style="568" customWidth="1"/>
    <col min="4872" max="4872" width="9" style="568" customWidth="1"/>
    <col min="4873" max="4873" width="29.7109375" style="568" customWidth="1"/>
    <col min="4874" max="4874" width="16.5703125" style="568" customWidth="1"/>
    <col min="4875" max="4875" width="29.42578125" style="568" customWidth="1"/>
    <col min="4876" max="4876" width="8.5703125" style="568" bestFit="1" customWidth="1"/>
    <col min="4877" max="4878" width="12.5703125" style="568" customWidth="1"/>
    <col min="4879" max="4879" width="16.42578125" style="568" customWidth="1"/>
    <col min="4880" max="4880" width="15.7109375" style="568" customWidth="1"/>
    <col min="4881" max="4881" width="0" style="568" hidden="1" customWidth="1"/>
    <col min="4882" max="4882" width="15.42578125" style="568" customWidth="1"/>
    <col min="4883" max="4883" width="16.85546875" style="568" customWidth="1"/>
    <col min="4884" max="4884" width="52.85546875" style="568" customWidth="1"/>
    <col min="4885" max="4885" width="17" style="568" bestFit="1" customWidth="1"/>
    <col min="4886" max="4886" width="10.140625" style="568" customWidth="1"/>
    <col min="4887" max="5120" width="9.140625" style="568"/>
    <col min="5121" max="5121" width="4" style="568" customWidth="1"/>
    <col min="5122" max="5122" width="23.140625" style="568" bestFit="1" customWidth="1"/>
    <col min="5123" max="5123" width="17.140625" style="568" customWidth="1"/>
    <col min="5124" max="5124" width="24.140625" style="568" customWidth="1"/>
    <col min="5125" max="5125" width="14.85546875" style="568" customWidth="1"/>
    <col min="5126" max="5126" width="15.42578125" style="568" customWidth="1"/>
    <col min="5127" max="5127" width="14.42578125" style="568" customWidth="1"/>
    <col min="5128" max="5128" width="9" style="568" customWidth="1"/>
    <col min="5129" max="5129" width="29.7109375" style="568" customWidth="1"/>
    <col min="5130" max="5130" width="16.5703125" style="568" customWidth="1"/>
    <col min="5131" max="5131" width="29.42578125" style="568" customWidth="1"/>
    <col min="5132" max="5132" width="8.5703125" style="568" bestFit="1" customWidth="1"/>
    <col min="5133" max="5134" width="12.5703125" style="568" customWidth="1"/>
    <col min="5135" max="5135" width="16.42578125" style="568" customWidth="1"/>
    <col min="5136" max="5136" width="15.7109375" style="568" customWidth="1"/>
    <col min="5137" max="5137" width="0" style="568" hidden="1" customWidth="1"/>
    <col min="5138" max="5138" width="15.42578125" style="568" customWidth="1"/>
    <col min="5139" max="5139" width="16.85546875" style="568" customWidth="1"/>
    <col min="5140" max="5140" width="52.85546875" style="568" customWidth="1"/>
    <col min="5141" max="5141" width="17" style="568" bestFit="1" customWidth="1"/>
    <col min="5142" max="5142" width="10.140625" style="568" customWidth="1"/>
    <col min="5143" max="5376" width="9.140625" style="568"/>
    <col min="5377" max="5377" width="4" style="568" customWidth="1"/>
    <col min="5378" max="5378" width="23.140625" style="568" bestFit="1" customWidth="1"/>
    <col min="5379" max="5379" width="17.140625" style="568" customWidth="1"/>
    <col min="5380" max="5380" width="24.140625" style="568" customWidth="1"/>
    <col min="5381" max="5381" width="14.85546875" style="568" customWidth="1"/>
    <col min="5382" max="5382" width="15.42578125" style="568" customWidth="1"/>
    <col min="5383" max="5383" width="14.42578125" style="568" customWidth="1"/>
    <col min="5384" max="5384" width="9" style="568" customWidth="1"/>
    <col min="5385" max="5385" width="29.7109375" style="568" customWidth="1"/>
    <col min="5386" max="5386" width="16.5703125" style="568" customWidth="1"/>
    <col min="5387" max="5387" width="29.42578125" style="568" customWidth="1"/>
    <col min="5388" max="5388" width="8.5703125" style="568" bestFit="1" customWidth="1"/>
    <col min="5389" max="5390" width="12.5703125" style="568" customWidth="1"/>
    <col min="5391" max="5391" width="16.42578125" style="568" customWidth="1"/>
    <col min="5392" max="5392" width="15.7109375" style="568" customWidth="1"/>
    <col min="5393" max="5393" width="0" style="568" hidden="1" customWidth="1"/>
    <col min="5394" max="5394" width="15.42578125" style="568" customWidth="1"/>
    <col min="5395" max="5395" width="16.85546875" style="568" customWidth="1"/>
    <col min="5396" max="5396" width="52.85546875" style="568" customWidth="1"/>
    <col min="5397" max="5397" width="17" style="568" bestFit="1" customWidth="1"/>
    <col min="5398" max="5398" width="10.140625" style="568" customWidth="1"/>
    <col min="5399" max="5632" width="9.140625" style="568"/>
    <col min="5633" max="5633" width="4" style="568" customWidth="1"/>
    <col min="5634" max="5634" width="23.140625" style="568" bestFit="1" customWidth="1"/>
    <col min="5635" max="5635" width="17.140625" style="568" customWidth="1"/>
    <col min="5636" max="5636" width="24.140625" style="568" customWidth="1"/>
    <col min="5637" max="5637" width="14.85546875" style="568" customWidth="1"/>
    <col min="5638" max="5638" width="15.42578125" style="568" customWidth="1"/>
    <col min="5639" max="5639" width="14.42578125" style="568" customWidth="1"/>
    <col min="5640" max="5640" width="9" style="568" customWidth="1"/>
    <col min="5641" max="5641" width="29.7109375" style="568" customWidth="1"/>
    <col min="5642" max="5642" width="16.5703125" style="568" customWidth="1"/>
    <col min="5643" max="5643" width="29.42578125" style="568" customWidth="1"/>
    <col min="5644" max="5644" width="8.5703125" style="568" bestFit="1" customWidth="1"/>
    <col min="5645" max="5646" width="12.5703125" style="568" customWidth="1"/>
    <col min="5647" max="5647" width="16.42578125" style="568" customWidth="1"/>
    <col min="5648" max="5648" width="15.7109375" style="568" customWidth="1"/>
    <col min="5649" max="5649" width="0" style="568" hidden="1" customWidth="1"/>
    <col min="5650" max="5650" width="15.42578125" style="568" customWidth="1"/>
    <col min="5651" max="5651" width="16.85546875" style="568" customWidth="1"/>
    <col min="5652" max="5652" width="52.85546875" style="568" customWidth="1"/>
    <col min="5653" max="5653" width="17" style="568" bestFit="1" customWidth="1"/>
    <col min="5654" max="5654" width="10.140625" style="568" customWidth="1"/>
    <col min="5655" max="5888" width="9.140625" style="568"/>
    <col min="5889" max="5889" width="4" style="568" customWidth="1"/>
    <col min="5890" max="5890" width="23.140625" style="568" bestFit="1" customWidth="1"/>
    <col min="5891" max="5891" width="17.140625" style="568" customWidth="1"/>
    <col min="5892" max="5892" width="24.140625" style="568" customWidth="1"/>
    <col min="5893" max="5893" width="14.85546875" style="568" customWidth="1"/>
    <col min="5894" max="5894" width="15.42578125" style="568" customWidth="1"/>
    <col min="5895" max="5895" width="14.42578125" style="568" customWidth="1"/>
    <col min="5896" max="5896" width="9" style="568" customWidth="1"/>
    <col min="5897" max="5897" width="29.7109375" style="568" customWidth="1"/>
    <col min="5898" max="5898" width="16.5703125" style="568" customWidth="1"/>
    <col min="5899" max="5899" width="29.42578125" style="568" customWidth="1"/>
    <col min="5900" max="5900" width="8.5703125" style="568" bestFit="1" customWidth="1"/>
    <col min="5901" max="5902" width="12.5703125" style="568" customWidth="1"/>
    <col min="5903" max="5903" width="16.42578125" style="568" customWidth="1"/>
    <col min="5904" max="5904" width="15.7109375" style="568" customWidth="1"/>
    <col min="5905" max="5905" width="0" style="568" hidden="1" customWidth="1"/>
    <col min="5906" max="5906" width="15.42578125" style="568" customWidth="1"/>
    <col min="5907" max="5907" width="16.85546875" style="568" customWidth="1"/>
    <col min="5908" max="5908" width="52.85546875" style="568" customWidth="1"/>
    <col min="5909" max="5909" width="17" style="568" bestFit="1" customWidth="1"/>
    <col min="5910" max="5910" width="10.140625" style="568" customWidth="1"/>
    <col min="5911" max="6144" width="9.140625" style="568"/>
    <col min="6145" max="6145" width="4" style="568" customWidth="1"/>
    <col min="6146" max="6146" width="23.140625" style="568" bestFit="1" customWidth="1"/>
    <col min="6147" max="6147" width="17.140625" style="568" customWidth="1"/>
    <col min="6148" max="6148" width="24.140625" style="568" customWidth="1"/>
    <col min="6149" max="6149" width="14.85546875" style="568" customWidth="1"/>
    <col min="6150" max="6150" width="15.42578125" style="568" customWidth="1"/>
    <col min="6151" max="6151" width="14.42578125" style="568" customWidth="1"/>
    <col min="6152" max="6152" width="9" style="568" customWidth="1"/>
    <col min="6153" max="6153" width="29.7109375" style="568" customWidth="1"/>
    <col min="6154" max="6154" width="16.5703125" style="568" customWidth="1"/>
    <col min="6155" max="6155" width="29.42578125" style="568" customWidth="1"/>
    <col min="6156" max="6156" width="8.5703125" style="568" bestFit="1" customWidth="1"/>
    <col min="6157" max="6158" width="12.5703125" style="568" customWidth="1"/>
    <col min="6159" max="6159" width="16.42578125" style="568" customWidth="1"/>
    <col min="6160" max="6160" width="15.7109375" style="568" customWidth="1"/>
    <col min="6161" max="6161" width="0" style="568" hidden="1" customWidth="1"/>
    <col min="6162" max="6162" width="15.42578125" style="568" customWidth="1"/>
    <col min="6163" max="6163" width="16.85546875" style="568" customWidth="1"/>
    <col min="6164" max="6164" width="52.85546875" style="568" customWidth="1"/>
    <col min="6165" max="6165" width="17" style="568" bestFit="1" customWidth="1"/>
    <col min="6166" max="6166" width="10.140625" style="568" customWidth="1"/>
    <col min="6167" max="6400" width="9.140625" style="568"/>
    <col min="6401" max="6401" width="4" style="568" customWidth="1"/>
    <col min="6402" max="6402" width="23.140625" style="568" bestFit="1" customWidth="1"/>
    <col min="6403" max="6403" width="17.140625" style="568" customWidth="1"/>
    <col min="6404" max="6404" width="24.140625" style="568" customWidth="1"/>
    <col min="6405" max="6405" width="14.85546875" style="568" customWidth="1"/>
    <col min="6406" max="6406" width="15.42578125" style="568" customWidth="1"/>
    <col min="6407" max="6407" width="14.42578125" style="568" customWidth="1"/>
    <col min="6408" max="6408" width="9" style="568" customWidth="1"/>
    <col min="6409" max="6409" width="29.7109375" style="568" customWidth="1"/>
    <col min="6410" max="6410" width="16.5703125" style="568" customWidth="1"/>
    <col min="6411" max="6411" width="29.42578125" style="568" customWidth="1"/>
    <col min="6412" max="6412" width="8.5703125" style="568" bestFit="1" customWidth="1"/>
    <col min="6413" max="6414" width="12.5703125" style="568" customWidth="1"/>
    <col min="6415" max="6415" width="16.42578125" style="568" customWidth="1"/>
    <col min="6416" max="6416" width="15.7109375" style="568" customWidth="1"/>
    <col min="6417" max="6417" width="0" style="568" hidden="1" customWidth="1"/>
    <col min="6418" max="6418" width="15.42578125" style="568" customWidth="1"/>
    <col min="6419" max="6419" width="16.85546875" style="568" customWidth="1"/>
    <col min="6420" max="6420" width="52.85546875" style="568" customWidth="1"/>
    <col min="6421" max="6421" width="17" style="568" bestFit="1" customWidth="1"/>
    <col min="6422" max="6422" width="10.140625" style="568" customWidth="1"/>
    <col min="6423" max="6656" width="9.140625" style="568"/>
    <col min="6657" max="6657" width="4" style="568" customWidth="1"/>
    <col min="6658" max="6658" width="23.140625" style="568" bestFit="1" customWidth="1"/>
    <col min="6659" max="6659" width="17.140625" style="568" customWidth="1"/>
    <col min="6660" max="6660" width="24.140625" style="568" customWidth="1"/>
    <col min="6661" max="6661" width="14.85546875" style="568" customWidth="1"/>
    <col min="6662" max="6662" width="15.42578125" style="568" customWidth="1"/>
    <col min="6663" max="6663" width="14.42578125" style="568" customWidth="1"/>
    <col min="6664" max="6664" width="9" style="568" customWidth="1"/>
    <col min="6665" max="6665" width="29.7109375" style="568" customWidth="1"/>
    <col min="6666" max="6666" width="16.5703125" style="568" customWidth="1"/>
    <col min="6667" max="6667" width="29.42578125" style="568" customWidth="1"/>
    <col min="6668" max="6668" width="8.5703125" style="568" bestFit="1" customWidth="1"/>
    <col min="6669" max="6670" width="12.5703125" style="568" customWidth="1"/>
    <col min="6671" max="6671" width="16.42578125" style="568" customWidth="1"/>
    <col min="6672" max="6672" width="15.7109375" style="568" customWidth="1"/>
    <col min="6673" max="6673" width="0" style="568" hidden="1" customWidth="1"/>
    <col min="6674" max="6674" width="15.42578125" style="568" customWidth="1"/>
    <col min="6675" max="6675" width="16.85546875" style="568" customWidth="1"/>
    <col min="6676" max="6676" width="52.85546875" style="568" customWidth="1"/>
    <col min="6677" max="6677" width="17" style="568" bestFit="1" customWidth="1"/>
    <col min="6678" max="6678" width="10.140625" style="568" customWidth="1"/>
    <col min="6679" max="6912" width="9.140625" style="568"/>
    <col min="6913" max="6913" width="4" style="568" customWidth="1"/>
    <col min="6914" max="6914" width="23.140625" style="568" bestFit="1" customWidth="1"/>
    <col min="6915" max="6915" width="17.140625" style="568" customWidth="1"/>
    <col min="6916" max="6916" width="24.140625" style="568" customWidth="1"/>
    <col min="6917" max="6917" width="14.85546875" style="568" customWidth="1"/>
    <col min="6918" max="6918" width="15.42578125" style="568" customWidth="1"/>
    <col min="6919" max="6919" width="14.42578125" style="568" customWidth="1"/>
    <col min="6920" max="6920" width="9" style="568" customWidth="1"/>
    <col min="6921" max="6921" width="29.7109375" style="568" customWidth="1"/>
    <col min="6922" max="6922" width="16.5703125" style="568" customWidth="1"/>
    <col min="6923" max="6923" width="29.42578125" style="568" customWidth="1"/>
    <col min="6924" max="6924" width="8.5703125" style="568" bestFit="1" customWidth="1"/>
    <col min="6925" max="6926" width="12.5703125" style="568" customWidth="1"/>
    <col min="6927" max="6927" width="16.42578125" style="568" customWidth="1"/>
    <col min="6928" max="6928" width="15.7109375" style="568" customWidth="1"/>
    <col min="6929" max="6929" width="0" style="568" hidden="1" customWidth="1"/>
    <col min="6930" max="6930" width="15.42578125" style="568" customWidth="1"/>
    <col min="6931" max="6931" width="16.85546875" style="568" customWidth="1"/>
    <col min="6932" max="6932" width="52.85546875" style="568" customWidth="1"/>
    <col min="6933" max="6933" width="17" style="568" bestFit="1" customWidth="1"/>
    <col min="6934" max="6934" width="10.140625" style="568" customWidth="1"/>
    <col min="6935" max="7168" width="9.140625" style="568"/>
    <col min="7169" max="7169" width="4" style="568" customWidth="1"/>
    <col min="7170" max="7170" width="23.140625" style="568" bestFit="1" customWidth="1"/>
    <col min="7171" max="7171" width="17.140625" style="568" customWidth="1"/>
    <col min="7172" max="7172" width="24.140625" style="568" customWidth="1"/>
    <col min="7173" max="7173" width="14.85546875" style="568" customWidth="1"/>
    <col min="7174" max="7174" width="15.42578125" style="568" customWidth="1"/>
    <col min="7175" max="7175" width="14.42578125" style="568" customWidth="1"/>
    <col min="7176" max="7176" width="9" style="568" customWidth="1"/>
    <col min="7177" max="7177" width="29.7109375" style="568" customWidth="1"/>
    <col min="7178" max="7178" width="16.5703125" style="568" customWidth="1"/>
    <col min="7179" max="7179" width="29.42578125" style="568" customWidth="1"/>
    <col min="7180" max="7180" width="8.5703125" style="568" bestFit="1" customWidth="1"/>
    <col min="7181" max="7182" width="12.5703125" style="568" customWidth="1"/>
    <col min="7183" max="7183" width="16.42578125" style="568" customWidth="1"/>
    <col min="7184" max="7184" width="15.7109375" style="568" customWidth="1"/>
    <col min="7185" max="7185" width="0" style="568" hidden="1" customWidth="1"/>
    <col min="7186" max="7186" width="15.42578125" style="568" customWidth="1"/>
    <col min="7187" max="7187" width="16.85546875" style="568" customWidth="1"/>
    <col min="7188" max="7188" width="52.85546875" style="568" customWidth="1"/>
    <col min="7189" max="7189" width="17" style="568" bestFit="1" customWidth="1"/>
    <col min="7190" max="7190" width="10.140625" style="568" customWidth="1"/>
    <col min="7191" max="7424" width="9.140625" style="568"/>
    <col min="7425" max="7425" width="4" style="568" customWidth="1"/>
    <col min="7426" max="7426" width="23.140625" style="568" bestFit="1" customWidth="1"/>
    <col min="7427" max="7427" width="17.140625" style="568" customWidth="1"/>
    <col min="7428" max="7428" width="24.140625" style="568" customWidth="1"/>
    <col min="7429" max="7429" width="14.85546875" style="568" customWidth="1"/>
    <col min="7430" max="7430" width="15.42578125" style="568" customWidth="1"/>
    <col min="7431" max="7431" width="14.42578125" style="568" customWidth="1"/>
    <col min="7432" max="7432" width="9" style="568" customWidth="1"/>
    <col min="7433" max="7433" width="29.7109375" style="568" customWidth="1"/>
    <col min="7434" max="7434" width="16.5703125" style="568" customWidth="1"/>
    <col min="7435" max="7435" width="29.42578125" style="568" customWidth="1"/>
    <col min="7436" max="7436" width="8.5703125" style="568" bestFit="1" customWidth="1"/>
    <col min="7437" max="7438" width="12.5703125" style="568" customWidth="1"/>
    <col min="7439" max="7439" width="16.42578125" style="568" customWidth="1"/>
    <col min="7440" max="7440" width="15.7109375" style="568" customWidth="1"/>
    <col min="7441" max="7441" width="0" style="568" hidden="1" customWidth="1"/>
    <col min="7442" max="7442" width="15.42578125" style="568" customWidth="1"/>
    <col min="7443" max="7443" width="16.85546875" style="568" customWidth="1"/>
    <col min="7444" max="7444" width="52.85546875" style="568" customWidth="1"/>
    <col min="7445" max="7445" width="17" style="568" bestFit="1" customWidth="1"/>
    <col min="7446" max="7446" width="10.140625" style="568" customWidth="1"/>
    <col min="7447" max="7680" width="9.140625" style="568"/>
    <col min="7681" max="7681" width="4" style="568" customWidth="1"/>
    <col min="7682" max="7682" width="23.140625" style="568" bestFit="1" customWidth="1"/>
    <col min="7683" max="7683" width="17.140625" style="568" customWidth="1"/>
    <col min="7684" max="7684" width="24.140625" style="568" customWidth="1"/>
    <col min="7685" max="7685" width="14.85546875" style="568" customWidth="1"/>
    <col min="7686" max="7686" width="15.42578125" style="568" customWidth="1"/>
    <col min="7687" max="7687" width="14.42578125" style="568" customWidth="1"/>
    <col min="7688" max="7688" width="9" style="568" customWidth="1"/>
    <col min="7689" max="7689" width="29.7109375" style="568" customWidth="1"/>
    <col min="7690" max="7690" width="16.5703125" style="568" customWidth="1"/>
    <col min="7691" max="7691" width="29.42578125" style="568" customWidth="1"/>
    <col min="7692" max="7692" width="8.5703125" style="568" bestFit="1" customWidth="1"/>
    <col min="7693" max="7694" width="12.5703125" style="568" customWidth="1"/>
    <col min="7695" max="7695" width="16.42578125" style="568" customWidth="1"/>
    <col min="7696" max="7696" width="15.7109375" style="568" customWidth="1"/>
    <col min="7697" max="7697" width="0" style="568" hidden="1" customWidth="1"/>
    <col min="7698" max="7698" width="15.42578125" style="568" customWidth="1"/>
    <col min="7699" max="7699" width="16.85546875" style="568" customWidth="1"/>
    <col min="7700" max="7700" width="52.85546875" style="568" customWidth="1"/>
    <col min="7701" max="7701" width="17" style="568" bestFit="1" customWidth="1"/>
    <col min="7702" max="7702" width="10.140625" style="568" customWidth="1"/>
    <col min="7703" max="7936" width="9.140625" style="568"/>
    <col min="7937" max="7937" width="4" style="568" customWidth="1"/>
    <col min="7938" max="7938" width="23.140625" style="568" bestFit="1" customWidth="1"/>
    <col min="7939" max="7939" width="17.140625" style="568" customWidth="1"/>
    <col min="7940" max="7940" width="24.140625" style="568" customWidth="1"/>
    <col min="7941" max="7941" width="14.85546875" style="568" customWidth="1"/>
    <col min="7942" max="7942" width="15.42578125" style="568" customWidth="1"/>
    <col min="7943" max="7943" width="14.42578125" style="568" customWidth="1"/>
    <col min="7944" max="7944" width="9" style="568" customWidth="1"/>
    <col min="7945" max="7945" width="29.7109375" style="568" customWidth="1"/>
    <col min="7946" max="7946" width="16.5703125" style="568" customWidth="1"/>
    <col min="7947" max="7947" width="29.42578125" style="568" customWidth="1"/>
    <col min="7948" max="7948" width="8.5703125" style="568" bestFit="1" customWidth="1"/>
    <col min="7949" max="7950" width="12.5703125" style="568" customWidth="1"/>
    <col min="7951" max="7951" width="16.42578125" style="568" customWidth="1"/>
    <col min="7952" max="7952" width="15.7109375" style="568" customWidth="1"/>
    <col min="7953" max="7953" width="0" style="568" hidden="1" customWidth="1"/>
    <col min="7954" max="7954" width="15.42578125" style="568" customWidth="1"/>
    <col min="7955" max="7955" width="16.85546875" style="568" customWidth="1"/>
    <col min="7956" max="7956" width="52.85546875" style="568" customWidth="1"/>
    <col min="7957" max="7957" width="17" style="568" bestFit="1" customWidth="1"/>
    <col min="7958" max="7958" width="10.140625" style="568" customWidth="1"/>
    <col min="7959" max="8192" width="9.140625" style="568"/>
    <col min="8193" max="8193" width="4" style="568" customWidth="1"/>
    <col min="8194" max="8194" width="23.140625" style="568" bestFit="1" customWidth="1"/>
    <col min="8195" max="8195" width="17.140625" style="568" customWidth="1"/>
    <col min="8196" max="8196" width="24.140625" style="568" customWidth="1"/>
    <col min="8197" max="8197" width="14.85546875" style="568" customWidth="1"/>
    <col min="8198" max="8198" width="15.42578125" style="568" customWidth="1"/>
    <col min="8199" max="8199" width="14.42578125" style="568" customWidth="1"/>
    <col min="8200" max="8200" width="9" style="568" customWidth="1"/>
    <col min="8201" max="8201" width="29.7109375" style="568" customWidth="1"/>
    <col min="8202" max="8202" width="16.5703125" style="568" customWidth="1"/>
    <col min="8203" max="8203" width="29.42578125" style="568" customWidth="1"/>
    <col min="8204" max="8204" width="8.5703125" style="568" bestFit="1" customWidth="1"/>
    <col min="8205" max="8206" width="12.5703125" style="568" customWidth="1"/>
    <col min="8207" max="8207" width="16.42578125" style="568" customWidth="1"/>
    <col min="8208" max="8208" width="15.7109375" style="568" customWidth="1"/>
    <col min="8209" max="8209" width="0" style="568" hidden="1" customWidth="1"/>
    <col min="8210" max="8210" width="15.42578125" style="568" customWidth="1"/>
    <col min="8211" max="8211" width="16.85546875" style="568" customWidth="1"/>
    <col min="8212" max="8212" width="52.85546875" style="568" customWidth="1"/>
    <col min="8213" max="8213" width="17" style="568" bestFit="1" customWidth="1"/>
    <col min="8214" max="8214" width="10.140625" style="568" customWidth="1"/>
    <col min="8215" max="8448" width="9.140625" style="568"/>
    <col min="8449" max="8449" width="4" style="568" customWidth="1"/>
    <col min="8450" max="8450" width="23.140625" style="568" bestFit="1" customWidth="1"/>
    <col min="8451" max="8451" width="17.140625" style="568" customWidth="1"/>
    <col min="8452" max="8452" width="24.140625" style="568" customWidth="1"/>
    <col min="8453" max="8453" width="14.85546875" style="568" customWidth="1"/>
    <col min="8454" max="8454" width="15.42578125" style="568" customWidth="1"/>
    <col min="8455" max="8455" width="14.42578125" style="568" customWidth="1"/>
    <col min="8456" max="8456" width="9" style="568" customWidth="1"/>
    <col min="8457" max="8457" width="29.7109375" style="568" customWidth="1"/>
    <col min="8458" max="8458" width="16.5703125" style="568" customWidth="1"/>
    <col min="8459" max="8459" width="29.42578125" style="568" customWidth="1"/>
    <col min="8460" max="8460" width="8.5703125" style="568" bestFit="1" customWidth="1"/>
    <col min="8461" max="8462" width="12.5703125" style="568" customWidth="1"/>
    <col min="8463" max="8463" width="16.42578125" style="568" customWidth="1"/>
    <col min="8464" max="8464" width="15.7109375" style="568" customWidth="1"/>
    <col min="8465" max="8465" width="0" style="568" hidden="1" customWidth="1"/>
    <col min="8466" max="8466" width="15.42578125" style="568" customWidth="1"/>
    <col min="8467" max="8467" width="16.85546875" style="568" customWidth="1"/>
    <col min="8468" max="8468" width="52.85546875" style="568" customWidth="1"/>
    <col min="8469" max="8469" width="17" style="568" bestFit="1" customWidth="1"/>
    <col min="8470" max="8470" width="10.140625" style="568" customWidth="1"/>
    <col min="8471" max="8704" width="9.140625" style="568"/>
    <col min="8705" max="8705" width="4" style="568" customWidth="1"/>
    <col min="8706" max="8706" width="23.140625" style="568" bestFit="1" customWidth="1"/>
    <col min="8707" max="8707" width="17.140625" style="568" customWidth="1"/>
    <col min="8708" max="8708" width="24.140625" style="568" customWidth="1"/>
    <col min="8709" max="8709" width="14.85546875" style="568" customWidth="1"/>
    <col min="8710" max="8710" width="15.42578125" style="568" customWidth="1"/>
    <col min="8711" max="8711" width="14.42578125" style="568" customWidth="1"/>
    <col min="8712" max="8712" width="9" style="568" customWidth="1"/>
    <col min="8713" max="8713" width="29.7109375" style="568" customWidth="1"/>
    <col min="8714" max="8714" width="16.5703125" style="568" customWidth="1"/>
    <col min="8715" max="8715" width="29.42578125" style="568" customWidth="1"/>
    <col min="8716" max="8716" width="8.5703125" style="568" bestFit="1" customWidth="1"/>
    <col min="8717" max="8718" width="12.5703125" style="568" customWidth="1"/>
    <col min="8719" max="8719" width="16.42578125" style="568" customWidth="1"/>
    <col min="8720" max="8720" width="15.7109375" style="568" customWidth="1"/>
    <col min="8721" max="8721" width="0" style="568" hidden="1" customWidth="1"/>
    <col min="8722" max="8722" width="15.42578125" style="568" customWidth="1"/>
    <col min="8723" max="8723" width="16.85546875" style="568" customWidth="1"/>
    <col min="8724" max="8724" width="52.85546875" style="568" customWidth="1"/>
    <col min="8725" max="8725" width="17" style="568" bestFit="1" customWidth="1"/>
    <col min="8726" max="8726" width="10.140625" style="568" customWidth="1"/>
    <col min="8727" max="8960" width="9.140625" style="568"/>
    <col min="8961" max="8961" width="4" style="568" customWidth="1"/>
    <col min="8962" max="8962" width="23.140625" style="568" bestFit="1" customWidth="1"/>
    <col min="8963" max="8963" width="17.140625" style="568" customWidth="1"/>
    <col min="8964" max="8964" width="24.140625" style="568" customWidth="1"/>
    <col min="8965" max="8965" width="14.85546875" style="568" customWidth="1"/>
    <col min="8966" max="8966" width="15.42578125" style="568" customWidth="1"/>
    <col min="8967" max="8967" width="14.42578125" style="568" customWidth="1"/>
    <col min="8968" max="8968" width="9" style="568" customWidth="1"/>
    <col min="8969" max="8969" width="29.7109375" style="568" customWidth="1"/>
    <col min="8970" max="8970" width="16.5703125" style="568" customWidth="1"/>
    <col min="8971" max="8971" width="29.42578125" style="568" customWidth="1"/>
    <col min="8972" max="8972" width="8.5703125" style="568" bestFit="1" customWidth="1"/>
    <col min="8973" max="8974" width="12.5703125" style="568" customWidth="1"/>
    <col min="8975" max="8975" width="16.42578125" style="568" customWidth="1"/>
    <col min="8976" max="8976" width="15.7109375" style="568" customWidth="1"/>
    <col min="8977" max="8977" width="0" style="568" hidden="1" customWidth="1"/>
    <col min="8978" max="8978" width="15.42578125" style="568" customWidth="1"/>
    <col min="8979" max="8979" width="16.85546875" style="568" customWidth="1"/>
    <col min="8980" max="8980" width="52.85546875" style="568" customWidth="1"/>
    <col min="8981" max="8981" width="17" style="568" bestFit="1" customWidth="1"/>
    <col min="8982" max="8982" width="10.140625" style="568" customWidth="1"/>
    <col min="8983" max="9216" width="9.140625" style="568"/>
    <col min="9217" max="9217" width="4" style="568" customWidth="1"/>
    <col min="9218" max="9218" width="23.140625" style="568" bestFit="1" customWidth="1"/>
    <col min="9219" max="9219" width="17.140625" style="568" customWidth="1"/>
    <col min="9220" max="9220" width="24.140625" style="568" customWidth="1"/>
    <col min="9221" max="9221" width="14.85546875" style="568" customWidth="1"/>
    <col min="9222" max="9222" width="15.42578125" style="568" customWidth="1"/>
    <col min="9223" max="9223" width="14.42578125" style="568" customWidth="1"/>
    <col min="9224" max="9224" width="9" style="568" customWidth="1"/>
    <col min="9225" max="9225" width="29.7109375" style="568" customWidth="1"/>
    <col min="9226" max="9226" width="16.5703125" style="568" customWidth="1"/>
    <col min="9227" max="9227" width="29.42578125" style="568" customWidth="1"/>
    <col min="9228" max="9228" width="8.5703125" style="568" bestFit="1" customWidth="1"/>
    <col min="9229" max="9230" width="12.5703125" style="568" customWidth="1"/>
    <col min="9231" max="9231" width="16.42578125" style="568" customWidth="1"/>
    <col min="9232" max="9232" width="15.7109375" style="568" customWidth="1"/>
    <col min="9233" max="9233" width="0" style="568" hidden="1" customWidth="1"/>
    <col min="9234" max="9234" width="15.42578125" style="568" customWidth="1"/>
    <col min="9235" max="9235" width="16.85546875" style="568" customWidth="1"/>
    <col min="9236" max="9236" width="52.85546875" style="568" customWidth="1"/>
    <col min="9237" max="9237" width="17" style="568" bestFit="1" customWidth="1"/>
    <col min="9238" max="9238" width="10.140625" style="568" customWidth="1"/>
    <col min="9239" max="9472" width="9.140625" style="568"/>
    <col min="9473" max="9473" width="4" style="568" customWidth="1"/>
    <col min="9474" max="9474" width="23.140625" style="568" bestFit="1" customWidth="1"/>
    <col min="9475" max="9475" width="17.140625" style="568" customWidth="1"/>
    <col min="9476" max="9476" width="24.140625" style="568" customWidth="1"/>
    <col min="9477" max="9477" width="14.85546875" style="568" customWidth="1"/>
    <col min="9478" max="9478" width="15.42578125" style="568" customWidth="1"/>
    <col min="9479" max="9479" width="14.42578125" style="568" customWidth="1"/>
    <col min="9480" max="9480" width="9" style="568" customWidth="1"/>
    <col min="9481" max="9481" width="29.7109375" style="568" customWidth="1"/>
    <col min="9482" max="9482" width="16.5703125" style="568" customWidth="1"/>
    <col min="9483" max="9483" width="29.42578125" style="568" customWidth="1"/>
    <col min="9484" max="9484" width="8.5703125" style="568" bestFit="1" customWidth="1"/>
    <col min="9485" max="9486" width="12.5703125" style="568" customWidth="1"/>
    <col min="9487" max="9487" width="16.42578125" style="568" customWidth="1"/>
    <col min="9488" max="9488" width="15.7109375" style="568" customWidth="1"/>
    <col min="9489" max="9489" width="0" style="568" hidden="1" customWidth="1"/>
    <col min="9490" max="9490" width="15.42578125" style="568" customWidth="1"/>
    <col min="9491" max="9491" width="16.85546875" style="568" customWidth="1"/>
    <col min="9492" max="9492" width="52.85546875" style="568" customWidth="1"/>
    <col min="9493" max="9493" width="17" style="568" bestFit="1" customWidth="1"/>
    <col min="9494" max="9494" width="10.140625" style="568" customWidth="1"/>
    <col min="9495" max="9728" width="9.140625" style="568"/>
    <col min="9729" max="9729" width="4" style="568" customWidth="1"/>
    <col min="9730" max="9730" width="23.140625" style="568" bestFit="1" customWidth="1"/>
    <col min="9731" max="9731" width="17.140625" style="568" customWidth="1"/>
    <col min="9732" max="9732" width="24.140625" style="568" customWidth="1"/>
    <col min="9733" max="9733" width="14.85546875" style="568" customWidth="1"/>
    <col min="9734" max="9734" width="15.42578125" style="568" customWidth="1"/>
    <col min="9735" max="9735" width="14.42578125" style="568" customWidth="1"/>
    <col min="9736" max="9736" width="9" style="568" customWidth="1"/>
    <col min="9737" max="9737" width="29.7109375" style="568" customWidth="1"/>
    <col min="9738" max="9738" width="16.5703125" style="568" customWidth="1"/>
    <col min="9739" max="9739" width="29.42578125" style="568" customWidth="1"/>
    <col min="9740" max="9740" width="8.5703125" style="568" bestFit="1" customWidth="1"/>
    <col min="9741" max="9742" width="12.5703125" style="568" customWidth="1"/>
    <col min="9743" max="9743" width="16.42578125" style="568" customWidth="1"/>
    <col min="9744" max="9744" width="15.7109375" style="568" customWidth="1"/>
    <col min="9745" max="9745" width="0" style="568" hidden="1" customWidth="1"/>
    <col min="9746" max="9746" width="15.42578125" style="568" customWidth="1"/>
    <col min="9747" max="9747" width="16.85546875" style="568" customWidth="1"/>
    <col min="9748" max="9748" width="52.85546875" style="568" customWidth="1"/>
    <col min="9749" max="9749" width="17" style="568" bestFit="1" customWidth="1"/>
    <col min="9750" max="9750" width="10.140625" style="568" customWidth="1"/>
    <col min="9751" max="9984" width="9.140625" style="568"/>
    <col min="9985" max="9985" width="4" style="568" customWidth="1"/>
    <col min="9986" max="9986" width="23.140625" style="568" bestFit="1" customWidth="1"/>
    <col min="9987" max="9987" width="17.140625" style="568" customWidth="1"/>
    <col min="9988" max="9988" width="24.140625" style="568" customWidth="1"/>
    <col min="9989" max="9989" width="14.85546875" style="568" customWidth="1"/>
    <col min="9990" max="9990" width="15.42578125" style="568" customWidth="1"/>
    <col min="9991" max="9991" width="14.42578125" style="568" customWidth="1"/>
    <col min="9992" max="9992" width="9" style="568" customWidth="1"/>
    <col min="9993" max="9993" width="29.7109375" style="568" customWidth="1"/>
    <col min="9994" max="9994" width="16.5703125" style="568" customWidth="1"/>
    <col min="9995" max="9995" width="29.42578125" style="568" customWidth="1"/>
    <col min="9996" max="9996" width="8.5703125" style="568" bestFit="1" customWidth="1"/>
    <col min="9997" max="9998" width="12.5703125" style="568" customWidth="1"/>
    <col min="9999" max="9999" width="16.42578125" style="568" customWidth="1"/>
    <col min="10000" max="10000" width="15.7109375" style="568" customWidth="1"/>
    <col min="10001" max="10001" width="0" style="568" hidden="1" customWidth="1"/>
    <col min="10002" max="10002" width="15.42578125" style="568" customWidth="1"/>
    <col min="10003" max="10003" width="16.85546875" style="568" customWidth="1"/>
    <col min="10004" max="10004" width="52.85546875" style="568" customWidth="1"/>
    <col min="10005" max="10005" width="17" style="568" bestFit="1" customWidth="1"/>
    <col min="10006" max="10006" width="10.140625" style="568" customWidth="1"/>
    <col min="10007" max="10240" width="9.140625" style="568"/>
    <col min="10241" max="10241" width="4" style="568" customWidth="1"/>
    <col min="10242" max="10242" width="23.140625" style="568" bestFit="1" customWidth="1"/>
    <col min="10243" max="10243" width="17.140625" style="568" customWidth="1"/>
    <col min="10244" max="10244" width="24.140625" style="568" customWidth="1"/>
    <col min="10245" max="10245" width="14.85546875" style="568" customWidth="1"/>
    <col min="10246" max="10246" width="15.42578125" style="568" customWidth="1"/>
    <col min="10247" max="10247" width="14.42578125" style="568" customWidth="1"/>
    <col min="10248" max="10248" width="9" style="568" customWidth="1"/>
    <col min="10249" max="10249" width="29.7109375" style="568" customWidth="1"/>
    <col min="10250" max="10250" width="16.5703125" style="568" customWidth="1"/>
    <col min="10251" max="10251" width="29.42578125" style="568" customWidth="1"/>
    <col min="10252" max="10252" width="8.5703125" style="568" bestFit="1" customWidth="1"/>
    <col min="10253" max="10254" width="12.5703125" style="568" customWidth="1"/>
    <col min="10255" max="10255" width="16.42578125" style="568" customWidth="1"/>
    <col min="10256" max="10256" width="15.7109375" style="568" customWidth="1"/>
    <col min="10257" max="10257" width="0" style="568" hidden="1" customWidth="1"/>
    <col min="10258" max="10258" width="15.42578125" style="568" customWidth="1"/>
    <col min="10259" max="10259" width="16.85546875" style="568" customWidth="1"/>
    <col min="10260" max="10260" width="52.85546875" style="568" customWidth="1"/>
    <col min="10261" max="10261" width="17" style="568" bestFit="1" customWidth="1"/>
    <col min="10262" max="10262" width="10.140625" style="568" customWidth="1"/>
    <col min="10263" max="10496" width="9.140625" style="568"/>
    <col min="10497" max="10497" width="4" style="568" customWidth="1"/>
    <col min="10498" max="10498" width="23.140625" style="568" bestFit="1" customWidth="1"/>
    <col min="10499" max="10499" width="17.140625" style="568" customWidth="1"/>
    <col min="10500" max="10500" width="24.140625" style="568" customWidth="1"/>
    <col min="10501" max="10501" width="14.85546875" style="568" customWidth="1"/>
    <col min="10502" max="10502" width="15.42578125" style="568" customWidth="1"/>
    <col min="10503" max="10503" width="14.42578125" style="568" customWidth="1"/>
    <col min="10504" max="10504" width="9" style="568" customWidth="1"/>
    <col min="10505" max="10505" width="29.7109375" style="568" customWidth="1"/>
    <col min="10506" max="10506" width="16.5703125" style="568" customWidth="1"/>
    <col min="10507" max="10507" width="29.42578125" style="568" customWidth="1"/>
    <col min="10508" max="10508" width="8.5703125" style="568" bestFit="1" customWidth="1"/>
    <col min="10509" max="10510" width="12.5703125" style="568" customWidth="1"/>
    <col min="10511" max="10511" width="16.42578125" style="568" customWidth="1"/>
    <col min="10512" max="10512" width="15.7109375" style="568" customWidth="1"/>
    <col min="10513" max="10513" width="0" style="568" hidden="1" customWidth="1"/>
    <col min="10514" max="10514" width="15.42578125" style="568" customWidth="1"/>
    <col min="10515" max="10515" width="16.85546875" style="568" customWidth="1"/>
    <col min="10516" max="10516" width="52.85546875" style="568" customWidth="1"/>
    <col min="10517" max="10517" width="17" style="568" bestFit="1" customWidth="1"/>
    <col min="10518" max="10518" width="10.140625" style="568" customWidth="1"/>
    <col min="10519" max="10752" width="9.140625" style="568"/>
    <col min="10753" max="10753" width="4" style="568" customWidth="1"/>
    <col min="10754" max="10754" width="23.140625" style="568" bestFit="1" customWidth="1"/>
    <col min="10755" max="10755" width="17.140625" style="568" customWidth="1"/>
    <col min="10756" max="10756" width="24.140625" style="568" customWidth="1"/>
    <col min="10757" max="10757" width="14.85546875" style="568" customWidth="1"/>
    <col min="10758" max="10758" width="15.42578125" style="568" customWidth="1"/>
    <col min="10759" max="10759" width="14.42578125" style="568" customWidth="1"/>
    <col min="10760" max="10760" width="9" style="568" customWidth="1"/>
    <col min="10761" max="10761" width="29.7109375" style="568" customWidth="1"/>
    <col min="10762" max="10762" width="16.5703125" style="568" customWidth="1"/>
    <col min="10763" max="10763" width="29.42578125" style="568" customWidth="1"/>
    <col min="10764" max="10764" width="8.5703125" style="568" bestFit="1" customWidth="1"/>
    <col min="10765" max="10766" width="12.5703125" style="568" customWidth="1"/>
    <col min="10767" max="10767" width="16.42578125" style="568" customWidth="1"/>
    <col min="10768" max="10768" width="15.7109375" style="568" customWidth="1"/>
    <col min="10769" max="10769" width="0" style="568" hidden="1" customWidth="1"/>
    <col min="10770" max="10770" width="15.42578125" style="568" customWidth="1"/>
    <col min="10771" max="10771" width="16.85546875" style="568" customWidth="1"/>
    <col min="10772" max="10772" width="52.85546875" style="568" customWidth="1"/>
    <col min="10773" max="10773" width="17" style="568" bestFit="1" customWidth="1"/>
    <col min="10774" max="10774" width="10.140625" style="568" customWidth="1"/>
    <col min="10775" max="11008" width="9.140625" style="568"/>
    <col min="11009" max="11009" width="4" style="568" customWidth="1"/>
    <col min="11010" max="11010" width="23.140625" style="568" bestFit="1" customWidth="1"/>
    <col min="11011" max="11011" width="17.140625" style="568" customWidth="1"/>
    <col min="11012" max="11012" width="24.140625" style="568" customWidth="1"/>
    <col min="11013" max="11013" width="14.85546875" style="568" customWidth="1"/>
    <col min="11014" max="11014" width="15.42578125" style="568" customWidth="1"/>
    <col min="11015" max="11015" width="14.42578125" style="568" customWidth="1"/>
    <col min="11016" max="11016" width="9" style="568" customWidth="1"/>
    <col min="11017" max="11017" width="29.7109375" style="568" customWidth="1"/>
    <col min="11018" max="11018" width="16.5703125" style="568" customWidth="1"/>
    <col min="11019" max="11019" width="29.42578125" style="568" customWidth="1"/>
    <col min="11020" max="11020" width="8.5703125" style="568" bestFit="1" customWidth="1"/>
    <col min="11021" max="11022" width="12.5703125" style="568" customWidth="1"/>
    <col min="11023" max="11023" width="16.42578125" style="568" customWidth="1"/>
    <col min="11024" max="11024" width="15.7109375" style="568" customWidth="1"/>
    <col min="11025" max="11025" width="0" style="568" hidden="1" customWidth="1"/>
    <col min="11026" max="11026" width="15.42578125" style="568" customWidth="1"/>
    <col min="11027" max="11027" width="16.85546875" style="568" customWidth="1"/>
    <col min="11028" max="11028" width="52.85546875" style="568" customWidth="1"/>
    <col min="11029" max="11029" width="17" style="568" bestFit="1" customWidth="1"/>
    <col min="11030" max="11030" width="10.140625" style="568" customWidth="1"/>
    <col min="11031" max="11264" width="9.140625" style="568"/>
    <col min="11265" max="11265" width="4" style="568" customWidth="1"/>
    <col min="11266" max="11266" width="23.140625" style="568" bestFit="1" customWidth="1"/>
    <col min="11267" max="11267" width="17.140625" style="568" customWidth="1"/>
    <col min="11268" max="11268" width="24.140625" style="568" customWidth="1"/>
    <col min="11269" max="11269" width="14.85546875" style="568" customWidth="1"/>
    <col min="11270" max="11270" width="15.42578125" style="568" customWidth="1"/>
    <col min="11271" max="11271" width="14.42578125" style="568" customWidth="1"/>
    <col min="11272" max="11272" width="9" style="568" customWidth="1"/>
    <col min="11273" max="11273" width="29.7109375" style="568" customWidth="1"/>
    <col min="11274" max="11274" width="16.5703125" style="568" customWidth="1"/>
    <col min="11275" max="11275" width="29.42578125" style="568" customWidth="1"/>
    <col min="11276" max="11276" width="8.5703125" style="568" bestFit="1" customWidth="1"/>
    <col min="11277" max="11278" width="12.5703125" style="568" customWidth="1"/>
    <col min="11279" max="11279" width="16.42578125" style="568" customWidth="1"/>
    <col min="11280" max="11280" width="15.7109375" style="568" customWidth="1"/>
    <col min="11281" max="11281" width="0" style="568" hidden="1" customWidth="1"/>
    <col min="11282" max="11282" width="15.42578125" style="568" customWidth="1"/>
    <col min="11283" max="11283" width="16.85546875" style="568" customWidth="1"/>
    <col min="11284" max="11284" width="52.85546875" style="568" customWidth="1"/>
    <col min="11285" max="11285" width="17" style="568" bestFit="1" customWidth="1"/>
    <col min="11286" max="11286" width="10.140625" style="568" customWidth="1"/>
    <col min="11287" max="11520" width="9.140625" style="568"/>
    <col min="11521" max="11521" width="4" style="568" customWidth="1"/>
    <col min="11522" max="11522" width="23.140625" style="568" bestFit="1" customWidth="1"/>
    <col min="11523" max="11523" width="17.140625" style="568" customWidth="1"/>
    <col min="11524" max="11524" width="24.140625" style="568" customWidth="1"/>
    <col min="11525" max="11525" width="14.85546875" style="568" customWidth="1"/>
    <col min="11526" max="11526" width="15.42578125" style="568" customWidth="1"/>
    <col min="11527" max="11527" width="14.42578125" style="568" customWidth="1"/>
    <col min="11528" max="11528" width="9" style="568" customWidth="1"/>
    <col min="11529" max="11529" width="29.7109375" style="568" customWidth="1"/>
    <col min="11530" max="11530" width="16.5703125" style="568" customWidth="1"/>
    <col min="11531" max="11531" width="29.42578125" style="568" customWidth="1"/>
    <col min="11532" max="11532" width="8.5703125" style="568" bestFit="1" customWidth="1"/>
    <col min="11533" max="11534" width="12.5703125" style="568" customWidth="1"/>
    <col min="11535" max="11535" width="16.42578125" style="568" customWidth="1"/>
    <col min="11536" max="11536" width="15.7109375" style="568" customWidth="1"/>
    <col min="11537" max="11537" width="0" style="568" hidden="1" customWidth="1"/>
    <col min="11538" max="11538" width="15.42578125" style="568" customWidth="1"/>
    <col min="11539" max="11539" width="16.85546875" style="568" customWidth="1"/>
    <col min="11540" max="11540" width="52.85546875" style="568" customWidth="1"/>
    <col min="11541" max="11541" width="17" style="568" bestFit="1" customWidth="1"/>
    <col min="11542" max="11542" width="10.140625" style="568" customWidth="1"/>
    <col min="11543" max="11776" width="9.140625" style="568"/>
    <col min="11777" max="11777" width="4" style="568" customWidth="1"/>
    <col min="11778" max="11778" width="23.140625" style="568" bestFit="1" customWidth="1"/>
    <col min="11779" max="11779" width="17.140625" style="568" customWidth="1"/>
    <col min="11780" max="11780" width="24.140625" style="568" customWidth="1"/>
    <col min="11781" max="11781" width="14.85546875" style="568" customWidth="1"/>
    <col min="11782" max="11782" width="15.42578125" style="568" customWidth="1"/>
    <col min="11783" max="11783" width="14.42578125" style="568" customWidth="1"/>
    <col min="11784" max="11784" width="9" style="568" customWidth="1"/>
    <col min="11785" max="11785" width="29.7109375" style="568" customWidth="1"/>
    <col min="11786" max="11786" width="16.5703125" style="568" customWidth="1"/>
    <col min="11787" max="11787" width="29.42578125" style="568" customWidth="1"/>
    <col min="11788" max="11788" width="8.5703125" style="568" bestFit="1" customWidth="1"/>
    <col min="11789" max="11790" width="12.5703125" style="568" customWidth="1"/>
    <col min="11791" max="11791" width="16.42578125" style="568" customWidth="1"/>
    <col min="11792" max="11792" width="15.7109375" style="568" customWidth="1"/>
    <col min="11793" max="11793" width="0" style="568" hidden="1" customWidth="1"/>
    <col min="11794" max="11794" width="15.42578125" style="568" customWidth="1"/>
    <col min="11795" max="11795" width="16.85546875" style="568" customWidth="1"/>
    <col min="11796" max="11796" width="52.85546875" style="568" customWidth="1"/>
    <col min="11797" max="11797" width="17" style="568" bestFit="1" customWidth="1"/>
    <col min="11798" max="11798" width="10.140625" style="568" customWidth="1"/>
    <col min="11799" max="12032" width="9.140625" style="568"/>
    <col min="12033" max="12033" width="4" style="568" customWidth="1"/>
    <col min="12034" max="12034" width="23.140625" style="568" bestFit="1" customWidth="1"/>
    <col min="12035" max="12035" width="17.140625" style="568" customWidth="1"/>
    <col min="12036" max="12036" width="24.140625" style="568" customWidth="1"/>
    <col min="12037" max="12037" width="14.85546875" style="568" customWidth="1"/>
    <col min="12038" max="12038" width="15.42578125" style="568" customWidth="1"/>
    <col min="12039" max="12039" width="14.42578125" style="568" customWidth="1"/>
    <col min="12040" max="12040" width="9" style="568" customWidth="1"/>
    <col min="12041" max="12041" width="29.7109375" style="568" customWidth="1"/>
    <col min="12042" max="12042" width="16.5703125" style="568" customWidth="1"/>
    <col min="12043" max="12043" width="29.42578125" style="568" customWidth="1"/>
    <col min="12044" max="12044" width="8.5703125" style="568" bestFit="1" customWidth="1"/>
    <col min="12045" max="12046" width="12.5703125" style="568" customWidth="1"/>
    <col min="12047" max="12047" width="16.42578125" style="568" customWidth="1"/>
    <col min="12048" max="12048" width="15.7109375" style="568" customWidth="1"/>
    <col min="12049" max="12049" width="0" style="568" hidden="1" customWidth="1"/>
    <col min="12050" max="12050" width="15.42578125" style="568" customWidth="1"/>
    <col min="12051" max="12051" width="16.85546875" style="568" customWidth="1"/>
    <col min="12052" max="12052" width="52.85546875" style="568" customWidth="1"/>
    <col min="12053" max="12053" width="17" style="568" bestFit="1" customWidth="1"/>
    <col min="12054" max="12054" width="10.140625" style="568" customWidth="1"/>
    <col min="12055" max="12288" width="9.140625" style="568"/>
    <col min="12289" max="12289" width="4" style="568" customWidth="1"/>
    <col min="12290" max="12290" width="23.140625" style="568" bestFit="1" customWidth="1"/>
    <col min="12291" max="12291" width="17.140625" style="568" customWidth="1"/>
    <col min="12292" max="12292" width="24.140625" style="568" customWidth="1"/>
    <col min="12293" max="12293" width="14.85546875" style="568" customWidth="1"/>
    <col min="12294" max="12294" width="15.42578125" style="568" customWidth="1"/>
    <col min="12295" max="12295" width="14.42578125" style="568" customWidth="1"/>
    <col min="12296" max="12296" width="9" style="568" customWidth="1"/>
    <col min="12297" max="12297" width="29.7109375" style="568" customWidth="1"/>
    <col min="12298" max="12298" width="16.5703125" style="568" customWidth="1"/>
    <col min="12299" max="12299" width="29.42578125" style="568" customWidth="1"/>
    <col min="12300" max="12300" width="8.5703125" style="568" bestFit="1" customWidth="1"/>
    <col min="12301" max="12302" width="12.5703125" style="568" customWidth="1"/>
    <col min="12303" max="12303" width="16.42578125" style="568" customWidth="1"/>
    <col min="12304" max="12304" width="15.7109375" style="568" customWidth="1"/>
    <col min="12305" max="12305" width="0" style="568" hidden="1" customWidth="1"/>
    <col min="12306" max="12306" width="15.42578125" style="568" customWidth="1"/>
    <col min="12307" max="12307" width="16.85546875" style="568" customWidth="1"/>
    <col min="12308" max="12308" width="52.85546875" style="568" customWidth="1"/>
    <col min="12309" max="12309" width="17" style="568" bestFit="1" customWidth="1"/>
    <col min="12310" max="12310" width="10.140625" style="568" customWidth="1"/>
    <col min="12311" max="12544" width="9.140625" style="568"/>
    <col min="12545" max="12545" width="4" style="568" customWidth="1"/>
    <col min="12546" max="12546" width="23.140625" style="568" bestFit="1" customWidth="1"/>
    <col min="12547" max="12547" width="17.140625" style="568" customWidth="1"/>
    <col min="12548" max="12548" width="24.140625" style="568" customWidth="1"/>
    <col min="12549" max="12549" width="14.85546875" style="568" customWidth="1"/>
    <col min="12550" max="12550" width="15.42578125" style="568" customWidth="1"/>
    <col min="12551" max="12551" width="14.42578125" style="568" customWidth="1"/>
    <col min="12552" max="12552" width="9" style="568" customWidth="1"/>
    <col min="12553" max="12553" width="29.7109375" style="568" customWidth="1"/>
    <col min="12554" max="12554" width="16.5703125" style="568" customWidth="1"/>
    <col min="12555" max="12555" width="29.42578125" style="568" customWidth="1"/>
    <col min="12556" max="12556" width="8.5703125" style="568" bestFit="1" customWidth="1"/>
    <col min="12557" max="12558" width="12.5703125" style="568" customWidth="1"/>
    <col min="12559" max="12559" width="16.42578125" style="568" customWidth="1"/>
    <col min="12560" max="12560" width="15.7109375" style="568" customWidth="1"/>
    <col min="12561" max="12561" width="0" style="568" hidden="1" customWidth="1"/>
    <col min="12562" max="12562" width="15.42578125" style="568" customWidth="1"/>
    <col min="12563" max="12563" width="16.85546875" style="568" customWidth="1"/>
    <col min="12564" max="12564" width="52.85546875" style="568" customWidth="1"/>
    <col min="12565" max="12565" width="17" style="568" bestFit="1" customWidth="1"/>
    <col min="12566" max="12566" width="10.140625" style="568" customWidth="1"/>
    <col min="12567" max="12800" width="9.140625" style="568"/>
    <col min="12801" max="12801" width="4" style="568" customWidth="1"/>
    <col min="12802" max="12802" width="23.140625" style="568" bestFit="1" customWidth="1"/>
    <col min="12803" max="12803" width="17.140625" style="568" customWidth="1"/>
    <col min="12804" max="12804" width="24.140625" style="568" customWidth="1"/>
    <col min="12805" max="12805" width="14.85546875" style="568" customWidth="1"/>
    <col min="12806" max="12806" width="15.42578125" style="568" customWidth="1"/>
    <col min="12807" max="12807" width="14.42578125" style="568" customWidth="1"/>
    <col min="12808" max="12808" width="9" style="568" customWidth="1"/>
    <col min="12809" max="12809" width="29.7109375" style="568" customWidth="1"/>
    <col min="12810" max="12810" width="16.5703125" style="568" customWidth="1"/>
    <col min="12811" max="12811" width="29.42578125" style="568" customWidth="1"/>
    <col min="12812" max="12812" width="8.5703125" style="568" bestFit="1" customWidth="1"/>
    <col min="12813" max="12814" width="12.5703125" style="568" customWidth="1"/>
    <col min="12815" max="12815" width="16.42578125" style="568" customWidth="1"/>
    <col min="12816" max="12816" width="15.7109375" style="568" customWidth="1"/>
    <col min="12817" max="12817" width="0" style="568" hidden="1" customWidth="1"/>
    <col min="12818" max="12818" width="15.42578125" style="568" customWidth="1"/>
    <col min="12819" max="12819" width="16.85546875" style="568" customWidth="1"/>
    <col min="12820" max="12820" width="52.85546875" style="568" customWidth="1"/>
    <col min="12821" max="12821" width="17" style="568" bestFit="1" customWidth="1"/>
    <col min="12822" max="12822" width="10.140625" style="568" customWidth="1"/>
    <col min="12823" max="13056" width="9.140625" style="568"/>
    <col min="13057" max="13057" width="4" style="568" customWidth="1"/>
    <col min="13058" max="13058" width="23.140625" style="568" bestFit="1" customWidth="1"/>
    <col min="13059" max="13059" width="17.140625" style="568" customWidth="1"/>
    <col min="13060" max="13060" width="24.140625" style="568" customWidth="1"/>
    <col min="13061" max="13061" width="14.85546875" style="568" customWidth="1"/>
    <col min="13062" max="13062" width="15.42578125" style="568" customWidth="1"/>
    <col min="13063" max="13063" width="14.42578125" style="568" customWidth="1"/>
    <col min="13064" max="13064" width="9" style="568" customWidth="1"/>
    <col min="13065" max="13065" width="29.7109375" style="568" customWidth="1"/>
    <col min="13066" max="13066" width="16.5703125" style="568" customWidth="1"/>
    <col min="13067" max="13067" width="29.42578125" style="568" customWidth="1"/>
    <col min="13068" max="13068" width="8.5703125" style="568" bestFit="1" customWidth="1"/>
    <col min="13069" max="13070" width="12.5703125" style="568" customWidth="1"/>
    <col min="13071" max="13071" width="16.42578125" style="568" customWidth="1"/>
    <col min="13072" max="13072" width="15.7109375" style="568" customWidth="1"/>
    <col min="13073" max="13073" width="0" style="568" hidden="1" customWidth="1"/>
    <col min="13074" max="13074" width="15.42578125" style="568" customWidth="1"/>
    <col min="13075" max="13075" width="16.85546875" style="568" customWidth="1"/>
    <col min="13076" max="13076" width="52.85546875" style="568" customWidth="1"/>
    <col min="13077" max="13077" width="17" style="568" bestFit="1" customWidth="1"/>
    <col min="13078" max="13078" width="10.140625" style="568" customWidth="1"/>
    <col min="13079" max="13312" width="9.140625" style="568"/>
    <col min="13313" max="13313" width="4" style="568" customWidth="1"/>
    <col min="13314" max="13314" width="23.140625" style="568" bestFit="1" customWidth="1"/>
    <col min="13315" max="13315" width="17.140625" style="568" customWidth="1"/>
    <col min="13316" max="13316" width="24.140625" style="568" customWidth="1"/>
    <col min="13317" max="13317" width="14.85546875" style="568" customWidth="1"/>
    <col min="13318" max="13318" width="15.42578125" style="568" customWidth="1"/>
    <col min="13319" max="13319" width="14.42578125" style="568" customWidth="1"/>
    <col min="13320" max="13320" width="9" style="568" customWidth="1"/>
    <col min="13321" max="13321" width="29.7109375" style="568" customWidth="1"/>
    <col min="13322" max="13322" width="16.5703125" style="568" customWidth="1"/>
    <col min="13323" max="13323" width="29.42578125" style="568" customWidth="1"/>
    <col min="13324" max="13324" width="8.5703125" style="568" bestFit="1" customWidth="1"/>
    <col min="13325" max="13326" width="12.5703125" style="568" customWidth="1"/>
    <col min="13327" max="13327" width="16.42578125" style="568" customWidth="1"/>
    <col min="13328" max="13328" width="15.7109375" style="568" customWidth="1"/>
    <col min="13329" max="13329" width="0" style="568" hidden="1" customWidth="1"/>
    <col min="13330" max="13330" width="15.42578125" style="568" customWidth="1"/>
    <col min="13331" max="13331" width="16.85546875" style="568" customWidth="1"/>
    <col min="13332" max="13332" width="52.85546875" style="568" customWidth="1"/>
    <col min="13333" max="13333" width="17" style="568" bestFit="1" customWidth="1"/>
    <col min="13334" max="13334" width="10.140625" style="568" customWidth="1"/>
    <col min="13335" max="13568" width="9.140625" style="568"/>
    <col min="13569" max="13569" width="4" style="568" customWidth="1"/>
    <col min="13570" max="13570" width="23.140625" style="568" bestFit="1" customWidth="1"/>
    <col min="13571" max="13571" width="17.140625" style="568" customWidth="1"/>
    <col min="13572" max="13572" width="24.140625" style="568" customWidth="1"/>
    <col min="13573" max="13573" width="14.85546875" style="568" customWidth="1"/>
    <col min="13574" max="13574" width="15.42578125" style="568" customWidth="1"/>
    <col min="13575" max="13575" width="14.42578125" style="568" customWidth="1"/>
    <col min="13576" max="13576" width="9" style="568" customWidth="1"/>
    <col min="13577" max="13577" width="29.7109375" style="568" customWidth="1"/>
    <col min="13578" max="13578" width="16.5703125" style="568" customWidth="1"/>
    <col min="13579" max="13579" width="29.42578125" style="568" customWidth="1"/>
    <col min="13580" max="13580" width="8.5703125" style="568" bestFit="1" customWidth="1"/>
    <col min="13581" max="13582" width="12.5703125" style="568" customWidth="1"/>
    <col min="13583" max="13583" width="16.42578125" style="568" customWidth="1"/>
    <col min="13584" max="13584" width="15.7109375" style="568" customWidth="1"/>
    <col min="13585" max="13585" width="0" style="568" hidden="1" customWidth="1"/>
    <col min="13586" max="13586" width="15.42578125" style="568" customWidth="1"/>
    <col min="13587" max="13587" width="16.85546875" style="568" customWidth="1"/>
    <col min="13588" max="13588" width="52.85546875" style="568" customWidth="1"/>
    <col min="13589" max="13589" width="17" style="568" bestFit="1" customWidth="1"/>
    <col min="13590" max="13590" width="10.140625" style="568" customWidth="1"/>
    <col min="13591" max="13824" width="9.140625" style="568"/>
    <col min="13825" max="13825" width="4" style="568" customWidth="1"/>
    <col min="13826" max="13826" width="23.140625" style="568" bestFit="1" customWidth="1"/>
    <col min="13827" max="13827" width="17.140625" style="568" customWidth="1"/>
    <col min="13828" max="13828" width="24.140625" style="568" customWidth="1"/>
    <col min="13829" max="13829" width="14.85546875" style="568" customWidth="1"/>
    <col min="13830" max="13830" width="15.42578125" style="568" customWidth="1"/>
    <col min="13831" max="13831" width="14.42578125" style="568" customWidth="1"/>
    <col min="13832" max="13832" width="9" style="568" customWidth="1"/>
    <col min="13833" max="13833" width="29.7109375" style="568" customWidth="1"/>
    <col min="13834" max="13834" width="16.5703125" style="568" customWidth="1"/>
    <col min="13835" max="13835" width="29.42578125" style="568" customWidth="1"/>
    <col min="13836" max="13836" width="8.5703125" style="568" bestFit="1" customWidth="1"/>
    <col min="13837" max="13838" width="12.5703125" style="568" customWidth="1"/>
    <col min="13839" max="13839" width="16.42578125" style="568" customWidth="1"/>
    <col min="13840" max="13840" width="15.7109375" style="568" customWidth="1"/>
    <col min="13841" max="13841" width="0" style="568" hidden="1" customWidth="1"/>
    <col min="13842" max="13842" width="15.42578125" style="568" customWidth="1"/>
    <col min="13843" max="13843" width="16.85546875" style="568" customWidth="1"/>
    <col min="13844" max="13844" width="52.85546875" style="568" customWidth="1"/>
    <col min="13845" max="13845" width="17" style="568" bestFit="1" customWidth="1"/>
    <col min="13846" max="13846" width="10.140625" style="568" customWidth="1"/>
    <col min="13847" max="14080" width="9.140625" style="568"/>
    <col min="14081" max="14081" width="4" style="568" customWidth="1"/>
    <col min="14082" max="14082" width="23.140625" style="568" bestFit="1" customWidth="1"/>
    <col min="14083" max="14083" width="17.140625" style="568" customWidth="1"/>
    <col min="14084" max="14084" width="24.140625" style="568" customWidth="1"/>
    <col min="14085" max="14085" width="14.85546875" style="568" customWidth="1"/>
    <col min="14086" max="14086" width="15.42578125" style="568" customWidth="1"/>
    <col min="14087" max="14087" width="14.42578125" style="568" customWidth="1"/>
    <col min="14088" max="14088" width="9" style="568" customWidth="1"/>
    <col min="14089" max="14089" width="29.7109375" style="568" customWidth="1"/>
    <col min="14090" max="14090" width="16.5703125" style="568" customWidth="1"/>
    <col min="14091" max="14091" width="29.42578125" style="568" customWidth="1"/>
    <col min="14092" max="14092" width="8.5703125" style="568" bestFit="1" customWidth="1"/>
    <col min="14093" max="14094" width="12.5703125" style="568" customWidth="1"/>
    <col min="14095" max="14095" width="16.42578125" style="568" customWidth="1"/>
    <col min="14096" max="14096" width="15.7109375" style="568" customWidth="1"/>
    <col min="14097" max="14097" width="0" style="568" hidden="1" customWidth="1"/>
    <col min="14098" max="14098" width="15.42578125" style="568" customWidth="1"/>
    <col min="14099" max="14099" width="16.85546875" style="568" customWidth="1"/>
    <col min="14100" max="14100" width="52.85546875" style="568" customWidth="1"/>
    <col min="14101" max="14101" width="17" style="568" bestFit="1" customWidth="1"/>
    <col min="14102" max="14102" width="10.140625" style="568" customWidth="1"/>
    <col min="14103" max="14336" width="9.140625" style="568"/>
    <col min="14337" max="14337" width="4" style="568" customWidth="1"/>
    <col min="14338" max="14338" width="23.140625" style="568" bestFit="1" customWidth="1"/>
    <col min="14339" max="14339" width="17.140625" style="568" customWidth="1"/>
    <col min="14340" max="14340" width="24.140625" style="568" customWidth="1"/>
    <col min="14341" max="14341" width="14.85546875" style="568" customWidth="1"/>
    <col min="14342" max="14342" width="15.42578125" style="568" customWidth="1"/>
    <col min="14343" max="14343" width="14.42578125" style="568" customWidth="1"/>
    <col min="14344" max="14344" width="9" style="568" customWidth="1"/>
    <col min="14345" max="14345" width="29.7109375" style="568" customWidth="1"/>
    <col min="14346" max="14346" width="16.5703125" style="568" customWidth="1"/>
    <col min="14347" max="14347" width="29.42578125" style="568" customWidth="1"/>
    <col min="14348" max="14348" width="8.5703125" style="568" bestFit="1" customWidth="1"/>
    <col min="14349" max="14350" width="12.5703125" style="568" customWidth="1"/>
    <col min="14351" max="14351" width="16.42578125" style="568" customWidth="1"/>
    <col min="14352" max="14352" width="15.7109375" style="568" customWidth="1"/>
    <col min="14353" max="14353" width="0" style="568" hidden="1" customWidth="1"/>
    <col min="14354" max="14354" width="15.42578125" style="568" customWidth="1"/>
    <col min="14355" max="14355" width="16.85546875" style="568" customWidth="1"/>
    <col min="14356" max="14356" width="52.85546875" style="568" customWidth="1"/>
    <col min="14357" max="14357" width="17" style="568" bestFit="1" customWidth="1"/>
    <col min="14358" max="14358" width="10.140625" style="568" customWidth="1"/>
    <col min="14359" max="14592" width="9.140625" style="568"/>
    <col min="14593" max="14593" width="4" style="568" customWidth="1"/>
    <col min="14594" max="14594" width="23.140625" style="568" bestFit="1" customWidth="1"/>
    <col min="14595" max="14595" width="17.140625" style="568" customWidth="1"/>
    <col min="14596" max="14596" width="24.140625" style="568" customWidth="1"/>
    <col min="14597" max="14597" width="14.85546875" style="568" customWidth="1"/>
    <col min="14598" max="14598" width="15.42578125" style="568" customWidth="1"/>
    <col min="14599" max="14599" width="14.42578125" style="568" customWidth="1"/>
    <col min="14600" max="14600" width="9" style="568" customWidth="1"/>
    <col min="14601" max="14601" width="29.7109375" style="568" customWidth="1"/>
    <col min="14602" max="14602" width="16.5703125" style="568" customWidth="1"/>
    <col min="14603" max="14603" width="29.42578125" style="568" customWidth="1"/>
    <col min="14604" max="14604" width="8.5703125" style="568" bestFit="1" customWidth="1"/>
    <col min="14605" max="14606" width="12.5703125" style="568" customWidth="1"/>
    <col min="14607" max="14607" width="16.42578125" style="568" customWidth="1"/>
    <col min="14608" max="14608" width="15.7109375" style="568" customWidth="1"/>
    <col min="14609" max="14609" width="0" style="568" hidden="1" customWidth="1"/>
    <col min="14610" max="14610" width="15.42578125" style="568" customWidth="1"/>
    <col min="14611" max="14611" width="16.85546875" style="568" customWidth="1"/>
    <col min="14612" max="14612" width="52.85546875" style="568" customWidth="1"/>
    <col min="14613" max="14613" width="17" style="568" bestFit="1" customWidth="1"/>
    <col min="14614" max="14614" width="10.140625" style="568" customWidth="1"/>
    <col min="14615" max="14848" width="9.140625" style="568"/>
    <col min="14849" max="14849" width="4" style="568" customWidth="1"/>
    <col min="14850" max="14850" width="23.140625" style="568" bestFit="1" customWidth="1"/>
    <col min="14851" max="14851" width="17.140625" style="568" customWidth="1"/>
    <col min="14852" max="14852" width="24.140625" style="568" customWidth="1"/>
    <col min="14853" max="14853" width="14.85546875" style="568" customWidth="1"/>
    <col min="14854" max="14854" width="15.42578125" style="568" customWidth="1"/>
    <col min="14855" max="14855" width="14.42578125" style="568" customWidth="1"/>
    <col min="14856" max="14856" width="9" style="568" customWidth="1"/>
    <col min="14857" max="14857" width="29.7109375" style="568" customWidth="1"/>
    <col min="14858" max="14858" width="16.5703125" style="568" customWidth="1"/>
    <col min="14859" max="14859" width="29.42578125" style="568" customWidth="1"/>
    <col min="14860" max="14860" width="8.5703125" style="568" bestFit="1" customWidth="1"/>
    <col min="14861" max="14862" width="12.5703125" style="568" customWidth="1"/>
    <col min="14863" max="14863" width="16.42578125" style="568" customWidth="1"/>
    <col min="14864" max="14864" width="15.7109375" style="568" customWidth="1"/>
    <col min="14865" max="14865" width="0" style="568" hidden="1" customWidth="1"/>
    <col min="14866" max="14866" width="15.42578125" style="568" customWidth="1"/>
    <col min="14867" max="14867" width="16.85546875" style="568" customWidth="1"/>
    <col min="14868" max="14868" width="52.85546875" style="568" customWidth="1"/>
    <col min="14869" max="14869" width="17" style="568" bestFit="1" customWidth="1"/>
    <col min="14870" max="14870" width="10.140625" style="568" customWidth="1"/>
    <col min="14871" max="15104" width="9.140625" style="568"/>
    <col min="15105" max="15105" width="4" style="568" customWidth="1"/>
    <col min="15106" max="15106" width="23.140625" style="568" bestFit="1" customWidth="1"/>
    <col min="15107" max="15107" width="17.140625" style="568" customWidth="1"/>
    <col min="15108" max="15108" width="24.140625" style="568" customWidth="1"/>
    <col min="15109" max="15109" width="14.85546875" style="568" customWidth="1"/>
    <col min="15110" max="15110" width="15.42578125" style="568" customWidth="1"/>
    <col min="15111" max="15111" width="14.42578125" style="568" customWidth="1"/>
    <col min="15112" max="15112" width="9" style="568" customWidth="1"/>
    <col min="15113" max="15113" width="29.7109375" style="568" customWidth="1"/>
    <col min="15114" max="15114" width="16.5703125" style="568" customWidth="1"/>
    <col min="15115" max="15115" width="29.42578125" style="568" customWidth="1"/>
    <col min="15116" max="15116" width="8.5703125" style="568" bestFit="1" customWidth="1"/>
    <col min="15117" max="15118" width="12.5703125" style="568" customWidth="1"/>
    <col min="15119" max="15119" width="16.42578125" style="568" customWidth="1"/>
    <col min="15120" max="15120" width="15.7109375" style="568" customWidth="1"/>
    <col min="15121" max="15121" width="0" style="568" hidden="1" customWidth="1"/>
    <col min="15122" max="15122" width="15.42578125" style="568" customWidth="1"/>
    <col min="15123" max="15123" width="16.85546875" style="568" customWidth="1"/>
    <col min="15124" max="15124" width="52.85546875" style="568" customWidth="1"/>
    <col min="15125" max="15125" width="17" style="568" bestFit="1" customWidth="1"/>
    <col min="15126" max="15126" width="10.140625" style="568" customWidth="1"/>
    <col min="15127" max="15360" width="9.140625" style="568"/>
    <col min="15361" max="15361" width="4" style="568" customWidth="1"/>
    <col min="15362" max="15362" width="23.140625" style="568" bestFit="1" customWidth="1"/>
    <col min="15363" max="15363" width="17.140625" style="568" customWidth="1"/>
    <col min="15364" max="15364" width="24.140625" style="568" customWidth="1"/>
    <col min="15365" max="15365" width="14.85546875" style="568" customWidth="1"/>
    <col min="15366" max="15366" width="15.42578125" style="568" customWidth="1"/>
    <col min="15367" max="15367" width="14.42578125" style="568" customWidth="1"/>
    <col min="15368" max="15368" width="9" style="568" customWidth="1"/>
    <col min="15369" max="15369" width="29.7109375" style="568" customWidth="1"/>
    <col min="15370" max="15370" width="16.5703125" style="568" customWidth="1"/>
    <col min="15371" max="15371" width="29.42578125" style="568" customWidth="1"/>
    <col min="15372" max="15372" width="8.5703125" style="568" bestFit="1" customWidth="1"/>
    <col min="15373" max="15374" width="12.5703125" style="568" customWidth="1"/>
    <col min="15375" max="15375" width="16.42578125" style="568" customWidth="1"/>
    <col min="15376" max="15376" width="15.7109375" style="568" customWidth="1"/>
    <col min="15377" max="15377" width="0" style="568" hidden="1" customWidth="1"/>
    <col min="15378" max="15378" width="15.42578125" style="568" customWidth="1"/>
    <col min="15379" max="15379" width="16.85546875" style="568" customWidth="1"/>
    <col min="15380" max="15380" width="52.85546875" style="568" customWidth="1"/>
    <col min="15381" max="15381" width="17" style="568" bestFit="1" customWidth="1"/>
    <col min="15382" max="15382" width="10.140625" style="568" customWidth="1"/>
    <col min="15383" max="15616" width="9.140625" style="568"/>
    <col min="15617" max="15617" width="4" style="568" customWidth="1"/>
    <col min="15618" max="15618" width="23.140625" style="568" bestFit="1" customWidth="1"/>
    <col min="15619" max="15619" width="17.140625" style="568" customWidth="1"/>
    <col min="15620" max="15620" width="24.140625" style="568" customWidth="1"/>
    <col min="15621" max="15621" width="14.85546875" style="568" customWidth="1"/>
    <col min="15622" max="15622" width="15.42578125" style="568" customWidth="1"/>
    <col min="15623" max="15623" width="14.42578125" style="568" customWidth="1"/>
    <col min="15624" max="15624" width="9" style="568" customWidth="1"/>
    <col min="15625" max="15625" width="29.7109375" style="568" customWidth="1"/>
    <col min="15626" max="15626" width="16.5703125" style="568" customWidth="1"/>
    <col min="15627" max="15627" width="29.42578125" style="568" customWidth="1"/>
    <col min="15628" max="15628" width="8.5703125" style="568" bestFit="1" customWidth="1"/>
    <col min="15629" max="15630" width="12.5703125" style="568" customWidth="1"/>
    <col min="15631" max="15631" width="16.42578125" style="568" customWidth="1"/>
    <col min="15632" max="15632" width="15.7109375" style="568" customWidth="1"/>
    <col min="15633" max="15633" width="0" style="568" hidden="1" customWidth="1"/>
    <col min="15634" max="15634" width="15.42578125" style="568" customWidth="1"/>
    <col min="15635" max="15635" width="16.85546875" style="568" customWidth="1"/>
    <col min="15636" max="15636" width="52.85546875" style="568" customWidth="1"/>
    <col min="15637" max="15637" width="17" style="568" bestFit="1" customWidth="1"/>
    <col min="15638" max="15638" width="10.140625" style="568" customWidth="1"/>
    <col min="15639" max="15872" width="9.140625" style="568"/>
    <col min="15873" max="15873" width="4" style="568" customWidth="1"/>
    <col min="15874" max="15874" width="23.140625" style="568" bestFit="1" customWidth="1"/>
    <col min="15875" max="15875" width="17.140625" style="568" customWidth="1"/>
    <col min="15876" max="15876" width="24.140625" style="568" customWidth="1"/>
    <col min="15877" max="15877" width="14.85546875" style="568" customWidth="1"/>
    <col min="15878" max="15878" width="15.42578125" style="568" customWidth="1"/>
    <col min="15879" max="15879" width="14.42578125" style="568" customWidth="1"/>
    <col min="15880" max="15880" width="9" style="568" customWidth="1"/>
    <col min="15881" max="15881" width="29.7109375" style="568" customWidth="1"/>
    <col min="15882" max="15882" width="16.5703125" style="568" customWidth="1"/>
    <col min="15883" max="15883" width="29.42578125" style="568" customWidth="1"/>
    <col min="15884" max="15884" width="8.5703125" style="568" bestFit="1" customWidth="1"/>
    <col min="15885" max="15886" width="12.5703125" style="568" customWidth="1"/>
    <col min="15887" max="15887" width="16.42578125" style="568" customWidth="1"/>
    <col min="15888" max="15888" width="15.7109375" style="568" customWidth="1"/>
    <col min="15889" max="15889" width="0" style="568" hidden="1" customWidth="1"/>
    <col min="15890" max="15890" width="15.42578125" style="568" customWidth="1"/>
    <col min="15891" max="15891" width="16.85546875" style="568" customWidth="1"/>
    <col min="15892" max="15892" width="52.85546875" style="568" customWidth="1"/>
    <col min="15893" max="15893" width="17" style="568" bestFit="1" customWidth="1"/>
    <col min="15894" max="15894" width="10.140625" style="568" customWidth="1"/>
    <col min="15895" max="16128" width="9.140625" style="568"/>
    <col min="16129" max="16129" width="4" style="568" customWidth="1"/>
    <col min="16130" max="16130" width="23.140625" style="568" bestFit="1" customWidth="1"/>
    <col min="16131" max="16131" width="17.140625" style="568" customWidth="1"/>
    <col min="16132" max="16132" width="24.140625" style="568" customWidth="1"/>
    <col min="16133" max="16133" width="14.85546875" style="568" customWidth="1"/>
    <col min="16134" max="16134" width="15.42578125" style="568" customWidth="1"/>
    <col min="16135" max="16135" width="14.42578125" style="568" customWidth="1"/>
    <col min="16136" max="16136" width="9" style="568" customWidth="1"/>
    <col min="16137" max="16137" width="29.7109375" style="568" customWidth="1"/>
    <col min="16138" max="16138" width="16.5703125" style="568" customWidth="1"/>
    <col min="16139" max="16139" width="29.42578125" style="568" customWidth="1"/>
    <col min="16140" max="16140" width="8.5703125" style="568" bestFit="1" customWidth="1"/>
    <col min="16141" max="16142" width="12.5703125" style="568" customWidth="1"/>
    <col min="16143" max="16143" width="16.42578125" style="568" customWidth="1"/>
    <col min="16144" max="16144" width="15.7109375" style="568" customWidth="1"/>
    <col min="16145" max="16145" width="0" style="568" hidden="1" customWidth="1"/>
    <col min="16146" max="16146" width="15.42578125" style="568" customWidth="1"/>
    <col min="16147" max="16147" width="16.85546875" style="568" customWidth="1"/>
    <col min="16148" max="16148" width="52.85546875" style="568" customWidth="1"/>
    <col min="16149" max="16149" width="17" style="568" bestFit="1" customWidth="1"/>
    <col min="16150" max="16150" width="10.140625" style="568" customWidth="1"/>
    <col min="16151" max="16384" width="9.140625" style="568"/>
  </cols>
  <sheetData>
    <row r="1" spans="1:22" ht="12.75" thickBot="1"/>
    <row r="2" spans="1:22" s="573" customFormat="1" ht="12.75" thickBot="1">
      <c r="A2" s="570" t="s">
        <v>673</v>
      </c>
      <c r="B2" s="571" t="s">
        <v>674</v>
      </c>
      <c r="C2" s="571" t="s">
        <v>675</v>
      </c>
      <c r="D2" s="571" t="s">
        <v>676</v>
      </c>
      <c r="E2" s="571" t="s">
        <v>677</v>
      </c>
      <c r="F2" s="571" t="s">
        <v>678</v>
      </c>
      <c r="G2" s="571" t="s">
        <v>679</v>
      </c>
      <c r="H2" s="571" t="s">
        <v>680</v>
      </c>
      <c r="I2" s="571" t="s">
        <v>681</v>
      </c>
      <c r="J2" s="571" t="s">
        <v>682</v>
      </c>
      <c r="K2" s="571" t="s">
        <v>683</v>
      </c>
      <c r="L2" s="571" t="s">
        <v>684</v>
      </c>
      <c r="M2" s="571" t="s">
        <v>685</v>
      </c>
      <c r="N2" s="571" t="s">
        <v>686</v>
      </c>
      <c r="O2" s="571" t="s">
        <v>687</v>
      </c>
      <c r="P2" s="571" t="s">
        <v>688</v>
      </c>
      <c r="Q2" s="571" t="s">
        <v>689</v>
      </c>
      <c r="R2" s="571" t="s">
        <v>690</v>
      </c>
      <c r="S2" s="572" t="s">
        <v>691</v>
      </c>
      <c r="T2" s="571" t="s">
        <v>692</v>
      </c>
      <c r="U2" s="571" t="s">
        <v>693</v>
      </c>
      <c r="V2" s="571" t="s">
        <v>694</v>
      </c>
    </row>
    <row r="3" spans="1:22">
      <c r="A3" s="574">
        <v>1</v>
      </c>
      <c r="B3" s="575" t="s">
        <v>664</v>
      </c>
      <c r="C3" s="568" t="s">
        <v>695</v>
      </c>
      <c r="D3" s="568" t="s">
        <v>696</v>
      </c>
      <c r="J3" s="576"/>
      <c r="K3" s="568" t="s">
        <v>697</v>
      </c>
      <c r="L3" s="577" t="e">
        <f>#REF!</f>
        <v>#REF!</v>
      </c>
      <c r="M3" s="578" t="e">
        <f>#REF!</f>
        <v>#REF!</v>
      </c>
      <c r="N3" s="578" t="e">
        <f>#REF!</f>
        <v>#REF!</v>
      </c>
      <c r="O3" s="579" t="e">
        <f>#REF!</f>
        <v>#REF!</v>
      </c>
      <c r="P3" s="580" t="e">
        <f>#REF!</f>
        <v>#REF!</v>
      </c>
      <c r="R3" s="579" t="s">
        <v>698</v>
      </c>
      <c r="S3" s="581" t="e">
        <f>#REF!</f>
        <v>#REF!</v>
      </c>
      <c r="T3" s="568" t="s">
        <v>699</v>
      </c>
      <c r="U3" s="582" t="s">
        <v>700</v>
      </c>
    </row>
    <row r="4" spans="1:22">
      <c r="A4" s="574">
        <v>2</v>
      </c>
      <c r="B4" s="568" t="s">
        <v>665</v>
      </c>
      <c r="C4" s="568" t="s">
        <v>695</v>
      </c>
      <c r="D4" s="568" t="s">
        <v>696</v>
      </c>
      <c r="F4" s="576"/>
      <c r="G4" s="576"/>
      <c r="I4" s="576"/>
      <c r="J4" s="576"/>
      <c r="K4" s="568" t="s">
        <v>697</v>
      </c>
      <c r="L4" s="577">
        <f>'Viva City'!C9</f>
        <v>0.41499999999999998</v>
      </c>
      <c r="M4" s="578">
        <f>'Viva City'!D26</f>
        <v>1170900</v>
      </c>
      <c r="N4" s="578">
        <f>'Viva City'!D39</f>
        <v>1170900</v>
      </c>
      <c r="O4" s="579">
        <f>'Viva City'!D40</f>
        <v>0.47861559484157484</v>
      </c>
      <c r="P4" s="580">
        <f>'Viva City'!D41</f>
        <v>560411</v>
      </c>
      <c r="Q4" s="568" t="s">
        <v>701</v>
      </c>
      <c r="R4" s="579" t="s">
        <v>698</v>
      </c>
      <c r="S4" s="583">
        <f>'Viva City'!C200</f>
        <v>144007.80700848522</v>
      </c>
      <c r="T4" s="568" t="s">
        <v>702</v>
      </c>
      <c r="U4" s="582" t="s">
        <v>700</v>
      </c>
    </row>
    <row r="5" spans="1:22" ht="23.25" customHeight="1">
      <c r="A5" s="574">
        <v>3</v>
      </c>
      <c r="B5" s="568" t="s">
        <v>666</v>
      </c>
      <c r="C5" s="568" t="s">
        <v>703</v>
      </c>
      <c r="D5" s="568" t="s">
        <v>696</v>
      </c>
      <c r="F5" s="576"/>
      <c r="G5" s="576"/>
      <c r="I5" s="568" t="s">
        <v>704</v>
      </c>
      <c r="J5" s="576"/>
      <c r="K5" s="568" t="s">
        <v>705</v>
      </c>
      <c r="L5" s="577">
        <v>1</v>
      </c>
      <c r="M5" s="578" t="e">
        <f>#REF!</f>
        <v>#REF!</v>
      </c>
      <c r="N5" s="578" t="e">
        <f>#REF!</f>
        <v>#REF!</v>
      </c>
      <c r="O5" s="579" t="e">
        <f>8358/M5</f>
        <v>#REF!</v>
      </c>
      <c r="P5" s="580" t="e">
        <f>M5*O5</f>
        <v>#REF!</v>
      </c>
      <c r="Q5" s="568" t="s">
        <v>706</v>
      </c>
      <c r="R5" s="579" t="s">
        <v>698</v>
      </c>
      <c r="S5" s="583" t="e">
        <f>#REF!</f>
        <v>#REF!</v>
      </c>
      <c r="T5" s="575" t="s">
        <v>707</v>
      </c>
      <c r="U5" s="582" t="s">
        <v>708</v>
      </c>
    </row>
    <row r="6" spans="1:22" ht="24">
      <c r="A6" s="574">
        <v>4</v>
      </c>
      <c r="B6" s="568" t="s">
        <v>709</v>
      </c>
      <c r="C6" s="568" t="s">
        <v>695</v>
      </c>
      <c r="D6" s="584" t="s">
        <v>710</v>
      </c>
      <c r="E6" s="584"/>
      <c r="F6" s="585"/>
      <c r="G6" s="585"/>
      <c r="H6" s="585"/>
      <c r="I6" s="585"/>
      <c r="J6" s="585"/>
      <c r="K6" s="568" t="s">
        <v>709</v>
      </c>
      <c r="L6" s="577">
        <v>0.44500000000000001</v>
      </c>
      <c r="M6" s="578">
        <v>700000</v>
      </c>
      <c r="N6" s="586" t="s">
        <v>711</v>
      </c>
      <c r="O6" s="587" t="s">
        <v>711</v>
      </c>
      <c r="P6" s="588" t="s">
        <v>711</v>
      </c>
      <c r="Q6" s="568" t="s">
        <v>712</v>
      </c>
      <c r="R6" s="589" t="s">
        <v>713</v>
      </c>
      <c r="S6" s="583">
        <f>70000/49*44.5</f>
        <v>63571.428571428572</v>
      </c>
      <c r="T6" s="568" t="s">
        <v>714</v>
      </c>
      <c r="U6" s="582" t="s">
        <v>700</v>
      </c>
    </row>
    <row r="7" spans="1:22">
      <c r="A7" s="574">
        <v>5</v>
      </c>
      <c r="B7" s="568" t="s">
        <v>667</v>
      </c>
      <c r="C7" s="568" t="s">
        <v>703</v>
      </c>
      <c r="D7" s="584"/>
      <c r="E7" s="584"/>
      <c r="F7" s="584">
        <v>90000</v>
      </c>
      <c r="G7" s="584">
        <v>200000</v>
      </c>
      <c r="H7" s="584"/>
      <c r="I7" s="584"/>
      <c r="J7" s="584"/>
      <c r="K7" s="568" t="s">
        <v>715</v>
      </c>
      <c r="L7" s="577">
        <v>1</v>
      </c>
      <c r="M7" s="580">
        <v>20000</v>
      </c>
      <c r="N7" s="588"/>
      <c r="O7" s="587"/>
      <c r="P7" s="588"/>
      <c r="R7" s="589" t="s">
        <v>698</v>
      </c>
      <c r="S7" s="583" t="e">
        <f>#REF!</f>
        <v>#REF!</v>
      </c>
      <c r="T7" s="619"/>
      <c r="U7" s="582" t="s">
        <v>700</v>
      </c>
    </row>
    <row r="8" spans="1:22">
      <c r="A8" s="574">
        <v>6</v>
      </c>
      <c r="B8" s="568" t="s">
        <v>668</v>
      </c>
      <c r="C8" s="568" t="s">
        <v>717</v>
      </c>
      <c r="D8" s="584"/>
      <c r="E8" s="584"/>
      <c r="F8" s="584"/>
      <c r="G8" s="584"/>
      <c r="H8" s="584"/>
      <c r="I8" s="584"/>
      <c r="J8" s="584"/>
      <c r="K8" s="568" t="s">
        <v>715</v>
      </c>
      <c r="L8" s="577">
        <v>1</v>
      </c>
      <c r="M8" s="580">
        <v>74140.5</v>
      </c>
      <c r="N8" s="588"/>
      <c r="O8" s="587"/>
      <c r="P8" s="620"/>
      <c r="R8" s="589" t="s">
        <v>698</v>
      </c>
      <c r="S8" s="583" t="e">
        <f>#REF!</f>
        <v>#REF!</v>
      </c>
      <c r="T8" s="575"/>
      <c r="U8" s="582" t="s">
        <v>700</v>
      </c>
    </row>
    <row r="9" spans="1:22" s="590" customFormat="1">
      <c r="A9" s="574">
        <v>7</v>
      </c>
      <c r="B9" s="590" t="s">
        <v>720</v>
      </c>
      <c r="D9" s="590" t="s">
        <v>721</v>
      </c>
      <c r="E9" s="591">
        <v>0.4</v>
      </c>
      <c r="H9" s="590">
        <f>'[13]Villa DN'!D26</f>
        <v>20</v>
      </c>
      <c r="I9" s="590" t="s">
        <v>722</v>
      </c>
      <c r="J9" s="590" t="s">
        <v>711</v>
      </c>
      <c r="K9" s="590" t="s">
        <v>723</v>
      </c>
      <c r="L9" s="591"/>
      <c r="M9" s="592"/>
      <c r="N9" s="592"/>
      <c r="O9" s="593"/>
      <c r="P9" s="592"/>
      <c r="R9" s="594" t="s">
        <v>713</v>
      </c>
      <c r="S9" s="595">
        <v>9424</v>
      </c>
      <c r="U9" s="596"/>
      <c r="V9" s="597"/>
    </row>
    <row r="10" spans="1:22" s="598" customFormat="1" ht="13.5" customHeight="1">
      <c r="B10" s="598" t="s">
        <v>724</v>
      </c>
      <c r="K10" s="599"/>
      <c r="M10" s="600" t="e">
        <f>SUM(M3:M9)</f>
        <v>#REF!</v>
      </c>
      <c r="N10" s="600"/>
      <c r="O10" s="600"/>
      <c r="P10" s="600"/>
      <c r="R10" s="600"/>
      <c r="S10" s="600" t="e">
        <f>SUM(S3:S9)</f>
        <v>#REF!</v>
      </c>
      <c r="T10" s="600"/>
    </row>
    <row r="11" spans="1:22" s="598" customFormat="1" ht="13.5" customHeight="1">
      <c r="B11" s="598" t="s">
        <v>725</v>
      </c>
      <c r="K11" s="599"/>
      <c r="M11" s="600"/>
      <c r="N11" s="600"/>
      <c r="O11" s="600"/>
      <c r="P11" s="600"/>
      <c r="R11" s="600"/>
      <c r="S11" s="600" t="e">
        <f>'RNAV_11,000'!S11</f>
        <v>#REF!</v>
      </c>
      <c r="T11" s="600"/>
    </row>
    <row r="12" spans="1:22" s="598" customFormat="1" ht="13.5" customHeight="1">
      <c r="B12" s="598" t="s">
        <v>1106</v>
      </c>
      <c r="K12" s="599"/>
      <c r="M12" s="600"/>
      <c r="N12" s="600"/>
      <c r="O12" s="600"/>
      <c r="P12" s="600"/>
      <c r="R12" s="600"/>
      <c r="S12" s="600" t="e">
        <f>'RNAV_11,000'!S12</f>
        <v>#REF!</v>
      </c>
      <c r="T12" s="600"/>
    </row>
    <row r="13" spans="1:22" ht="36">
      <c r="B13" s="575" t="s">
        <v>726</v>
      </c>
      <c r="M13" s="569" t="e">
        <f>M10/10000</f>
        <v>#REF!</v>
      </c>
      <c r="S13" s="569">
        <v>306750</v>
      </c>
      <c r="T13" s="569"/>
    </row>
    <row r="14" spans="1:22">
      <c r="B14" s="568" t="s">
        <v>727</v>
      </c>
      <c r="S14" s="569">
        <v>-69684</v>
      </c>
      <c r="T14" s="569" t="s">
        <v>739</v>
      </c>
      <c r="U14" s="621">
        <f>U16*S19*10^-6</f>
        <v>1200000</v>
      </c>
    </row>
    <row r="15" spans="1:22">
      <c r="B15" s="568" t="s">
        <v>740</v>
      </c>
      <c r="S15" s="569">
        <f>S24-180000</f>
        <v>315900</v>
      </c>
      <c r="T15" s="569" t="s">
        <v>741</v>
      </c>
      <c r="U15" s="621">
        <f>U14+S24</f>
        <v>1695900</v>
      </c>
    </row>
    <row r="16" spans="1:22">
      <c r="B16" s="598" t="s">
        <v>728</v>
      </c>
      <c r="S16" s="569" t="e">
        <f>SUM(S10:S15)</f>
        <v>#REF!</v>
      </c>
      <c r="T16" s="569" t="s">
        <v>742</v>
      </c>
      <c r="U16" s="569">
        <v>75000000</v>
      </c>
    </row>
    <row r="17" spans="2:26">
      <c r="B17" s="568" t="s">
        <v>729</v>
      </c>
      <c r="S17" s="569">
        <v>125000000</v>
      </c>
      <c r="T17" s="609" t="s">
        <v>743</v>
      </c>
      <c r="U17" s="621">
        <v>125000000</v>
      </c>
    </row>
    <row r="18" spans="2:26" s="598" customFormat="1" ht="15">
      <c r="B18" s="598" t="s">
        <v>730</v>
      </c>
      <c r="M18" s="600"/>
      <c r="N18" s="600"/>
      <c r="O18" s="600"/>
      <c r="P18" s="600"/>
      <c r="R18" s="600"/>
      <c r="S18" s="601" t="e">
        <f>S16*10^6/S17</f>
        <v>#REF!</v>
      </c>
      <c r="T18" s="601"/>
      <c r="U18" s="602"/>
      <c r="V18" s="603"/>
      <c r="W18" s="603"/>
      <c r="X18" s="603"/>
      <c r="Y18" s="603"/>
      <c r="Z18" s="603"/>
    </row>
    <row r="19" spans="2:26" ht="14.25">
      <c r="B19" s="568" t="s">
        <v>731</v>
      </c>
      <c r="S19" s="569">
        <f>'RNAV_11,000'!S19</f>
        <v>16000</v>
      </c>
      <c r="T19" s="569">
        <f>U15/(S17*10^-6)</f>
        <v>13567.2</v>
      </c>
      <c r="U19" s="604"/>
      <c r="V19" s="605"/>
      <c r="W19" s="605"/>
      <c r="X19" s="605"/>
      <c r="Y19" s="605"/>
      <c r="Z19" s="605"/>
    </row>
    <row r="20" spans="2:26" ht="14.25">
      <c r="B20" s="568" t="s">
        <v>732</v>
      </c>
      <c r="S20" s="606" t="e">
        <f>S18/S19-1</f>
        <v>#REF!</v>
      </c>
      <c r="T20" s="606" t="e">
        <f>S18/T19-1</f>
        <v>#REF!</v>
      </c>
      <c r="U20" s="604"/>
      <c r="V20" s="605"/>
      <c r="W20" s="605"/>
      <c r="X20" s="605"/>
      <c r="Y20" s="605"/>
      <c r="Z20" s="605"/>
    </row>
    <row r="22" spans="2:26">
      <c r="P22" s="569">
        <f>75000000*0.25</f>
        <v>18750000</v>
      </c>
      <c r="R22" s="569">
        <v>10000</v>
      </c>
      <c r="S22" s="569">
        <f>R22*P22/10^6</f>
        <v>187500</v>
      </c>
      <c r="T22" s="569" t="e">
        <f>25%*#REF!</f>
        <v>#REF!</v>
      </c>
      <c r="U22" s="607"/>
      <c r="V22" s="608"/>
      <c r="W22" s="608"/>
      <c r="X22" s="608"/>
      <c r="Y22" s="608"/>
      <c r="Z22" s="608"/>
    </row>
    <row r="23" spans="2:26">
      <c r="P23" s="569">
        <v>25700000</v>
      </c>
      <c r="R23" s="569">
        <v>12000</v>
      </c>
      <c r="S23" s="569">
        <f>R23*P23/10^6</f>
        <v>308400</v>
      </c>
      <c r="T23" s="569" t="e">
        <f>25%*#REF!</f>
        <v>#REF!</v>
      </c>
      <c r="U23" s="621" t="e">
        <f>S23-T22-T23</f>
        <v>#REF!</v>
      </c>
      <c r="V23" s="569"/>
      <c r="W23" s="569"/>
      <c r="X23" s="569"/>
      <c r="Y23" s="569"/>
      <c r="Z23" s="569"/>
    </row>
    <row r="24" spans="2:26">
      <c r="R24" s="569">
        <f>AVERAGE(R22:R23)</f>
        <v>11000</v>
      </c>
      <c r="S24" s="569">
        <f>SUM(S22:S23)</f>
        <v>495900</v>
      </c>
      <c r="T24" s="621" t="e">
        <f>S24-SUM(T22:T23)</f>
        <v>#REF!</v>
      </c>
    </row>
    <row r="26" spans="2:26">
      <c r="M26" s="609"/>
      <c r="N26" s="609"/>
      <c r="S26" s="569">
        <f>(S19+R24*(U17/U16))/(1+U17/U16)</f>
        <v>12875</v>
      </c>
    </row>
    <row r="27" spans="2:26">
      <c r="S27" s="606" t="e">
        <f>S18/S26-1</f>
        <v>#REF!</v>
      </c>
    </row>
  </sheetData>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2">
    <tabColor rgb="FFFFC000"/>
    <pageSetUpPr fitToPage="1"/>
  </sheetPr>
  <dimension ref="B7:Q42"/>
  <sheetViews>
    <sheetView showGridLines="0" zoomScale="115" zoomScaleNormal="115" workbookViewId="0">
      <pane xSplit="2" ySplit="9" topLeftCell="C14" activePane="bottomRight" state="frozen"/>
      <selection activeCell="A10" sqref="A10"/>
      <selection pane="topRight" activeCell="A10" sqref="A10"/>
      <selection pane="bottomLeft" activeCell="A10" sqref="A10"/>
      <selection pane="bottomRight" activeCell="G14" sqref="G14"/>
    </sheetView>
  </sheetViews>
  <sheetFormatPr defaultColWidth="9.140625" defaultRowHeight="12" customHeight="1" outlineLevelCol="1"/>
  <cols>
    <col min="1" max="1" width="3.7109375" style="5" customWidth="1"/>
    <col min="2" max="2" width="32.7109375" style="5" customWidth="1"/>
    <col min="3" max="13" width="10.7109375" style="5" customWidth="1"/>
    <col min="14" max="16" width="10.7109375" style="5" hidden="1" customWidth="1" outlineLevel="1"/>
    <col min="17" max="17" width="9.140625" style="5" collapsed="1"/>
    <col min="18" max="16384" width="9.140625" style="5"/>
  </cols>
  <sheetData>
    <row r="7" spans="2:16" s="494" customFormat="1" ht="12" customHeight="1">
      <c r="B7" s="545" t="str">
        <f>ticker</f>
        <v>DXG VN EQUITY</v>
      </c>
      <c r="C7" s="356"/>
      <c r="D7" s="546"/>
      <c r="E7" s="356"/>
      <c r="F7" s="356"/>
      <c r="G7" s="356"/>
      <c r="H7" s="494">
        <f t="shared" ref="H7:P7" ca="1" si="0">IF(H9&lt;=end_year,1,0)</f>
        <v>1</v>
      </c>
      <c r="I7" s="494">
        <f t="shared" ca="1" si="0"/>
        <v>1</v>
      </c>
      <c r="J7" s="494">
        <f t="shared" ca="1" si="0"/>
        <v>1</v>
      </c>
      <c r="K7" s="494">
        <f t="shared" ca="1" si="0"/>
        <v>1</v>
      </c>
      <c r="L7" s="494">
        <f t="shared" ca="1" si="0"/>
        <v>1</v>
      </c>
      <c r="N7" s="494">
        <f t="shared" ca="1" si="0"/>
        <v>1</v>
      </c>
      <c r="O7" s="494">
        <f t="shared" ca="1" si="0"/>
        <v>1</v>
      </c>
      <c r="P7" s="494">
        <f t="shared" ca="1" si="0"/>
        <v>1</v>
      </c>
    </row>
    <row r="8" spans="2:16" ht="12" customHeight="1">
      <c r="B8" s="15"/>
      <c r="C8" s="2266" t="s">
        <v>215</v>
      </c>
      <c r="D8" s="2266"/>
      <c r="E8" s="2266"/>
      <c r="F8" s="2266"/>
      <c r="G8" s="977"/>
      <c r="H8" s="7" t="s">
        <v>275</v>
      </c>
      <c r="I8" s="7" t="s">
        <v>277</v>
      </c>
      <c r="J8" s="7" t="s">
        <v>278</v>
      </c>
      <c r="K8" s="7" t="s">
        <v>279</v>
      </c>
      <c r="L8" s="7" t="s">
        <v>280</v>
      </c>
      <c r="M8" s="7"/>
      <c r="N8" s="7" t="s">
        <v>282</v>
      </c>
      <c r="O8" s="7" t="s">
        <v>283</v>
      </c>
      <c r="P8" s="7" t="s">
        <v>276</v>
      </c>
    </row>
    <row r="9" spans="2:16" ht="12" customHeight="1">
      <c r="B9" s="19" t="s">
        <v>25</v>
      </c>
      <c r="C9" s="60">
        <f ca="1">'FS Year'!K9</f>
        <v>2020</v>
      </c>
      <c r="D9" s="60">
        <f ca="1">'FS Year'!L9</f>
        <v>2021</v>
      </c>
      <c r="E9" s="60">
        <f ca="1">'FS Year'!M9</f>
        <v>2022</v>
      </c>
      <c r="F9" s="60">
        <f ca="1">'FS Year'!N9</f>
        <v>2023</v>
      </c>
      <c r="G9" s="312" t="s">
        <v>1188</v>
      </c>
      <c r="H9" s="68">
        <f ca="1">'FS Year'!Q9</f>
        <v>2025</v>
      </c>
      <c r="I9" s="68">
        <f ca="1">'FS Year'!R9</f>
        <v>2026</v>
      </c>
      <c r="J9" s="68">
        <f ca="1">'FS Year'!S9</f>
        <v>2027</v>
      </c>
      <c r="K9" s="68">
        <f ca="1">'FS Year'!T9</f>
        <v>2028</v>
      </c>
      <c r="L9" s="68">
        <f ca="1">'FS Year'!U9</f>
        <v>2029</v>
      </c>
      <c r="M9" s="68"/>
      <c r="N9" s="68">
        <f ca="1">'FS Year'!W9</f>
        <v>2031</v>
      </c>
      <c r="O9" s="68">
        <f ca="1">'FS Year'!X9</f>
        <v>2032</v>
      </c>
      <c r="P9" s="68">
        <f ca="1">'FS Year'!Y9</f>
        <v>2033</v>
      </c>
    </row>
    <row r="10" spans="2:16" ht="12" customHeight="1">
      <c r="B10" s="18" t="s">
        <v>26</v>
      </c>
      <c r="C10" s="348">
        <f>'FS Year'!K10</f>
        <v>374.25504119999999</v>
      </c>
      <c r="D10" s="348">
        <f>'FS Year'!L10</f>
        <v>286.38626400000004</v>
      </c>
      <c r="E10" s="348">
        <f>'FS Year'!M10</f>
        <v>403.5029839</v>
      </c>
      <c r="F10" s="348">
        <f>'FS Year'!N10</f>
        <v>342.59114049999999</v>
      </c>
      <c r="G10" s="348">
        <f>'FS Year'!O10</f>
        <v>506.1806575</v>
      </c>
      <c r="H10" s="267">
        <f>IS!I7/1000</f>
        <v>1.395</v>
      </c>
      <c r="I10" s="267">
        <f>IS!J7/1000</f>
        <v>2.5065168574600003</v>
      </c>
      <c r="J10" s="267">
        <f>IS!K7/1000</f>
        <v>2.879241389947</v>
      </c>
      <c r="K10" s="267">
        <f>IS!L7/1000</f>
        <v>4.6453185625320002</v>
      </c>
      <c r="L10" s="267">
        <f>IS!M7/1000</f>
        <v>5.8135777320179995</v>
      </c>
      <c r="M10" s="267"/>
      <c r="N10" s="267">
        <f ca="1">M10*(1+Assumption!N11)*N7</f>
        <v>0</v>
      </c>
      <c r="O10" s="267">
        <f ca="1">N10*(1+Assumption!O11)*O7</f>
        <v>0</v>
      </c>
      <c r="P10" s="267">
        <f ca="1">O10*(1+Assumption!P11)*P7</f>
        <v>0</v>
      </c>
    </row>
    <row r="11" spans="2:16" ht="12" customHeight="1">
      <c r="B11" s="18" t="s">
        <v>465</v>
      </c>
      <c r="C11" s="348">
        <f>'FS Year'!K11</f>
        <v>-204.97794870000001</v>
      </c>
      <c r="D11" s="348">
        <f>'FS Year'!L11</f>
        <v>-80.303294599999987</v>
      </c>
      <c r="E11" s="348">
        <f>'FS Year'!M11</f>
        <v>-210.6181958</v>
      </c>
      <c r="F11" s="348">
        <f>'FS Year'!N11</f>
        <v>-136.66021280000001</v>
      </c>
      <c r="G11" s="348">
        <f>'FS Year'!O11</f>
        <v>-204.36544889999999</v>
      </c>
      <c r="H11" s="267">
        <f>-IS!I8/1000</f>
        <v>-0.73499999999999999</v>
      </c>
      <c r="I11" s="267">
        <f>-IS!J8/1000</f>
        <v>-1.4548795920350002</v>
      </c>
      <c r="J11" s="267">
        <f>-IS!K8/1000</f>
        <v>-1.149440021123</v>
      </c>
      <c r="K11" s="267">
        <f>-IS!L8/1000</f>
        <v>-2.0305443785900001</v>
      </c>
      <c r="L11" s="267">
        <f>-IS!M8/1000</f>
        <v>-2.7299755085970001</v>
      </c>
      <c r="M11" s="267"/>
      <c r="N11" s="267">
        <f ca="1">N12-N10</f>
        <v>0</v>
      </c>
      <c r="O11" s="267">
        <f ca="1">O12-O10</f>
        <v>0</v>
      </c>
      <c r="P11" s="267">
        <f ca="1">P12-P10</f>
        <v>0</v>
      </c>
    </row>
    <row r="12" spans="2:16" ht="12" customHeight="1">
      <c r="B12" s="18" t="s">
        <v>28</v>
      </c>
      <c r="C12" s="348">
        <f>'FS Year'!K12</f>
        <v>169.27709249999998</v>
      </c>
      <c r="D12" s="348">
        <f>'FS Year'!L12</f>
        <v>206.08296940000005</v>
      </c>
      <c r="E12" s="348">
        <f>'FS Year'!M12</f>
        <v>192.88478810000001</v>
      </c>
      <c r="F12" s="348">
        <f>'FS Year'!N12</f>
        <v>205.93092769999998</v>
      </c>
      <c r="G12" s="348">
        <f>'FS Year'!O12</f>
        <v>301.81520860000001</v>
      </c>
      <c r="H12" s="267">
        <f>H10+H11</f>
        <v>0.66</v>
      </c>
      <c r="I12" s="267">
        <f>I10+I11</f>
        <v>1.0516372654250001</v>
      </c>
      <c r="J12" s="267">
        <f>J10+J11</f>
        <v>1.7298013688239999</v>
      </c>
      <c r="K12" s="267">
        <f>K10+K11</f>
        <v>2.614774183942</v>
      </c>
      <c r="L12" s="267">
        <f>L10+L11</f>
        <v>3.0836022234209994</v>
      </c>
      <c r="M12" s="267"/>
      <c r="N12" s="267">
        <f ca="1">N10*Assumption!N13</f>
        <v>0</v>
      </c>
      <c r="O12" s="267">
        <f ca="1">O10*Assumption!O13</f>
        <v>0</v>
      </c>
      <c r="P12" s="267">
        <f ca="1">P10*Assumption!P13</f>
        <v>0</v>
      </c>
    </row>
    <row r="13" spans="2:16" ht="12" customHeight="1">
      <c r="B13" s="18" t="s">
        <v>1288</v>
      </c>
      <c r="C13" s="348"/>
      <c r="D13" s="348"/>
      <c r="E13" s="348"/>
      <c r="F13" s="924">
        <f t="shared" ref="F13:L13" si="1">F12/F10</f>
        <v>0.6010982286332649</v>
      </c>
      <c r="G13" s="924">
        <f t="shared" si="1"/>
        <v>0.59625986123343722</v>
      </c>
      <c r="H13" s="925">
        <f t="shared" si="1"/>
        <v>0.4731182795698925</v>
      </c>
      <c r="I13" s="925">
        <f t="shared" si="1"/>
        <v>0.41956121790885759</v>
      </c>
      <c r="J13" s="925">
        <f t="shared" si="1"/>
        <v>0.6007837254853583</v>
      </c>
      <c r="K13" s="925">
        <f t="shared" si="1"/>
        <v>0.56288371803650394</v>
      </c>
      <c r="L13" s="925">
        <f t="shared" si="1"/>
        <v>0.5304138631256633</v>
      </c>
      <c r="M13" s="925"/>
      <c r="N13" s="267"/>
      <c r="O13" s="267"/>
      <c r="P13" s="267"/>
    </row>
    <row r="14" spans="2:16" ht="12" customHeight="1">
      <c r="B14" s="15" t="s">
        <v>463</v>
      </c>
      <c r="C14" s="348">
        <f>'FS Year'!K13</f>
        <v>-35.836083100000003</v>
      </c>
      <c r="D14" s="348">
        <f>'FS Year'!L13</f>
        <v>-45.2203248</v>
      </c>
      <c r="E14" s="348">
        <f>'FS Year'!M13</f>
        <v>-44.045724700000001</v>
      </c>
      <c r="F14" s="348">
        <f>'FS Year'!N13</f>
        <v>-62.493809500000005</v>
      </c>
      <c r="G14" s="348">
        <f>'FS Year'!O13</f>
        <v>-54.302469700000003</v>
      </c>
      <c r="H14" s="566">
        <f>H18*H15</f>
        <v>-0.16200000000000001</v>
      </c>
      <c r="I14" s="566">
        <f>I18*I15</f>
        <v>-0.25330222103047995</v>
      </c>
      <c r="J14" s="566">
        <f>J18*J15</f>
        <v>-0.34785493189824002</v>
      </c>
      <c r="K14" s="566">
        <f>K18*K15</f>
        <v>-0.51462340490550007</v>
      </c>
      <c r="L14" s="566">
        <f>L18*L15</f>
        <v>-0.66952142183640007</v>
      </c>
      <c r="M14" s="566"/>
      <c r="N14" s="267">
        <f ca="1">N10*-Assumption!N15</f>
        <v>0</v>
      </c>
      <c r="O14" s="267">
        <f ca="1">O10*-Assumption!O15</f>
        <v>0</v>
      </c>
      <c r="P14" s="267">
        <f ca="1">P10*-Assumption!P15</f>
        <v>0</v>
      </c>
    </row>
    <row r="15" spans="2:16" ht="12" customHeight="1">
      <c r="B15" s="15" t="s">
        <v>670</v>
      </c>
      <c r="C15" s="564">
        <f>C14/C18</f>
        <v>0.39785421784194291</v>
      </c>
      <c r="D15" s="564">
        <f>D14/D18</f>
        <v>0.35066404463762724</v>
      </c>
      <c r="E15" s="564">
        <f>E14/E18</f>
        <v>0.35892123729879355</v>
      </c>
      <c r="F15" s="564">
        <f>F14/F18</f>
        <v>0.43477022808654581</v>
      </c>
      <c r="G15" s="564">
        <f>G14/G18</f>
        <v>0.39744163960304302</v>
      </c>
      <c r="H15" s="565">
        <v>0.6</v>
      </c>
      <c r="I15" s="565">
        <f>H15+2%</f>
        <v>0.62</v>
      </c>
      <c r="J15" s="565">
        <f>I15+2%</f>
        <v>0.64</v>
      </c>
      <c r="K15" s="565">
        <f>J15+2%</f>
        <v>0.66</v>
      </c>
      <c r="L15" s="565">
        <f>K15+2%</f>
        <v>0.68</v>
      </c>
      <c r="M15" s="565"/>
      <c r="N15" s="267"/>
      <c r="O15" s="267"/>
      <c r="P15" s="267"/>
    </row>
    <row r="16" spans="2:16" ht="12" customHeight="1">
      <c r="B16" s="15" t="s">
        <v>462</v>
      </c>
      <c r="C16" s="348">
        <f>'FS Year'!K14</f>
        <v>-54.237319399999997</v>
      </c>
      <c r="D16" s="348">
        <f>'FS Year'!L14</f>
        <v>-83.735938300000001</v>
      </c>
      <c r="E16" s="348">
        <f>'FS Year'!M14</f>
        <v>-78.671239700000001</v>
      </c>
      <c r="F16" s="348">
        <f>'FS Year'!N14</f>
        <v>-81.2460454</v>
      </c>
      <c r="G16" s="348">
        <f>'FS Year'!O14</f>
        <v>-82.327576799999989</v>
      </c>
      <c r="H16" s="567">
        <f>H18*H17</f>
        <v>-0.10800000000000001</v>
      </c>
      <c r="I16" s="567">
        <f>I18*I17</f>
        <v>-0.15524974837351999</v>
      </c>
      <c r="J16" s="567">
        <f>J18*J17</f>
        <v>-0.19566839919276</v>
      </c>
      <c r="K16" s="567">
        <f>K18*K17</f>
        <v>-0.26510902676949999</v>
      </c>
      <c r="L16" s="567">
        <f>L18*L17</f>
        <v>-0.31506890439359997</v>
      </c>
      <c r="M16" s="567"/>
      <c r="N16" s="267">
        <f ca="1">N10*-Assumption!N16</f>
        <v>0</v>
      </c>
      <c r="O16" s="267">
        <f ca="1">O10*-Assumption!O16</f>
        <v>0</v>
      </c>
      <c r="P16" s="267">
        <f ca="1">P10*-Assumption!P16</f>
        <v>0</v>
      </c>
    </row>
    <row r="17" spans="2:16" ht="12" customHeight="1">
      <c r="B17" s="15" t="s">
        <v>670</v>
      </c>
      <c r="C17" s="564">
        <f>C16/C18</f>
        <v>0.60214578215805714</v>
      </c>
      <c r="D17" s="564">
        <f>D16/D18</f>
        <v>0.64933595536237276</v>
      </c>
      <c r="E17" s="564">
        <f>E16/E18</f>
        <v>0.64107876270120645</v>
      </c>
      <c r="F17" s="564">
        <f>F16/F18</f>
        <v>0.56522977191345414</v>
      </c>
      <c r="G17" s="564">
        <f>G16/G18</f>
        <v>0.60255836039695698</v>
      </c>
      <c r="H17" s="124">
        <f>1-H15</f>
        <v>0.4</v>
      </c>
      <c r="I17" s="124">
        <f>1-I15</f>
        <v>0.38</v>
      </c>
      <c r="J17" s="124">
        <f>1-J15</f>
        <v>0.36</v>
      </c>
      <c r="K17" s="124">
        <f>1-K15</f>
        <v>0.33999999999999997</v>
      </c>
      <c r="L17" s="124">
        <f>1-L15</f>
        <v>0.31999999999999995</v>
      </c>
      <c r="M17" s="124"/>
      <c r="N17" s="267"/>
      <c r="O17" s="267"/>
      <c r="P17" s="267"/>
    </row>
    <row r="18" spans="2:16" ht="12" customHeight="1">
      <c r="B18" s="15" t="s">
        <v>656</v>
      </c>
      <c r="C18" s="348">
        <f>C16+C14</f>
        <v>-90.0734025</v>
      </c>
      <c r="D18" s="348">
        <f>D16+D14</f>
        <v>-128.9562631</v>
      </c>
      <c r="E18" s="348">
        <f>E16+E14</f>
        <v>-122.71696439999999</v>
      </c>
      <c r="F18" s="348">
        <f>F16+F14</f>
        <v>-143.73985490000001</v>
      </c>
      <c r="G18" s="348">
        <f>G16+G14</f>
        <v>-136.63004649999999</v>
      </c>
      <c r="H18" s="267">
        <f>-IS!I11/1000</f>
        <v>-0.27</v>
      </c>
      <c r="I18" s="267">
        <f>-IS!J11/1000</f>
        <v>-0.40855196940399996</v>
      </c>
      <c r="J18" s="267">
        <f>-IS!K11/1000</f>
        <v>-0.54352333109100004</v>
      </c>
      <c r="K18" s="267">
        <f>-IS!L11/1000</f>
        <v>-0.77973243167500006</v>
      </c>
      <c r="L18" s="267">
        <f>-IS!M11/1000</f>
        <v>-0.98459032622999998</v>
      </c>
      <c r="M18" s="267"/>
      <c r="N18" s="267"/>
      <c r="O18" s="267"/>
      <c r="P18" s="267"/>
    </row>
    <row r="19" spans="2:16" ht="12" customHeight="1">
      <c r="B19" s="18" t="s">
        <v>287</v>
      </c>
      <c r="C19" s="348">
        <f>'FS Year'!K15</f>
        <v>79.203689999999995</v>
      </c>
      <c r="D19" s="348">
        <f>'FS Year'!L15</f>
        <v>77.126706300000066</v>
      </c>
      <c r="E19" s="348">
        <f>'FS Year'!M15</f>
        <v>70.167823700000014</v>
      </c>
      <c r="F19" s="348">
        <f>'FS Year'!N15</f>
        <v>62.191072799999986</v>
      </c>
      <c r="G19" s="348">
        <f>'FS Year'!O15</f>
        <v>165.18516210000001</v>
      </c>
      <c r="H19" s="267">
        <f>H12+H18</f>
        <v>0.39</v>
      </c>
      <c r="I19" s="267">
        <f>I12+I18</f>
        <v>0.64308529602100017</v>
      </c>
      <c r="J19" s="267">
        <f>J12+J18</f>
        <v>1.186278037733</v>
      </c>
      <c r="K19" s="267">
        <f>K12+K18</f>
        <v>1.8350417522669999</v>
      </c>
      <c r="L19" s="267">
        <f>L12+L18</f>
        <v>2.0990118971909997</v>
      </c>
      <c r="M19" s="267"/>
      <c r="N19" s="267">
        <f ca="1">SUM(N12:N16)</f>
        <v>0</v>
      </c>
      <c r="O19" s="267">
        <f ca="1">SUM(O12:O16)</f>
        <v>0</v>
      </c>
      <c r="P19" s="267">
        <f ca="1">SUM(P12:P16)</f>
        <v>0</v>
      </c>
    </row>
    <row r="20" spans="2:16" ht="12" customHeight="1">
      <c r="B20" s="18" t="s">
        <v>1294</v>
      </c>
      <c r="C20" s="924">
        <f t="shared" ref="C20:L20" si="2">C19/C10</f>
        <v>0.21163025552319534</v>
      </c>
      <c r="D20" s="924">
        <f t="shared" si="2"/>
        <v>0.26931007522064693</v>
      </c>
      <c r="E20" s="924">
        <f t="shared" si="2"/>
        <v>0.17389666619513694</v>
      </c>
      <c r="F20" s="924">
        <f t="shared" si="2"/>
        <v>0.181531468412272</v>
      </c>
      <c r="G20" s="924">
        <f t="shared" si="2"/>
        <v>0.32633637744247468</v>
      </c>
      <c r="H20" s="826">
        <f t="shared" si="2"/>
        <v>0.27956989247311831</v>
      </c>
      <c r="I20" s="826">
        <f t="shared" si="2"/>
        <v>0.25656531856429482</v>
      </c>
      <c r="J20" s="826">
        <f t="shared" si="2"/>
        <v>0.41201062261571497</v>
      </c>
      <c r="K20" s="826">
        <f t="shared" si="2"/>
        <v>0.3950303359317478</v>
      </c>
      <c r="L20" s="826">
        <f t="shared" si="2"/>
        <v>0.36105338123042419</v>
      </c>
      <c r="M20" s="826"/>
      <c r="N20" s="267"/>
      <c r="O20" s="267"/>
      <c r="P20" s="267"/>
    </row>
    <row r="21" spans="2:16" ht="12" customHeight="1">
      <c r="B21" s="18" t="s">
        <v>1129</v>
      </c>
      <c r="C21" s="792">
        <f>SUM('Rev_NPAT (new)'!F138:F142)/1000</f>
        <v>6.8710000000000004</v>
      </c>
      <c r="D21" s="792">
        <f>SUM('Rev_NPAT (new)'!G138:G142)/1000</f>
        <v>17.463999999999999</v>
      </c>
      <c r="E21" s="792">
        <f>SUM('Rev_NPAT (new)'!H138:H142)/1000</f>
        <v>3.2589999999999999</v>
      </c>
      <c r="F21" s="792">
        <f>SUM('Rev_NPAT (new)'!I138:I142)/1000</f>
        <v>54.953000000000003</v>
      </c>
      <c r="G21" s="792">
        <v>83.9</v>
      </c>
      <c r="H21" s="567">
        <f>-(IS!I20+IS!I22)/1000</f>
        <v>9.2999999999999999E-2</v>
      </c>
      <c r="I21" s="567">
        <f>-IS!J20/1000</f>
        <v>0.10465974561199999</v>
      </c>
      <c r="J21" s="567">
        <f>-IS!K20/1000</f>
        <v>6.6074831665999992E-2</v>
      </c>
      <c r="K21" s="567">
        <f>-IS!L20/1000</f>
        <v>0.206731318326</v>
      </c>
      <c r="L21" s="567">
        <f>-IS!M20/1000</f>
        <v>0.27047204475600001</v>
      </c>
      <c r="M21" s="1070"/>
      <c r="N21" s="267"/>
      <c r="O21" s="267"/>
      <c r="P21" s="267"/>
    </row>
    <row r="22" spans="2:16" ht="12" customHeight="1">
      <c r="B22" s="18" t="s">
        <v>1395</v>
      </c>
      <c r="C22" s="792"/>
      <c r="D22" s="792"/>
      <c r="E22" s="792"/>
      <c r="F22" s="792">
        <v>40</v>
      </c>
      <c r="G22" s="792">
        <v>67.400000000000006</v>
      </c>
      <c r="H22" s="567">
        <f>-IS!I22/1000</f>
        <v>5.6000000000000001E-2</v>
      </c>
      <c r="I22" s="567">
        <f>-IS!J22/1000</f>
        <v>3.4153020753000002E-2</v>
      </c>
      <c r="J22" s="567">
        <f>-IS!K22/1000</f>
        <v>1.7620707588999997E-2</v>
      </c>
      <c r="K22" s="567">
        <f>-IS!L22/1000</f>
        <v>-5.5010388800000006E-3</v>
      </c>
      <c r="L22" s="567">
        <f>-IS!M22/1000</f>
        <v>7.8724345252000005E-2</v>
      </c>
      <c r="M22" s="1070"/>
      <c r="N22" s="267"/>
      <c r="O22" s="267"/>
      <c r="P22" s="267"/>
    </row>
    <row r="23" spans="2:16" ht="12" customHeight="1">
      <c r="B23" s="18" t="s">
        <v>1330</v>
      </c>
      <c r="C23" s="348"/>
      <c r="D23" s="348"/>
      <c r="E23" s="348"/>
      <c r="F23" s="924"/>
      <c r="G23" s="792">
        <v>-7.9289999999999999E-2</v>
      </c>
      <c r="H23" s="567">
        <f>-IS!I18/1000</f>
        <v>-8.9999999999999993E-3</v>
      </c>
      <c r="I23" s="567">
        <f>-IS!J18/1000</f>
        <v>-3.2702590721999998E-2</v>
      </c>
      <c r="J23" s="567">
        <f>-IS!K18/1000</f>
        <v>-6.2664889037000002E-2</v>
      </c>
      <c r="K23" s="567">
        <f>-IS!L18/1000</f>
        <v>-0.19075452392</v>
      </c>
      <c r="L23" s="567">
        <f>-IS!M18/1000</f>
        <v>-0.20903102946499999</v>
      </c>
      <c r="M23" s="567"/>
      <c r="N23" s="267"/>
      <c r="O23" s="267"/>
      <c r="P23" s="267"/>
    </row>
    <row r="24" spans="2:16" ht="12" customHeight="1">
      <c r="B24" s="18" t="s">
        <v>1331</v>
      </c>
      <c r="C24" s="348"/>
      <c r="D24" s="348"/>
      <c r="E24" s="348"/>
      <c r="F24" s="924"/>
      <c r="G24" s="792">
        <v>15.64</v>
      </c>
      <c r="H24" s="567">
        <f>-IS!I21/1000</f>
        <v>6.7000000000000004E-2</v>
      </c>
      <c r="I24" s="567">
        <f>-IS!J21/1000</f>
        <v>7.2042670039000001E-2</v>
      </c>
      <c r="J24" s="567">
        <f>-IS!K21/1000</f>
        <v>0.12801140768499999</v>
      </c>
      <c r="K24" s="567">
        <f>-IS!L21/1000</f>
        <v>0.256266984265</v>
      </c>
      <c r="L24" s="567">
        <f>-IS!M21/1000</f>
        <v>0.14933650224100001</v>
      </c>
      <c r="M24" s="567"/>
      <c r="N24" s="267"/>
      <c r="O24" s="267"/>
      <c r="P24" s="267"/>
    </row>
    <row r="25" spans="2:16" ht="12" customHeight="1">
      <c r="B25" s="18" t="s">
        <v>1332</v>
      </c>
      <c r="C25" s="348"/>
      <c r="D25" s="348"/>
      <c r="E25" s="348"/>
      <c r="F25" s="924"/>
      <c r="G25" s="792">
        <v>1.7150000000000001</v>
      </c>
      <c r="H25" s="567">
        <v>0</v>
      </c>
      <c r="I25" s="567">
        <v>0</v>
      </c>
      <c r="J25" s="567">
        <v>0</v>
      </c>
      <c r="K25" s="567">
        <v>0</v>
      </c>
      <c r="L25" s="567">
        <v>0</v>
      </c>
      <c r="M25" s="567"/>
      <c r="N25" s="267"/>
      <c r="O25" s="267"/>
      <c r="P25" s="267"/>
    </row>
    <row r="26" spans="2:16" ht="12" customHeight="1">
      <c r="B26" s="18" t="s">
        <v>34</v>
      </c>
      <c r="C26" s="348"/>
      <c r="D26" s="348"/>
      <c r="E26" s="348"/>
      <c r="F26" s="792">
        <v>120.5</v>
      </c>
      <c r="G26" s="792">
        <f t="shared" ref="G26:L26" si="3">SUM(G19,G21:G25)-G22</f>
        <v>266.36087209999994</v>
      </c>
      <c r="H26" s="567">
        <f t="shared" si="3"/>
        <v>0.54099999999999993</v>
      </c>
      <c r="I26" s="567">
        <f t="shared" si="3"/>
        <v>0.78708512095000016</v>
      </c>
      <c r="J26" s="567">
        <f t="shared" si="3"/>
        <v>1.317699388047</v>
      </c>
      <c r="K26" s="567">
        <f t="shared" si="3"/>
        <v>2.1072855309379999</v>
      </c>
      <c r="L26" s="567">
        <f t="shared" si="3"/>
        <v>2.3097894147229994</v>
      </c>
      <c r="M26" s="567"/>
      <c r="N26" s="267"/>
      <c r="O26" s="267"/>
      <c r="P26" s="267"/>
    </row>
    <row r="27" spans="2:16" ht="12" customHeight="1">
      <c r="B27" s="18" t="s">
        <v>35</v>
      </c>
      <c r="C27" s="348">
        <f>'FS Year'!K21</f>
        <v>-32.336920200000002</v>
      </c>
      <c r="D27" s="348">
        <f>'FS Year'!L21</f>
        <v>-22.333479000000001</v>
      </c>
      <c r="E27" s="348">
        <f>'FS Year'!M21</f>
        <v>-20.018951600000001</v>
      </c>
      <c r="F27" s="348">
        <f>'FS Year'!N21</f>
        <v>-30.756143899999998</v>
      </c>
      <c r="G27" s="348">
        <f>'FS Year'!O21</f>
        <v>-53.321005200000002</v>
      </c>
      <c r="H27" s="267">
        <f>-IS!I25/1000</f>
        <v>-9.5000000000000001E-2</v>
      </c>
      <c r="I27" s="267">
        <f>-IS!J25/1000</f>
        <v>-0.156814830535</v>
      </c>
      <c r="J27" s="267">
        <f>-IS!K25/1000</f>
        <v>-0.24989984328099998</v>
      </c>
      <c r="K27" s="267">
        <f>-IS!L25/1000</f>
        <v>-0.37898974951100001</v>
      </c>
      <c r="L27" s="267">
        <f>-IS!M25/1000</f>
        <v>-0.50229510265300004</v>
      </c>
      <c r="M27" s="267"/>
      <c r="N27" s="267">
        <f>N26*-Assumption!N18</f>
        <v>0</v>
      </c>
      <c r="O27" s="267">
        <f>O26*-Assumption!O18</f>
        <v>0</v>
      </c>
      <c r="P27" s="267">
        <f>P26*-Assumption!P18</f>
        <v>0</v>
      </c>
    </row>
    <row r="28" spans="2:16" ht="12" customHeight="1">
      <c r="B28" s="18" t="s">
        <v>220</v>
      </c>
      <c r="C28" s="348">
        <f>'FS Year'!K22</f>
        <v>77.85478329999998</v>
      </c>
      <c r="D28" s="348">
        <f>'FS Year'!L22</f>
        <v>33.060207000000062</v>
      </c>
      <c r="E28" s="348">
        <f>'FS Year'!M22</f>
        <v>59.094848200000008</v>
      </c>
      <c r="F28" s="348">
        <f>'FS Year'!N22</f>
        <v>89.729899900000007</v>
      </c>
      <c r="G28" s="348">
        <f>'FS Year'!O22</f>
        <v>213.04802050000001</v>
      </c>
      <c r="H28" s="267">
        <f>SUM(H27,H26)</f>
        <v>0.44599999999999995</v>
      </c>
      <c r="I28" s="267">
        <f>SUM(I27,I26)</f>
        <v>0.63027029041500016</v>
      </c>
      <c r="J28" s="267">
        <f>SUM(J27,J26)</f>
        <v>1.067799544766</v>
      </c>
      <c r="K28" s="267">
        <f>SUM(K27,K26)</f>
        <v>1.7282957814269999</v>
      </c>
      <c r="L28" s="267">
        <f>SUM(L27,L26)</f>
        <v>1.8074943120699993</v>
      </c>
      <c r="M28" s="267"/>
      <c r="N28" s="267">
        <f>SUM(N27:N27)</f>
        <v>0</v>
      </c>
      <c r="O28" s="267">
        <f>SUM(O27:O27)</f>
        <v>0</v>
      </c>
      <c r="P28" s="267">
        <f>SUM(P27:P27)</f>
        <v>0</v>
      </c>
    </row>
    <row r="29" spans="2:16" ht="12" customHeight="1">
      <c r="B29" s="18" t="s">
        <v>37</v>
      </c>
      <c r="C29" s="348">
        <f>'FS Year'!K23</f>
        <v>-5.7754965</v>
      </c>
      <c r="D29" s="348">
        <f>'FS Year'!L23</f>
        <v>-8.4687108000000002</v>
      </c>
      <c r="E29" s="348">
        <f>'FS Year'!M23</f>
        <v>-1.2348969999999999</v>
      </c>
      <c r="F29" s="348">
        <f>'FS Year'!N23</f>
        <v>-6.9659063999999997</v>
      </c>
      <c r="G29" s="348">
        <f>'FS Year'!O23</f>
        <v>-45.213530899999995</v>
      </c>
      <c r="H29" s="267">
        <f>-IS!I28/1000</f>
        <v>-0.109</v>
      </c>
      <c r="I29" s="267">
        <f>-IS!J28/1000</f>
        <v>-0.127219780118</v>
      </c>
      <c r="J29" s="267">
        <f>-IS!K28/1000</f>
        <v>-0.33452950684600002</v>
      </c>
      <c r="K29" s="267">
        <f>-IS!L28/1000</f>
        <v>-0.544367757284</v>
      </c>
      <c r="L29" s="267">
        <f>-IS!M28/1000</f>
        <v>-0.66970390139999991</v>
      </c>
      <c r="M29" s="267"/>
      <c r="N29" s="267">
        <f>N28*-Assumption!N19</f>
        <v>0</v>
      </c>
      <c r="O29" s="267">
        <f>O28*-Assumption!O19</f>
        <v>0</v>
      </c>
      <c r="P29" s="267">
        <f>P28*-Assumption!P19</f>
        <v>0</v>
      </c>
    </row>
    <row r="30" spans="2:16" ht="12" customHeight="1">
      <c r="B30" s="18" t="s">
        <v>1396</v>
      </c>
      <c r="C30" s="348">
        <f>'FS Year'!K24</f>
        <v>72.079286799999977</v>
      </c>
      <c r="D30" s="348">
        <f>'FS Year'!L24</f>
        <v>24.591496200000062</v>
      </c>
      <c r="E30" s="348">
        <f>'FS Year'!M24</f>
        <v>57.859951200000012</v>
      </c>
      <c r="F30" s="348">
        <f>'FS Year'!N24</f>
        <v>82.763993500000012</v>
      </c>
      <c r="G30" s="348">
        <f>'FS Year'!O24</f>
        <v>167.83448960000001</v>
      </c>
      <c r="H30" s="267">
        <f t="shared" ref="H30:P30" si="4">SUM(H28:H29)</f>
        <v>0.33699999999999997</v>
      </c>
      <c r="I30" s="267">
        <f>SUM(I28:I29)</f>
        <v>0.50305051029700021</v>
      </c>
      <c r="J30" s="267">
        <f>SUM(J28:J29)</f>
        <v>0.73327003792000001</v>
      </c>
      <c r="K30" s="267">
        <f>SUM(K28:K29)</f>
        <v>1.1839280241429999</v>
      </c>
      <c r="L30" s="267">
        <f>SUM(L28:L29)</f>
        <v>1.1377904106699994</v>
      </c>
      <c r="M30" s="267"/>
      <c r="N30" s="267">
        <f t="shared" si="4"/>
        <v>0</v>
      </c>
      <c r="O30" s="267">
        <f t="shared" si="4"/>
        <v>0</v>
      </c>
      <c r="P30" s="267">
        <f t="shared" si="4"/>
        <v>0</v>
      </c>
    </row>
    <row r="31" spans="2:16" ht="12" customHeight="1">
      <c r="B31" s="18" t="s">
        <v>1011</v>
      </c>
      <c r="C31" s="348"/>
      <c r="D31" s="348"/>
      <c r="E31" s="348"/>
      <c r="F31" s="348"/>
      <c r="G31" s="348"/>
      <c r="H31" s="124"/>
      <c r="I31" s="826"/>
      <c r="J31" s="267"/>
      <c r="K31" s="267"/>
      <c r="L31" s="267"/>
      <c r="M31" s="267"/>
      <c r="N31" s="267"/>
      <c r="O31" s="267"/>
      <c r="P31" s="267"/>
    </row>
    <row r="32" spans="2:16" ht="12" customHeight="1">
      <c r="B32" s="18" t="s">
        <v>1397</v>
      </c>
      <c r="C32" s="348">
        <f>C30-C22</f>
        <v>72.079286799999977</v>
      </c>
      <c r="D32" s="348">
        <f>D30-D22</f>
        <v>24.591496200000062</v>
      </c>
      <c r="E32" s="348">
        <f>E30-E22</f>
        <v>57.859951200000012</v>
      </c>
      <c r="F32" s="348">
        <f>F30-(F22*(1+F35))</f>
        <v>52.973501848547734</v>
      </c>
      <c r="G32" s="348">
        <f>G30-(G22*(1+G35))</f>
        <v>113.9268457488069</v>
      </c>
      <c r="H32" s="267">
        <f>H30-H22</f>
        <v>0.28099999999999997</v>
      </c>
      <c r="I32" s="267">
        <f>I30-I22</f>
        <v>0.46889748954400023</v>
      </c>
      <c r="J32" s="267">
        <f>J30-J22</f>
        <v>0.71564933033099998</v>
      </c>
      <c r="K32" s="267">
        <f>K30-K22</f>
        <v>1.189429063023</v>
      </c>
      <c r="L32" s="267">
        <f>L30-L22</f>
        <v>1.0590660654179995</v>
      </c>
      <c r="M32" s="267"/>
      <c r="N32" s="267"/>
      <c r="O32" s="267"/>
      <c r="P32" s="267"/>
    </row>
    <row r="33" spans="2:16" ht="12" customHeight="1">
      <c r="B33" s="18" t="s">
        <v>4</v>
      </c>
      <c r="C33" s="348">
        <f>'FS Year'!K27</f>
        <v>113.2200034</v>
      </c>
      <c r="D33" s="348">
        <f>'FS Year'!L27</f>
        <v>96.864776000000063</v>
      </c>
      <c r="E33" s="348">
        <f>'FS Year'!M27</f>
        <v>88.68943560000001</v>
      </c>
      <c r="F33" s="348">
        <f>'FS Year'!N27</f>
        <v>123.02122679999999</v>
      </c>
      <c r="G33" s="348">
        <f>G19-G34</f>
        <v>167.48276560000002</v>
      </c>
      <c r="H33" s="267">
        <f t="shared" ref="H33:P33" si="5">H19-H34</f>
        <v>0.39530000000000004</v>
      </c>
      <c r="I33" s="267">
        <f t="shared" si="5"/>
        <v>0.64698529602100019</v>
      </c>
      <c r="J33" s="267">
        <f t="shared" si="5"/>
        <v>1.191123037733</v>
      </c>
      <c r="K33" s="267">
        <f t="shared" si="5"/>
        <v>1.8408317522669999</v>
      </c>
      <c r="L33" s="267">
        <f t="shared" si="5"/>
        <v>2.1057468971909996</v>
      </c>
      <c r="M33" s="267"/>
      <c r="N33" s="267" t="e">
        <f t="shared" ca="1" si="5"/>
        <v>#REF!</v>
      </c>
      <c r="O33" s="267" t="e">
        <f t="shared" ca="1" si="5"/>
        <v>#REF!</v>
      </c>
      <c r="P33" s="267" t="e">
        <f t="shared" ca="1" si="5"/>
        <v>#REF!</v>
      </c>
    </row>
    <row r="34" spans="2:16" ht="12" customHeight="1">
      <c r="B34" s="18" t="s">
        <v>41</v>
      </c>
      <c r="C34" s="348">
        <f>'FS Year'!K28</f>
        <v>-1.995131</v>
      </c>
      <c r="D34" s="348">
        <f>'FS Year'!L28</f>
        <v>-2.9170358999999997</v>
      </c>
      <c r="E34" s="348">
        <f>'FS Year'!M28</f>
        <v>-2.9591801000000002</v>
      </c>
      <c r="F34" s="348">
        <f>'FS Year'!N28</f>
        <v>-2.1923539999999999</v>
      </c>
      <c r="G34" s="348">
        <f>'FS Year'!O28</f>
        <v>-2.2976035000000001</v>
      </c>
      <c r="H34" s="267">
        <f>(Depreciation!I12+Amortization!I11)/1000</f>
        <v>-5.3E-3</v>
      </c>
      <c r="I34" s="267">
        <f>(Depreciation!J12+Amortization!J11)/1000</f>
        <v>-3.8999999999999998E-3</v>
      </c>
      <c r="J34" s="267">
        <f>(Depreciation!K12+Amortization!K11)/1000</f>
        <v>-4.8449999999999995E-3</v>
      </c>
      <c r="K34" s="267">
        <f>(Depreciation!L12+Amortization!L11)/1000</f>
        <v>-5.79E-3</v>
      </c>
      <c r="L34" s="267">
        <f>(Depreciation!M12+Amortization!M11)/1000</f>
        <v>-6.7350000000000005E-3</v>
      </c>
      <c r="M34" s="267"/>
      <c r="N34" s="267" t="e">
        <f ca="1">N10*-Assumption!N14</f>
        <v>#REF!</v>
      </c>
      <c r="O34" s="267" t="e">
        <f ca="1">O10*-Assumption!O14</f>
        <v>#REF!</v>
      </c>
      <c r="P34" s="267" t="e">
        <f ca="1">P10*-Assumption!P14</f>
        <v>#REF!</v>
      </c>
    </row>
    <row r="35" spans="2:16" ht="12" customHeight="1">
      <c r="B35" s="23" t="s">
        <v>1446</v>
      </c>
      <c r="C35" s="23"/>
      <c r="D35" s="23"/>
      <c r="E35" s="42"/>
      <c r="F35" s="1071">
        <f>F27/F26</f>
        <v>-0.25523770871369295</v>
      </c>
      <c r="G35" s="1071">
        <f t="shared" ref="G35:L35" si="6">G27/G26</f>
        <v>-0.20018332564995389</v>
      </c>
      <c r="H35" s="1071">
        <f t="shared" si="6"/>
        <v>-0.17560073937153423</v>
      </c>
      <c r="I35" s="1071">
        <f t="shared" si="6"/>
        <v>-0.1992349065698597</v>
      </c>
      <c r="J35" s="1071">
        <f t="shared" si="6"/>
        <v>-0.18964859932991521</v>
      </c>
      <c r="K35" s="1071">
        <f t="shared" si="6"/>
        <v>-0.17984736474809998</v>
      </c>
      <c r="L35" s="1071">
        <f t="shared" si="6"/>
        <v>-0.2174635918977218</v>
      </c>
      <c r="M35" s="1071"/>
      <c r="N35" s="23"/>
      <c r="O35" s="23"/>
      <c r="P35" s="23"/>
    </row>
    <row r="37" spans="2:16" ht="12" customHeight="1">
      <c r="J37" s="5">
        <v>350</v>
      </c>
    </row>
    <row r="38" spans="2:16" ht="12" customHeight="1">
      <c r="J38" s="5">
        <f>(J37/H30)^(1/3)-1</f>
        <v>9.1269666824367661</v>
      </c>
    </row>
    <row r="41" spans="2:16" ht="12" customHeight="1">
      <c r="D41" s="63"/>
      <c r="E41" s="63"/>
      <c r="F41" s="63"/>
      <c r="G41" s="63"/>
      <c r="H41" s="1053">
        <v>1544.1419864869599</v>
      </c>
      <c r="I41" s="1053">
        <v>1842.6220668475041</v>
      </c>
      <c r="J41" s="63">
        <v>2700</v>
      </c>
      <c r="K41" s="63">
        <v>3400</v>
      </c>
      <c r="L41" s="63"/>
      <c r="M41" s="63"/>
      <c r="N41" s="63"/>
      <c r="O41" s="63"/>
      <c r="P41" s="63"/>
    </row>
    <row r="42" spans="2:16" ht="12" customHeight="1">
      <c r="D42" s="63"/>
      <c r="E42" s="63"/>
      <c r="F42" s="63"/>
      <c r="G42" s="63"/>
      <c r="H42" s="63"/>
      <c r="I42" s="63"/>
      <c r="J42" s="63"/>
      <c r="K42" s="1054">
        <f>(K41/H41)^(1/4)-1</f>
        <v>0.21814201092040109</v>
      </c>
      <c r="L42" s="63"/>
      <c r="M42" s="63"/>
      <c r="N42" s="63"/>
      <c r="O42" s="63"/>
      <c r="P42" s="63"/>
    </row>
  </sheetData>
  <sheetProtection selectLockedCells="1"/>
  <mergeCells count="1">
    <mergeCell ref="C8:F8"/>
  </mergeCells>
  <conditionalFormatting sqref="B7">
    <cfRule type="cellIs" dxfId="4" priority="1" operator="equal">
      <formula>0</formula>
    </cfRule>
  </conditionalFormatting>
  <dataValidations disablePrompts="1" count="1">
    <dataValidation allowBlank="1" showInputMessage="1" showErrorMessage="1" sqref="B7" xr:uid="{00000000-0002-0000-1B00-000000000000}"/>
  </dataValidations>
  <pageMargins left="0.7" right="0.7" top="0.75" bottom="0.75" header="0.3" footer="0.3"/>
  <pageSetup paperSize="9" scale="78" orientation="landscape"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L152"/>
  <sheetViews>
    <sheetView showGridLines="0" topLeftCell="A4" zoomScale="130" zoomScaleNormal="130" workbookViewId="0">
      <selection activeCell="C25" sqref="C25"/>
    </sheetView>
  </sheetViews>
  <sheetFormatPr defaultColWidth="9.140625" defaultRowHeight="11.25"/>
  <cols>
    <col min="1" max="1" width="1.5703125" style="1195" customWidth="1"/>
    <col min="2" max="2" width="38.140625" style="1195" customWidth="1"/>
    <col min="3" max="6" width="9.5703125" style="1195" customWidth="1"/>
    <col min="7" max="7" width="24" style="1195" customWidth="1"/>
    <col min="8" max="8" width="15.140625" style="1195" customWidth="1"/>
    <col min="9" max="10" width="7.85546875" style="1195" customWidth="1"/>
    <col min="11" max="11" width="10.7109375" style="1195" customWidth="1"/>
    <col min="12" max="12" width="12.140625" style="1195" bestFit="1" customWidth="1"/>
    <col min="13" max="13" width="9.140625" style="1195"/>
    <col min="14" max="14" width="25.140625" style="1195" customWidth="1"/>
    <col min="15" max="15" width="10.140625" style="1195" bestFit="1" customWidth="1"/>
    <col min="16" max="17" width="9.140625" style="1195" bestFit="1" customWidth="1"/>
    <col min="18" max="18" width="7.85546875" style="1195" bestFit="1" customWidth="1"/>
    <col min="19" max="19" width="22.7109375" style="1195" bestFit="1" customWidth="1"/>
    <col min="20" max="20" width="9.140625" style="1195" bestFit="1" customWidth="1"/>
    <col min="21" max="21" width="10.42578125" style="1195" bestFit="1" customWidth="1"/>
    <col min="22" max="22" width="7.5703125" style="1195" customWidth="1"/>
    <col min="23" max="23" width="5.5703125" style="1195" bestFit="1" customWidth="1"/>
    <col min="24" max="25" width="6.140625" style="1195" bestFit="1" customWidth="1"/>
    <col min="26" max="26" width="6.5703125" style="1195" bestFit="1" customWidth="1"/>
    <col min="27" max="27" width="5.5703125" style="1195" bestFit="1" customWidth="1"/>
    <col min="28" max="29" width="5.140625" style="1195" bestFit="1" customWidth="1"/>
    <col min="30" max="30" width="9.140625" style="1195" customWidth="1"/>
    <col min="31" max="31" width="8.85546875" style="1195" bestFit="1" customWidth="1"/>
    <col min="32" max="32" width="9" style="1195" customWidth="1"/>
    <col min="33" max="16384" width="9.140625" style="1195"/>
  </cols>
  <sheetData>
    <row r="2" spans="2:12">
      <c r="B2" s="1197" t="s">
        <v>1759</v>
      </c>
    </row>
    <row r="3" spans="2:12">
      <c r="B3" s="1141" t="s">
        <v>1184</v>
      </c>
      <c r="C3" s="1142" t="s">
        <v>626</v>
      </c>
      <c r="D3" s="1142" t="s">
        <v>1188</v>
      </c>
      <c r="E3" s="1143" t="s">
        <v>1185</v>
      </c>
      <c r="F3" s="1143" t="s">
        <v>1186</v>
      </c>
    </row>
    <row r="4" spans="2:12">
      <c r="B4" s="1144" t="s">
        <v>1749</v>
      </c>
      <c r="C4" s="1145">
        <f>'FS Year'!N10</f>
        <v>342.59114049999999</v>
      </c>
      <c r="D4" s="1145">
        <f>C22</f>
        <v>506.1806575</v>
      </c>
      <c r="E4" s="1614">
        <f>IS!I7/1000</f>
        <v>1.395</v>
      </c>
      <c r="F4" s="1614">
        <f>IS!J7/1000</f>
        <v>2.5065168574600003</v>
      </c>
    </row>
    <row r="5" spans="2:12">
      <c r="B5" s="1144" t="s">
        <v>1750</v>
      </c>
      <c r="C5" s="1613">
        <f>(IS!G7/IS!F7-1)*100</f>
        <v>-15.099009900990101</v>
      </c>
      <c r="D5" s="1613">
        <f>(IS!H7/IS!G7-1)*100</f>
        <v>47.521865889212833</v>
      </c>
      <c r="E5" s="1615">
        <f>(IS!I7/IS!H7-1)*100</f>
        <v>175.69169960474306</v>
      </c>
      <c r="F5" s="1615">
        <f>(IS!J7/IS!I7-1)*100</f>
        <v>79.67862777491041</v>
      </c>
    </row>
    <row r="6" spans="2:12">
      <c r="B6" s="1144" t="s">
        <v>1751</v>
      </c>
      <c r="C6" s="1616">
        <f>IS!G29/1000</f>
        <v>8.3000000000000004E-2</v>
      </c>
      <c r="D6" s="1616">
        <f>IS!H29/1000</f>
        <v>0.16900000000000001</v>
      </c>
      <c r="E6" s="1615">
        <f>IS!I29/1000</f>
        <v>0.33700000000000002</v>
      </c>
      <c r="F6" s="1615">
        <f>IS!J29/1000</f>
        <v>0.53720353105000029</v>
      </c>
    </row>
    <row r="7" spans="2:12">
      <c r="B7" s="1144" t="s">
        <v>1750</v>
      </c>
      <c r="C7" s="1617">
        <f>(IS!G29/IS!F29-1)*100</f>
        <v>45.614035087719309</v>
      </c>
      <c r="D7" s="1617">
        <f>(IS!H29/IS!G29-1)*100</f>
        <v>103.6144578313253</v>
      </c>
      <c r="E7" s="1615">
        <f>(IS!I29/IS!H29-1)*100</f>
        <v>99.408284023668642</v>
      </c>
      <c r="F7" s="1615">
        <f>(IS!J29/IS!I29-1)*100</f>
        <v>59.407575979228568</v>
      </c>
    </row>
    <row r="8" spans="2:12">
      <c r="B8" s="1144" t="s">
        <v>1752</v>
      </c>
      <c r="C8" s="1613" t="e">
        <f>(Equity!G39/Equity!F39-1)*100</f>
        <v>#DIV/0!</v>
      </c>
      <c r="D8" s="1613" t="e">
        <f>(Equity!H39/Equity!G39-1)*100</f>
        <v>#DIV/0!</v>
      </c>
      <c r="E8" s="1615" t="e">
        <f ca="1">(Equity!I39/Equity!H39-1)*100</f>
        <v>#NUM!</v>
      </c>
      <c r="F8" s="1622" t="e">
        <f ca="1">(Equity!J39/Equity!I39-1)*100</f>
        <v>#NUM!</v>
      </c>
    </row>
    <row r="9" spans="2:12">
      <c r="B9" s="1144" t="s">
        <v>1756</v>
      </c>
      <c r="C9" s="1613" t="e">
        <f>(Equity!#REF!/Equity!#REF!-1)*100</f>
        <v>#REF!</v>
      </c>
      <c r="D9" s="1613" t="e">
        <f>(Equity!#REF!/Equity!#REF!-1)*100</f>
        <v>#REF!</v>
      </c>
      <c r="E9" s="1615" t="e">
        <f>(Equity!#REF!/Equity!#REF!-1)*100</f>
        <v>#REF!</v>
      </c>
      <c r="F9" s="1622" t="e">
        <f>(Equity!#REF!/Equity!#REF!-1)*100</f>
        <v>#REF!</v>
      </c>
      <c r="H9" s="1353"/>
    </row>
    <row r="10" spans="2:12">
      <c r="B10" s="1144" t="s">
        <v>1757</v>
      </c>
      <c r="C10" s="1618" t="e">
        <f>Valuation!#REF!/Equity!G39</f>
        <v>#REF!</v>
      </c>
      <c r="D10" s="1618" t="e">
        <f>Valuation!#REF!/Equity!H39</f>
        <v>#REF!</v>
      </c>
      <c r="E10" s="1615" t="e">
        <f ca="1">Valuation!#REF!/Equity!I39</f>
        <v>#REF!</v>
      </c>
      <c r="F10" s="1615" t="e">
        <f ca="1">Valuation!#REF!/Equity!J39</f>
        <v>#REF!</v>
      </c>
    </row>
    <row r="11" spans="2:12">
      <c r="B11" s="1144" t="s">
        <v>1758</v>
      </c>
      <c r="C11" s="1147" t="e">
        <f>Valuation!#REF!/Equity!#REF!</f>
        <v>#REF!</v>
      </c>
      <c r="D11" s="1147" t="e">
        <f>Valuation!#REF!/Equity!#REF!</f>
        <v>#REF!</v>
      </c>
      <c r="E11" s="1615" t="e">
        <f>Valuation!#REF!/Equity!#REF!</f>
        <v>#REF!</v>
      </c>
      <c r="F11" s="1615" t="e">
        <f>Valuation!#REF!/Equity!#REF!</f>
        <v>#REF!</v>
      </c>
      <c r="I11" s="1196"/>
      <c r="J11" s="1196"/>
      <c r="K11" s="1196"/>
      <c r="L11" s="1196"/>
    </row>
    <row r="12" spans="2:12">
      <c r="B12" s="1144" t="s">
        <v>1329</v>
      </c>
      <c r="C12" s="1148" t="e">
        <f>Valuation!#REF!/Equity!G42</f>
        <v>#REF!</v>
      </c>
      <c r="D12" s="1148" t="e">
        <f>Valuation!#REF!/Equity!H42</f>
        <v>#REF!</v>
      </c>
      <c r="E12" s="1615" t="e">
        <f>Valuation!#REF!/Equity!I42</f>
        <v>#REF!</v>
      </c>
      <c r="F12" s="1615" t="e">
        <f>Valuation!#REF!/Equity!J42</f>
        <v>#REF!</v>
      </c>
      <c r="G12" s="1357"/>
    </row>
    <row r="13" spans="2:12">
      <c r="B13" s="1144" t="s">
        <v>616</v>
      </c>
      <c r="C13" s="1619">
        <f>IS!G29/AVERAGE(Equity!F13:G13)*100</f>
        <v>13.344051446945338</v>
      </c>
      <c r="D13" s="1619">
        <f>IS!H29/AVERAGE(Equity!G13:H13)*100</f>
        <v>19.470046082949306</v>
      </c>
      <c r="E13" s="1615">
        <f>IS!I29/AVERAGE(Equity!H13:I13)*100</f>
        <v>23.707351389377418</v>
      </c>
      <c r="F13" s="1615">
        <f>IS!J29/AVERAGE(Equity!I13:J13)*100</f>
        <v>20.23992455865951</v>
      </c>
      <c r="H13" s="1367"/>
    </row>
    <row r="14" spans="2:12">
      <c r="B14" s="1144" t="s">
        <v>1753</v>
      </c>
      <c r="C14" s="1620" t="e">
        <f>Equity!G26/Equity!G32</f>
        <v>#DIV/0!</v>
      </c>
      <c r="D14" s="1620" t="e">
        <f>Equity!H26/Equity!#REF!</f>
        <v>#REF!</v>
      </c>
      <c r="E14" s="1621" t="e">
        <f>Equity!I26/Equity!#REF!</f>
        <v>#REF!</v>
      </c>
      <c r="F14" s="1621" t="e">
        <f>Equity!J26/Equity!#REF!</f>
        <v>#REF!</v>
      </c>
      <c r="H14" s="1367"/>
      <c r="I14" s="1196"/>
    </row>
    <row r="15" spans="2:12">
      <c r="B15" s="1144" t="s">
        <v>1754</v>
      </c>
      <c r="C15" s="1620" t="e">
        <f>C14/Valuation!#REF!*100</f>
        <v>#DIV/0!</v>
      </c>
      <c r="D15" s="1620" t="e">
        <f>D14/Valuation!#REF!*100</f>
        <v>#REF!</v>
      </c>
      <c r="E15" s="1621" t="e">
        <f>E14/Valuation!#REF!*100</f>
        <v>#REF!</v>
      </c>
      <c r="F15" s="1621" t="e">
        <f>F14/Valuation!#REF!*100</f>
        <v>#REF!</v>
      </c>
      <c r="H15" s="1367"/>
      <c r="I15" s="1196"/>
    </row>
    <row r="16" spans="2:12">
      <c r="B16" s="1144" t="s">
        <v>1755</v>
      </c>
      <c r="C16" s="1613">
        <f>(BS!G34+BS!G31-BS!G7)/BS!G44*100</f>
        <v>-0.45180722891566261</v>
      </c>
      <c r="D16" s="1613">
        <f>(BS!H34+BS!H31-BS!H7)/BS!H44*100</f>
        <v>-61.194029850746269</v>
      </c>
      <c r="E16" s="1622">
        <f>(BS!I34+BS!I31-BS!I7)/BS!I44*100</f>
        <v>-26.538678712591757</v>
      </c>
      <c r="F16" s="1615">
        <f>(BS!J34+BS!J31-BS!J7)/BS!J44*100</f>
        <v>-31.964012535046333</v>
      </c>
      <c r="H16" s="1353"/>
    </row>
    <row r="17" spans="2:10">
      <c r="H17" s="1353"/>
    </row>
    <row r="19" spans="2:10" ht="12" thickBot="1">
      <c r="B19" s="1197" t="s">
        <v>1183</v>
      </c>
      <c r="C19" s="1198"/>
      <c r="D19" s="1198"/>
      <c r="E19" s="1198"/>
      <c r="F19" s="1198"/>
      <c r="G19" s="1198"/>
      <c r="H19" s="1198"/>
      <c r="I19" s="1198"/>
      <c r="J19" s="1198"/>
    </row>
    <row r="20" spans="2:10">
      <c r="B20" s="1150" t="s">
        <v>25</v>
      </c>
      <c r="C20" s="1151" t="s">
        <v>1188</v>
      </c>
      <c r="D20" s="1152" t="s">
        <v>1185</v>
      </c>
      <c r="E20" s="1153" t="s">
        <v>1186</v>
      </c>
      <c r="F20" s="1154"/>
      <c r="G20" s="1150" t="s">
        <v>43</v>
      </c>
      <c r="H20" s="1151" t="s">
        <v>1188</v>
      </c>
      <c r="I20" s="1152" t="s">
        <v>1185</v>
      </c>
      <c r="J20" s="1153" t="s">
        <v>1186</v>
      </c>
    </row>
    <row r="21" spans="2:10">
      <c r="B21" s="1155" t="s">
        <v>575</v>
      </c>
      <c r="C21" s="1199"/>
      <c r="D21" s="1200"/>
      <c r="E21" s="1201"/>
      <c r="F21" s="1156"/>
      <c r="G21" s="1155" t="s">
        <v>575</v>
      </c>
      <c r="H21" s="1198"/>
      <c r="I21" s="1200"/>
      <c r="J21" s="1201"/>
    </row>
    <row r="22" spans="2:10">
      <c r="B22" s="1155" t="s">
        <v>26</v>
      </c>
      <c r="C22" s="1157">
        <f>'P&amp;L'!G10</f>
        <v>506.1806575</v>
      </c>
      <c r="D22" s="1158">
        <f>'P&amp;L'!H10</f>
        <v>1.395</v>
      </c>
      <c r="E22" s="1159">
        <f>'P&amp;L'!I10</f>
        <v>2.5065168574600003</v>
      </c>
      <c r="F22" s="1160"/>
      <c r="G22" s="1155" t="s">
        <v>1333</v>
      </c>
      <c r="H22" s="1161" t="e">
        <f>#REF!</f>
        <v>#REF!</v>
      </c>
      <c r="I22" s="1170" t="e">
        <f>#REF!</f>
        <v>#REF!</v>
      </c>
      <c r="J22" s="1171" t="e">
        <f>#REF!</f>
        <v>#REF!</v>
      </c>
    </row>
    <row r="23" spans="2:10">
      <c r="B23" s="1155" t="s">
        <v>1334</v>
      </c>
      <c r="C23" s="1157">
        <f>'P&amp;L'!G11</f>
        <v>-204.36544889999999</v>
      </c>
      <c r="D23" s="1158">
        <f>'P&amp;L'!H11</f>
        <v>-0.73499999999999999</v>
      </c>
      <c r="E23" s="1159">
        <f>'P&amp;L'!I11</f>
        <v>-1.4548795920350002</v>
      </c>
      <c r="F23" s="1160"/>
      <c r="G23" s="1155" t="s">
        <v>1335</v>
      </c>
      <c r="H23" s="1161" t="e">
        <f>#REF!</f>
        <v>#REF!</v>
      </c>
      <c r="I23" s="1170" t="e">
        <f>#REF!</f>
        <v>#REF!</v>
      </c>
      <c r="J23" s="1171" t="e">
        <f>#REF!</f>
        <v>#REF!</v>
      </c>
    </row>
    <row r="24" spans="2:10">
      <c r="B24" s="1155" t="s">
        <v>1336</v>
      </c>
      <c r="C24" s="1157">
        <f>SUM(C22:C23)</f>
        <v>301.81520860000001</v>
      </c>
      <c r="D24" s="1158">
        <f>SUM(D22:D23)</f>
        <v>0.66</v>
      </c>
      <c r="E24" s="1159">
        <f>SUM(E22:E23)</f>
        <v>1.0516372654250001</v>
      </c>
      <c r="F24" s="1160"/>
      <c r="G24" s="1155" t="s">
        <v>1337</v>
      </c>
      <c r="H24" s="1358" t="e">
        <f>#REF!</f>
        <v>#REF!</v>
      </c>
      <c r="I24" s="1359" t="e">
        <f>#REF!</f>
        <v>#REF!</v>
      </c>
      <c r="J24" s="1360" t="e">
        <f>#REF!</f>
        <v>#REF!</v>
      </c>
    </row>
    <row r="25" spans="2:10">
      <c r="B25" s="1155" t="s">
        <v>1338</v>
      </c>
      <c r="C25" s="1157">
        <f>'P&amp;L'!G14</f>
        <v>-54.302469700000003</v>
      </c>
      <c r="D25" s="1158">
        <f>'P&amp;L'!H14</f>
        <v>-0.16200000000000001</v>
      </c>
      <c r="E25" s="1159">
        <f>'P&amp;L'!I14</f>
        <v>-0.25330222103047995</v>
      </c>
      <c r="F25" s="1160"/>
      <c r="G25" s="1155" t="s">
        <v>1339</v>
      </c>
      <c r="H25" s="1358" t="e">
        <f>#REF!</f>
        <v>#REF!</v>
      </c>
      <c r="I25" s="1359" t="e">
        <f>#REF!</f>
        <v>#REF!</v>
      </c>
      <c r="J25" s="1360" t="e">
        <f>#REF!</f>
        <v>#REF!</v>
      </c>
    </row>
    <row r="26" spans="2:10">
      <c r="B26" s="1155" t="s">
        <v>1340</v>
      </c>
      <c r="C26" s="1157">
        <f>'P&amp;L'!G16</f>
        <v>-82.327576799999989</v>
      </c>
      <c r="D26" s="1158">
        <f>'P&amp;L'!H16</f>
        <v>-0.10800000000000001</v>
      </c>
      <c r="E26" s="1159">
        <f>'P&amp;L'!I16</f>
        <v>-0.15524974837351999</v>
      </c>
      <c r="F26" s="1160"/>
      <c r="G26" s="1155" t="s">
        <v>1341</v>
      </c>
      <c r="H26" s="1358" t="e">
        <f>#REF!</f>
        <v>#REF!</v>
      </c>
      <c r="I26" s="1359" t="e">
        <f>#REF!</f>
        <v>#REF!</v>
      </c>
      <c r="J26" s="1360" t="e">
        <f>#REF!</f>
        <v>#REF!</v>
      </c>
    </row>
    <row r="27" spans="2:10">
      <c r="B27" s="1155" t="s">
        <v>1342</v>
      </c>
      <c r="C27" s="1157">
        <f>SUM(C24:C26)</f>
        <v>165.18516210000001</v>
      </c>
      <c r="D27" s="1158">
        <f>SUM(D24:D26)</f>
        <v>0.39</v>
      </c>
      <c r="E27" s="1159">
        <f>SUM(E24:E26)</f>
        <v>0.64308529602100017</v>
      </c>
      <c r="F27" s="1160"/>
      <c r="G27" s="1162" t="s">
        <v>1343</v>
      </c>
      <c r="H27" s="1361" t="e">
        <f>#REF!</f>
        <v>#REF!</v>
      </c>
      <c r="I27" s="1362" t="e">
        <f>#REF!</f>
        <v>#REF!</v>
      </c>
      <c r="J27" s="1363" t="e">
        <f>#REF!</f>
        <v>#REF!</v>
      </c>
    </row>
    <row r="28" spans="2:10">
      <c r="B28" s="1155" t="s">
        <v>1344</v>
      </c>
      <c r="C28" s="1389">
        <f>'P&amp;L'!G21</f>
        <v>83.9</v>
      </c>
      <c r="D28" s="1158">
        <f>'P&amp;L'!H21</f>
        <v>9.2999999999999999E-2</v>
      </c>
      <c r="E28" s="1159">
        <f>'P&amp;L'!I21</f>
        <v>0.10465974561199999</v>
      </c>
      <c r="F28" s="1160"/>
      <c r="G28" s="1155" t="s">
        <v>1346</v>
      </c>
      <c r="H28" s="1161" t="e">
        <f>#REF!</f>
        <v>#REF!</v>
      </c>
      <c r="I28" s="1170" t="e">
        <f>#REF!</f>
        <v>#REF!</v>
      </c>
      <c r="J28" s="1171" t="e">
        <f>#REF!</f>
        <v>#REF!</v>
      </c>
    </row>
    <row r="29" spans="2:10">
      <c r="B29" s="1155" t="s">
        <v>1345</v>
      </c>
      <c r="C29" s="1389">
        <f>'P&amp;L'!G23</f>
        <v>-7.9289999999999999E-2</v>
      </c>
      <c r="D29" s="1158">
        <f>'P&amp;L'!H23</f>
        <v>-8.9999999999999993E-3</v>
      </c>
      <c r="E29" s="1159">
        <f>'P&amp;L'!I23</f>
        <v>-3.2702590721999998E-2</v>
      </c>
      <c r="F29" s="1160"/>
      <c r="G29" s="1155" t="s">
        <v>1348</v>
      </c>
      <c r="H29" s="1161" t="e">
        <f>#REF!</f>
        <v>#REF!</v>
      </c>
      <c r="I29" s="1170" t="e">
        <f>#REF!</f>
        <v>#REF!</v>
      </c>
      <c r="J29" s="1171" t="e">
        <f>#REF!</f>
        <v>#REF!</v>
      </c>
    </row>
    <row r="30" spans="2:10">
      <c r="B30" s="1155" t="s">
        <v>1473</v>
      </c>
      <c r="C30" s="1389">
        <f>C77</f>
        <v>-7.9289999999999999E-2</v>
      </c>
      <c r="D30" s="1158">
        <f>D77</f>
        <v>-8.9999999999999993E-3</v>
      </c>
      <c r="E30" s="1159">
        <f>E77</f>
        <v>-3.2702590721999998E-2</v>
      </c>
      <c r="F30" s="1160"/>
      <c r="G30" s="1155" t="s">
        <v>1350</v>
      </c>
      <c r="H30" s="1161" t="e">
        <f>#REF!</f>
        <v>#REF!</v>
      </c>
      <c r="I30" s="1170" t="e">
        <f>#REF!</f>
        <v>#REF!</v>
      </c>
      <c r="J30" s="1171" t="e">
        <f>#REF!</f>
        <v>#REF!</v>
      </c>
    </row>
    <row r="31" spans="2:10">
      <c r="B31" s="1155" t="s">
        <v>1347</v>
      </c>
      <c r="C31" s="1389">
        <f>'P&amp;L'!G24</f>
        <v>15.64</v>
      </c>
      <c r="D31" s="1158">
        <f>'P&amp;L'!H24</f>
        <v>6.7000000000000004E-2</v>
      </c>
      <c r="E31" s="1159">
        <f>'P&amp;L'!I24</f>
        <v>7.2042670039000001E-2</v>
      </c>
      <c r="F31" s="1156"/>
      <c r="G31" s="1155" t="s">
        <v>1352</v>
      </c>
      <c r="H31" s="1161" t="e">
        <f>#REF!</f>
        <v>#REF!</v>
      </c>
      <c r="I31" s="1170" t="e">
        <f>#REF!</f>
        <v>#REF!</v>
      </c>
      <c r="J31" s="1171" t="e">
        <f>#REF!</f>
        <v>#REF!</v>
      </c>
    </row>
    <row r="32" spans="2:10">
      <c r="B32" s="1155" t="s">
        <v>1349</v>
      </c>
      <c r="C32" s="1389">
        <f>'P&amp;L'!G25</f>
        <v>1.7150000000000001</v>
      </c>
      <c r="D32" s="1158">
        <f>'P&amp;L'!H25</f>
        <v>0</v>
      </c>
      <c r="E32" s="1159">
        <f>'P&amp;L'!I25</f>
        <v>0</v>
      </c>
      <c r="F32" s="1160"/>
      <c r="G32" s="1155" t="s">
        <v>1354</v>
      </c>
      <c r="H32" s="1161" t="e">
        <f>#REF!</f>
        <v>#REF!</v>
      </c>
      <c r="I32" s="1170" t="e">
        <f>#REF!</f>
        <v>#REF!</v>
      </c>
      <c r="J32" s="1171" t="e">
        <f>#REF!</f>
        <v>#REF!</v>
      </c>
    </row>
    <row r="33" spans="2:10">
      <c r="B33" s="1155" t="s">
        <v>1351</v>
      </c>
      <c r="C33" s="1157">
        <f>SUM(C27:C32)-C30</f>
        <v>266.36087210000005</v>
      </c>
      <c r="D33" s="1158">
        <f>SUM(D27:D32)-D30</f>
        <v>0.54100000000000004</v>
      </c>
      <c r="E33" s="1159">
        <f>SUM(E27:E32)-E30</f>
        <v>0.78708512095000016</v>
      </c>
      <c r="F33" s="1160"/>
      <c r="G33" s="1162" t="s">
        <v>1189</v>
      </c>
      <c r="H33" s="1163" t="e">
        <f>#REF!</f>
        <v>#REF!</v>
      </c>
      <c r="I33" s="1172" t="e">
        <f>#REF!</f>
        <v>#REF!</v>
      </c>
      <c r="J33" s="1173" t="e">
        <f>#REF!</f>
        <v>#REF!</v>
      </c>
    </row>
    <row r="34" spans="2:10">
      <c r="B34" s="1155" t="s">
        <v>1353</v>
      </c>
      <c r="C34" s="1157">
        <f>'P&amp;L'!G27</f>
        <v>-53.321005200000002</v>
      </c>
      <c r="D34" s="1158">
        <f>'P&amp;L'!H27</f>
        <v>-9.5000000000000001E-2</v>
      </c>
      <c r="E34" s="1159">
        <f>'P&amp;L'!I27</f>
        <v>-0.156814830535</v>
      </c>
      <c r="F34" s="1160"/>
      <c r="G34" s="1162" t="s">
        <v>58</v>
      </c>
      <c r="H34" s="1163" t="e">
        <f>H33+H27</f>
        <v>#REF!</v>
      </c>
      <c r="I34" s="1172" t="e">
        <f>I33+I27</f>
        <v>#REF!</v>
      </c>
      <c r="J34" s="1173" t="e">
        <f>J33+J27</f>
        <v>#REF!</v>
      </c>
    </row>
    <row r="35" spans="2:10">
      <c r="B35" s="1155" t="s">
        <v>1355</v>
      </c>
      <c r="C35" s="1157">
        <f>SUM(C33:C34)</f>
        <v>213.03986690000005</v>
      </c>
      <c r="D35" s="1158">
        <f>SUM(D33:D34)</f>
        <v>0.44600000000000006</v>
      </c>
      <c r="E35" s="1159">
        <f>SUM(E33:E34)</f>
        <v>0.63027029041500016</v>
      </c>
      <c r="F35" s="1160"/>
      <c r="G35" s="1155" t="s">
        <v>1357</v>
      </c>
      <c r="H35" s="1161" t="e">
        <f>#REF!</f>
        <v>#REF!</v>
      </c>
      <c r="I35" s="1170" t="e">
        <f>#REF!</f>
        <v>#REF!</v>
      </c>
      <c r="J35" s="1171" t="e">
        <f>#REF!</f>
        <v>#REF!</v>
      </c>
    </row>
    <row r="36" spans="2:10">
      <c r="B36" s="1155" t="s">
        <v>1356</v>
      </c>
      <c r="C36" s="1157">
        <f>'P&amp;L'!G29</f>
        <v>-45.213530899999995</v>
      </c>
      <c r="D36" s="1158">
        <f>'P&amp;L'!H29</f>
        <v>-0.109</v>
      </c>
      <c r="E36" s="1159">
        <f>'P&amp;L'!I29</f>
        <v>-0.127219780118</v>
      </c>
      <c r="F36" s="1160"/>
      <c r="G36" s="1202" t="s">
        <v>1474</v>
      </c>
      <c r="H36" s="1161">
        <f>'FS Year'!O49</f>
        <v>1</v>
      </c>
      <c r="I36" s="1170" t="e">
        <f>#REF!</f>
        <v>#REF!</v>
      </c>
      <c r="J36" s="1171" t="e">
        <f>#REF!</f>
        <v>#REF!</v>
      </c>
    </row>
    <row r="37" spans="2:10">
      <c r="B37" s="1162" t="s">
        <v>1471</v>
      </c>
      <c r="C37" s="1164">
        <f>SUM(C35:C36)</f>
        <v>167.82633600000005</v>
      </c>
      <c r="D37" s="1165">
        <f>SUM(D35:D36)</f>
        <v>0.33700000000000008</v>
      </c>
      <c r="E37" s="1166">
        <f>SUM(E35:E36)</f>
        <v>0.50305051029700021</v>
      </c>
      <c r="F37" s="1154"/>
      <c r="G37" s="1195" t="s">
        <v>1475</v>
      </c>
      <c r="H37" s="1196">
        <f>'FS Year'!O50</f>
        <v>909.34066830000006</v>
      </c>
      <c r="I37" s="1170" t="e">
        <f>#REF!</f>
        <v>#REF!</v>
      </c>
      <c r="J37" s="1171" t="e">
        <f>#REF!</f>
        <v>#REF!</v>
      </c>
    </row>
    <row r="38" spans="2:10">
      <c r="B38" s="1162" t="s">
        <v>1418</v>
      </c>
      <c r="C38" s="1164">
        <f>'P&amp;L'!G32</f>
        <v>113.9268457488069</v>
      </c>
      <c r="D38" s="1165">
        <f>'P&amp;L'!H32</f>
        <v>0.28099999999999997</v>
      </c>
      <c r="E38" s="1166">
        <f>'P&amp;L'!I32</f>
        <v>0.46889748954400023</v>
      </c>
      <c r="F38" s="1160"/>
      <c r="G38" s="1162" t="s">
        <v>302</v>
      </c>
      <c r="H38" s="1163" t="e">
        <f>#REF!</f>
        <v>#REF!</v>
      </c>
      <c r="I38" s="1172" t="e">
        <f>#REF!</f>
        <v>#REF!</v>
      </c>
      <c r="J38" s="1173" t="e">
        <f>#REF!</f>
        <v>#REF!</v>
      </c>
    </row>
    <row r="39" spans="2:10">
      <c r="B39" s="1155" t="s">
        <v>4</v>
      </c>
      <c r="C39" s="1157">
        <f>'P&amp;L'!G33</f>
        <v>167.48276560000002</v>
      </c>
      <c r="D39" s="1158">
        <f>'P&amp;L'!H33</f>
        <v>0.39530000000000004</v>
      </c>
      <c r="E39" s="1159">
        <f>'P&amp;L'!I33</f>
        <v>0.64698529602100019</v>
      </c>
      <c r="F39" s="1160"/>
      <c r="G39" s="1155" t="s">
        <v>1358</v>
      </c>
      <c r="H39" s="1161" t="e">
        <f>#REF!</f>
        <v>#REF!</v>
      </c>
      <c r="I39" s="1170" t="e">
        <f>#REF!</f>
        <v>#REF!</v>
      </c>
      <c r="J39" s="1171" t="e">
        <f>#REF!</f>
        <v>#REF!</v>
      </c>
    </row>
    <row r="40" spans="2:10">
      <c r="B40" s="1202"/>
      <c r="C40" s="1390"/>
      <c r="D40" s="1609"/>
      <c r="E40" s="1391"/>
      <c r="F40" s="1160"/>
      <c r="G40" s="1155" t="s">
        <v>1360</v>
      </c>
      <c r="H40" s="1161" t="e">
        <f>#REF!</f>
        <v>#REF!</v>
      </c>
      <c r="I40" s="1170" t="e">
        <f>#REF!</f>
        <v>#REF!</v>
      </c>
      <c r="J40" s="1171" t="e">
        <f>#REF!</f>
        <v>#REF!</v>
      </c>
    </row>
    <row r="41" spans="2:10">
      <c r="B41" s="1155" t="s">
        <v>1359</v>
      </c>
      <c r="C41" s="1389">
        <f>Equity!H39</f>
        <v>0</v>
      </c>
      <c r="D41" s="1158" t="e">
        <f ca="1">Equity!I39</f>
        <v>#NUM!</v>
      </c>
      <c r="E41" s="1159" t="e">
        <f ca="1">Equity!J39</f>
        <v>#NUM!</v>
      </c>
      <c r="F41" s="1160"/>
      <c r="G41" s="1155" t="s">
        <v>67</v>
      </c>
      <c r="H41" s="1161" t="e">
        <f>#REF!</f>
        <v>#REF!</v>
      </c>
      <c r="I41" s="1170" t="e">
        <f>#REF!</f>
        <v>#REF!</v>
      </c>
      <c r="J41" s="1171" t="e">
        <f>#REF!</f>
        <v>#REF!</v>
      </c>
    </row>
    <row r="42" spans="2:10">
      <c r="B42" s="1155" t="s">
        <v>1508</v>
      </c>
      <c r="C42" s="1389" t="e">
        <f>Equity!#REF!</f>
        <v>#REF!</v>
      </c>
      <c r="D42" s="1158" t="e">
        <f>Equity!#REF!</f>
        <v>#REF!</v>
      </c>
      <c r="E42" s="1159" t="e">
        <f>Equity!#REF!</f>
        <v>#REF!</v>
      </c>
      <c r="F42" s="1160"/>
      <c r="G42" s="1155" t="s">
        <v>1361</v>
      </c>
      <c r="H42" s="1161" t="e">
        <f>#REF!</f>
        <v>#REF!</v>
      </c>
      <c r="I42" s="1170" t="e">
        <f>#REF!</f>
        <v>#REF!</v>
      </c>
      <c r="J42" s="1171" t="e">
        <f>#REF!</f>
        <v>#REF!</v>
      </c>
    </row>
    <row r="43" spans="2:10" ht="12" thickBot="1">
      <c r="B43" s="1174" t="s">
        <v>1509</v>
      </c>
      <c r="C43" s="1392" t="e">
        <f>Equity!#REF!</f>
        <v>#REF!</v>
      </c>
      <c r="D43" s="1393" t="e">
        <f>Equity!#REF!</f>
        <v>#REF!</v>
      </c>
      <c r="E43" s="1394" t="e">
        <f>Equity!#REF!</f>
        <v>#REF!</v>
      </c>
      <c r="F43" s="1160"/>
      <c r="G43" s="1155" t="s">
        <v>1363</v>
      </c>
      <c r="H43" s="1161" t="e">
        <f>#REF!</f>
        <v>#REF!</v>
      </c>
      <c r="I43" s="1170" t="e">
        <f>#REF!</f>
        <v>#REF!</v>
      </c>
      <c r="J43" s="1171" t="e">
        <f>#REF!</f>
        <v>#REF!</v>
      </c>
    </row>
    <row r="44" spans="2:10" ht="12" thickBot="1">
      <c r="B44" s="1203"/>
      <c r="C44" s="1203"/>
      <c r="D44" s="1203"/>
      <c r="E44" s="1403"/>
      <c r="F44" s="1160"/>
      <c r="G44" s="1155" t="s">
        <v>1364</v>
      </c>
      <c r="H44" s="1161" t="e">
        <f>#REF!</f>
        <v>#REF!</v>
      </c>
      <c r="I44" s="1170" t="e">
        <f>#REF!</f>
        <v>#REF!</v>
      </c>
      <c r="J44" s="1171" t="e">
        <f>#REF!</f>
        <v>#REF!</v>
      </c>
    </row>
    <row r="45" spans="2:10">
      <c r="B45" s="1150" t="s">
        <v>1362</v>
      </c>
      <c r="C45" s="1610" t="s">
        <v>1188</v>
      </c>
      <c r="D45" s="1611" t="s">
        <v>1185</v>
      </c>
      <c r="E45" s="1612" t="s">
        <v>1186</v>
      </c>
      <c r="F45" s="1160"/>
      <c r="G45" s="1155" t="s">
        <v>1366</v>
      </c>
      <c r="H45" s="1161" t="e">
        <f>#REF!</f>
        <v>#REF!</v>
      </c>
      <c r="I45" s="1170" t="e">
        <f>#REF!</f>
        <v>#REF!</v>
      </c>
      <c r="J45" s="1171" t="e">
        <f>#REF!</f>
        <v>#REF!</v>
      </c>
    </row>
    <row r="46" spans="2:10">
      <c r="B46" s="1162" t="s">
        <v>643</v>
      </c>
      <c r="C46" s="1198"/>
      <c r="D46" s="1200"/>
      <c r="E46" s="1201"/>
      <c r="F46" s="1160"/>
      <c r="G46" s="1155" t="s">
        <v>1368</v>
      </c>
      <c r="H46" s="1161">
        <v>0</v>
      </c>
      <c r="I46" s="1170">
        <v>0</v>
      </c>
      <c r="J46" s="1171">
        <v>0</v>
      </c>
    </row>
    <row r="47" spans="2:10">
      <c r="B47" s="1155" t="s">
        <v>1365</v>
      </c>
      <c r="C47" s="1175">
        <f>IS!H7/IS!G7-1</f>
        <v>0.47521865889212833</v>
      </c>
      <c r="D47" s="1175">
        <f>IS!I7/IS!H7-1</f>
        <v>1.7569169960474307</v>
      </c>
      <c r="E47" s="1175">
        <f>IS!J7/IS!I7-1</f>
        <v>0.79678627774910415</v>
      </c>
      <c r="F47" s="1160"/>
      <c r="G47" s="1155" t="s">
        <v>1133</v>
      </c>
      <c r="H47" s="1161" t="e">
        <f>#REF!</f>
        <v>#REF!</v>
      </c>
      <c r="I47" s="1170" t="e">
        <f>#REF!</f>
        <v>#REF!</v>
      </c>
      <c r="J47" s="1171" t="e">
        <f>#REF!</f>
        <v>#REF!</v>
      </c>
    </row>
    <row r="48" spans="2:10">
      <c r="B48" s="1155" t="s">
        <v>1367</v>
      </c>
      <c r="C48" s="1175">
        <f>IS!I15/IS!H15-1</f>
        <v>1.3636363636363638</v>
      </c>
      <c r="D48" s="1623">
        <f>IS!J15/IS!I15-1</f>
        <v>0.64893665646410303</v>
      </c>
      <c r="E48" s="1624">
        <f>IS!K15/IS!J15-1</f>
        <v>0.84466671073484068</v>
      </c>
      <c r="F48" s="1160"/>
      <c r="G48" s="1162" t="s">
        <v>591</v>
      </c>
      <c r="H48" s="1163" t="e">
        <f>SUM(H42:H47)</f>
        <v>#REF!</v>
      </c>
      <c r="I48" s="1362" t="e">
        <f>SUM(I42:I47)</f>
        <v>#REF!</v>
      </c>
      <c r="J48" s="1363" t="e">
        <f>SUM(J42:J47)</f>
        <v>#REF!</v>
      </c>
    </row>
    <row r="49" spans="2:10" ht="12" thickBot="1">
      <c r="B49" s="1155" t="s">
        <v>1369</v>
      </c>
      <c r="C49" s="1175">
        <f>('P&amp;L'!G26-'P&amp;L'!F26)/'P&amp;L'!F26</f>
        <v>1.2104636688796675</v>
      </c>
      <c r="D49" s="1623">
        <f>('P&amp;L'!H26-'P&amp;L'!G26)/'P&amp;L'!G26</f>
        <v>-0.99796892090142697</v>
      </c>
      <c r="E49" s="1624">
        <f>('P&amp;L'!I26-'P&amp;L'!H26)/'P&amp;L'!H26</f>
        <v>0.45487083354898389</v>
      </c>
      <c r="F49" s="1160"/>
      <c r="G49" s="1177" t="s">
        <v>593</v>
      </c>
      <c r="H49" s="1178" t="e">
        <f>H48+H41</f>
        <v>#REF!</v>
      </c>
      <c r="I49" s="1364" t="e">
        <f>I48+I41</f>
        <v>#REF!</v>
      </c>
      <c r="J49" s="1365" t="e">
        <f>J48+J41</f>
        <v>#REF!</v>
      </c>
    </row>
    <row r="50" spans="2:10">
      <c r="B50" s="1155" t="s">
        <v>196</v>
      </c>
      <c r="C50" s="1175" t="e">
        <f>D8/100</f>
        <v>#DIV/0!</v>
      </c>
      <c r="D50" s="1623" t="e">
        <f ca="1">E8/100</f>
        <v>#NUM!</v>
      </c>
      <c r="E50" s="1624" t="e">
        <f ca="1">F8/100</f>
        <v>#NUM!</v>
      </c>
    </row>
    <row r="51" spans="2:10">
      <c r="B51" s="1202"/>
      <c r="C51" s="1204"/>
      <c r="D51" s="1625"/>
      <c r="E51" s="1626"/>
      <c r="F51" s="1176"/>
    </row>
    <row r="52" spans="2:10" ht="12" thickBot="1">
      <c r="B52" s="1162" t="s">
        <v>1190</v>
      </c>
      <c r="C52" s="1204"/>
      <c r="D52" s="1625"/>
      <c r="E52" s="1626"/>
      <c r="F52" s="1176"/>
      <c r="G52" s="1203"/>
      <c r="H52" s="1179"/>
      <c r="I52" s="1179"/>
      <c r="J52" s="1179"/>
    </row>
    <row r="53" spans="2:10">
      <c r="B53" s="1155" t="s">
        <v>118</v>
      </c>
      <c r="C53" s="1175">
        <f>C24/C22</f>
        <v>0.59625986123343722</v>
      </c>
      <c r="D53" s="1623">
        <f>D24/D22</f>
        <v>0.4731182795698925</v>
      </c>
      <c r="E53" s="1624">
        <f>E24/E22</f>
        <v>0.41956121790885759</v>
      </c>
      <c r="F53" s="1154"/>
      <c r="G53" s="1150" t="s">
        <v>1005</v>
      </c>
      <c r="H53" s="1151" t="s">
        <v>1188</v>
      </c>
      <c r="I53" s="1152" t="s">
        <v>1185</v>
      </c>
      <c r="J53" s="1153" t="s">
        <v>1186</v>
      </c>
    </row>
    <row r="54" spans="2:10">
      <c r="B54" s="1155" t="s">
        <v>1370</v>
      </c>
      <c r="C54" s="1175">
        <f>C27/C22</f>
        <v>0.32633637744247468</v>
      </c>
      <c r="D54" s="1623">
        <f>D27/D22</f>
        <v>0.27956989247311831</v>
      </c>
      <c r="E54" s="1624">
        <f>E27/E22</f>
        <v>0.25656531856429482</v>
      </c>
      <c r="F54" s="1156"/>
      <c r="G54" s="1155" t="s">
        <v>575</v>
      </c>
      <c r="H54" s="1167"/>
      <c r="I54" s="1168"/>
      <c r="J54" s="1169"/>
    </row>
    <row r="55" spans="2:10">
      <c r="B55" s="1155" t="s">
        <v>4</v>
      </c>
      <c r="C55" s="1175">
        <f>C39/C22</f>
        <v>0.33087547522496952</v>
      </c>
      <c r="D55" s="1623">
        <f>D39/D22</f>
        <v>0.28336917562724018</v>
      </c>
      <c r="E55" s="1624">
        <f>E39/E22</f>
        <v>0.25812126261804924</v>
      </c>
      <c r="F55" s="1160"/>
      <c r="G55" s="1162" t="s">
        <v>1371</v>
      </c>
      <c r="H55" s="1163" t="e">
        <f>#REF!</f>
        <v>#REF!</v>
      </c>
      <c r="I55" s="1172" t="e">
        <f>H22</f>
        <v>#REF!</v>
      </c>
      <c r="J55" s="1173" t="e">
        <f>I22</f>
        <v>#REF!</v>
      </c>
    </row>
    <row r="56" spans="2:10">
      <c r="B56" s="1155" t="s">
        <v>1372</v>
      </c>
      <c r="C56" s="1175">
        <f>C37/C22</f>
        <v>0.33155422577560673</v>
      </c>
      <c r="D56" s="1623">
        <f>D37/D22</f>
        <v>0.24157706093189971</v>
      </c>
      <c r="E56" s="1624">
        <f>E37/E22</f>
        <v>0.20069703852172396</v>
      </c>
      <c r="F56" s="1160"/>
      <c r="G56" s="1155" t="s">
        <v>188</v>
      </c>
      <c r="H56" s="1161">
        <f>C37</f>
        <v>167.82633600000005</v>
      </c>
      <c r="I56" s="1359">
        <f>D37</f>
        <v>0.33700000000000008</v>
      </c>
      <c r="J56" s="1360">
        <f>E37</f>
        <v>0.50305051029700021</v>
      </c>
    </row>
    <row r="57" spans="2:10">
      <c r="B57" s="1155" t="s">
        <v>206</v>
      </c>
      <c r="C57" s="1175">
        <f>D13/100</f>
        <v>0.19470046082949305</v>
      </c>
      <c r="D57" s="1623">
        <f>E13/100</f>
        <v>0.23707351389377418</v>
      </c>
      <c r="E57" s="1624">
        <f>F13/100</f>
        <v>0.20239924558659511</v>
      </c>
      <c r="F57" s="1160"/>
      <c r="G57" s="1155" t="s">
        <v>1373</v>
      </c>
      <c r="H57" s="1161" t="e">
        <f>#REF!</f>
        <v>#REF!</v>
      </c>
      <c r="I57" s="1359" t="e">
        <f>#REF!</f>
        <v>#REF!</v>
      </c>
      <c r="J57" s="1360" t="e">
        <f>#REF!</f>
        <v>#REF!</v>
      </c>
    </row>
    <row r="58" spans="2:10">
      <c r="B58" s="1155" t="s">
        <v>1014</v>
      </c>
      <c r="C58" s="1175" t="e">
        <f>C37/AVERAGE(#REF!)</f>
        <v>#REF!</v>
      </c>
      <c r="D58" s="1623" t="e">
        <f>D37/AVERAGE(#REF!)</f>
        <v>#REF!</v>
      </c>
      <c r="E58" s="1624" t="e">
        <f>E37/AVERAGE(#REF!)</f>
        <v>#REF!</v>
      </c>
      <c r="F58" s="1160"/>
      <c r="G58" s="1155" t="s">
        <v>1374</v>
      </c>
      <c r="H58" s="1161" t="e">
        <f>#REF!</f>
        <v>#REF!</v>
      </c>
      <c r="I58" s="1359" t="e">
        <f>#REF!</f>
        <v>#REF!</v>
      </c>
      <c r="J58" s="1360" t="e">
        <f>#REF!</f>
        <v>#REF!</v>
      </c>
    </row>
    <row r="59" spans="2:10">
      <c r="B59" s="1202"/>
      <c r="C59" s="1198"/>
      <c r="D59" s="1627"/>
      <c r="E59" s="1628"/>
      <c r="F59" s="1160"/>
      <c r="G59" s="1155" t="s">
        <v>1375</v>
      </c>
      <c r="H59" s="1161" t="e">
        <f>#REF!</f>
        <v>#REF!</v>
      </c>
      <c r="I59" s="1359" t="e">
        <f>#REF!</f>
        <v>#REF!</v>
      </c>
      <c r="J59" s="1360" t="e">
        <f>#REF!</f>
        <v>#REF!</v>
      </c>
    </row>
    <row r="60" spans="2:10">
      <c r="B60" s="1162" t="s">
        <v>1192</v>
      </c>
      <c r="C60" s="1198"/>
      <c r="D60" s="1627"/>
      <c r="E60" s="1628"/>
      <c r="F60" s="1160"/>
      <c r="G60" s="1162" t="s">
        <v>510</v>
      </c>
      <c r="H60" s="1163" t="e">
        <f>SUM(H56:H59)</f>
        <v>#REF!</v>
      </c>
      <c r="I60" s="1172" t="e">
        <f>SUM(I56:I59)</f>
        <v>#REF!</v>
      </c>
      <c r="J60" s="1173" t="e">
        <f>SUM(J56:J59)</f>
        <v>#REF!</v>
      </c>
    </row>
    <row r="61" spans="2:10">
      <c r="B61" s="1180" t="s">
        <v>1376</v>
      </c>
      <c r="C61" s="1395" t="e">
        <f>-365*(AVERAGE(#REF!)/'P&amp;L'!G11)</f>
        <v>#REF!</v>
      </c>
      <c r="D61" s="1629" t="e">
        <f>-365*(AVERAGE(#REF!)/'P&amp;L'!H11)</f>
        <v>#REF!</v>
      </c>
      <c r="E61" s="1630" t="e">
        <f>-365*(AVERAGE(#REF!)/'P&amp;L'!I11)</f>
        <v>#REF!</v>
      </c>
      <c r="F61" s="1156"/>
      <c r="G61" s="1155" t="s">
        <v>1377</v>
      </c>
      <c r="H61" s="1161" t="e">
        <f>#REF!+#REF!</f>
        <v>#REF!</v>
      </c>
      <c r="I61" s="1359" t="e">
        <f>#REF!+#REF!</f>
        <v>#REF!</v>
      </c>
      <c r="J61" s="1360" t="e">
        <f>#REF!+#REF!</f>
        <v>#REF!</v>
      </c>
    </row>
    <row r="62" spans="2:10">
      <c r="B62" s="1180" t="s">
        <v>1193</v>
      </c>
      <c r="C62" s="1395" t="e">
        <f>365*(AVERAGE(#REF!)/First_page!C22)</f>
        <v>#REF!</v>
      </c>
      <c r="D62" s="1629" t="e">
        <f>365*(AVERAGE(#REF!)/First_page!D22)</f>
        <v>#REF!</v>
      </c>
      <c r="E62" s="1630" t="e">
        <f>365*(AVERAGE(#REF!)/First_page!E22)</f>
        <v>#REF!</v>
      </c>
      <c r="F62" s="1156"/>
      <c r="G62" s="1155" t="s">
        <v>1378</v>
      </c>
      <c r="H62" s="1161" t="e">
        <f>#REF!+#REF!</f>
        <v>#REF!</v>
      </c>
      <c r="I62" s="1359" t="e">
        <f>#REF!+#REF!</f>
        <v>#REF!</v>
      </c>
      <c r="J62" s="1360" t="e">
        <f>#REF!+#REF!</f>
        <v>#REF!</v>
      </c>
    </row>
    <row r="63" spans="2:10">
      <c r="B63" s="1180" t="s">
        <v>1194</v>
      </c>
      <c r="C63" s="1395" t="e">
        <f>-365*(AVERAGE(#REF!)/First_page!C23)</f>
        <v>#REF!</v>
      </c>
      <c r="D63" s="1629" t="e">
        <f>-365*(AVERAGE(#REF!)/First_page!D23)</f>
        <v>#REF!</v>
      </c>
      <c r="E63" s="1630" t="e">
        <f>-365*(AVERAGE(#REF!)/First_page!E23)</f>
        <v>#REF!</v>
      </c>
      <c r="F63" s="1160"/>
      <c r="G63" s="1162" t="s">
        <v>1379</v>
      </c>
      <c r="H63" s="1163" t="e">
        <f>SUM(H61:H62)</f>
        <v>#REF!</v>
      </c>
      <c r="I63" s="1172" t="e">
        <f>SUM(I61:I62)</f>
        <v>#REF!</v>
      </c>
      <c r="J63" s="1173" t="e">
        <f>SUM(J61:J62)</f>
        <v>#REF!</v>
      </c>
    </row>
    <row r="64" spans="2:10">
      <c r="B64" s="1155" t="s">
        <v>1380</v>
      </c>
      <c r="C64" s="1396" t="e">
        <f>C61+C62-C63</f>
        <v>#REF!</v>
      </c>
      <c r="D64" s="1629" t="e">
        <f>D61+D62-D63</f>
        <v>#REF!</v>
      </c>
      <c r="E64" s="1630" t="e">
        <f>E61+E62-E63</f>
        <v>#REF!</v>
      </c>
      <c r="F64" s="1156"/>
      <c r="G64" s="1155" t="s">
        <v>1381</v>
      </c>
      <c r="H64" s="1161" t="e">
        <f>#REF!</f>
        <v>#REF!</v>
      </c>
      <c r="I64" s="1359" t="e">
        <f>#REF!</f>
        <v>#REF!</v>
      </c>
      <c r="J64" s="1360" t="e">
        <f>#REF!</f>
        <v>#REF!</v>
      </c>
    </row>
    <row r="65" spans="2:10">
      <c r="B65" s="1202"/>
      <c r="C65" s="1198"/>
      <c r="D65" s="1627"/>
      <c r="E65" s="1628"/>
      <c r="F65" s="1156"/>
      <c r="G65" s="1155" t="s">
        <v>1382</v>
      </c>
      <c r="H65" s="1161" t="e">
        <f>#REF!</f>
        <v>#REF!</v>
      </c>
      <c r="I65" s="1359" t="e">
        <f>#REF!</f>
        <v>#REF!</v>
      </c>
      <c r="J65" s="1360" t="e">
        <f>#REF!</f>
        <v>#REF!</v>
      </c>
    </row>
    <row r="66" spans="2:10">
      <c r="B66" s="1162" t="s">
        <v>495</v>
      </c>
      <c r="C66" s="1198"/>
      <c r="D66" s="1627"/>
      <c r="E66" s="1628"/>
      <c r="F66" s="1156"/>
      <c r="G66" s="1155" t="s">
        <v>1383</v>
      </c>
      <c r="H66" s="1161" t="e">
        <f>#REF!</f>
        <v>#REF!</v>
      </c>
      <c r="I66" s="1359" t="e">
        <f>#REF!</f>
        <v>#REF!</v>
      </c>
      <c r="J66" s="1360" t="e">
        <f>#REF!</f>
        <v>#REF!</v>
      </c>
    </row>
    <row r="67" spans="2:10">
      <c r="B67" s="1155" t="s">
        <v>1384</v>
      </c>
      <c r="C67" s="1397" t="e">
        <f>H27/H38</f>
        <v>#REF!</v>
      </c>
      <c r="D67" s="1631" t="e">
        <f>I27/I38</f>
        <v>#REF!</v>
      </c>
      <c r="E67" s="1632" t="e">
        <f>J27/J38</f>
        <v>#REF!</v>
      </c>
      <c r="F67" s="1156"/>
      <c r="G67" s="1155" t="s">
        <v>1385</v>
      </c>
      <c r="H67" s="1161" t="e">
        <f>#REF!</f>
        <v>#REF!</v>
      </c>
      <c r="I67" s="1359" t="e">
        <f>#REF!</f>
        <v>#REF!</v>
      </c>
      <c r="J67" s="1360" t="e">
        <f>#REF!</f>
        <v>#REF!</v>
      </c>
    </row>
    <row r="68" spans="2:10">
      <c r="B68" s="1155" t="s">
        <v>1386</v>
      </c>
      <c r="C68" s="1398" t="e">
        <f>(H27-H25)/H38</f>
        <v>#REF!</v>
      </c>
      <c r="D68" s="1631" t="e">
        <f>(I27-I25)/I38</f>
        <v>#REF!</v>
      </c>
      <c r="E68" s="1632" t="e">
        <f>(J27-J25)/J38</f>
        <v>#REF!</v>
      </c>
      <c r="F68" s="1160"/>
      <c r="G68" s="1155" t="s">
        <v>1387</v>
      </c>
      <c r="H68" s="1161" t="e">
        <f>#REF!</f>
        <v>#REF!</v>
      </c>
      <c r="I68" s="1359" t="e">
        <f>#REF!</f>
        <v>#REF!</v>
      </c>
      <c r="J68" s="1360" t="e">
        <f>#REF!</f>
        <v>#REF!</v>
      </c>
    </row>
    <row r="69" spans="2:10">
      <c r="B69" s="1155" t="s">
        <v>1388</v>
      </c>
      <c r="C69" s="1398" t="e">
        <f>(H27-H25-H24)/H38</f>
        <v>#REF!</v>
      </c>
      <c r="D69" s="1631" t="e">
        <f>(I27-I25-I24)/I38</f>
        <v>#REF!</v>
      </c>
      <c r="E69" s="1632" t="e">
        <f>(J27-J25-J24)/J38</f>
        <v>#REF!</v>
      </c>
      <c r="F69" s="1160"/>
      <c r="G69" s="1162" t="s">
        <v>515</v>
      </c>
      <c r="H69" s="1163" t="e">
        <f>SUM(H64:H68)</f>
        <v>#REF!</v>
      </c>
      <c r="I69" s="1172" t="e">
        <f>SUM(I64:I68)</f>
        <v>#REF!</v>
      </c>
      <c r="J69" s="1173" t="e">
        <f>SUM(J64:J68)</f>
        <v>#REF!</v>
      </c>
    </row>
    <row r="70" spans="2:10">
      <c r="B70" s="1155" t="s">
        <v>1389</v>
      </c>
      <c r="C70" s="1397" t="e">
        <f>(#REF!+#REF!)/#REF!</f>
        <v>#REF!</v>
      </c>
      <c r="D70" s="1631" t="e">
        <f>(#REF!+#REF!)/#REF!</f>
        <v>#REF!</v>
      </c>
      <c r="E70" s="1632" t="e">
        <f>(#REF!+#REF!)/#REF!</f>
        <v>#REF!</v>
      </c>
      <c r="F70" s="1160"/>
      <c r="G70" s="1162" t="s">
        <v>1390</v>
      </c>
      <c r="H70" s="1163" t="e">
        <f>H69+H63+H60</f>
        <v>#REF!</v>
      </c>
      <c r="I70" s="1172" t="e">
        <f>I69+I63+I60</f>
        <v>#REF!</v>
      </c>
      <c r="J70" s="1173" t="e">
        <f>J69+J63+J60</f>
        <v>#REF!</v>
      </c>
    </row>
    <row r="71" spans="2:10">
      <c r="B71" s="1155" t="s">
        <v>1391</v>
      </c>
      <c r="C71" s="1397" t="e">
        <f>(#REF!+#REF!)/(#REF!+#REF!+#REF!)</f>
        <v>#REF!</v>
      </c>
      <c r="D71" s="1631" t="e">
        <f>(#REF!+#REF!)/(#REF!+#REF!+#REF!)</f>
        <v>#REF!</v>
      </c>
      <c r="E71" s="1632" t="e">
        <f>(#REF!+#REF!)/(#REF!+#REF!+#REF!)</f>
        <v>#REF!</v>
      </c>
      <c r="F71" s="1154"/>
      <c r="G71" s="1162" t="s">
        <v>1392</v>
      </c>
      <c r="H71" s="1163" t="e">
        <f>H70+H55</f>
        <v>#REF!</v>
      </c>
      <c r="I71" s="1172" t="e">
        <f>I70+I55</f>
        <v>#REF!</v>
      </c>
      <c r="J71" s="1363" t="e">
        <f>J70+J55</f>
        <v>#REF!</v>
      </c>
    </row>
    <row r="72" spans="2:10">
      <c r="B72" s="1155" t="s">
        <v>1393</v>
      </c>
      <c r="C72" s="1397">
        <f>D16</f>
        <v>-61.194029850746269</v>
      </c>
      <c r="D72" s="1633">
        <f>E16</f>
        <v>-26.538678712591757</v>
      </c>
      <c r="E72" s="1634">
        <f>F16</f>
        <v>-31.964012535046333</v>
      </c>
      <c r="F72" s="1154"/>
      <c r="G72" s="1202"/>
      <c r="H72" s="1198"/>
      <c r="I72" s="1200"/>
      <c r="J72" s="1201"/>
    </row>
    <row r="73" spans="2:10" ht="12" thickBot="1">
      <c r="B73" s="1174" t="s">
        <v>1394</v>
      </c>
      <c r="C73" s="1399">
        <f>C27/-C77</f>
        <v>2083.3038479001139</v>
      </c>
      <c r="D73" s="1635">
        <f>D27/-D77</f>
        <v>43.333333333333336</v>
      </c>
      <c r="E73" s="1636">
        <f>E27/-E77</f>
        <v>19.664659032300388</v>
      </c>
      <c r="F73" s="1154"/>
      <c r="G73" s="1205"/>
      <c r="H73" s="1203"/>
      <c r="I73" s="1206"/>
      <c r="J73" s="1207"/>
    </row>
    <row r="74" spans="2:10">
      <c r="B74" s="1181"/>
      <c r="C74" s="1198"/>
      <c r="D74" s="1198"/>
      <c r="E74" s="1198"/>
      <c r="F74" s="1198"/>
      <c r="G74" s="1198"/>
      <c r="H74" s="1198"/>
      <c r="I74" s="1198"/>
      <c r="J74" s="1198"/>
    </row>
    <row r="75" spans="2:10">
      <c r="B75" s="1182" t="s">
        <v>1444</v>
      </c>
      <c r="C75" s="1198">
        <v>0</v>
      </c>
      <c r="D75" s="1198">
        <v>0</v>
      </c>
      <c r="E75" s="1198">
        <v>0</v>
      </c>
      <c r="F75" s="1198"/>
      <c r="H75" s="1198"/>
      <c r="I75" s="1198"/>
      <c r="J75" s="1198"/>
    </row>
    <row r="76" spans="2:10">
      <c r="B76" s="1182" t="s">
        <v>805</v>
      </c>
      <c r="C76" s="1208">
        <f>C29</f>
        <v>-7.9289999999999999E-2</v>
      </c>
      <c r="D76" s="1208">
        <f>D29</f>
        <v>-8.9999999999999993E-3</v>
      </c>
      <c r="E76" s="1208">
        <f>E29</f>
        <v>-3.2702590721999998E-2</v>
      </c>
      <c r="F76" s="1198"/>
      <c r="G76" s="1198"/>
      <c r="H76" s="1637"/>
      <c r="I76" s="1637"/>
      <c r="J76" s="1637"/>
    </row>
    <row r="77" spans="2:10">
      <c r="B77" s="1182" t="s">
        <v>1445</v>
      </c>
      <c r="C77" s="1208">
        <f>SUM(C75:C76)</f>
        <v>-7.9289999999999999E-2</v>
      </c>
      <c r="D77" s="1208">
        <f>SUM(D75:D76)</f>
        <v>-8.9999999999999993E-3</v>
      </c>
      <c r="E77" s="1208">
        <f>SUM(E75:E76)</f>
        <v>-3.2702590721999998E-2</v>
      </c>
      <c r="F77" s="1198"/>
      <c r="G77" s="1198"/>
      <c r="H77" s="1637"/>
      <c r="I77" s="1637"/>
      <c r="J77" s="1637"/>
    </row>
    <row r="78" spans="2:10">
      <c r="B78" s="1181"/>
      <c r="C78" s="1198"/>
      <c r="D78" s="1198"/>
      <c r="E78" s="1198"/>
      <c r="F78" s="1198"/>
      <c r="G78" s="1198"/>
      <c r="H78" s="1198"/>
      <c r="I78" s="1198"/>
      <c r="J78" s="1198"/>
    </row>
    <row r="79" spans="2:10">
      <c r="B79" s="1209" t="s">
        <v>1472</v>
      </c>
      <c r="C79" s="1209"/>
      <c r="D79" s="1209"/>
      <c r="E79" s="1209"/>
      <c r="F79" s="1209"/>
      <c r="G79" s="1209"/>
      <c r="H79" s="1209"/>
      <c r="I79" s="1209"/>
    </row>
    <row r="80" spans="2:10">
      <c r="B80" s="1210">
        <v>2015</v>
      </c>
      <c r="C80" s="1228" t="s">
        <v>1195</v>
      </c>
      <c r="D80" s="1211" t="s">
        <v>1196</v>
      </c>
      <c r="E80" s="1211" t="s">
        <v>1197</v>
      </c>
      <c r="F80" s="1211" t="s">
        <v>1198</v>
      </c>
      <c r="G80" s="1142" t="s">
        <v>1199</v>
      </c>
      <c r="H80" s="1212" t="s">
        <v>1224</v>
      </c>
      <c r="I80" s="1213" t="s">
        <v>1200</v>
      </c>
    </row>
    <row r="81" spans="2:9">
      <c r="B81" s="1387" t="s">
        <v>1476</v>
      </c>
      <c r="C81" s="1231">
        <f>'FS QTR'!P10</f>
        <v>171.59967120000002</v>
      </c>
      <c r="D81" s="1231">
        <f>'FS QTR'!Q10</f>
        <v>212.3</v>
      </c>
      <c r="E81" s="1214">
        <v>525</v>
      </c>
      <c r="F81" s="1214"/>
      <c r="G81" s="1223">
        <f>SUM(C81:F81)</f>
        <v>908.89967120000006</v>
      </c>
      <c r="H81" s="1247">
        <v>1350</v>
      </c>
      <c r="I81" s="1235">
        <f>'P&amp;L'!H10</f>
        <v>1.395</v>
      </c>
    </row>
    <row r="82" spans="2:9">
      <c r="B82" s="1387" t="s">
        <v>1477</v>
      </c>
      <c r="C82" s="1229" t="s">
        <v>711</v>
      </c>
      <c r="D82" s="1214" t="s">
        <v>711</v>
      </c>
      <c r="E82" s="1214" t="s">
        <v>711</v>
      </c>
      <c r="F82" s="1214" t="s">
        <v>711</v>
      </c>
      <c r="G82" s="1215"/>
      <c r="H82" s="1216"/>
      <c r="I82" s="1217"/>
    </row>
    <row r="83" spans="2:9">
      <c r="B83" s="1387" t="s">
        <v>1478</v>
      </c>
      <c r="C83" s="1229" t="s">
        <v>711</v>
      </c>
      <c r="D83" s="1214" t="s">
        <v>711</v>
      </c>
      <c r="E83" s="1214" t="s">
        <v>711</v>
      </c>
      <c r="F83" s="1214" t="s">
        <v>711</v>
      </c>
      <c r="G83" s="1215"/>
      <c r="H83" s="1216"/>
      <c r="I83" s="1217"/>
    </row>
    <row r="84" spans="2:9">
      <c r="B84" s="1387" t="s">
        <v>118</v>
      </c>
      <c r="C84" s="1230">
        <f>'FS QTR'!P12/'FS QTR'!P10</f>
        <v>0.58425458451577739</v>
      </c>
      <c r="D84" s="1230">
        <f>'FS QTR'!Q12/'FS QTR'!Q10</f>
        <v>0.66745171926519076</v>
      </c>
      <c r="E84" s="1224">
        <v>0.40100000000000002</v>
      </c>
      <c r="F84" s="1214"/>
      <c r="G84" s="1146">
        <v>0.46800000000000003</v>
      </c>
      <c r="H84" s="1216"/>
      <c r="I84" s="1234">
        <f>'P&amp;L'!H12/'P&amp;L'!H10</f>
        <v>0.4731182795698925</v>
      </c>
    </row>
    <row r="85" spans="2:9">
      <c r="B85" s="1387" t="s">
        <v>1479</v>
      </c>
      <c r="C85" s="1230">
        <f>'FS QTR'!P15/'FS QTR'!P10</f>
        <v>0.3542546024412197</v>
      </c>
      <c r="D85" s="1230">
        <f>'FS QTR'!Q15/'FS QTR'!Q10</f>
        <v>0.39142722562411691</v>
      </c>
      <c r="E85" s="1224">
        <v>0.27</v>
      </c>
      <c r="F85" s="1214"/>
      <c r="G85" s="1146">
        <f>'1H15'!C9/'1H15'!C4</f>
        <v>0.3750976816879395</v>
      </c>
      <c r="H85" s="1233">
        <v>0.313</v>
      </c>
      <c r="I85" s="1234">
        <f>'P&amp;L'!H19/'P&amp;L'!H10</f>
        <v>0.27956989247311831</v>
      </c>
    </row>
    <row r="86" spans="2:9">
      <c r="B86" s="1387" t="s">
        <v>1480</v>
      </c>
      <c r="C86" s="1230">
        <f>'FS QTR'!P24/'FS QTR'!P10</f>
        <v>0.21326023146832238</v>
      </c>
      <c r="D86" s="1230">
        <f>'FS QTR'!Q24/'FS QTR'!Q10</f>
        <v>0.54928874234573732</v>
      </c>
      <c r="E86" s="1603">
        <v>0.17799999999999999</v>
      </c>
      <c r="F86" s="1214"/>
      <c r="G86" s="1146">
        <v>0.27100000000000002</v>
      </c>
      <c r="H86" s="1233">
        <v>0.18</v>
      </c>
      <c r="I86" s="1234">
        <f>'P&amp;L'!H30/'P&amp;L'!H10</f>
        <v>0.24157706093189962</v>
      </c>
    </row>
    <row r="87" spans="2:9">
      <c r="B87" s="1387" t="s">
        <v>1481</v>
      </c>
      <c r="C87" s="1230">
        <f>'FS QTR'!P10/'FS QTR'!L10-1</f>
        <v>0.85734918518958003</v>
      </c>
      <c r="D87" s="1230">
        <f>'FS QTR'!Q10/'FS QTR'!M10-1</f>
        <v>0.8047646814512468</v>
      </c>
      <c r="E87" s="1224">
        <v>8.2110000000000003</v>
      </c>
      <c r="F87" s="1214"/>
      <c r="G87" s="1146">
        <v>2.3980000000000001</v>
      </c>
      <c r="H87" s="1219"/>
      <c r="I87" s="1234">
        <f>'P&amp;L'!H10/'P&amp;L'!G10-1</f>
        <v>-0.99724406695646994</v>
      </c>
    </row>
    <row r="88" spans="2:9">
      <c r="B88" s="1387" t="s">
        <v>1482</v>
      </c>
      <c r="C88" s="1230">
        <f>'FS QTR'!P15/'FS QTR'!L15-1</f>
        <v>1.2086081286239301</v>
      </c>
      <c r="D88" s="1230">
        <f>'FS QTR'!Q15/'FS QTR'!M15-1</f>
        <v>0.60506261549171603</v>
      </c>
      <c r="E88" s="1224">
        <v>14.161</v>
      </c>
      <c r="F88" s="1214"/>
      <c r="G88" s="1146">
        <v>2.2189999999999999</v>
      </c>
      <c r="H88" s="1219"/>
      <c r="I88" s="1234">
        <f>'P&amp;L'!H19/'P&amp;L'!G19-1</f>
        <v>-0.997639013122959</v>
      </c>
    </row>
    <row r="89" spans="2:9">
      <c r="B89" s="1220"/>
      <c r="C89" s="1228"/>
      <c r="D89" s="1211"/>
      <c r="E89" s="1211"/>
      <c r="F89" s="1211"/>
      <c r="G89" s="1142"/>
      <c r="H89" s="1212"/>
      <c r="I89" s="1213"/>
    </row>
    <row r="90" spans="2:9">
      <c r="B90" s="1210">
        <v>2014</v>
      </c>
      <c r="C90" s="1228" t="s">
        <v>1195</v>
      </c>
      <c r="D90" s="1211" t="s">
        <v>1196</v>
      </c>
      <c r="E90" s="1211" t="s">
        <v>1197</v>
      </c>
      <c r="F90" s="1211" t="s">
        <v>1198</v>
      </c>
      <c r="G90" s="1142" t="s">
        <v>1199</v>
      </c>
      <c r="H90" s="1212"/>
      <c r="I90" s="1213"/>
    </row>
    <row r="91" spans="2:9">
      <c r="B91" s="1387" t="s">
        <v>1476</v>
      </c>
      <c r="C91" s="1231">
        <f>'FS QTR'!L10</f>
        <v>92.389558499999993</v>
      </c>
      <c r="D91" s="1231">
        <f>'FS QTR'!M10</f>
        <v>117.63306440000001</v>
      </c>
      <c r="E91" s="1231">
        <f>'FS QTR'!N10</f>
        <v>57.464836900000002</v>
      </c>
      <c r="F91" s="1231">
        <f>'FS QTR'!O10</f>
        <v>238.69319769999998</v>
      </c>
      <c r="G91" s="1223">
        <f>'FS Year'!O10</f>
        <v>506.1806575</v>
      </c>
      <c r="H91" s="1216">
        <v>520</v>
      </c>
      <c r="I91" s="1217">
        <v>538</v>
      </c>
    </row>
    <row r="92" spans="2:9">
      <c r="B92" s="1387" t="s">
        <v>1477</v>
      </c>
      <c r="C92" s="1214" t="s">
        <v>711</v>
      </c>
      <c r="D92" s="1214" t="s">
        <v>711</v>
      </c>
      <c r="E92" s="1214" t="s">
        <v>711</v>
      </c>
      <c r="F92" s="1214" t="s">
        <v>711</v>
      </c>
      <c r="G92" s="1214" t="s">
        <v>711</v>
      </c>
      <c r="H92" s="1216"/>
      <c r="I92" s="1217"/>
    </row>
    <row r="93" spans="2:9">
      <c r="B93" s="1387" t="s">
        <v>1478</v>
      </c>
      <c r="C93" s="1221" t="s">
        <v>711</v>
      </c>
      <c r="D93" s="1221" t="s">
        <v>711</v>
      </c>
      <c r="E93" s="1221" t="s">
        <v>711</v>
      </c>
      <c r="F93" s="1221" t="s">
        <v>711</v>
      </c>
      <c r="G93" s="1221" t="s">
        <v>711</v>
      </c>
      <c r="H93" s="1216"/>
      <c r="I93" s="1222"/>
    </row>
    <row r="94" spans="2:9">
      <c r="B94" s="1387" t="s">
        <v>118</v>
      </c>
      <c r="C94" s="1230">
        <f>'FS QTR'!L12/'FS QTR'!L10</f>
        <v>0.53494070003592453</v>
      </c>
      <c r="D94" s="1230">
        <f>'FS QTR'!M12/'FS QTR'!M10</f>
        <v>0.70806485850588785</v>
      </c>
      <c r="E94" s="1230">
        <f>'FS QTR'!N12/'FS QTR'!N10</f>
        <v>0.6501308211317659</v>
      </c>
      <c r="F94" s="1230">
        <f>'FS QTR'!O12/'FS QTR'!O10</f>
        <v>0.5519251238385835</v>
      </c>
      <c r="G94" s="1146">
        <f>'FS Year'!O12/'FS Year'!O10</f>
        <v>0.59625986123343722</v>
      </c>
      <c r="H94" s="1233"/>
      <c r="I94" s="1234">
        <v>0.54800000000000004</v>
      </c>
    </row>
    <row r="95" spans="2:9">
      <c r="B95" s="1387" t="s">
        <v>1479</v>
      </c>
      <c r="C95" s="1224">
        <f>'FS QTR'!L15/'FS QTR'!L10</f>
        <v>0.29791364464632658</v>
      </c>
      <c r="D95" s="1224">
        <f>'FS QTR'!M15/'FS QTR'!M10</f>
        <v>0.44012864379651401</v>
      </c>
      <c r="E95" s="1224">
        <f>'FS QTR'!N15/'FS QTR'!N10</f>
        <v>0.16161435585663353</v>
      </c>
      <c r="F95" s="1224">
        <f>'FS QTR'!O15/'FS QTR'!O10</f>
        <v>0.32091500276549351</v>
      </c>
      <c r="G95" s="1146">
        <f>'FS Year'!O15/'FS Year'!O10</f>
        <v>0.32633637744247468</v>
      </c>
      <c r="H95" s="1233"/>
      <c r="I95" s="1234"/>
    </row>
    <row r="96" spans="2:9">
      <c r="B96" s="1387" t="s">
        <v>1480</v>
      </c>
      <c r="C96" s="1224">
        <f>'FS QTR'!L24/'FS QTR'!L10</f>
        <v>0.23072886856581312</v>
      </c>
      <c r="D96" s="1224">
        <f>'FS QTR'!M24/'FS QTR'!M10</f>
        <v>0.2663378095249212</v>
      </c>
      <c r="E96" s="1224">
        <f>'FS QTR'!N24/'FS QTR'!N10</f>
        <v>1.6844520096427992E-2</v>
      </c>
      <c r="F96" s="1224">
        <f>'FS QTR'!O24/'FS QTR'!O10</f>
        <v>0.47851992432375884</v>
      </c>
      <c r="G96" s="1146">
        <f>'FS Year'!O24/'FS Year'!O10</f>
        <v>0.33157033385851969</v>
      </c>
      <c r="H96" s="1233">
        <v>0.24</v>
      </c>
      <c r="I96" s="1234">
        <v>0.23200000000000001</v>
      </c>
    </row>
    <row r="97" spans="2:9">
      <c r="B97" s="1387" t="s">
        <v>1481</v>
      </c>
      <c r="C97" s="1224">
        <f>'FS QTR'!L10/'FS QTR'!H10-1</f>
        <v>0.89427396318759556</v>
      </c>
      <c r="D97" s="1224">
        <f>'FS QTR'!M10/'FS QTR'!I10-1</f>
        <v>-0.15405455987905192</v>
      </c>
      <c r="E97" s="1224">
        <f>'FS QTR'!N10/'FS QTR'!J10-1</f>
        <v>0.83451577173105118</v>
      </c>
      <c r="F97" s="1224">
        <f>'FS QTR'!O10/'FS QTR'!K10-1</f>
        <v>0.93369867383546468</v>
      </c>
      <c r="G97" s="1146">
        <f>'FS Year'!O10/'FS Year'!N10-1</f>
        <v>0.47750656003902114</v>
      </c>
      <c r="H97" s="1216"/>
      <c r="I97" s="1217"/>
    </row>
    <row r="98" spans="2:9">
      <c r="B98" s="1387" t="s">
        <v>1482</v>
      </c>
      <c r="C98" s="1232">
        <f>'FS QTR'!L15/'FS QTR'!H15-1</f>
        <v>-315.73895090485235</v>
      </c>
      <c r="D98" s="1232">
        <f>'FS QTR'!M15/'FS QTR'!I15-1</f>
        <v>0.76977024901696511</v>
      </c>
      <c r="E98" s="1232">
        <f>'FS QTR'!N15/'FS QTR'!J15-1</f>
        <v>-3.1329201559674202</v>
      </c>
      <c r="F98" s="1232">
        <f>'FS QTR'!O15/'FS QTR'!K15-1</f>
        <v>1.0493262201985045</v>
      </c>
      <c r="G98" s="1149">
        <f>'FS Year'!O15/'FS Year'!N15-1</f>
        <v>1.6560912147506812</v>
      </c>
      <c r="H98" s="1212"/>
      <c r="I98" s="1213"/>
    </row>
    <row r="99" spans="2:9">
      <c r="B99" s="1387"/>
      <c r="C99" s="1211"/>
      <c r="D99" s="1211"/>
      <c r="E99" s="1211"/>
      <c r="F99" s="1211"/>
      <c r="G99" s="1142"/>
      <c r="H99" s="1212"/>
      <c r="I99" s="1213"/>
    </row>
    <row r="100" spans="2:9">
      <c r="B100" s="1210">
        <v>2013</v>
      </c>
      <c r="C100" s="1211" t="s">
        <v>1195</v>
      </c>
      <c r="D100" s="1211" t="s">
        <v>1196</v>
      </c>
      <c r="E100" s="1211" t="s">
        <v>1197</v>
      </c>
      <c r="F100" s="1211" t="s">
        <v>1198</v>
      </c>
      <c r="G100" s="1142" t="s">
        <v>1199</v>
      </c>
      <c r="H100" s="1212"/>
      <c r="I100" s="1213"/>
    </row>
    <row r="101" spans="2:9">
      <c r="B101" s="1387" t="s">
        <v>1476</v>
      </c>
      <c r="C101" s="1231">
        <f>'FS QTR'!H10</f>
        <v>48.773071000000002</v>
      </c>
      <c r="D101" s="1231">
        <f>'FS QTR'!I10</f>
        <v>139.0551433</v>
      </c>
      <c r="E101" s="1231">
        <f>'FS QTR'!J10</f>
        <v>31.3242534</v>
      </c>
      <c r="F101" s="1231">
        <f>'FS QTR'!K10</f>
        <v>123.4386727</v>
      </c>
      <c r="G101" s="1223">
        <f>'FS Year'!N10</f>
        <v>342.59114049999999</v>
      </c>
      <c r="H101" s="1216"/>
      <c r="I101" s="1217"/>
    </row>
    <row r="102" spans="2:9">
      <c r="B102" s="1387" t="s">
        <v>1477</v>
      </c>
      <c r="C102" s="1214" t="s">
        <v>711</v>
      </c>
      <c r="D102" s="1214" t="s">
        <v>711</v>
      </c>
      <c r="E102" s="1214" t="s">
        <v>711</v>
      </c>
      <c r="F102" s="1214" t="s">
        <v>711</v>
      </c>
      <c r="G102" s="1215"/>
      <c r="H102" s="1216"/>
      <c r="I102" s="1217"/>
    </row>
    <row r="103" spans="2:9">
      <c r="B103" s="1387" t="s">
        <v>1478</v>
      </c>
      <c r="C103" s="1221" t="s">
        <v>711</v>
      </c>
      <c r="D103" s="1221" t="s">
        <v>711</v>
      </c>
      <c r="E103" s="1221" t="s">
        <v>711</v>
      </c>
      <c r="F103" s="1221" t="s">
        <v>711</v>
      </c>
      <c r="G103" s="1218"/>
      <c r="H103" s="1216"/>
      <c r="I103" s="1222"/>
    </row>
    <row r="104" spans="2:9">
      <c r="B104" s="1387" t="s">
        <v>118</v>
      </c>
      <c r="C104" s="1230">
        <f>'FS QTR'!H12/'FS QTR'!H10</f>
        <v>0.59852359512075837</v>
      </c>
      <c r="D104" s="1230">
        <f>'FS QTR'!I12/'FS QTR'!I10</f>
        <v>0.52994881419823037</v>
      </c>
      <c r="E104" s="1230">
        <f>'FS QTR'!J12/'FS QTR'!J10</f>
        <v>0.82124366609804011</v>
      </c>
      <c r="F104" s="1230">
        <f>'FS QTR'!K12/'FS QTR'!K10</f>
        <v>0.62640126638367521</v>
      </c>
      <c r="G104" s="1146">
        <f>'FS Year'!N12/'FS Year'!N10</f>
        <v>0.6010982286332649</v>
      </c>
      <c r="H104" s="1216"/>
      <c r="I104" s="1217"/>
    </row>
    <row r="105" spans="2:9">
      <c r="B105" s="1387" t="s">
        <v>1479</v>
      </c>
      <c r="C105" s="1224">
        <f>'FS QTR'!H15/'FS QTR'!H10</f>
        <v>-1.7930099172963781E-3</v>
      </c>
      <c r="D105" s="1224">
        <f>'FS QTR'!I15/'FS QTR'!I10</f>
        <v>0.21038031320341677</v>
      </c>
      <c r="E105" s="1224">
        <f>'FS QTR'!J15/'FS QTR'!J10</f>
        <v>-0.13900383656071441</v>
      </c>
      <c r="F105" s="1224">
        <f>'FS QTR'!K15/'FS QTR'!K10</f>
        <v>0.30280826407492634</v>
      </c>
      <c r="G105" s="1146">
        <f>'FS Year'!N15/'FS Year'!N10</f>
        <v>0.181531468412272</v>
      </c>
      <c r="H105" s="1216"/>
      <c r="I105" s="1217"/>
    </row>
    <row r="106" spans="2:9">
      <c r="B106" s="1387" t="s">
        <v>1480</v>
      </c>
      <c r="C106" s="1224">
        <f>'FS QTR'!H24/'FS QTR'!H10</f>
        <v>2.8801979682599836E-2</v>
      </c>
      <c r="D106" s="1224">
        <f>'FS QTR'!I24/'FS QTR'!I10</f>
        <v>0.14436670822516784</v>
      </c>
      <c r="E106" s="1224">
        <f>'FS QTR'!J24/'FS QTR'!J10</f>
        <v>0.96025547731011496</v>
      </c>
      <c r="F106" s="1224">
        <f>'FS QTR'!K24/'FS QTR'!K10</f>
        <v>0.25279770607902841</v>
      </c>
      <c r="G106" s="1146">
        <f>'FS Year'!N24/'FS Year'!N10</f>
        <v>0.24158241038927278</v>
      </c>
      <c r="H106" s="1216"/>
      <c r="I106" s="1217"/>
    </row>
    <row r="107" spans="2:9">
      <c r="B107" s="1387" t="s">
        <v>1481</v>
      </c>
      <c r="C107" s="1224">
        <f>'FS QTR'!H10/'FS QTR'!D10-1</f>
        <v>0.40452981443735525</v>
      </c>
      <c r="D107" s="1224">
        <f>'FS QTR'!I10/'FS QTR'!E10-1</f>
        <v>0.46562423865850344</v>
      </c>
      <c r="E107" s="1224">
        <f>'FS QTR'!J10/'FS QTR'!F10-1</f>
        <v>-0.79518923383556328</v>
      </c>
      <c r="F107" s="1224">
        <f>'FS QTR'!K10/'FS QTR'!G10-1</f>
        <v>2.0514801928980475E-2</v>
      </c>
      <c r="G107" s="1146">
        <f>'FS Year'!N10/'FS Year'!M10-1</f>
        <v>-0.15095760336457831</v>
      </c>
      <c r="H107" s="1216"/>
      <c r="I107" s="1217"/>
    </row>
    <row r="108" spans="2:9">
      <c r="B108" s="1387" t="s">
        <v>1482</v>
      </c>
      <c r="C108" s="1232">
        <f>'FS QTR'!H15/'FS QTR'!D15-1</f>
        <v>-1.0179719080350997</v>
      </c>
      <c r="D108" s="1232">
        <f>'FS QTR'!I15/'FS QTR'!E15-1</f>
        <v>0.8327860915860239</v>
      </c>
      <c r="E108" s="1232">
        <f>'FS QTR'!J15/'FS QTR'!F15-1</f>
        <v>-1.1320629008024981</v>
      </c>
      <c r="F108" s="1232">
        <f>'FS QTR'!K15/'FS QTR'!G15-1</f>
        <v>1.2834039253599858</v>
      </c>
      <c r="G108" s="1149">
        <f>'FS Year'!N15/'FS Year'!M15-1</f>
        <v>-0.1136810361128533</v>
      </c>
      <c r="H108" s="1212"/>
      <c r="I108" s="1213"/>
    </row>
    <row r="109" spans="2:9" ht="12" hidden="1" thickBot="1">
      <c r="B109" s="1189"/>
      <c r="C109" s="1191"/>
      <c r="D109" s="1191"/>
      <c r="E109" s="1191"/>
      <c r="F109" s="1191"/>
      <c r="G109" s="1192"/>
      <c r="H109" s="1193"/>
      <c r="I109" s="1194"/>
    </row>
    <row r="110" spans="2:9" ht="12" hidden="1" thickBot="1">
      <c r="B110" s="1189">
        <v>2012</v>
      </c>
      <c r="C110" s="1191" t="s">
        <v>1195</v>
      </c>
      <c r="D110" s="1191" t="s">
        <v>1196</v>
      </c>
      <c r="E110" s="1191" t="s">
        <v>1197</v>
      </c>
      <c r="F110" s="1191" t="s">
        <v>1198</v>
      </c>
      <c r="G110" s="1192" t="s">
        <v>1199</v>
      </c>
      <c r="H110" s="1193"/>
      <c r="I110" s="1194"/>
    </row>
    <row r="111" spans="2:9" ht="12" hidden="1" thickBot="1">
      <c r="B111" s="1183" t="s">
        <v>1201</v>
      </c>
      <c r="C111" s="1190">
        <f>'FS QTR'!D10</f>
        <v>34.725550499999997</v>
      </c>
      <c r="D111" s="1190">
        <f>'FS QTR'!E10</f>
        <v>94.877759000000012</v>
      </c>
      <c r="E111" s="1190">
        <f>'FS QTR'!F10</f>
        <v>152.94241600000001</v>
      </c>
      <c r="F111" s="1190">
        <f>'FS QTR'!G10</f>
        <v>120.95725849999999</v>
      </c>
      <c r="G111" s="1190">
        <f>SUM(C111:F111)</f>
        <v>403.50298399999997</v>
      </c>
      <c r="H111" s="1186"/>
      <c r="I111" s="1187"/>
    </row>
    <row r="112" spans="2:9" ht="12" hidden="1" thickBot="1">
      <c r="B112" s="1183" t="s">
        <v>28</v>
      </c>
      <c r="C112" s="1190">
        <f>'FS QTR'!D12</f>
        <v>30.904140599999998</v>
      </c>
      <c r="D112" s="1190">
        <f>'FS QTR'!E12</f>
        <v>48.498823200000011</v>
      </c>
      <c r="E112" s="1190">
        <f>'FS QTR'!F12</f>
        <v>63.62082070000001</v>
      </c>
      <c r="F112" s="1190">
        <f>'FS QTR'!G12</f>
        <v>49.861003699999998</v>
      </c>
      <c r="G112" s="1190">
        <f>SUM(C112:F112)</f>
        <v>192.88478820000003</v>
      </c>
      <c r="H112" s="1186"/>
      <c r="I112" s="1187"/>
    </row>
    <row r="113" spans="2:10" ht="12" hidden="1" thickBot="1">
      <c r="B113" s="1183" t="s">
        <v>1202</v>
      </c>
      <c r="C113" s="1188">
        <f>C112/C111</f>
        <v>0.88995394327873945</v>
      </c>
      <c r="D113" s="1188">
        <f>D112/D111</f>
        <v>0.51117167723154178</v>
      </c>
      <c r="E113" s="1188">
        <f>E112/E111</f>
        <v>0.41597891784317048</v>
      </c>
      <c r="F113" s="1188">
        <f>F112/F111</f>
        <v>0.41222002150453829</v>
      </c>
      <c r="G113" s="1188">
        <f>G112/G111</f>
        <v>0.47802567973078497</v>
      </c>
      <c r="H113" s="1186"/>
      <c r="I113" s="1187"/>
    </row>
    <row r="114" spans="2:10" ht="12" hidden="1" thickBot="1">
      <c r="B114" s="1183" t="s">
        <v>287</v>
      </c>
      <c r="C114" s="1190">
        <f>'FS QTR'!D15</f>
        <v>4.8659607999999999</v>
      </c>
      <c r="D114" s="1190">
        <f>'FS QTR'!E15</f>
        <v>15.961745200000014</v>
      </c>
      <c r="E114" s="1190">
        <f>'FS QTR'!F15</f>
        <v>32.970587300000005</v>
      </c>
      <c r="F114" s="1190">
        <f>'FS QTR'!G15</f>
        <v>16.369530499999993</v>
      </c>
      <c r="G114" s="1190">
        <f>SUM(C114:F114)</f>
        <v>70.167823800000008</v>
      </c>
      <c r="H114" s="1186"/>
      <c r="I114" s="1187"/>
    </row>
    <row r="115" spans="2:10" ht="12" hidden="1" thickBot="1">
      <c r="B115" s="1183" t="s">
        <v>1203</v>
      </c>
      <c r="C115" s="1188">
        <f>C114/C111</f>
        <v>0.1401262393234054</v>
      </c>
      <c r="D115" s="1188">
        <f>D114/D111</f>
        <v>0.16823484627203317</v>
      </c>
      <c r="E115" s="1188">
        <f>E114/E111</f>
        <v>0.21557516980770072</v>
      </c>
      <c r="F115" s="1188">
        <f>F114/F111</f>
        <v>0.13533318052177906</v>
      </c>
      <c r="G115" s="1188">
        <f>G114/G111</f>
        <v>0.17389666639986984</v>
      </c>
      <c r="H115" s="1186"/>
      <c r="I115" s="1187"/>
    </row>
    <row r="116" spans="2:10" ht="12" hidden="1" thickBot="1">
      <c r="B116" s="1183" t="s">
        <v>661</v>
      </c>
      <c r="C116" s="1190">
        <f>'FS QTR'!D24</f>
        <v>2.5543206999999994</v>
      </c>
      <c r="D116" s="1190">
        <f>'FS QTR'!E24</f>
        <v>5.6878933000000149</v>
      </c>
      <c r="E116" s="1190">
        <f>'FS QTR'!F24</f>
        <v>25.493338000000008</v>
      </c>
      <c r="F116" s="1190">
        <f>'FS QTR'!G24</f>
        <v>24.124399199999996</v>
      </c>
      <c r="G116" s="1190">
        <f>SUM(C116:F116)</f>
        <v>57.859951200000026</v>
      </c>
      <c r="H116" s="1186"/>
      <c r="I116" s="1187"/>
    </row>
    <row r="117" spans="2:10" ht="12" hidden="1" thickBot="1">
      <c r="B117" s="1183" t="s">
        <v>627</v>
      </c>
      <c r="C117" s="1188">
        <f>C116/C111</f>
        <v>7.3557385360960653E-2</v>
      </c>
      <c r="D117" s="1188">
        <f>D116/D111</f>
        <v>5.9949701172853524E-2</v>
      </c>
      <c r="E117" s="1188">
        <f>E116/E111</f>
        <v>0.16668585907522218</v>
      </c>
      <c r="F117" s="1188">
        <f>F116/F111</f>
        <v>0.19944565129177425</v>
      </c>
      <c r="G117" s="1188">
        <f>G116/G111</f>
        <v>0.14339410981902437</v>
      </c>
      <c r="H117" s="1186"/>
      <c r="I117" s="1187"/>
    </row>
    <row r="118" spans="2:10" ht="12" hidden="1" thickBot="1">
      <c r="B118" s="1183"/>
      <c r="C118" s="1184"/>
      <c r="D118" s="1184"/>
      <c r="E118" s="1184"/>
      <c r="F118" s="1184"/>
      <c r="G118" s="1185"/>
      <c r="H118" s="1186"/>
      <c r="I118" s="1187"/>
    </row>
    <row r="122" spans="2:10" ht="33.75">
      <c r="B122" s="1236"/>
      <c r="C122" s="1237" t="s">
        <v>1298</v>
      </c>
      <c r="D122" s="1352" t="s">
        <v>1299</v>
      </c>
      <c r="E122" s="1237" t="s">
        <v>1300</v>
      </c>
      <c r="F122" s="1638" t="s">
        <v>1761</v>
      </c>
      <c r="J122" s="1601"/>
    </row>
    <row r="123" spans="2:10">
      <c r="B123" s="1238" t="s">
        <v>1201</v>
      </c>
      <c r="C123" s="1350">
        <v>506</v>
      </c>
      <c r="D123" s="1602">
        <v>1612.98753889919</v>
      </c>
      <c r="E123" s="1639" t="e">
        <f>SUM(E124:E126)</f>
        <v>#REF!</v>
      </c>
      <c r="F123" s="1640" t="e">
        <f t="shared" ref="F123:F135" si="0">(E123-C123)/C123</f>
        <v>#REF!</v>
      </c>
      <c r="H123" s="1353"/>
      <c r="J123" s="1601"/>
    </row>
    <row r="124" spans="2:10">
      <c r="B124" s="1238" t="s">
        <v>1281</v>
      </c>
      <c r="C124" s="1350">
        <v>314</v>
      </c>
      <c r="D124" s="1602">
        <v>545.14062860543993</v>
      </c>
      <c r="E124" s="1641" t="e">
        <f>#REF!/1000</f>
        <v>#REF!</v>
      </c>
      <c r="F124" s="1640" t="e">
        <f t="shared" si="0"/>
        <v>#REF!</v>
      </c>
      <c r="J124" s="1601"/>
    </row>
    <row r="125" spans="2:10">
      <c r="B125" s="1238" t="s">
        <v>1282</v>
      </c>
      <c r="C125" s="1350">
        <v>148</v>
      </c>
      <c r="D125" s="1602">
        <v>956.41441029375005</v>
      </c>
      <c r="E125" s="1641">
        <f>Projects!F5/1000</f>
        <v>0</v>
      </c>
      <c r="F125" s="1640">
        <f t="shared" si="0"/>
        <v>-1</v>
      </c>
      <c r="J125" s="1601"/>
    </row>
    <row r="126" spans="2:10">
      <c r="B126" s="1238" t="s">
        <v>1283</v>
      </c>
      <c r="C126" s="1350">
        <v>44</v>
      </c>
      <c r="D126" s="1602">
        <v>111.4325</v>
      </c>
      <c r="E126" s="1641" t="e">
        <f>#REF!/1000</f>
        <v>#REF!</v>
      </c>
      <c r="F126" s="1640" t="e">
        <f t="shared" si="0"/>
        <v>#REF!</v>
      </c>
      <c r="J126" s="1601"/>
    </row>
    <row r="127" spans="2:10">
      <c r="B127" s="1238" t="s">
        <v>28</v>
      </c>
      <c r="C127" s="1350">
        <v>302</v>
      </c>
      <c r="D127" s="1602">
        <v>658.62829535145988</v>
      </c>
      <c r="E127" s="1639" t="e">
        <f>SUM(E128:E130)</f>
        <v>#REF!</v>
      </c>
      <c r="F127" s="1640" t="e">
        <f t="shared" si="0"/>
        <v>#REF!</v>
      </c>
      <c r="J127" s="1601"/>
    </row>
    <row r="128" spans="2:10">
      <c r="B128" s="1238" t="s">
        <v>1281</v>
      </c>
      <c r="C128" s="1350">
        <v>231</v>
      </c>
      <c r="D128" s="1602">
        <v>408.85547145407998</v>
      </c>
      <c r="E128" s="1639" t="e">
        <f>(#REF!-#REF!)/1000</f>
        <v>#REF!</v>
      </c>
      <c r="F128" s="1640" t="e">
        <f t="shared" si="0"/>
        <v>#REF!</v>
      </c>
      <c r="H128" s="1239"/>
      <c r="J128" s="1601"/>
    </row>
    <row r="129" spans="2:10">
      <c r="B129" s="1238" t="s">
        <v>1282</v>
      </c>
      <c r="C129" s="1350">
        <v>59</v>
      </c>
      <c r="D129" s="1602">
        <v>236.4009238973799</v>
      </c>
      <c r="E129" s="1639">
        <f>(Projects!F5-Projects!F6)/1000</f>
        <v>0</v>
      </c>
      <c r="F129" s="1640">
        <f t="shared" si="0"/>
        <v>-1</v>
      </c>
      <c r="H129" s="1239"/>
      <c r="J129" s="1601"/>
    </row>
    <row r="130" spans="2:10">
      <c r="B130" s="1238" t="s">
        <v>1283</v>
      </c>
      <c r="C130" s="1350">
        <v>12</v>
      </c>
      <c r="D130" s="1602">
        <v>13.371899999999995</v>
      </c>
      <c r="E130" s="1639" t="e">
        <f>(#REF!-#REF!)/1000</f>
        <v>#REF!</v>
      </c>
      <c r="F130" s="1640" t="e">
        <f t="shared" si="0"/>
        <v>#REF!</v>
      </c>
      <c r="H130" s="1239"/>
      <c r="J130" s="1601"/>
    </row>
    <row r="131" spans="2:10">
      <c r="B131" s="1238" t="s">
        <v>1284</v>
      </c>
      <c r="C131" s="1350">
        <v>-54</v>
      </c>
      <c r="D131" s="1602">
        <v>-111.16654195350432</v>
      </c>
      <c r="E131" s="1639">
        <f>'P&amp;L'!H14</f>
        <v>-0.16200000000000001</v>
      </c>
      <c r="F131" s="1640">
        <f t="shared" si="0"/>
        <v>-0.997</v>
      </c>
      <c r="J131" s="1601"/>
    </row>
    <row r="132" spans="2:10">
      <c r="B132" s="1238" t="s">
        <v>1285</v>
      </c>
      <c r="C132" s="1350">
        <v>-82</v>
      </c>
      <c r="D132" s="1602">
        <v>-155.13784986331515</v>
      </c>
      <c r="E132" s="1639">
        <f>'P&amp;L'!H16</f>
        <v>-0.10800000000000001</v>
      </c>
      <c r="F132" s="1640">
        <f t="shared" si="0"/>
        <v>-0.99868292682926829</v>
      </c>
      <c r="J132" s="1601"/>
    </row>
    <row r="133" spans="2:10">
      <c r="B133" s="1238" t="s">
        <v>287</v>
      </c>
      <c r="C133" s="1350">
        <v>165</v>
      </c>
      <c r="D133" s="1602">
        <v>392.32390353464041</v>
      </c>
      <c r="E133" s="1639" t="e">
        <f>E127+SUM(E131:E132)</f>
        <v>#REF!</v>
      </c>
      <c r="F133" s="1640" t="e">
        <f t="shared" si="0"/>
        <v>#REF!</v>
      </c>
      <c r="J133" s="1601"/>
    </row>
    <row r="134" spans="2:10">
      <c r="B134" s="1238" t="s">
        <v>1286</v>
      </c>
      <c r="C134" s="1350">
        <v>102</v>
      </c>
      <c r="D134" s="1602">
        <v>46.726412841796261</v>
      </c>
      <c r="E134" s="1639">
        <f>'P&amp;L'!H21+'P&amp;L'!H24+'P&amp;L'!H25</f>
        <v>0.16</v>
      </c>
      <c r="F134" s="1640">
        <f t="shared" si="0"/>
        <v>-0.99843137254901959</v>
      </c>
      <c r="J134" s="1601"/>
    </row>
    <row r="135" spans="2:10">
      <c r="B135" s="1238" t="s">
        <v>288</v>
      </c>
      <c r="C135" s="1350">
        <v>267</v>
      </c>
      <c r="D135" s="1602">
        <v>439.05031637643668</v>
      </c>
      <c r="E135" s="1639" t="e">
        <f>SUM(E133:E134)</f>
        <v>#REF!</v>
      </c>
      <c r="F135" s="1640" t="e">
        <f t="shared" si="0"/>
        <v>#REF!</v>
      </c>
      <c r="J135" s="1601"/>
    </row>
    <row r="136" spans="2:10">
      <c r="B136" s="1238" t="s">
        <v>805</v>
      </c>
      <c r="C136" s="1350">
        <v>0</v>
      </c>
      <c r="D136" s="1602">
        <v>-6.9714</v>
      </c>
      <c r="E136" s="1639">
        <f>'P&amp;L'!H23</f>
        <v>-8.9999999999999993E-3</v>
      </c>
      <c r="F136" s="1640" t="str">
        <f>IFERROR((E136-C136)/C136,"")</f>
        <v/>
      </c>
      <c r="J136" s="1601"/>
    </row>
    <row r="137" spans="2:10">
      <c r="B137" s="1238" t="s">
        <v>845</v>
      </c>
      <c r="C137" s="1350">
        <v>267</v>
      </c>
      <c r="D137" s="1602">
        <v>432.07891637643667</v>
      </c>
      <c r="E137" s="1639" t="e">
        <f>SUM(E135:E136)</f>
        <v>#REF!</v>
      </c>
      <c r="F137" s="1640" t="e">
        <f>(E137-C137)/C137</f>
        <v>#REF!</v>
      </c>
      <c r="J137" s="1601"/>
    </row>
    <row r="138" spans="2:10">
      <c r="B138" s="1238" t="s">
        <v>36</v>
      </c>
      <c r="C138" s="1350">
        <v>213</v>
      </c>
      <c r="D138" s="1602">
        <v>337.02155477362049</v>
      </c>
      <c r="E138" s="1639">
        <f>'P&amp;L'!H28</f>
        <v>0.44599999999999995</v>
      </c>
      <c r="F138" s="1640">
        <f>(E138-C138)/C138</f>
        <v>-0.99790610328638496</v>
      </c>
      <c r="J138" s="1601"/>
    </row>
    <row r="139" spans="2:10">
      <c r="B139" s="1238" t="s">
        <v>1287</v>
      </c>
      <c r="C139" s="1350">
        <v>168</v>
      </c>
      <c r="D139" s="1602">
        <v>257.55208417874582</v>
      </c>
      <c r="E139" s="1639">
        <f>'P&amp;L'!H30</f>
        <v>0.33699999999999997</v>
      </c>
      <c r="F139" s="1640">
        <f>(E139-C139)/C139</f>
        <v>-0.99799404761904764</v>
      </c>
      <c r="H139" s="1353"/>
      <c r="J139" s="1601"/>
    </row>
    <row r="140" spans="2:10">
      <c r="B140" s="1238" t="s">
        <v>4</v>
      </c>
      <c r="C140" s="1350">
        <v>270</v>
      </c>
      <c r="D140" s="1602">
        <v>405.18410579011675</v>
      </c>
      <c r="E140" s="1639">
        <f>'P&amp;L'!H33</f>
        <v>0.39530000000000004</v>
      </c>
      <c r="F140" s="1640">
        <f>(E140-C140)/C140</f>
        <v>-0.99853592592592588</v>
      </c>
      <c r="J140" s="1601"/>
    </row>
    <row r="141" spans="2:10">
      <c r="B141" s="1238"/>
      <c r="C141" s="1350"/>
      <c r="D141" s="1388"/>
      <c r="E141" s="1388"/>
      <c r="F141" s="1236"/>
      <c r="J141" s="1601"/>
    </row>
    <row r="142" spans="2:10">
      <c r="B142" s="1238" t="s">
        <v>1288</v>
      </c>
      <c r="C142" s="1351">
        <v>0.59699999999999998</v>
      </c>
      <c r="D142" s="1400">
        <v>0.40832819812169885</v>
      </c>
      <c r="E142" s="1642" t="e">
        <f>E127/E123</f>
        <v>#REF!</v>
      </c>
      <c r="F142" s="1236"/>
      <c r="J142" s="1601"/>
    </row>
    <row r="143" spans="2:10">
      <c r="B143" s="1238" t="s">
        <v>1289</v>
      </c>
      <c r="C143" s="1351">
        <v>0.73599999999999999</v>
      </c>
      <c r="D143" s="1400">
        <v>0.75</v>
      </c>
      <c r="E143" s="1642" t="e">
        <f>E128/E124</f>
        <v>#REF!</v>
      </c>
      <c r="F143" s="1236"/>
      <c r="J143" s="1601"/>
    </row>
    <row r="144" spans="2:10">
      <c r="B144" s="1238" t="s">
        <v>1290</v>
      </c>
      <c r="C144" s="1351">
        <v>0.39900000000000002</v>
      </c>
      <c r="D144" s="1400">
        <v>0.24717415521245908</v>
      </c>
      <c r="E144" s="1642" t="e">
        <f>E129/E125</f>
        <v>#DIV/0!</v>
      </c>
      <c r="F144" s="1236"/>
      <c r="J144" s="1601"/>
    </row>
    <row r="145" spans="2:10">
      <c r="B145" s="1238" t="s">
        <v>1291</v>
      </c>
      <c r="C145" s="1351">
        <v>0.27300000000000002</v>
      </c>
      <c r="D145" s="1400">
        <v>0.11999999999999995</v>
      </c>
      <c r="E145" s="1642" t="e">
        <f>E130/E126</f>
        <v>#REF!</v>
      </c>
      <c r="F145" s="1236"/>
      <c r="J145" s="1601"/>
    </row>
    <row r="146" spans="2:10">
      <c r="B146" s="1238" t="s">
        <v>1292</v>
      </c>
      <c r="C146" s="1351">
        <v>-0.107</v>
      </c>
      <c r="D146" s="1400">
        <v>-6.8919653297118313E-2</v>
      </c>
      <c r="E146" s="1642" t="e">
        <f>E131/E123</f>
        <v>#REF!</v>
      </c>
      <c r="F146" s="1236"/>
      <c r="J146" s="1601"/>
    </row>
    <row r="147" spans="2:10">
      <c r="B147" s="1238" t="s">
        <v>1293</v>
      </c>
      <c r="C147" s="1351">
        <v>-0.16200000000000001</v>
      </c>
      <c r="D147" s="1400">
        <v>-9.6180439167677351E-2</v>
      </c>
      <c r="E147" s="1642" t="e">
        <f>E132/E123</f>
        <v>#REF!</v>
      </c>
      <c r="F147" s="1236"/>
      <c r="J147" s="1601"/>
    </row>
    <row r="148" spans="2:10">
      <c r="B148" s="1238" t="s">
        <v>1294</v>
      </c>
      <c r="C148" s="1351">
        <v>0.32600000000000001</v>
      </c>
      <c r="D148" s="1400">
        <v>0.24322810565690317</v>
      </c>
      <c r="E148" s="1642" t="e">
        <f>E133/E123</f>
        <v>#REF!</v>
      </c>
      <c r="F148" s="1236"/>
      <c r="J148" s="1601"/>
    </row>
    <row r="149" spans="2:10">
      <c r="B149" s="1238" t="s">
        <v>1295</v>
      </c>
      <c r="C149" s="1351">
        <v>0.52800000000000002</v>
      </c>
      <c r="D149" s="1400">
        <v>0.27219696729713971</v>
      </c>
      <c r="E149" s="1642" t="e">
        <f>E135/E123</f>
        <v>#REF!</v>
      </c>
      <c r="F149" s="1236"/>
      <c r="J149" s="1601"/>
    </row>
    <row r="150" spans="2:10">
      <c r="B150" s="1238" t="s">
        <v>1296</v>
      </c>
      <c r="C150" s="1351">
        <v>0.53400000000000003</v>
      </c>
      <c r="D150" s="1400">
        <v>0.25120101427853642</v>
      </c>
      <c r="E150" s="1642" t="e">
        <f>E140/E123</f>
        <v>#REF!</v>
      </c>
      <c r="F150" s="1236"/>
      <c r="J150" s="1601"/>
    </row>
    <row r="151" spans="2:10">
      <c r="B151" s="1238" t="s">
        <v>1191</v>
      </c>
      <c r="C151" s="1351">
        <v>0.33200000000000002</v>
      </c>
      <c r="D151" s="1400">
        <v>0.15967394537624047</v>
      </c>
      <c r="E151" s="1642" t="e">
        <f>E139/E123</f>
        <v>#REF!</v>
      </c>
      <c r="F151" s="1236"/>
      <c r="J151" s="1601"/>
    </row>
    <row r="152" spans="2:10">
      <c r="B152" s="1238" t="s">
        <v>1297</v>
      </c>
      <c r="C152" s="1351">
        <v>0.20200000000000001</v>
      </c>
      <c r="D152" s="1400">
        <v>0.2200000000000002</v>
      </c>
      <c r="E152" s="1642" t="e">
        <f>1-E138/E137</f>
        <v>#REF!</v>
      </c>
      <c r="F152" s="1236"/>
      <c r="J152" s="1601"/>
    </row>
  </sheetData>
  <pageMargins left="0.7" right="0.7" top="0.75" bottom="0.75" header="0.3" footer="0.3"/>
  <pageSetup paperSize="9"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5"/>
  <sheetViews>
    <sheetView zoomScale="135" zoomScaleNormal="135" workbookViewId="0">
      <selection activeCell="D11" sqref="D11"/>
    </sheetView>
  </sheetViews>
  <sheetFormatPr defaultColWidth="9.140625" defaultRowHeight="12"/>
  <cols>
    <col min="1" max="1" width="9.140625" style="1431"/>
    <col min="2" max="2" width="39" style="1431" customWidth="1"/>
    <col min="3" max="4" width="14.85546875" style="1431" customWidth="1"/>
    <col min="5" max="7" width="14.5703125" style="1431" customWidth="1"/>
    <col min="8" max="8" width="12.7109375" style="1431" bestFit="1" customWidth="1"/>
    <col min="9" max="9" width="25.140625" style="1431" bestFit="1" customWidth="1"/>
    <col min="10" max="10" width="12.7109375" style="1431" bestFit="1" customWidth="1"/>
    <col min="11" max="11" width="11.140625" style="1431" customWidth="1"/>
    <col min="12" max="16384" width="9.140625" style="1431"/>
  </cols>
  <sheetData>
    <row r="1" spans="1:10" ht="21">
      <c r="A1" s="1404" t="s">
        <v>1697</v>
      </c>
    </row>
    <row r="2" spans="1:10">
      <c r="A2" s="1405" t="s">
        <v>1538</v>
      </c>
    </row>
    <row r="3" spans="1:10">
      <c r="A3" s="1405"/>
      <c r="H3" s="1431" t="s">
        <v>1737</v>
      </c>
      <c r="I3" s="1557">
        <v>22500</v>
      </c>
    </row>
    <row r="4" spans="1:10" s="1407" customFormat="1">
      <c r="B4" s="1407" t="s">
        <v>1701</v>
      </c>
      <c r="C4" s="1407" t="s">
        <v>649</v>
      </c>
      <c r="D4" s="1455" t="s">
        <v>1141</v>
      </c>
      <c r="E4" s="1455" t="s">
        <v>1702</v>
      </c>
      <c r="F4" s="1407" t="s">
        <v>1735</v>
      </c>
      <c r="G4" s="1407" t="s">
        <v>1736</v>
      </c>
    </row>
    <row r="5" spans="1:10">
      <c r="A5" s="1431">
        <v>1</v>
      </c>
      <c r="B5" s="1431" t="s">
        <v>666</v>
      </c>
      <c r="C5" s="1431" t="s">
        <v>703</v>
      </c>
      <c r="D5" s="1463" t="e">
        <f>#REF!</f>
        <v>#REF!</v>
      </c>
      <c r="E5" s="1463" t="e">
        <f>#REF!</f>
        <v>#REF!</v>
      </c>
      <c r="F5" s="1433" t="e">
        <f>E5/$E$17</f>
        <v>#REF!</v>
      </c>
      <c r="G5" s="1452" t="e">
        <f>E5/$I$3</f>
        <v>#REF!</v>
      </c>
    </row>
    <row r="6" spans="1:10">
      <c r="A6" s="1431">
        <f>A5+1</f>
        <v>2</v>
      </c>
      <c r="B6" s="1431" t="s">
        <v>664</v>
      </c>
      <c r="C6" s="1431" t="s">
        <v>695</v>
      </c>
      <c r="D6" s="1463" t="e">
        <f>#REF!</f>
        <v>#REF!</v>
      </c>
      <c r="E6" s="1463" t="e">
        <f>#REF!</f>
        <v>#REF!</v>
      </c>
      <c r="F6" s="1433" t="e">
        <f t="shared" ref="F6:F17" si="0">E6/$E$17</f>
        <v>#REF!</v>
      </c>
      <c r="G6" s="1452" t="e">
        <f t="shared" ref="G6:G17" si="1">E6/$I$3</f>
        <v>#REF!</v>
      </c>
    </row>
    <row r="7" spans="1:10">
      <c r="A7" s="1431">
        <f t="shared" ref="A7:A16" si="2">A6+1</f>
        <v>3</v>
      </c>
      <c r="B7" s="1431" t="s">
        <v>1537</v>
      </c>
      <c r="C7" s="1431" t="s">
        <v>703</v>
      </c>
      <c r="D7" s="1463" t="e">
        <f>#REF!</f>
        <v>#REF!</v>
      </c>
      <c r="E7" s="1463" t="e">
        <f>#REF!</f>
        <v>#REF!</v>
      </c>
      <c r="F7" s="1433" t="e">
        <f t="shared" si="0"/>
        <v>#REF!</v>
      </c>
      <c r="G7" s="1452" t="e">
        <f t="shared" si="1"/>
        <v>#REF!</v>
      </c>
    </row>
    <row r="8" spans="1:10">
      <c r="A8" s="1431">
        <f t="shared" si="2"/>
        <v>4</v>
      </c>
      <c r="B8" s="1431" t="s">
        <v>1700</v>
      </c>
      <c r="C8" s="1431" t="s">
        <v>1726</v>
      </c>
      <c r="D8" s="1463" t="e">
        <f>#REF!</f>
        <v>#REF!</v>
      </c>
      <c r="E8" s="1463" t="e">
        <f>#REF!</f>
        <v>#REF!</v>
      </c>
      <c r="F8" s="1433" t="e">
        <f t="shared" si="0"/>
        <v>#REF!</v>
      </c>
      <c r="G8" s="1452" t="e">
        <f t="shared" si="1"/>
        <v>#REF!</v>
      </c>
    </row>
    <row r="9" spans="1:10">
      <c r="A9" s="1431">
        <f t="shared" si="2"/>
        <v>5</v>
      </c>
      <c r="B9" s="1431" t="s">
        <v>1717</v>
      </c>
      <c r="C9" s="1431" t="s">
        <v>703</v>
      </c>
      <c r="D9" s="1463" t="e">
        <f>#REF!</f>
        <v>#REF!</v>
      </c>
      <c r="E9" s="1463" t="e">
        <f>#REF!</f>
        <v>#REF!</v>
      </c>
      <c r="F9" s="1433" t="e">
        <f t="shared" si="0"/>
        <v>#REF!</v>
      </c>
      <c r="G9" s="1452" t="e">
        <f t="shared" si="1"/>
        <v>#REF!</v>
      </c>
    </row>
    <row r="10" spans="1:10">
      <c r="A10" s="1431">
        <f t="shared" si="2"/>
        <v>6</v>
      </c>
      <c r="B10" s="1431" t="s">
        <v>1718</v>
      </c>
      <c r="C10" s="1431" t="s">
        <v>703</v>
      </c>
      <c r="D10" s="1463" t="e">
        <f>#REF!</f>
        <v>#REF!</v>
      </c>
      <c r="E10" s="1463" t="e">
        <f>#REF!</f>
        <v>#REF!</v>
      </c>
      <c r="F10" s="1433" t="e">
        <f t="shared" si="0"/>
        <v>#REF!</v>
      </c>
      <c r="G10" s="1452" t="e">
        <f t="shared" si="1"/>
        <v>#REF!</v>
      </c>
    </row>
    <row r="11" spans="1:10">
      <c r="A11" s="1431">
        <f t="shared" si="2"/>
        <v>7</v>
      </c>
      <c r="B11" s="1431" t="s">
        <v>1732</v>
      </c>
      <c r="C11" s="1431" t="s">
        <v>703</v>
      </c>
      <c r="D11" s="1463" t="e">
        <f>#REF!</f>
        <v>#REF!</v>
      </c>
      <c r="E11" s="1463" t="e">
        <f>#REF!</f>
        <v>#REF!</v>
      </c>
      <c r="F11" s="1433" t="e">
        <f t="shared" si="0"/>
        <v>#REF!</v>
      </c>
      <c r="G11" s="1452" t="e">
        <f t="shared" si="1"/>
        <v>#REF!</v>
      </c>
    </row>
    <row r="12" spans="1:10">
      <c r="A12" s="1431">
        <f t="shared" si="2"/>
        <v>8</v>
      </c>
      <c r="B12" s="1431" t="s">
        <v>1723</v>
      </c>
      <c r="C12" s="1431" t="s">
        <v>703</v>
      </c>
      <c r="D12" s="1463" t="e">
        <f>#REF!</f>
        <v>#REF!</v>
      </c>
      <c r="E12" s="1463" t="e">
        <f>#REF!</f>
        <v>#REF!</v>
      </c>
      <c r="F12" s="1433" t="e">
        <f t="shared" si="0"/>
        <v>#REF!</v>
      </c>
      <c r="G12" s="1452" t="e">
        <f t="shared" si="1"/>
        <v>#REF!</v>
      </c>
    </row>
    <row r="13" spans="1:10">
      <c r="A13" s="1431">
        <f t="shared" si="2"/>
        <v>9</v>
      </c>
      <c r="B13" s="1431" t="s">
        <v>1724</v>
      </c>
      <c r="C13" s="1431" t="s">
        <v>703</v>
      </c>
      <c r="D13" s="1463" t="e">
        <f>#REF!</f>
        <v>#REF!</v>
      </c>
      <c r="E13" s="1463" t="e">
        <f>#REF!</f>
        <v>#REF!</v>
      </c>
      <c r="F13" s="1433" t="e">
        <f t="shared" si="0"/>
        <v>#REF!</v>
      </c>
      <c r="G13" s="1452" t="e">
        <f t="shared" si="1"/>
        <v>#REF!</v>
      </c>
    </row>
    <row r="14" spans="1:10">
      <c r="A14" s="1431">
        <f t="shared" si="2"/>
        <v>10</v>
      </c>
      <c r="B14" s="1431" t="s">
        <v>1716</v>
      </c>
      <c r="C14" s="1431" t="s">
        <v>703</v>
      </c>
      <c r="D14" s="1463" t="e">
        <f>#REF!</f>
        <v>#REF!</v>
      </c>
      <c r="E14" s="1463" t="e">
        <f>#REF!</f>
        <v>#REF!</v>
      </c>
      <c r="F14" s="1433" t="e">
        <f t="shared" si="0"/>
        <v>#REF!</v>
      </c>
      <c r="G14" s="1452" t="e">
        <f t="shared" si="1"/>
        <v>#REF!</v>
      </c>
    </row>
    <row r="15" spans="1:10">
      <c r="A15" s="1431">
        <f t="shared" si="2"/>
        <v>11</v>
      </c>
      <c r="B15" s="1431" t="s">
        <v>1725</v>
      </c>
      <c r="C15" s="1431" t="s">
        <v>703</v>
      </c>
      <c r="D15" s="1463" t="e">
        <f>#REF!</f>
        <v>#REF!</v>
      </c>
      <c r="E15" s="1463" t="e">
        <f>#REF!</f>
        <v>#REF!</v>
      </c>
      <c r="F15" s="1433" t="e">
        <f t="shared" si="0"/>
        <v>#REF!</v>
      </c>
      <c r="G15" s="1452" t="e">
        <f t="shared" si="1"/>
        <v>#REF!</v>
      </c>
    </row>
    <row r="16" spans="1:10">
      <c r="A16" s="1431">
        <f t="shared" si="2"/>
        <v>12</v>
      </c>
      <c r="B16" s="1431" t="s">
        <v>1719</v>
      </c>
      <c r="C16" s="1431" t="s">
        <v>703</v>
      </c>
      <c r="D16" s="1463" t="e">
        <f>#REF!</f>
        <v>#REF!</v>
      </c>
      <c r="E16" s="1463" t="e">
        <f>#REF!</f>
        <v>#REF!</v>
      </c>
      <c r="F16" s="1433" t="e">
        <f t="shared" si="0"/>
        <v>#REF!</v>
      </c>
      <c r="G16" s="1452" t="e">
        <f t="shared" si="1"/>
        <v>#REF!</v>
      </c>
      <c r="J16" s="1433"/>
    </row>
    <row r="17" spans="1:13">
      <c r="B17" s="1431" t="s">
        <v>642</v>
      </c>
      <c r="C17" s="1433"/>
      <c r="D17" s="1433"/>
      <c r="E17" s="1440" t="e">
        <f>SUM(E5:E16)</f>
        <v>#REF!</v>
      </c>
      <c r="F17" s="1433" t="e">
        <f t="shared" si="0"/>
        <v>#REF!</v>
      </c>
      <c r="G17" s="1452" t="e">
        <f t="shared" si="1"/>
        <v>#REF!</v>
      </c>
      <c r="J17" s="1433"/>
    </row>
    <row r="18" spans="1:13">
      <c r="B18" s="1407" t="s">
        <v>1703</v>
      </c>
      <c r="E18" s="1463" t="e">
        <f>#REF!</f>
        <v>#REF!</v>
      </c>
      <c r="I18" s="1407" t="s">
        <v>1707</v>
      </c>
      <c r="J18" s="1407"/>
      <c r="K18" s="1431" t="s">
        <v>663</v>
      </c>
      <c r="L18" s="1436" t="e">
        <f>M18/$M$23</f>
        <v>#REF!</v>
      </c>
      <c r="M18" s="1440" t="e">
        <f>E17</f>
        <v>#REF!</v>
      </c>
    </row>
    <row r="19" spans="1:13">
      <c r="B19" s="1431" t="s">
        <v>1012</v>
      </c>
      <c r="E19" s="1423">
        <v>822037</v>
      </c>
      <c r="I19" s="1431" t="s">
        <v>1708</v>
      </c>
      <c r="J19" s="1423">
        <v>870000</v>
      </c>
      <c r="K19" s="1431" t="s">
        <v>1733</v>
      </c>
      <c r="L19" s="1436" t="e">
        <f>M19/$M$23</f>
        <v>#REF!</v>
      </c>
      <c r="M19" s="1440" t="e">
        <f>'New Valuation'!E18</f>
        <v>#REF!</v>
      </c>
    </row>
    <row r="20" spans="1:13">
      <c r="B20" s="1431" t="s">
        <v>1711</v>
      </c>
      <c r="E20" s="1583">
        <f>J21</f>
        <v>361050</v>
      </c>
      <c r="I20" s="1431" t="s">
        <v>1709</v>
      </c>
      <c r="J20" s="1582">
        <v>0.41499999999999998</v>
      </c>
      <c r="K20" s="1431" t="s">
        <v>1730</v>
      </c>
      <c r="L20" s="1436" t="e">
        <f>M20/$M$23</f>
        <v>#REF!</v>
      </c>
      <c r="M20" s="1557">
        <f>E21</f>
        <v>1172</v>
      </c>
    </row>
    <row r="21" spans="1:13">
      <c r="B21" s="1431" t="s">
        <v>1730</v>
      </c>
      <c r="E21" s="1519">
        <f>Equity!J20</f>
        <v>1172</v>
      </c>
      <c r="I21" s="1431" t="s">
        <v>1710</v>
      </c>
      <c r="J21" s="1440">
        <f>J19*J20</f>
        <v>361050</v>
      </c>
      <c r="K21" s="1431" t="s">
        <v>1012</v>
      </c>
      <c r="L21" s="1436" t="e">
        <f>M21/$M$23</f>
        <v>#REF!</v>
      </c>
      <c r="M21" s="1440">
        <f>E19</f>
        <v>822037</v>
      </c>
    </row>
    <row r="22" spans="1:13">
      <c r="B22" s="1431" t="s">
        <v>759</v>
      </c>
      <c r="E22" s="1423">
        <v>353571</v>
      </c>
      <c r="K22" s="1431" t="str">
        <f>B20</f>
        <v>Investment in LDG</v>
      </c>
      <c r="L22" s="1436" t="e">
        <f>M22/$M$23</f>
        <v>#REF!</v>
      </c>
      <c r="M22" s="1440">
        <f>E20</f>
        <v>361050</v>
      </c>
    </row>
    <row r="23" spans="1:13">
      <c r="B23" s="1431" t="s">
        <v>1704</v>
      </c>
      <c r="E23" s="1440" t="e">
        <f>SUM(E17:E21)-E22</f>
        <v>#REF!</v>
      </c>
      <c r="L23" s="1436" t="e">
        <f>SUM(L18:L22)</f>
        <v>#REF!</v>
      </c>
      <c r="M23" s="1440" t="e">
        <f>SUM(M18:M22)</f>
        <v>#REF!</v>
      </c>
    </row>
    <row r="24" spans="1:13">
      <c r="B24" s="1431" t="s">
        <v>1204</v>
      </c>
      <c r="C24" s="1423"/>
      <c r="D24" s="1423"/>
      <c r="E24" s="1423" t="e">
        <f>E23*80%</f>
        <v>#REF!</v>
      </c>
      <c r="I24" s="1407" t="s">
        <v>1713</v>
      </c>
    </row>
    <row r="25" spans="1:13">
      <c r="B25" s="1431" t="s">
        <v>1705</v>
      </c>
      <c r="C25" s="1423"/>
      <c r="D25" s="1423"/>
      <c r="E25" s="1463">
        <f>IS!J31</f>
        <v>495.65</v>
      </c>
      <c r="I25" s="1431" t="s">
        <v>1714</v>
      </c>
      <c r="J25" s="1423">
        <v>2168300</v>
      </c>
    </row>
    <row r="26" spans="1:13">
      <c r="B26" s="1431" t="s">
        <v>1706</v>
      </c>
      <c r="E26" s="1440" t="e">
        <f>E24/E25</f>
        <v>#REF!</v>
      </c>
      <c r="I26" s="1431" t="s">
        <v>1715</v>
      </c>
      <c r="J26" s="1463">
        <f>Equity!J20</f>
        <v>1172</v>
      </c>
    </row>
    <row r="27" spans="1:13">
      <c r="B27" s="1431" t="s">
        <v>731</v>
      </c>
      <c r="E27" s="1410">
        <f>J28</f>
        <v>4377.0241097548678</v>
      </c>
      <c r="I27" s="1431" t="s">
        <v>1705</v>
      </c>
      <c r="J27" s="1410">
        <f>E25</f>
        <v>495.65</v>
      </c>
    </row>
    <row r="28" spans="1:13">
      <c r="B28" s="1419" t="s">
        <v>732</v>
      </c>
      <c r="C28" s="1600"/>
      <c r="D28" s="1600"/>
      <c r="E28" s="1593" t="e">
        <f>E26/E27-1</f>
        <v>#REF!</v>
      </c>
      <c r="I28" s="1431" t="s">
        <v>1713</v>
      </c>
      <c r="J28" s="1440">
        <f>SUM(J25:J26)/J27</f>
        <v>4377.0241097548678</v>
      </c>
    </row>
    <row r="29" spans="1:13" s="1407" customFormat="1">
      <c r="A29" s="1431"/>
      <c r="E29" s="1590"/>
      <c r="F29" s="1590"/>
      <c r="G29" s="1590"/>
    </row>
    <row r="30" spans="1:13">
      <c r="A30" s="1407"/>
    </row>
    <row r="31" spans="1:13">
      <c r="B31" s="1407" t="s">
        <v>1721</v>
      </c>
      <c r="E31" s="1440"/>
      <c r="F31" s="1440"/>
      <c r="G31" s="1440"/>
    </row>
    <row r="32" spans="1:13">
      <c r="B32" s="1431" t="s">
        <v>1720</v>
      </c>
      <c r="C32" s="1440" t="e">
        <f>SUM(E5:E15)</f>
        <v>#REF!</v>
      </c>
      <c r="D32" s="1440"/>
      <c r="E32" s="1440"/>
      <c r="F32" s="1440"/>
      <c r="G32" s="1440"/>
    </row>
    <row r="33" spans="2:4">
      <c r="B33" s="1431" t="s">
        <v>1703</v>
      </c>
      <c r="C33" s="1463" t="e">
        <f>E18</f>
        <v>#REF!</v>
      </c>
      <c r="D33" s="1463"/>
    </row>
    <row r="34" spans="2:4">
      <c r="B34" s="1431" t="s">
        <v>1012</v>
      </c>
      <c r="C34" s="1410">
        <f>E19</f>
        <v>822037</v>
      </c>
      <c r="D34" s="1410"/>
    </row>
    <row r="35" spans="2:4">
      <c r="B35" s="1431" t="s">
        <v>1711</v>
      </c>
      <c r="C35" s="1583">
        <f>J21</f>
        <v>361050</v>
      </c>
      <c r="D35" s="1583"/>
    </row>
    <row r="36" spans="2:4">
      <c r="B36" s="1431" t="s">
        <v>759</v>
      </c>
      <c r="C36" s="1410">
        <f>E22</f>
        <v>353571</v>
      </c>
      <c r="D36" s="1410"/>
    </row>
    <row r="37" spans="2:4">
      <c r="B37" s="1431" t="s">
        <v>1704</v>
      </c>
      <c r="C37" s="1440" t="e">
        <f>SUM(C32:C35)-C36</f>
        <v>#REF!</v>
      </c>
      <c r="D37" s="1440"/>
    </row>
    <row r="38" spans="2:4">
      <c r="B38" s="1431" t="s">
        <v>1204</v>
      </c>
      <c r="C38" s="1440" t="e">
        <f>C37*80%</f>
        <v>#REF!</v>
      </c>
      <c r="D38" s="1440"/>
    </row>
    <row r="39" spans="2:4">
      <c r="B39" s="1431" t="s">
        <v>1705</v>
      </c>
      <c r="C39" s="1592" t="e">
        <f>Equity!#REF!</f>
        <v>#REF!</v>
      </c>
      <c r="D39" s="1592"/>
    </row>
    <row r="40" spans="2:4">
      <c r="B40" s="1432" t="s">
        <v>1706</v>
      </c>
      <c r="C40" s="1441" t="e">
        <f>C38/C39</f>
        <v>#REF!</v>
      </c>
      <c r="D40" s="1440"/>
    </row>
    <row r="41" spans="2:4">
      <c r="B41" s="1431" t="s">
        <v>731</v>
      </c>
      <c r="C41" s="1440" t="e">
        <f>J25/C39</f>
        <v>#REF!</v>
      </c>
      <c r="D41" s="1440"/>
    </row>
    <row r="42" spans="2:4">
      <c r="B42" s="1407" t="s">
        <v>732</v>
      </c>
      <c r="C42" s="1589" t="e">
        <f>C40/C41-1</f>
        <v>#REF!</v>
      </c>
      <c r="D42" s="1589"/>
    </row>
    <row r="44" spans="2:4">
      <c r="B44" s="1431" t="s">
        <v>666</v>
      </c>
    </row>
    <row r="45" spans="2:4">
      <c r="B45" s="1431" t="s">
        <v>664</v>
      </c>
    </row>
    <row r="46" spans="2:4">
      <c r="B46" s="1431" t="s">
        <v>1537</v>
      </c>
    </row>
    <row r="47" spans="2:4">
      <c r="B47" s="1431" t="s">
        <v>1700</v>
      </c>
    </row>
    <row r="48" spans="2:4">
      <c r="B48" s="1431" t="s">
        <v>668</v>
      </c>
    </row>
    <row r="49" spans="2:2">
      <c r="B49" s="1431" t="s">
        <v>1738</v>
      </c>
    </row>
    <row r="50" spans="2:2">
      <c r="B50" s="1431" t="s">
        <v>1314</v>
      </c>
    </row>
    <row r="51" spans="2:2">
      <c r="B51" s="1431" t="s">
        <v>1319</v>
      </c>
    </row>
    <row r="52" spans="2:2">
      <c r="B52" s="1431" t="s">
        <v>1739</v>
      </c>
    </row>
    <row r="53" spans="2:2">
      <c r="B53" s="1431" t="s">
        <v>1740</v>
      </c>
    </row>
    <row r="54" spans="2:2">
      <c r="B54" s="1431" t="s">
        <v>1251</v>
      </c>
    </row>
    <row r="55" spans="2:2">
      <c r="B55" s="1431" t="s">
        <v>1719</v>
      </c>
    </row>
  </sheetData>
  <pageMargins left="0.7" right="0.7" top="0.75" bottom="0.75" header="0.3" footer="0.3"/>
  <pageSetup orientation="portrait" r:id="rId1"/>
  <drawing r:id="rId2"/>
  <legacy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B2590-1766-41F2-9FDD-11395881B36E}">
  <dimension ref="B1:L80"/>
  <sheetViews>
    <sheetView topLeftCell="A24" workbookViewId="0">
      <selection activeCell="G49" sqref="G49"/>
    </sheetView>
  </sheetViews>
  <sheetFormatPr defaultRowHeight="12"/>
  <cols>
    <col min="2" max="2" width="33.28515625" bestFit="1" customWidth="1"/>
    <col min="3" max="7" width="9.28515625" bestFit="1" customWidth="1"/>
    <col min="8" max="8" width="9.5703125" bestFit="1" customWidth="1"/>
  </cols>
  <sheetData>
    <row r="1" spans="2:8">
      <c r="B1" s="518" t="s">
        <v>1139</v>
      </c>
      <c r="C1" s="518">
        <f>Projects!N119</f>
        <v>2023</v>
      </c>
      <c r="D1" s="518">
        <f>Projects!O119</f>
        <v>2024</v>
      </c>
      <c r="E1" s="518">
        <f>Projects!P119</f>
        <v>2025</v>
      </c>
      <c r="F1" s="518">
        <f>Projects!Q119</f>
        <v>2026</v>
      </c>
      <c r="G1" s="518">
        <f>Projects!R119</f>
        <v>2027</v>
      </c>
      <c r="H1" s="518">
        <f>Projects!S119</f>
        <v>2028</v>
      </c>
    </row>
    <row r="2" spans="2:8">
      <c r="B2" t="str">
        <f>Projects!B90</f>
        <v>Gem Sky World Long Thanh</v>
      </c>
      <c r="C2" s="2191">
        <f>Projects!N90</f>
        <v>1514.1795000000002</v>
      </c>
      <c r="D2" s="2191">
        <f>Projects!O90</f>
        <v>757.08975000000009</v>
      </c>
      <c r="E2" s="2191">
        <f>Projects!P90</f>
        <v>3028.3590000000004</v>
      </c>
      <c r="F2" s="2191">
        <f>Projects!Q90</f>
        <v>3785.44875</v>
      </c>
      <c r="G2" s="2191">
        <f>Projects!R90</f>
        <v>0</v>
      </c>
      <c r="H2" s="2191">
        <f>Projects!S90</f>
        <v>0</v>
      </c>
    </row>
    <row r="3" spans="2:8">
      <c r="B3" t="str">
        <f>Projects!B91</f>
        <v>Opal Luxury 8.6ha Binh Duong</v>
      </c>
      <c r="C3" s="2191">
        <f>Projects!N91</f>
        <v>0</v>
      </c>
      <c r="D3" s="2191">
        <f>Projects!O91</f>
        <v>0</v>
      </c>
      <c r="E3" s="2191">
        <f>Projects!P91</f>
        <v>2700.9866016000001</v>
      </c>
      <c r="F3" s="2191">
        <f>Projects!Q91</f>
        <v>1980.7235078399999</v>
      </c>
      <c r="G3" s="2191">
        <f>Projects!R91</f>
        <v>1320.48233856</v>
      </c>
      <c r="H3" s="2191">
        <f>Projects!S91</f>
        <v>0</v>
      </c>
    </row>
    <row r="4" spans="2:8">
      <c r="B4" t="str">
        <f>Projects!B92</f>
        <v>Opal Cityview</v>
      </c>
      <c r="C4" s="2191">
        <f>Projects!N92</f>
        <v>0</v>
      </c>
      <c r="D4" s="2191">
        <f>Projects!O92</f>
        <v>0</v>
      </c>
      <c r="E4" s="2191">
        <f>Projects!P92</f>
        <v>0</v>
      </c>
      <c r="F4" s="2191">
        <f>Projects!Q92</f>
        <v>1690.4809350000003</v>
      </c>
      <c r="G4" s="2191">
        <f>Projects!R92</f>
        <v>1690.4809350000003</v>
      </c>
      <c r="H4" s="2191">
        <f>Projects!S92</f>
        <v>0</v>
      </c>
    </row>
    <row r="5" spans="2:8">
      <c r="B5" t="str">
        <f>Projects!B93</f>
        <v>Park View Thuận An 5ha</v>
      </c>
      <c r="C5" s="2191">
        <f>Projects!N93</f>
        <v>0</v>
      </c>
      <c r="D5" s="2191">
        <f>Projects!O93</f>
        <v>0</v>
      </c>
      <c r="E5" s="2191">
        <f>Projects!P93</f>
        <v>0</v>
      </c>
      <c r="F5" s="2191">
        <f>Projects!Q93</f>
        <v>0</v>
      </c>
      <c r="G5" s="2191">
        <f>Projects!R93</f>
        <v>0</v>
      </c>
      <c r="H5" s="2191">
        <f>Projects!S93</f>
        <v>0</v>
      </c>
    </row>
    <row r="6" spans="2:8">
      <c r="B6" t="str">
        <f>Projects!B94</f>
        <v>Lux Riverview - Lux Star Quận 7</v>
      </c>
      <c r="C6" s="2191">
        <f>Projects!N94</f>
        <v>0</v>
      </c>
      <c r="D6" s="2191">
        <f>Projects!O94</f>
        <v>0</v>
      </c>
      <c r="E6" s="2191">
        <f>Projects!P94</f>
        <v>0</v>
      </c>
      <c r="F6" s="2191">
        <f>Projects!Q94</f>
        <v>0</v>
      </c>
      <c r="G6" s="2191">
        <f>Projects!R94</f>
        <v>0</v>
      </c>
      <c r="H6" s="2191">
        <f>Projects!S94</f>
        <v>0</v>
      </c>
    </row>
    <row r="7" spans="2:8">
      <c r="B7" t="str">
        <f>Projects!B95</f>
        <v>Gem Premium Thu Duc (Opal Premium)</v>
      </c>
      <c r="C7" s="2191">
        <f>Projects!N95</f>
        <v>0</v>
      </c>
      <c r="D7" s="2191">
        <f>Projects!O95</f>
        <v>0</v>
      </c>
      <c r="E7" s="2191">
        <f>Projects!P95</f>
        <v>0</v>
      </c>
      <c r="F7" s="2191">
        <f>Projects!Q95</f>
        <v>0</v>
      </c>
      <c r="G7" s="2191">
        <f>Projects!R95</f>
        <v>0</v>
      </c>
      <c r="H7" s="2191">
        <f>Projects!S95</f>
        <v>0</v>
      </c>
    </row>
    <row r="8" spans="2:8">
      <c r="B8" t="str">
        <f>Projects!B96</f>
        <v>Gem City Q9 (Opal City old)</v>
      </c>
      <c r="C8" s="2191">
        <f>Projects!N96</f>
        <v>0</v>
      </c>
      <c r="D8" s="2191">
        <f>Projects!O96</f>
        <v>0</v>
      </c>
      <c r="E8" s="2191">
        <f>Projects!P96</f>
        <v>0</v>
      </c>
      <c r="F8" s="2191">
        <f>Projects!Q96</f>
        <v>0</v>
      </c>
      <c r="G8" s="2191">
        <f>Projects!R96</f>
        <v>0</v>
      </c>
      <c r="H8" s="2191">
        <f>Projects!S96</f>
        <v>0</v>
      </c>
    </row>
    <row r="9" spans="2:8">
      <c r="B9" t="str">
        <f>Projects!B97</f>
        <v>Park City Thuận An 10ha</v>
      </c>
      <c r="C9" s="2191">
        <f>Projects!N97</f>
        <v>0</v>
      </c>
      <c r="D9" s="2191">
        <f>Projects!O97</f>
        <v>0</v>
      </c>
      <c r="E9" s="2191">
        <f>Projects!P97</f>
        <v>0</v>
      </c>
      <c r="F9" s="2191">
        <f>Projects!Q97</f>
        <v>0</v>
      </c>
      <c r="G9" s="2191">
        <f>Projects!R97</f>
        <v>0</v>
      </c>
      <c r="H9" s="2191">
        <f>Projects!S97</f>
        <v>0</v>
      </c>
    </row>
    <row r="10" spans="2:8">
      <c r="B10" t="str">
        <f>Projects!B98</f>
        <v>Opal Skyline</v>
      </c>
      <c r="C10" s="2191">
        <f>Projects!N98</f>
        <v>1446.8999999999999</v>
      </c>
      <c r="D10" s="2191">
        <f>Projects!O98</f>
        <v>964.6</v>
      </c>
      <c r="E10" s="2191">
        <f>Projects!P98</f>
        <v>0</v>
      </c>
      <c r="F10" s="2191">
        <f>Projects!Q98</f>
        <v>0</v>
      </c>
      <c r="G10" s="2191">
        <f>Projects!R98</f>
        <v>0</v>
      </c>
      <c r="H10" s="2191">
        <f>Projects!S98</f>
        <v>0</v>
      </c>
    </row>
    <row r="11" spans="2:8">
      <c r="B11" t="str">
        <f>Projects!B99</f>
        <v>Prive</v>
      </c>
      <c r="C11" s="2191">
        <f>Projects!N99</f>
        <v>0</v>
      </c>
      <c r="D11" s="2191">
        <f>Projects!O99</f>
        <v>0</v>
      </c>
      <c r="E11" s="2191">
        <f>Projects!P99</f>
        <v>0</v>
      </c>
      <c r="F11" s="2191">
        <f>Projects!Q99</f>
        <v>0</v>
      </c>
      <c r="G11" s="2191">
        <f>Projects!R99</f>
        <v>14172.058899999998</v>
      </c>
      <c r="H11" s="2191">
        <f>Projects!S99</f>
        <v>17715.073624999997</v>
      </c>
    </row>
    <row r="12" spans="2:8">
      <c r="B12" s="518" t="s">
        <v>2447</v>
      </c>
      <c r="C12" s="2192">
        <f>Projects!N100</f>
        <v>2961.0794999999998</v>
      </c>
      <c r="D12" s="2192">
        <f>Projects!O100</f>
        <v>1721.68975</v>
      </c>
      <c r="E12" s="2192">
        <f>Projects!P100</f>
        <v>5729.3456016</v>
      </c>
      <c r="F12" s="2192">
        <f>Projects!Q100</f>
        <v>7456.6531928400009</v>
      </c>
      <c r="G12" s="2192">
        <f>Projects!R100</f>
        <v>17183.022173559999</v>
      </c>
      <c r="H12" s="2192">
        <f>Projects!S100</f>
        <v>17715.073624999997</v>
      </c>
    </row>
    <row r="13" spans="2:8">
      <c r="B13" t="s">
        <v>2448</v>
      </c>
      <c r="C13" s="2189">
        <f>IS!Q51+IS!Q52+IS!Q53</f>
        <v>905.43499999999995</v>
      </c>
      <c r="D13" s="2189">
        <f>IS!R51+IS!R52+IS!R53</f>
        <v>1170.7144000000001</v>
      </c>
      <c r="E13" s="2189">
        <f>IS!S51+IS!S52+IS!S53</f>
        <v>1382.2304800000002</v>
      </c>
      <c r="F13" s="2189">
        <f>IS!T51+IS!T52+IS!T53</f>
        <v>1634.1470960000001</v>
      </c>
      <c r="G13" s="2189">
        <f>IS!U51+IS!U52+IS!U53</f>
        <v>1934.3540872000001</v>
      </c>
      <c r="H13" s="2189">
        <f>IS!V51+IS!V52+IS!V53</f>
        <v>2292.3002338400001</v>
      </c>
    </row>
    <row r="14" spans="2:8">
      <c r="B14" s="518" t="s">
        <v>2452</v>
      </c>
      <c r="C14" s="2190">
        <f>IS!Q7</f>
        <v>3724.8259443420002</v>
      </c>
      <c r="D14" s="2190">
        <f>IS!R7</f>
        <v>4733.1931724939996</v>
      </c>
      <c r="E14" s="2190">
        <f>IS!S7</f>
        <v>7111.5760816000002</v>
      </c>
      <c r="F14" s="2190">
        <f>IS!T7</f>
        <v>9090.8002888400006</v>
      </c>
      <c r="G14" s="2190">
        <f>IS!U7</f>
        <v>19117.376260759997</v>
      </c>
      <c r="H14" s="2190">
        <f>IS!V7</f>
        <v>20007.373858839997</v>
      </c>
    </row>
    <row r="15" spans="2:8">
      <c r="B15" t="s">
        <v>1336</v>
      </c>
      <c r="C15" s="2189">
        <f>IS!Q9</f>
        <v>1710.3818528100003</v>
      </c>
      <c r="D15" s="2189">
        <f>IS!R9</f>
        <v>2284.8286856859995</v>
      </c>
      <c r="E15" s="2189">
        <f>IS!S9</f>
        <v>2908.8332609826002</v>
      </c>
      <c r="F15" s="2189">
        <f>IS!T9</f>
        <v>3945.6379332452402</v>
      </c>
      <c r="G15" s="2189">
        <f>IS!U9</f>
        <v>12042.903347321158</v>
      </c>
      <c r="H15" s="2189">
        <f>IS!V9</f>
        <v>13625.356119641998</v>
      </c>
    </row>
    <row r="16" spans="2:8">
      <c r="B16" t="s">
        <v>656</v>
      </c>
      <c r="C16" s="2189">
        <f>-IS!Q11</f>
        <v>-976.53523612100003</v>
      </c>
      <c r="D16" s="2189">
        <f>-IS!R11</f>
        <v>-1132.2974508940001</v>
      </c>
      <c r="E16" s="2189">
        <f>-IS!S11</f>
        <v>-1777.8940204</v>
      </c>
      <c r="F16" s="2189">
        <f>-IS!T11</f>
        <v>-2272.7000722100001</v>
      </c>
      <c r="G16" s="2189">
        <f>-IS!U11</f>
        <v>-4779.3440651899991</v>
      </c>
      <c r="H16" s="2189">
        <f>-IS!V11</f>
        <v>-5001.8434647099994</v>
      </c>
    </row>
    <row r="17" spans="2:12">
      <c r="B17" t="s">
        <v>589</v>
      </c>
      <c r="C17" s="2193">
        <f t="shared" ref="C17:H17" si="0">C18-C16-C15</f>
        <v>-583.60657809100007</v>
      </c>
      <c r="D17" s="2193">
        <f t="shared" si="0"/>
        <v>-698.30641112400008</v>
      </c>
      <c r="E17" s="2193">
        <f t="shared" si="0"/>
        <v>-337.33182434195987</v>
      </c>
      <c r="F17" s="2193">
        <f t="shared" si="0"/>
        <v>-525.73154843248813</v>
      </c>
      <c r="G17" s="2193">
        <f t="shared" si="0"/>
        <v>-1843.8558326516704</v>
      </c>
      <c r="H17" s="2193">
        <f t="shared" si="0"/>
        <v>-2115.8465072118415</v>
      </c>
    </row>
    <row r="18" spans="2:12">
      <c r="B18" t="s">
        <v>1601</v>
      </c>
      <c r="C18" s="2190">
        <f>IS!Q26</f>
        <v>150.24003859800024</v>
      </c>
      <c r="D18" s="2190">
        <f>IS!R26</f>
        <v>454.22482366799943</v>
      </c>
      <c r="E18" s="2190">
        <f>IS!S26</f>
        <v>793.60741624064008</v>
      </c>
      <c r="F18" s="2190">
        <f>IS!T26</f>
        <v>1147.206312602752</v>
      </c>
      <c r="G18" s="2190">
        <f>IS!U26</f>
        <v>5419.703449479488</v>
      </c>
      <c r="H18" s="2190">
        <f>IS!V26</f>
        <v>6507.6661477201578</v>
      </c>
    </row>
    <row r="19" spans="2:12">
      <c r="B19" t="s">
        <v>1264</v>
      </c>
      <c r="C19" s="2189">
        <f>IS!Q28</f>
        <v>-21.743250632999999</v>
      </c>
      <c r="D19" s="2189">
        <f>IS!R28</f>
        <v>201.66249543199999</v>
      </c>
      <c r="E19" s="2189">
        <f>IS!S28</f>
        <v>214.2198175645801</v>
      </c>
      <c r="F19" s="2189">
        <f>IS!T28</f>
        <v>256.69406345319624</v>
      </c>
      <c r="G19" s="2189">
        <f>IS!U28</f>
        <v>307.52474818128559</v>
      </c>
      <c r="H19" s="2189">
        <f>IS!V28</f>
        <v>408.26568888810255</v>
      </c>
    </row>
    <row r="20" spans="2:12">
      <c r="B20" s="518" t="s">
        <v>1619</v>
      </c>
      <c r="C20" s="2190">
        <f>IS!Q29</f>
        <v>171.98328923100024</v>
      </c>
      <c r="D20" s="2190">
        <f>IS!R29</f>
        <v>252.56232823599944</v>
      </c>
      <c r="E20" s="2190">
        <f>IS!S29</f>
        <v>579.38759867605995</v>
      </c>
      <c r="F20" s="2190">
        <f>IS!T29</f>
        <v>890.51224914955571</v>
      </c>
      <c r="G20" s="2190">
        <f>IS!U29</f>
        <v>5112.1787012982022</v>
      </c>
      <c r="H20" s="2190">
        <f>IS!V29</f>
        <v>6099.4004588320549</v>
      </c>
    </row>
    <row r="22" spans="2:12">
      <c r="B22" t="s">
        <v>856</v>
      </c>
      <c r="C22" s="905">
        <v>1</v>
      </c>
      <c r="D22" s="905">
        <f>C22*1.13</f>
        <v>1.1299999999999999</v>
      </c>
      <c r="E22" s="905">
        <f t="shared" ref="E22:H22" si="1">D22*1.13</f>
        <v>1.2768999999999997</v>
      </c>
      <c r="F22" s="905">
        <f t="shared" si="1"/>
        <v>1.4428969999999994</v>
      </c>
      <c r="G22" s="905">
        <f t="shared" si="1"/>
        <v>1.6304736099999992</v>
      </c>
      <c r="H22" s="905">
        <f t="shared" si="1"/>
        <v>1.8424351792999989</v>
      </c>
    </row>
    <row r="23" spans="2:12">
      <c r="C23" s="2189">
        <f t="shared" ref="C23:H23" si="2">C20/C22</f>
        <v>171.98328923100024</v>
      </c>
      <c r="D23" s="2189">
        <f t="shared" si="2"/>
        <v>223.50648516460129</v>
      </c>
      <c r="E23" s="2189">
        <f t="shared" si="2"/>
        <v>453.74547629106439</v>
      </c>
      <c r="F23" s="2189">
        <f t="shared" si="2"/>
        <v>617.16965878337544</v>
      </c>
      <c r="G23" s="2189">
        <f t="shared" si="2"/>
        <v>3135.3949367498226</v>
      </c>
      <c r="H23" s="2189">
        <f t="shared" si="2"/>
        <v>3310.5102026706936</v>
      </c>
    </row>
    <row r="24" spans="2:12">
      <c r="B24" t="s">
        <v>655</v>
      </c>
      <c r="C24" s="2189">
        <f>AVERAGE(C23:H23)</f>
        <v>1318.7183414817596</v>
      </c>
      <c r="D24" s="2189"/>
      <c r="E24" s="2189"/>
      <c r="F24" s="2189"/>
      <c r="G24" s="2189"/>
      <c r="H24" s="2189"/>
    </row>
    <row r="28" spans="2:12">
      <c r="B28" s="518" t="str">
        <f>B1</f>
        <v>Projects</v>
      </c>
      <c r="C28" s="518">
        <f>Projects!N68</f>
        <v>2023</v>
      </c>
      <c r="D28" s="518">
        <f>Projects!O68</f>
        <v>2024</v>
      </c>
      <c r="E28" s="518">
        <f>Projects!P68</f>
        <v>2025</v>
      </c>
      <c r="F28" s="518">
        <f>Projects!Q68</f>
        <v>2026</v>
      </c>
      <c r="G28" s="518">
        <f>Projects!R68</f>
        <v>2027</v>
      </c>
      <c r="H28" s="518">
        <f>Projects!S68</f>
        <v>2028</v>
      </c>
    </row>
    <row r="29" spans="2:12">
      <c r="B29" t="str">
        <f>Projects!B73</f>
        <v>Gem Sky World Long Thanh</v>
      </c>
      <c r="C29" s="812">
        <f>Projects!N73</f>
        <v>0</v>
      </c>
      <c r="D29" s="812">
        <f>Projects!O73</f>
        <v>0</v>
      </c>
      <c r="E29" s="812">
        <f>Projects!P73</f>
        <v>571.20044221969727</v>
      </c>
      <c r="F29" s="812">
        <f>Projects!Q73</f>
        <v>1372.7850628013389</v>
      </c>
      <c r="G29" s="812">
        <f>Projects!R73</f>
        <v>0</v>
      </c>
      <c r="H29" s="812">
        <f>Projects!S73</f>
        <v>0</v>
      </c>
      <c r="J29" s="793"/>
      <c r="K29" s="793"/>
      <c r="L29" s="793"/>
    </row>
    <row r="30" spans="2:12">
      <c r="B30" t="str">
        <f>Projects!B74</f>
        <v>Opal Luxury 8.6ha Binh Duong</v>
      </c>
      <c r="C30" s="812">
        <f>Projects!N74</f>
        <v>0</v>
      </c>
      <c r="D30" s="812">
        <f>Projects!O74</f>
        <v>0</v>
      </c>
      <c r="E30" s="812">
        <f>Projects!P74</f>
        <v>1683.1683168316831</v>
      </c>
      <c r="F30" s="812">
        <f>Projects!Q74</f>
        <v>1716.8316831683171</v>
      </c>
      <c r="G30" s="812">
        <f>Projects!R74</f>
        <v>1501.0014144271572</v>
      </c>
      <c r="H30" s="812">
        <f>Projects!S74</f>
        <v>0</v>
      </c>
      <c r="J30" s="793"/>
      <c r="K30" s="793"/>
      <c r="L30" s="793"/>
    </row>
    <row r="31" spans="2:12">
      <c r="B31" t="str">
        <f>Projects!B75</f>
        <v>Opal Cityview</v>
      </c>
      <c r="C31" s="812">
        <f>Projects!N75</f>
        <v>0</v>
      </c>
      <c r="D31" s="812">
        <f>Projects!O75</f>
        <v>0</v>
      </c>
      <c r="E31" s="812">
        <f>Projects!P75</f>
        <v>742.57425742574253</v>
      </c>
      <c r="F31" s="812">
        <f>Projects!Q75</f>
        <v>757.42574257425747</v>
      </c>
      <c r="G31" s="812">
        <f>Projects!R75</f>
        <v>0</v>
      </c>
      <c r="H31" s="812">
        <f>Projects!S75</f>
        <v>0</v>
      </c>
      <c r="J31" s="793"/>
      <c r="K31" s="793"/>
      <c r="L31" s="793"/>
    </row>
    <row r="32" spans="2:12">
      <c r="B32" t="str">
        <f>Projects!B76</f>
        <v>Park View Thuận An 5ha</v>
      </c>
      <c r="C32" s="812">
        <f>Projects!N76</f>
        <v>0</v>
      </c>
      <c r="D32" s="812">
        <f>Projects!O76</f>
        <v>0</v>
      </c>
      <c r="E32" s="812">
        <f>Projects!P76</f>
        <v>0</v>
      </c>
      <c r="F32" s="812">
        <f>Projects!Q76</f>
        <v>0</v>
      </c>
      <c r="G32" s="812">
        <f>Projects!R76</f>
        <v>0</v>
      </c>
      <c r="H32" s="812">
        <f>Projects!S76</f>
        <v>1950</v>
      </c>
      <c r="J32" s="793"/>
      <c r="K32" s="793"/>
      <c r="L32" s="793"/>
    </row>
    <row r="33" spans="2:12">
      <c r="B33" t="str">
        <f>Projects!B77</f>
        <v>Lux Riverview - Lux Star Quận 7</v>
      </c>
      <c r="C33" s="812">
        <f>Projects!N77</f>
        <v>0</v>
      </c>
      <c r="D33" s="812">
        <f>Projects!O77</f>
        <v>0</v>
      </c>
      <c r="E33" s="812">
        <f>Projects!P77</f>
        <v>0</v>
      </c>
      <c r="F33" s="812">
        <f>Projects!Q77</f>
        <v>0</v>
      </c>
      <c r="G33" s="812">
        <f>Projects!R77</f>
        <v>0</v>
      </c>
      <c r="H33" s="812">
        <f>Projects!S77</f>
        <v>0</v>
      </c>
      <c r="J33" s="793"/>
      <c r="K33" s="793"/>
      <c r="L33" s="793"/>
    </row>
    <row r="34" spans="2:12">
      <c r="B34" t="str">
        <f>Projects!B78</f>
        <v>Gem Premium Thu Duc (Opal Premium)</v>
      </c>
      <c r="C34" s="812">
        <f>Projects!N78</f>
        <v>0</v>
      </c>
      <c r="D34" s="812">
        <f>Projects!O78</f>
        <v>0</v>
      </c>
      <c r="E34" s="812">
        <f>Projects!P78</f>
        <v>0</v>
      </c>
      <c r="F34" s="812">
        <f>Projects!Q78</f>
        <v>0</v>
      </c>
      <c r="G34" s="812">
        <f>Projects!R78</f>
        <v>0</v>
      </c>
      <c r="H34" s="812">
        <f>Projects!S78</f>
        <v>1023.3393177737881</v>
      </c>
      <c r="J34" s="793"/>
      <c r="K34" s="793"/>
      <c r="L34" s="793"/>
    </row>
    <row r="35" spans="2:12">
      <c r="B35" t="str">
        <f>Projects!B79</f>
        <v>Gem City Q9 (Opal City old)</v>
      </c>
      <c r="C35" s="812">
        <f>Projects!N79</f>
        <v>0</v>
      </c>
      <c r="D35" s="812">
        <f>Projects!O79</f>
        <v>0</v>
      </c>
      <c r="E35" s="812">
        <f>Projects!P79</f>
        <v>0</v>
      </c>
      <c r="F35" s="812">
        <f>Projects!Q79</f>
        <v>0</v>
      </c>
      <c r="G35" s="812">
        <f>Projects!R79</f>
        <v>726.87448815921459</v>
      </c>
      <c r="H35" s="812">
        <f>Projects!S79</f>
        <v>873.4608432713228</v>
      </c>
      <c r="J35" s="793"/>
      <c r="K35" s="793"/>
      <c r="L35" s="793"/>
    </row>
    <row r="36" spans="2:12">
      <c r="B36" t="str">
        <f>Projects!B80</f>
        <v>Park City Thuận An 10ha</v>
      </c>
      <c r="C36" s="812">
        <f>Projects!N80</f>
        <v>0</v>
      </c>
      <c r="D36" s="812">
        <f>Projects!O80</f>
        <v>0</v>
      </c>
      <c r="E36" s="812">
        <f>Projects!P80</f>
        <v>0</v>
      </c>
      <c r="F36" s="812">
        <f>Projects!Q80</f>
        <v>0</v>
      </c>
      <c r="G36" s="812">
        <f>Projects!R80</f>
        <v>0</v>
      </c>
      <c r="H36" s="812">
        <f>Projects!S80</f>
        <v>0</v>
      </c>
      <c r="J36" s="793"/>
      <c r="K36" s="793"/>
      <c r="L36" s="793"/>
    </row>
    <row r="37" spans="2:12">
      <c r="B37" t="str">
        <f>Projects!B81</f>
        <v>Opal Skyline</v>
      </c>
      <c r="C37" s="812">
        <f>Projects!N81</f>
        <v>0</v>
      </c>
      <c r="D37" s="812">
        <f>Projects!O81</f>
        <v>0</v>
      </c>
      <c r="E37" s="812">
        <f>Projects!P81</f>
        <v>0</v>
      </c>
      <c r="F37" s="812">
        <f>Projects!Q81</f>
        <v>0</v>
      </c>
      <c r="G37" s="812">
        <f>Projects!R81</f>
        <v>0</v>
      </c>
      <c r="H37" s="812">
        <f>Projects!S81</f>
        <v>0</v>
      </c>
      <c r="J37" s="793"/>
      <c r="K37" s="793"/>
      <c r="L37" s="793"/>
    </row>
    <row r="38" spans="2:12">
      <c r="B38" t="str">
        <f>Projects!B82</f>
        <v>Prive</v>
      </c>
      <c r="C38" s="812">
        <f>Projects!N82</f>
        <v>0</v>
      </c>
      <c r="D38" s="812">
        <f>Projects!O82</f>
        <v>0</v>
      </c>
      <c r="E38" s="812">
        <f>Projects!P82</f>
        <v>998.50243354548877</v>
      </c>
      <c r="F38" s="812">
        <f>Projects!Q82</f>
        <v>866.55746911269205</v>
      </c>
      <c r="G38" s="812">
        <f>Projects!R82</f>
        <v>1309.9400973418196</v>
      </c>
      <c r="H38" s="812">
        <f>Projects!S82</f>
        <v>0</v>
      </c>
      <c r="J38" s="793"/>
      <c r="K38" s="793"/>
      <c r="L38" s="793"/>
    </row>
    <row r="39" spans="2:12">
      <c r="B39" s="518" t="str">
        <f>Projects!B83</f>
        <v>Total</v>
      </c>
      <c r="C39" s="2194">
        <f t="shared" ref="C39:H39" si="3">SUM(C29:C38)</f>
        <v>0</v>
      </c>
      <c r="D39" s="2194">
        <f t="shared" si="3"/>
        <v>0</v>
      </c>
      <c r="E39" s="2194">
        <f t="shared" si="3"/>
        <v>3995.4454500226116</v>
      </c>
      <c r="F39" s="2194">
        <f t="shared" si="3"/>
        <v>4713.5999576566055</v>
      </c>
      <c r="G39" s="2194">
        <f t="shared" si="3"/>
        <v>3537.8159999281916</v>
      </c>
      <c r="H39" s="2194">
        <f t="shared" si="3"/>
        <v>3846.8001610451111</v>
      </c>
      <c r="J39" s="793"/>
      <c r="K39" s="793"/>
      <c r="L39" s="793"/>
    </row>
    <row r="40" spans="2:12">
      <c r="B40" t="str">
        <f>B29</f>
        <v>Gem Sky World Long Thanh</v>
      </c>
      <c r="C40" s="812">
        <f>Projects!N40</f>
        <v>0</v>
      </c>
      <c r="D40" s="812">
        <f>Projects!O40</f>
        <v>0</v>
      </c>
      <c r="E40" s="812">
        <f>Projects!P40</f>
        <v>2162.25</v>
      </c>
      <c r="F40" s="812">
        <f>Projects!Q40</f>
        <v>5196.6075000000001</v>
      </c>
      <c r="G40" s="812">
        <f>Projects!R40</f>
        <v>0</v>
      </c>
      <c r="H40" s="812">
        <f>Projects!S40</f>
        <v>0</v>
      </c>
    </row>
    <row r="41" spans="2:12">
      <c r="B41" t="str">
        <f t="shared" ref="B41:B50" si="4">B30</f>
        <v>Opal Luxury 8.6ha Binh Duong</v>
      </c>
      <c r="C41" s="812">
        <f>Projects!N41</f>
        <v>0</v>
      </c>
      <c r="D41" s="812">
        <f>Projects!O41</f>
        <v>0</v>
      </c>
      <c r="E41" s="812">
        <f>Projects!P41</f>
        <v>2971.3824</v>
      </c>
      <c r="F41" s="812">
        <f>Projects!Q41</f>
        <v>3030.8100480000003</v>
      </c>
      <c r="G41" s="812">
        <f>Projects!R41</f>
        <v>2649.7939276800003</v>
      </c>
      <c r="H41" s="812">
        <f>Projects!S41</f>
        <v>0</v>
      </c>
    </row>
    <row r="42" spans="2:12">
      <c r="B42" t="str">
        <f t="shared" si="4"/>
        <v>Opal Cityview</v>
      </c>
      <c r="C42" s="812">
        <f>Projects!N42</f>
        <v>0</v>
      </c>
      <c r="D42" s="812">
        <f>Projects!O42</f>
        <v>0</v>
      </c>
      <c r="E42" s="812">
        <f>Projects!P42</f>
        <v>1673.7435000000003</v>
      </c>
      <c r="F42" s="812">
        <f>Projects!Q42</f>
        <v>1707.2183700000003</v>
      </c>
      <c r="G42" s="812">
        <f>Projects!R42</f>
        <v>0</v>
      </c>
      <c r="H42" s="812">
        <f>Projects!S42</f>
        <v>0</v>
      </c>
    </row>
    <row r="43" spans="2:12">
      <c r="B43" t="str">
        <f t="shared" si="4"/>
        <v>Park View Thuận An 5ha</v>
      </c>
      <c r="C43" s="812">
        <f>Projects!N43</f>
        <v>0</v>
      </c>
      <c r="D43" s="812">
        <f>Projects!O43</f>
        <v>0</v>
      </c>
      <c r="E43" s="812">
        <f>Projects!P43</f>
        <v>0</v>
      </c>
      <c r="F43" s="812">
        <f>Projects!Q43</f>
        <v>0</v>
      </c>
      <c r="G43" s="812">
        <f>Projects!R43</f>
        <v>0</v>
      </c>
      <c r="H43" s="812">
        <f>Projects!S43</f>
        <v>2625</v>
      </c>
    </row>
    <row r="44" spans="2:12">
      <c r="B44" t="str">
        <f t="shared" si="4"/>
        <v>Lux Riverview - Lux Star Quận 7</v>
      </c>
      <c r="C44" s="812">
        <f>Projects!N44</f>
        <v>0</v>
      </c>
      <c r="D44" s="812">
        <f>Projects!O44</f>
        <v>0</v>
      </c>
      <c r="E44" s="812">
        <f>Projects!P44</f>
        <v>0</v>
      </c>
      <c r="F44" s="812">
        <f>Projects!Q44</f>
        <v>0</v>
      </c>
      <c r="G44" s="812">
        <f>Projects!R44</f>
        <v>0</v>
      </c>
      <c r="H44" s="812">
        <f>Projects!S44</f>
        <v>0</v>
      </c>
    </row>
    <row r="45" spans="2:12">
      <c r="B45" t="str">
        <f t="shared" si="4"/>
        <v>Gem Premium Thu Duc (Opal Premium)</v>
      </c>
      <c r="C45" s="812">
        <f>Projects!N45</f>
        <v>0</v>
      </c>
      <c r="D45" s="812">
        <f>Projects!O45</f>
        <v>0</v>
      </c>
      <c r="E45" s="812">
        <f>Projects!P45</f>
        <v>0</v>
      </c>
      <c r="F45" s="812">
        <f>Projects!Q45</f>
        <v>0</v>
      </c>
      <c r="G45" s="812">
        <f>Projects!R45</f>
        <v>0</v>
      </c>
      <c r="H45" s="812">
        <f>Projects!S45</f>
        <v>16200</v>
      </c>
    </row>
    <row r="46" spans="2:12">
      <c r="B46" t="str">
        <f t="shared" si="4"/>
        <v>Gem City Q9 (Opal City old)</v>
      </c>
      <c r="C46" s="812">
        <f>Projects!N46</f>
        <v>0</v>
      </c>
      <c r="D46" s="812">
        <f>Projects!O46</f>
        <v>0</v>
      </c>
      <c r="E46" s="812">
        <f>Projects!P46</f>
        <v>0</v>
      </c>
      <c r="F46" s="812">
        <f>Projects!Q46</f>
        <v>0</v>
      </c>
      <c r="G46" s="812">
        <f>Projects!R46</f>
        <v>3573.7155735120004</v>
      </c>
      <c r="H46" s="812">
        <f>Projects!S46</f>
        <v>4294.4148808369209</v>
      </c>
    </row>
    <row r="47" spans="2:12">
      <c r="B47" t="str">
        <f t="shared" si="4"/>
        <v>Park City Thuận An 10ha</v>
      </c>
      <c r="C47" s="812">
        <f>Projects!N47</f>
        <v>0</v>
      </c>
      <c r="D47" s="812">
        <f>Projects!O47</f>
        <v>0</v>
      </c>
      <c r="E47" s="812">
        <f>Projects!P47</f>
        <v>0</v>
      </c>
      <c r="F47" s="812">
        <f>Projects!Q47</f>
        <v>0</v>
      </c>
      <c r="G47" s="812">
        <f>Projects!R47</f>
        <v>0</v>
      </c>
      <c r="H47" s="812">
        <f>Projects!S47</f>
        <v>0</v>
      </c>
    </row>
    <row r="48" spans="2:12">
      <c r="B48" t="str">
        <f t="shared" si="4"/>
        <v>Opal Skyline</v>
      </c>
      <c r="C48" s="812">
        <f>Projects!N48</f>
        <v>0</v>
      </c>
      <c r="D48" s="812">
        <f>Projects!O48</f>
        <v>0</v>
      </c>
      <c r="E48" s="812">
        <f>Projects!P48</f>
        <v>0</v>
      </c>
      <c r="F48" s="812">
        <f>Projects!Q48</f>
        <v>0</v>
      </c>
      <c r="G48" s="812">
        <f>Projects!R48</f>
        <v>0</v>
      </c>
      <c r="H48" s="812">
        <f>Projects!S48</f>
        <v>0</v>
      </c>
    </row>
    <row r="49" spans="2:10">
      <c r="B49" t="str">
        <f t="shared" si="4"/>
        <v>Prive</v>
      </c>
      <c r="C49" s="812">
        <f>Projects!N49</f>
        <v>0</v>
      </c>
      <c r="D49" s="812">
        <f>Projects!O49</f>
        <v>0</v>
      </c>
      <c r="E49" s="812">
        <f>Projects!P49</f>
        <v>11142.39</v>
      </c>
      <c r="F49" s="812">
        <f>Projects!Q49</f>
        <v>9670.0027499999997</v>
      </c>
      <c r="G49" s="812">
        <f>Projects!R49</f>
        <v>14617.754499999999</v>
      </c>
      <c r="H49" s="812">
        <f>Projects!S49</f>
        <v>0</v>
      </c>
    </row>
    <row r="50" spans="2:10">
      <c r="B50" s="518" t="str">
        <f t="shared" si="4"/>
        <v>Total</v>
      </c>
      <c r="C50" s="2194">
        <f>Projects!N50</f>
        <v>0</v>
      </c>
      <c r="D50" s="2194">
        <f>Projects!O50</f>
        <v>0</v>
      </c>
      <c r="E50" s="2194">
        <f>Projects!P50</f>
        <v>17949.765899999999</v>
      </c>
      <c r="F50" s="2194">
        <f>Projects!Q50</f>
        <v>19604.638668</v>
      </c>
      <c r="G50" s="2194">
        <f>Projects!R50</f>
        <v>20841.264001192001</v>
      </c>
      <c r="H50" s="2194">
        <f>Projects!S50</f>
        <v>23119.414880836921</v>
      </c>
    </row>
    <row r="55" spans="2:10" ht="12.75" thickBot="1"/>
    <row r="56" spans="2:10">
      <c r="B56" s="2270" t="s">
        <v>2401</v>
      </c>
      <c r="C56" s="2216" t="s">
        <v>1206</v>
      </c>
      <c r="D56" s="2216" t="s">
        <v>1206</v>
      </c>
      <c r="E56" s="2272" t="s">
        <v>2478</v>
      </c>
      <c r="F56" s="2216" t="s">
        <v>2479</v>
      </c>
      <c r="G56" s="2216" t="s">
        <v>2479</v>
      </c>
      <c r="H56" s="2272" t="s">
        <v>2478</v>
      </c>
      <c r="I56" s="2272" t="s">
        <v>2399</v>
      </c>
      <c r="J56" s="2274" t="s">
        <v>2480</v>
      </c>
    </row>
    <row r="57" spans="2:10" ht="12.75" thickBot="1">
      <c r="B57" s="2271"/>
      <c r="C57" s="2217">
        <v>2022</v>
      </c>
      <c r="D57" s="2217">
        <v>2023</v>
      </c>
      <c r="E57" s="2273"/>
      <c r="F57" s="2217">
        <v>2022</v>
      </c>
      <c r="G57" s="2217">
        <v>2023</v>
      </c>
      <c r="H57" s="2273"/>
      <c r="I57" s="2273"/>
      <c r="J57" s="2275"/>
    </row>
    <row r="58" spans="2:10">
      <c r="B58" s="2218" t="s">
        <v>1485</v>
      </c>
      <c r="C58" s="2219">
        <v>1550</v>
      </c>
      <c r="D58" s="2220">
        <v>714</v>
      </c>
      <c r="E58" s="2221">
        <v>-0.54</v>
      </c>
      <c r="F58" s="2222">
        <v>3342</v>
      </c>
      <c r="G58" s="2222">
        <v>1092</v>
      </c>
      <c r="H58" s="2223">
        <v>-0.67</v>
      </c>
      <c r="I58" s="2222">
        <f>IS!Q7</f>
        <v>3724.8259443420002</v>
      </c>
      <c r="J58" s="2224">
        <f t="shared" ref="J58:J66" si="5">G58/I58</f>
        <v>0.29316806108987314</v>
      </c>
    </row>
    <row r="59" spans="2:10">
      <c r="B59" s="2225" t="s">
        <v>2482</v>
      </c>
      <c r="C59" s="2226">
        <v>551</v>
      </c>
      <c r="D59" s="2226">
        <v>176</v>
      </c>
      <c r="E59" s="2227">
        <v>-0.68</v>
      </c>
      <c r="F59" s="2228">
        <v>1261</v>
      </c>
      <c r="G59" s="2229">
        <v>259</v>
      </c>
      <c r="H59" s="2230">
        <v>-0.79</v>
      </c>
      <c r="I59" s="2228">
        <f>IS!Q50</f>
        <v>2800.5219999999999</v>
      </c>
      <c r="J59" s="2231">
        <f t="shared" si="5"/>
        <v>9.2482758571437756E-2</v>
      </c>
    </row>
    <row r="60" spans="2:10">
      <c r="B60" s="2225" t="s">
        <v>2481</v>
      </c>
      <c r="C60" s="2226">
        <v>793</v>
      </c>
      <c r="D60" s="2226">
        <v>454</v>
      </c>
      <c r="E60" s="2227">
        <v>-0.43</v>
      </c>
      <c r="F60" s="2228">
        <v>1777</v>
      </c>
      <c r="G60" s="2229">
        <v>721</v>
      </c>
      <c r="H60" s="2230">
        <v>-0.59</v>
      </c>
      <c r="I60" s="2228">
        <f>IS!Q51</f>
        <v>601.529</v>
      </c>
      <c r="J60" s="2231">
        <f t="shared" si="5"/>
        <v>1.1986122032354218</v>
      </c>
    </row>
    <row r="61" spans="2:10">
      <c r="B61" s="2225" t="s">
        <v>2483</v>
      </c>
      <c r="C61" s="2226">
        <v>206</v>
      </c>
      <c r="D61" s="2226">
        <v>84</v>
      </c>
      <c r="E61" s="2227">
        <v>-0.59</v>
      </c>
      <c r="F61" s="2229">
        <v>304</v>
      </c>
      <c r="G61" s="2229">
        <v>112</v>
      </c>
      <c r="H61" s="2230">
        <v>-0.63</v>
      </c>
      <c r="I61" s="2228">
        <f>I58-I59-I60</f>
        <v>322.77494434200025</v>
      </c>
      <c r="J61" s="2231">
        <f t="shared" si="5"/>
        <v>0.34699099779358644</v>
      </c>
    </row>
    <row r="62" spans="2:10">
      <c r="B62" s="2218" t="s">
        <v>28</v>
      </c>
      <c r="C62" s="2220">
        <v>793</v>
      </c>
      <c r="D62" s="2220">
        <v>290</v>
      </c>
      <c r="E62" s="2221">
        <v>-0.63</v>
      </c>
      <c r="F62" s="2222">
        <v>1829</v>
      </c>
      <c r="G62" s="2232">
        <v>456</v>
      </c>
      <c r="H62" s="2223">
        <v>-0.75</v>
      </c>
      <c r="I62" s="2222">
        <f>IS!Q9</f>
        <v>1710.3818528100003</v>
      </c>
      <c r="J62" s="2224">
        <f t="shared" si="5"/>
        <v>0.26660713176466055</v>
      </c>
    </row>
    <row r="63" spans="2:10">
      <c r="B63" s="2225" t="s">
        <v>1617</v>
      </c>
      <c r="C63" s="2226">
        <v>-547</v>
      </c>
      <c r="D63" s="2226">
        <v>-208</v>
      </c>
      <c r="E63" s="2227">
        <v>-0.62</v>
      </c>
      <c r="F63" s="2229">
        <v>-980</v>
      </c>
      <c r="G63" s="2229">
        <v>-379</v>
      </c>
      <c r="H63" s="2230">
        <v>-0.61</v>
      </c>
      <c r="I63" s="2228">
        <f>-IS!Q11</f>
        <v>-976.53523612100003</v>
      </c>
      <c r="J63" s="2231">
        <f t="shared" si="5"/>
        <v>0.38810683524894235</v>
      </c>
    </row>
    <row r="64" spans="2:10">
      <c r="B64" s="2218" t="s">
        <v>288</v>
      </c>
      <c r="C64" s="2220">
        <v>246</v>
      </c>
      <c r="D64" s="2220">
        <v>82</v>
      </c>
      <c r="E64" s="2221">
        <v>-0.67</v>
      </c>
      <c r="F64" s="2232">
        <v>850</v>
      </c>
      <c r="G64" s="2232">
        <v>77</v>
      </c>
      <c r="H64" s="2223">
        <v>-0.91</v>
      </c>
      <c r="I64" s="2222">
        <f>IS!Q15</f>
        <v>733.84661668900026</v>
      </c>
      <c r="J64" s="2224">
        <f t="shared" si="5"/>
        <v>0.10492655855989608</v>
      </c>
    </row>
    <row r="65" spans="2:10">
      <c r="B65" s="2225" t="s">
        <v>1129</v>
      </c>
      <c r="C65" s="2226">
        <v>196</v>
      </c>
      <c r="D65" s="2226">
        <v>342</v>
      </c>
      <c r="E65" s="2227">
        <v>0.74</v>
      </c>
      <c r="F65" s="2229">
        <v>218</v>
      </c>
      <c r="G65" s="2229">
        <v>361</v>
      </c>
      <c r="H65" s="2230">
        <v>0.65</v>
      </c>
      <c r="I65" s="2228">
        <f>-IS!Q20</f>
        <v>409.15064701699998</v>
      </c>
      <c r="J65" s="2231">
        <f t="shared" si="5"/>
        <v>0.88231560338947879</v>
      </c>
    </row>
    <row r="66" spans="2:10">
      <c r="B66" s="2225" t="s">
        <v>1018</v>
      </c>
      <c r="C66" s="2226">
        <v>-116</v>
      </c>
      <c r="D66" s="2226">
        <v>-160</v>
      </c>
      <c r="E66" s="2227">
        <v>0.37</v>
      </c>
      <c r="F66" s="2229">
        <v>-225</v>
      </c>
      <c r="G66" s="2229">
        <v>-310</v>
      </c>
      <c r="H66" s="2230">
        <v>0.38</v>
      </c>
      <c r="I66" s="2228">
        <f>-IS!Q18</f>
        <v>-593.25298500500003</v>
      </c>
      <c r="J66" s="2231">
        <f t="shared" si="5"/>
        <v>0.52254267207334371</v>
      </c>
    </row>
    <row r="67" spans="2:10">
      <c r="B67" s="2225" t="s">
        <v>2484</v>
      </c>
      <c r="C67" s="2226">
        <v>1</v>
      </c>
      <c r="D67" s="2226">
        <v>-4</v>
      </c>
      <c r="E67" s="2229" t="s">
        <v>2485</v>
      </c>
      <c r="F67" s="2229">
        <v>1</v>
      </c>
      <c r="G67" s="2229">
        <v>-6</v>
      </c>
      <c r="H67" s="2226" t="s">
        <v>2485</v>
      </c>
      <c r="I67" s="2229">
        <v>0</v>
      </c>
      <c r="J67" s="2233" t="s">
        <v>2485</v>
      </c>
    </row>
    <row r="68" spans="2:10">
      <c r="B68" s="2225" t="s">
        <v>2486</v>
      </c>
      <c r="C68" s="2226">
        <v>-11</v>
      </c>
      <c r="D68" s="2226">
        <v>-11</v>
      </c>
      <c r="E68" s="2229" t="s">
        <v>2485</v>
      </c>
      <c r="F68" s="2229">
        <v>8</v>
      </c>
      <c r="G68" s="2229">
        <v>31</v>
      </c>
      <c r="H68" s="2230">
        <v>3.04</v>
      </c>
      <c r="I68" s="2242">
        <f>IS!Q21+IS!Q22</f>
        <v>96.591200893999996</v>
      </c>
      <c r="J68" s="2233" t="s">
        <v>2485</v>
      </c>
    </row>
    <row r="69" spans="2:10">
      <c r="B69" s="2218" t="s">
        <v>822</v>
      </c>
      <c r="C69" s="2220">
        <v>316</v>
      </c>
      <c r="D69" s="2220">
        <v>249</v>
      </c>
      <c r="E69" s="2221">
        <v>-0.21</v>
      </c>
      <c r="F69" s="2232">
        <v>852</v>
      </c>
      <c r="G69" s="2232">
        <v>153</v>
      </c>
      <c r="H69" s="2223">
        <v>-0.82</v>
      </c>
      <c r="I69" s="2222">
        <f>IS!Q23</f>
        <v>453.15307780700022</v>
      </c>
      <c r="J69" s="2224">
        <f>G69/I69</f>
        <v>0.33763425096974259</v>
      </c>
    </row>
    <row r="70" spans="2:10">
      <c r="B70" s="2218" t="s">
        <v>661</v>
      </c>
      <c r="C70" s="2220">
        <v>262</v>
      </c>
      <c r="D70" s="2220">
        <v>157</v>
      </c>
      <c r="E70" s="2221">
        <v>-0.4</v>
      </c>
      <c r="F70" s="2232">
        <v>670</v>
      </c>
      <c r="G70" s="2232">
        <v>40</v>
      </c>
      <c r="H70" s="2223">
        <v>-0.94</v>
      </c>
      <c r="I70" s="2222">
        <f>IS!Q26</f>
        <v>150.24003859800024</v>
      </c>
      <c r="J70" s="2231">
        <f>G70/I70</f>
        <v>0.26624061317654918</v>
      </c>
    </row>
    <row r="71" spans="2:10">
      <c r="B71" s="2225" t="s">
        <v>1133</v>
      </c>
      <c r="C71" s="2226">
        <v>129</v>
      </c>
      <c r="D71" s="2226">
        <v>1</v>
      </c>
      <c r="E71" s="2227">
        <v>-0.99</v>
      </c>
      <c r="F71" s="2229">
        <v>267</v>
      </c>
      <c r="G71" s="2229">
        <v>-21</v>
      </c>
      <c r="H71" s="2230">
        <v>-1.08</v>
      </c>
      <c r="I71" s="2228">
        <f>-IS!Q28</f>
        <v>21.743250632999999</v>
      </c>
      <c r="J71" s="2233" t="s">
        <v>2485</v>
      </c>
    </row>
    <row r="72" spans="2:10">
      <c r="B72" s="2218" t="s">
        <v>2487</v>
      </c>
      <c r="C72" s="2220">
        <v>133</v>
      </c>
      <c r="D72" s="2220">
        <v>156</v>
      </c>
      <c r="E72" s="2221">
        <v>0.17</v>
      </c>
      <c r="F72" s="2232">
        <v>403</v>
      </c>
      <c r="G72" s="2232">
        <v>61</v>
      </c>
      <c r="H72" s="2223">
        <v>-0.85</v>
      </c>
      <c r="I72" s="2222">
        <f>IS!Q29</f>
        <v>171.98328923100024</v>
      </c>
      <c r="J72" s="2224">
        <f>G72/I72</f>
        <v>0.3546856224971226</v>
      </c>
    </row>
    <row r="73" spans="2:10">
      <c r="B73" s="2225"/>
      <c r="C73" s="2226"/>
      <c r="D73" s="2226"/>
      <c r="E73" s="2229"/>
      <c r="F73" s="2229"/>
      <c r="G73" s="2229"/>
      <c r="H73" s="2226"/>
      <c r="I73" s="2229"/>
      <c r="J73" s="2233"/>
    </row>
    <row r="74" spans="2:10">
      <c r="B74" s="2225" t="s">
        <v>1469</v>
      </c>
      <c r="C74" s="2234">
        <v>0.51200000000000001</v>
      </c>
      <c r="D74" s="2234">
        <v>0.40600000000000003</v>
      </c>
      <c r="E74" s="2229"/>
      <c r="F74" s="2235">
        <v>0.54700000000000004</v>
      </c>
      <c r="G74" s="2235">
        <v>0.41799999999999998</v>
      </c>
      <c r="H74" s="2226"/>
      <c r="I74" s="2235">
        <f>IS!Q61/IS!Q49</f>
        <v>0.4567897037121586</v>
      </c>
      <c r="J74" s="2233"/>
    </row>
    <row r="75" spans="2:10">
      <c r="B75" s="2225" t="s">
        <v>2482</v>
      </c>
      <c r="C75" s="2234">
        <v>0.79</v>
      </c>
      <c r="D75" s="2234">
        <v>0.625</v>
      </c>
      <c r="E75" s="2229"/>
      <c r="F75" s="2235">
        <v>0.77600000000000002</v>
      </c>
      <c r="G75" s="2235">
        <v>0.70699999999999996</v>
      </c>
      <c r="H75" s="2226"/>
      <c r="I75" s="2235">
        <f>IS!Q62/IS!Q50</f>
        <v>0.44137771458320985</v>
      </c>
      <c r="J75" s="2233"/>
    </row>
    <row r="76" spans="2:10">
      <c r="B76" s="2225" t="s">
        <v>2481</v>
      </c>
      <c r="C76" s="2234">
        <v>0.42599999999999999</v>
      </c>
      <c r="D76" s="2234">
        <v>0.28599999999999998</v>
      </c>
      <c r="E76" s="2229"/>
      <c r="F76" s="2235">
        <v>0.45500000000000002</v>
      </c>
      <c r="G76" s="2235">
        <v>0.34799999999999998</v>
      </c>
      <c r="H76" s="2226"/>
      <c r="I76" s="2235">
        <f>IS!Q63/IS!Q51</f>
        <v>0.67810030771583751</v>
      </c>
      <c r="J76" s="2233"/>
    </row>
    <row r="77" spans="2:10">
      <c r="B77" s="2225" t="s">
        <v>2488</v>
      </c>
      <c r="C77" s="2234">
        <v>0.159</v>
      </c>
      <c r="D77" s="2234">
        <v>0.115</v>
      </c>
      <c r="E77" s="2229"/>
      <c r="F77" s="2235">
        <v>0.254</v>
      </c>
      <c r="G77" s="2235">
        <v>7.0999999999999994E-2</v>
      </c>
      <c r="H77" s="2226"/>
      <c r="I77" s="2235"/>
      <c r="J77" s="2233"/>
    </row>
    <row r="78" spans="2:10" ht="12.75" thickBot="1">
      <c r="B78" s="2236" t="s">
        <v>1797</v>
      </c>
      <c r="C78" s="2237">
        <v>8.5999999999999993E-2</v>
      </c>
      <c r="D78" s="2237">
        <v>0.219</v>
      </c>
      <c r="E78" s="2238"/>
      <c r="F78" s="2239">
        <v>0.121</v>
      </c>
      <c r="G78" s="2239">
        <v>5.6000000000000001E-2</v>
      </c>
      <c r="H78" s="2240"/>
      <c r="I78" s="2239">
        <f>I72/I58</f>
        <v>4.6172167988746522E-2</v>
      </c>
      <c r="J78" s="2241"/>
    </row>
    <row r="80" spans="2:10">
      <c r="C80" s="860"/>
      <c r="D80" s="860"/>
      <c r="I80" s="860"/>
    </row>
  </sheetData>
  <mergeCells count="5">
    <mergeCell ref="B56:B57"/>
    <mergeCell ref="E56:E57"/>
    <mergeCell ref="H56:H57"/>
    <mergeCell ref="I56:I57"/>
    <mergeCell ref="J56:J57"/>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31"/>
  <sheetViews>
    <sheetView zoomScale="115" zoomScaleNormal="115" zoomScaleSheetLayoutView="115" workbookViewId="0">
      <selection activeCell="R11" sqref="R11"/>
    </sheetView>
  </sheetViews>
  <sheetFormatPr defaultColWidth="9.140625" defaultRowHeight="12"/>
  <cols>
    <col min="1" max="1" width="3.5703125" style="1431" customWidth="1"/>
    <col min="2" max="2" width="9.140625" style="1431"/>
    <col min="3" max="3" width="10.140625" style="1431" customWidth="1"/>
    <col min="4" max="4" width="15.140625" style="1431" customWidth="1"/>
    <col min="5" max="5" width="8.42578125" style="1431" customWidth="1"/>
    <col min="6" max="8" width="9.140625" style="1431"/>
    <col min="9" max="13" width="9.140625" style="1431" customWidth="1"/>
    <col min="14" max="16384" width="9.140625" style="1431"/>
  </cols>
  <sheetData>
    <row r="1" spans="1:20" ht="21">
      <c r="A1" s="1404" t="s">
        <v>243</v>
      </c>
      <c r="B1" s="1532"/>
      <c r="M1" s="1533"/>
      <c r="N1" s="1533"/>
      <c r="O1" s="1533"/>
      <c r="P1" s="1533"/>
      <c r="Q1" s="1533"/>
      <c r="R1" s="1533"/>
      <c r="S1" s="1533"/>
      <c r="T1" s="1533"/>
    </row>
    <row r="2" spans="1:20" ht="12.75">
      <c r="A2" s="1405" t="s">
        <v>1776</v>
      </c>
      <c r="B2" s="1549"/>
    </row>
    <row r="4" spans="1:20">
      <c r="F4" s="1523" t="s">
        <v>1614</v>
      </c>
      <c r="G4" s="1468"/>
      <c r="H4" s="1469"/>
      <c r="I4" s="1469" t="s">
        <v>1615</v>
      </c>
      <c r="J4" s="1523"/>
      <c r="K4" s="1523"/>
      <c r="L4" s="1523"/>
      <c r="M4" s="1523"/>
      <c r="N4" s="1523"/>
      <c r="O4" s="1523"/>
      <c r="P4" s="1523"/>
      <c r="Q4" s="1523"/>
      <c r="R4" s="1523"/>
      <c r="S4" s="1523"/>
      <c r="T4" s="1523"/>
    </row>
    <row r="5" spans="1:20">
      <c r="F5" s="1480">
        <f>IS!F5</f>
        <v>2012</v>
      </c>
      <c r="G5" s="1480">
        <f>IS!G5</f>
        <v>2013</v>
      </c>
      <c r="H5" s="1480">
        <f>IS!H5</f>
        <v>2014</v>
      </c>
      <c r="I5" s="1480">
        <f>IS!I5</f>
        <v>2015</v>
      </c>
      <c r="J5" s="1480">
        <f>IS!J5</f>
        <v>2016</v>
      </c>
      <c r="K5" s="1480">
        <f>IS!K5</f>
        <v>2017</v>
      </c>
      <c r="L5" s="1480">
        <f>IS!L5</f>
        <v>2018</v>
      </c>
      <c r="M5" s="1480">
        <f>IS!M5</f>
        <v>2019</v>
      </c>
      <c r="N5" s="1480">
        <f>IS!N5</f>
        <v>2020</v>
      </c>
      <c r="O5" s="1480">
        <f>IS!O5</f>
        <v>2021</v>
      </c>
      <c r="P5" s="1480">
        <f>IS!P5</f>
        <v>2022</v>
      </c>
      <c r="Q5" s="1480">
        <f>IS!Q5</f>
        <v>2023</v>
      </c>
      <c r="R5" s="1480">
        <f>IS!R5</f>
        <v>2024</v>
      </c>
      <c r="S5" s="1480">
        <f>IS!S5</f>
        <v>2025</v>
      </c>
      <c r="T5" s="1480">
        <f>IS!T5</f>
        <v>2026</v>
      </c>
    </row>
    <row r="7" spans="1:20">
      <c r="B7" s="1530" t="s">
        <v>1662</v>
      </c>
      <c r="C7" s="1452"/>
      <c r="D7" s="1452"/>
      <c r="E7" s="1452"/>
      <c r="F7" s="1423"/>
      <c r="G7" s="1423"/>
      <c r="H7" s="1423"/>
      <c r="I7" s="1423">
        <v>14</v>
      </c>
      <c r="J7" s="1423">
        <v>5</v>
      </c>
      <c r="K7" s="1410">
        <f>J7+$R$7</f>
        <v>5</v>
      </c>
      <c r="L7" s="1410">
        <f>K7+$R$7</f>
        <v>5</v>
      </c>
      <c r="M7" s="1410">
        <f>L7+$R$7</f>
        <v>5</v>
      </c>
      <c r="N7" s="1410">
        <v>0</v>
      </c>
      <c r="O7" s="1410">
        <v>0</v>
      </c>
      <c r="P7" s="1410">
        <v>0</v>
      </c>
      <c r="Q7" s="1410">
        <v>0</v>
      </c>
      <c r="R7" s="1410">
        <v>0</v>
      </c>
      <c r="S7" s="1410">
        <v>0</v>
      </c>
      <c r="T7" s="1410">
        <v>0</v>
      </c>
    </row>
    <row r="8" spans="1:20">
      <c r="C8" s="1431" t="s">
        <v>1663</v>
      </c>
      <c r="F8" s="1433"/>
      <c r="G8" s="1433"/>
      <c r="H8" s="1433"/>
      <c r="I8" s="1424"/>
      <c r="J8" s="1433"/>
      <c r="K8" s="1433"/>
      <c r="L8" s="1433"/>
      <c r="M8" s="1433"/>
      <c r="N8" s="1433"/>
      <c r="O8" s="1433"/>
      <c r="P8" s="1433"/>
      <c r="Q8" s="1433"/>
      <c r="R8" s="1433"/>
      <c r="S8" s="1433"/>
      <c r="T8" s="1433"/>
    </row>
    <row r="9" spans="1:20">
      <c r="F9" s="1439"/>
      <c r="G9" s="1439"/>
      <c r="H9" s="1439"/>
      <c r="I9" s="1439"/>
      <c r="J9" s="1439"/>
      <c r="K9" s="1439"/>
      <c r="L9" s="1439"/>
      <c r="M9" s="1439"/>
      <c r="N9" s="1439"/>
      <c r="O9" s="1439"/>
      <c r="P9" s="1439"/>
      <c r="Q9" s="1439"/>
      <c r="R9" s="1439"/>
      <c r="S9" s="1439"/>
      <c r="T9" s="1439"/>
    </row>
    <row r="10" spans="1:20">
      <c r="B10" s="1431" t="s">
        <v>1664</v>
      </c>
      <c r="F10" s="1423"/>
      <c r="G10" s="1440"/>
      <c r="H10" s="1440"/>
      <c r="I10" s="1440">
        <f t="shared" ref="I10:T10" si="0">H14</f>
        <v>9</v>
      </c>
      <c r="J10" s="1440">
        <f t="shared" si="0"/>
        <v>18</v>
      </c>
      <c r="K10" s="1440">
        <f t="shared" si="0"/>
        <v>20.886919549999998</v>
      </c>
      <c r="L10" s="1440">
        <f t="shared" si="0"/>
        <v>42.143941339000001</v>
      </c>
      <c r="M10" s="1440">
        <f t="shared" si="0"/>
        <v>53.539168844000002</v>
      </c>
      <c r="N10" s="1440">
        <f t="shared" si="0"/>
        <v>330.16375069499998</v>
      </c>
      <c r="O10" s="1440">
        <f t="shared" si="0"/>
        <v>325.19953644200001</v>
      </c>
      <c r="P10" s="1440">
        <f t="shared" si="0"/>
        <v>357.91752014299999</v>
      </c>
      <c r="Q10" s="1440">
        <f t="shared" si="0"/>
        <v>328.39567550100003</v>
      </c>
      <c r="R10" s="1440">
        <f t="shared" si="0"/>
        <v>310.29978188299998</v>
      </c>
      <c r="S10" s="1440">
        <f t="shared" si="0"/>
        <v>260.29978188299998</v>
      </c>
      <c r="T10" s="1440">
        <f t="shared" si="0"/>
        <v>210.29978188299998</v>
      </c>
    </row>
    <row r="11" spans="1:20">
      <c r="C11" s="1431" t="s">
        <v>1665</v>
      </c>
      <c r="F11" s="1440"/>
      <c r="G11" s="1440"/>
      <c r="H11" s="1440"/>
      <c r="I11" s="1440">
        <f t="shared" ref="I11:T11" si="1">I7</f>
        <v>14</v>
      </c>
      <c r="J11" s="1440">
        <f t="shared" si="1"/>
        <v>5</v>
      </c>
      <c r="K11" s="1440">
        <f t="shared" si="1"/>
        <v>5</v>
      </c>
      <c r="L11" s="1440">
        <f t="shared" si="1"/>
        <v>5</v>
      </c>
      <c r="M11" s="1440">
        <f t="shared" si="1"/>
        <v>5</v>
      </c>
      <c r="N11" s="1440">
        <f t="shared" si="1"/>
        <v>0</v>
      </c>
      <c r="O11" s="1440">
        <f t="shared" si="1"/>
        <v>0</v>
      </c>
      <c r="P11" s="1440">
        <f t="shared" si="1"/>
        <v>0</v>
      </c>
      <c r="Q11" s="1440">
        <f t="shared" ref="Q11" si="2">Q7</f>
        <v>0</v>
      </c>
      <c r="R11" s="1440">
        <f t="shared" si="1"/>
        <v>0</v>
      </c>
      <c r="S11" s="1440">
        <f t="shared" si="1"/>
        <v>0</v>
      </c>
      <c r="T11" s="1440">
        <f t="shared" si="1"/>
        <v>0</v>
      </c>
    </row>
    <row r="12" spans="1:20">
      <c r="C12" s="1431" t="s">
        <v>1666</v>
      </c>
      <c r="F12" s="1423"/>
      <c r="G12" s="1423"/>
      <c r="H12" s="1423"/>
      <c r="I12" s="1423">
        <v>-5</v>
      </c>
      <c r="J12" s="1440">
        <f t="shared" ref="J12:O12" si="3">-SUM(J21:J29)</f>
        <v>-3.5</v>
      </c>
      <c r="K12" s="1440">
        <f t="shared" si="3"/>
        <v>-4.125</v>
      </c>
      <c r="L12" s="1440">
        <f t="shared" si="3"/>
        <v>-4.75</v>
      </c>
      <c r="M12" s="1440">
        <f t="shared" si="3"/>
        <v>-5.375</v>
      </c>
      <c r="N12" s="1440">
        <f t="shared" si="3"/>
        <v>-5.375</v>
      </c>
      <c r="O12" s="1440">
        <f t="shared" si="3"/>
        <v>-5.375</v>
      </c>
      <c r="P12" s="1440">
        <f>-SUM(P21:P29)</f>
        <v>-5.375</v>
      </c>
      <c r="Q12" s="1440">
        <f>-SUM(Q21:Q29)</f>
        <v>-5.375</v>
      </c>
      <c r="R12" s="2178">
        <v>-50</v>
      </c>
      <c r="S12" s="2178">
        <v>-50</v>
      </c>
      <c r="T12" s="2178">
        <v>-50</v>
      </c>
    </row>
    <row r="13" spans="1:20">
      <c r="C13" s="1431" t="s">
        <v>1667</v>
      </c>
      <c r="F13" s="1423"/>
      <c r="G13" s="1423"/>
      <c r="H13" s="1423"/>
      <c r="I13" s="1423">
        <v>0</v>
      </c>
      <c r="J13" s="1440">
        <f t="shared" ref="J13:T13" si="4">I13</f>
        <v>0</v>
      </c>
      <c r="K13" s="1440">
        <f t="shared" si="4"/>
        <v>0</v>
      </c>
      <c r="L13" s="1440">
        <f t="shared" si="4"/>
        <v>0</v>
      </c>
      <c r="M13" s="1440">
        <f t="shared" si="4"/>
        <v>0</v>
      </c>
      <c r="N13" s="1440">
        <f t="shared" si="4"/>
        <v>0</v>
      </c>
      <c r="O13" s="1440">
        <f t="shared" si="4"/>
        <v>0</v>
      </c>
      <c r="P13" s="1440">
        <f t="shared" si="4"/>
        <v>0</v>
      </c>
      <c r="Q13" s="1440">
        <f t="shared" si="4"/>
        <v>0</v>
      </c>
      <c r="R13" s="1440">
        <f t="shared" si="4"/>
        <v>0</v>
      </c>
      <c r="S13" s="1440">
        <f t="shared" si="4"/>
        <v>0</v>
      </c>
      <c r="T13" s="1440">
        <f t="shared" si="4"/>
        <v>0</v>
      </c>
    </row>
    <row r="14" spans="1:20">
      <c r="A14" s="1488" t="s">
        <v>1603</v>
      </c>
      <c r="B14" s="1432" t="s">
        <v>1668</v>
      </c>
      <c r="C14" s="1432"/>
      <c r="D14" s="1432"/>
      <c r="E14" s="1432"/>
      <c r="F14" s="1441"/>
      <c r="G14" s="1441"/>
      <c r="H14" s="1422">
        <v>9</v>
      </c>
      <c r="I14" s="1441">
        <f>SUM(I10:I13)</f>
        <v>18</v>
      </c>
      <c r="J14" s="1422">
        <f>Diamond!C18</f>
        <v>20.886919549999998</v>
      </c>
      <c r="K14" s="1422">
        <f>Diamond!D18</f>
        <v>42.143941339000001</v>
      </c>
      <c r="L14" s="1422">
        <f>Diamond!E18</f>
        <v>53.539168844000002</v>
      </c>
      <c r="M14" s="1422">
        <f>Diamond!F18</f>
        <v>330.16375069499998</v>
      </c>
      <c r="N14" s="1422">
        <f>Diamond!G18</f>
        <v>325.19953644200001</v>
      </c>
      <c r="O14" s="1422">
        <f>Diamond!H18</f>
        <v>357.91752014299999</v>
      </c>
      <c r="P14" s="1422">
        <f>Diamond!I18</f>
        <v>328.39567550100003</v>
      </c>
      <c r="Q14" s="1422">
        <f>Diamond!J18</f>
        <v>310.29978188299998</v>
      </c>
      <c r="R14" s="1422">
        <f>R10+R11+R12+R13</f>
        <v>260.29978188299998</v>
      </c>
      <c r="S14" s="1422">
        <f>S10+S11+S12+S13</f>
        <v>210.29978188299998</v>
      </c>
      <c r="T14" s="1422">
        <f>T10+T11+T12+T13</f>
        <v>160.29978188299998</v>
      </c>
    </row>
    <row r="15" spans="1:20">
      <c r="A15" s="1488"/>
      <c r="F15" s="1440"/>
      <c r="G15" s="1440"/>
      <c r="H15" s="1440"/>
      <c r="I15" s="1440"/>
      <c r="J15" s="1440"/>
      <c r="K15" s="1440"/>
      <c r="L15" s="1440"/>
      <c r="M15" s="1440"/>
      <c r="N15" s="1440"/>
      <c r="O15" s="1440"/>
      <c r="P15" s="1440"/>
      <c r="Q15" s="1440"/>
      <c r="R15" s="1440"/>
      <c r="S15" s="1440"/>
      <c r="T15" s="1440"/>
    </row>
    <row r="16" spans="1:20">
      <c r="A16" s="1488"/>
      <c r="B16" s="1431" t="s">
        <v>1767</v>
      </c>
      <c r="F16" s="1440"/>
      <c r="G16" s="1440"/>
      <c r="H16" s="1440"/>
      <c r="I16" s="1423">
        <v>33</v>
      </c>
      <c r="J16" s="1440">
        <f t="shared" ref="J16:T16" si="5">J14+J17</f>
        <v>39.386919550000002</v>
      </c>
      <c r="K16" s="1440">
        <f t="shared" si="5"/>
        <v>64.768941339000008</v>
      </c>
      <c r="L16" s="1440">
        <f t="shared" si="5"/>
        <v>80.914168844000002</v>
      </c>
      <c r="M16" s="1440">
        <f t="shared" si="5"/>
        <v>362.91375069499998</v>
      </c>
      <c r="N16" s="1440">
        <f t="shared" si="5"/>
        <v>363.32453644200001</v>
      </c>
      <c r="O16" s="1440">
        <f t="shared" si="5"/>
        <v>401.41752014299999</v>
      </c>
      <c r="P16" s="1440">
        <f t="shared" si="5"/>
        <v>377.27067550100003</v>
      </c>
      <c r="Q16" s="1440">
        <f t="shared" si="5"/>
        <v>364.54978188299998</v>
      </c>
      <c r="R16" s="1440">
        <f t="shared" si="5"/>
        <v>364.54978188299998</v>
      </c>
      <c r="S16" s="1440">
        <f t="shared" si="5"/>
        <v>364.54978188299998</v>
      </c>
      <c r="T16" s="1440">
        <f t="shared" si="5"/>
        <v>364.54978188299998</v>
      </c>
    </row>
    <row r="17" spans="1:20">
      <c r="A17" s="1488"/>
      <c r="B17" s="1431" t="s">
        <v>586</v>
      </c>
      <c r="F17" s="1440"/>
      <c r="G17" s="1440"/>
      <c r="H17" s="1440"/>
      <c r="I17" s="1440">
        <f>I16-I14</f>
        <v>15</v>
      </c>
      <c r="J17" s="1440">
        <f>I17-J12</f>
        <v>18.5</v>
      </c>
      <c r="K17" s="1440">
        <f t="shared" ref="K17:T17" si="6">J17-K12</f>
        <v>22.625</v>
      </c>
      <c r="L17" s="1440">
        <f t="shared" si="6"/>
        <v>27.375</v>
      </c>
      <c r="M17" s="1440">
        <f t="shared" si="6"/>
        <v>32.75</v>
      </c>
      <c r="N17" s="1440">
        <f t="shared" si="6"/>
        <v>38.125</v>
      </c>
      <c r="O17" s="1440">
        <f t="shared" si="6"/>
        <v>43.5</v>
      </c>
      <c r="P17" s="1440">
        <f t="shared" si="6"/>
        <v>48.875</v>
      </c>
      <c r="Q17" s="1440">
        <f t="shared" si="6"/>
        <v>54.25</v>
      </c>
      <c r="R17" s="1440">
        <f t="shared" si="6"/>
        <v>104.25</v>
      </c>
      <c r="S17" s="1440">
        <f t="shared" si="6"/>
        <v>154.25</v>
      </c>
      <c r="T17" s="1440">
        <f t="shared" si="6"/>
        <v>204.25</v>
      </c>
    </row>
    <row r="18" spans="1:20">
      <c r="A18" s="1488"/>
      <c r="F18" s="1440"/>
      <c r="G18" s="1440"/>
      <c r="H18" s="1440"/>
      <c r="I18" s="1440"/>
      <c r="J18" s="1440"/>
      <c r="K18" s="1440"/>
      <c r="L18" s="1440"/>
      <c r="M18" s="1440"/>
      <c r="N18" s="1440"/>
      <c r="O18" s="1440"/>
      <c r="P18" s="1440"/>
      <c r="Q18" s="1440"/>
      <c r="R18" s="1440"/>
      <c r="S18" s="1440"/>
      <c r="T18" s="1440"/>
    </row>
    <row r="19" spans="1:20">
      <c r="A19" s="1488"/>
      <c r="F19" s="1440"/>
      <c r="G19" s="1440"/>
      <c r="H19" s="1440"/>
      <c r="I19" s="1440"/>
    </row>
    <row r="20" spans="1:20">
      <c r="A20" s="1488"/>
      <c r="E20" s="1431" t="s">
        <v>1670</v>
      </c>
      <c r="F20" s="1440"/>
      <c r="G20" s="1440"/>
      <c r="H20" s="1440"/>
      <c r="I20" s="1431">
        <f t="shared" ref="I20:N20" si="7">I5</f>
        <v>2015</v>
      </c>
      <c r="J20" s="1431">
        <f t="shared" si="7"/>
        <v>2016</v>
      </c>
      <c r="K20" s="1431">
        <f t="shared" si="7"/>
        <v>2017</v>
      </c>
      <c r="L20" s="1431">
        <f t="shared" si="7"/>
        <v>2018</v>
      </c>
      <c r="M20" s="1431">
        <f t="shared" si="7"/>
        <v>2019</v>
      </c>
      <c r="N20" s="1431">
        <f t="shared" si="7"/>
        <v>2020</v>
      </c>
      <c r="O20" s="1431">
        <f t="shared" ref="O20:T20" si="8">O5</f>
        <v>2021</v>
      </c>
      <c r="P20" s="1431">
        <f t="shared" si="8"/>
        <v>2022</v>
      </c>
      <c r="Q20" s="1431">
        <f t="shared" si="8"/>
        <v>2023</v>
      </c>
      <c r="R20" s="1431">
        <f t="shared" si="8"/>
        <v>2024</v>
      </c>
      <c r="S20" s="1431">
        <f t="shared" si="8"/>
        <v>2025</v>
      </c>
      <c r="T20" s="1431">
        <f t="shared" si="8"/>
        <v>2026</v>
      </c>
    </row>
    <row r="21" spans="1:20">
      <c r="A21" s="1488"/>
      <c r="B21" s="1431" t="s">
        <v>1669</v>
      </c>
      <c r="D21" s="1440">
        <f>H14</f>
        <v>9</v>
      </c>
      <c r="E21" s="1423">
        <v>8</v>
      </c>
      <c r="F21" s="1440"/>
      <c r="G21" s="1431" t="s">
        <v>1672</v>
      </c>
      <c r="I21" s="1440">
        <f t="shared" ref="I21:T21" si="9">$D$21/$E$21</f>
        <v>1.125</v>
      </c>
      <c r="J21" s="1440">
        <f t="shared" si="9"/>
        <v>1.125</v>
      </c>
      <c r="K21" s="1440">
        <f t="shared" si="9"/>
        <v>1.125</v>
      </c>
      <c r="L21" s="1440">
        <f t="shared" si="9"/>
        <v>1.125</v>
      </c>
      <c r="M21" s="1440">
        <f t="shared" si="9"/>
        <v>1.125</v>
      </c>
      <c r="N21" s="1440">
        <f t="shared" si="9"/>
        <v>1.125</v>
      </c>
      <c r="O21" s="1440">
        <f t="shared" si="9"/>
        <v>1.125</v>
      </c>
      <c r="P21" s="1440">
        <f t="shared" si="9"/>
        <v>1.125</v>
      </c>
      <c r="Q21" s="1440">
        <f t="shared" si="9"/>
        <v>1.125</v>
      </c>
      <c r="R21" s="1440">
        <f t="shared" si="9"/>
        <v>1.125</v>
      </c>
      <c r="S21" s="1440">
        <f t="shared" si="9"/>
        <v>1.125</v>
      </c>
      <c r="T21" s="1440">
        <f t="shared" si="9"/>
        <v>1.125</v>
      </c>
    </row>
    <row r="22" spans="1:20">
      <c r="A22" s="1488"/>
      <c r="F22" s="1440"/>
      <c r="G22" s="1440"/>
      <c r="I22" s="1440"/>
      <c r="J22" s="1440"/>
      <c r="K22" s="1440"/>
      <c r="L22" s="1440"/>
      <c r="M22" s="1440"/>
      <c r="N22" s="1440"/>
      <c r="O22" s="1440"/>
      <c r="P22" s="1440"/>
      <c r="Q22" s="1440"/>
      <c r="R22" s="1440"/>
      <c r="S22" s="1440"/>
      <c r="T22" s="1440"/>
    </row>
    <row r="23" spans="1:20">
      <c r="A23" s="1488"/>
      <c r="D23" s="1423"/>
      <c r="F23" s="1440"/>
      <c r="G23" s="1440"/>
      <c r="I23" s="1440"/>
      <c r="J23" s="1440"/>
      <c r="K23" s="1440"/>
      <c r="L23" s="1440"/>
      <c r="M23" s="1440"/>
      <c r="N23" s="1440"/>
      <c r="O23" s="1440"/>
      <c r="P23" s="1440"/>
      <c r="Q23" s="1440"/>
      <c r="R23" s="1440"/>
      <c r="S23" s="1440"/>
      <c r="T23" s="1440"/>
    </row>
    <row r="24" spans="1:20">
      <c r="A24" s="1488"/>
      <c r="C24" s="1431" t="s">
        <v>843</v>
      </c>
      <c r="D24" s="1431" t="s">
        <v>588</v>
      </c>
      <c r="F24" s="1440"/>
      <c r="G24" s="1440"/>
      <c r="H24" s="1440"/>
      <c r="I24" s="1440"/>
      <c r="J24" s="1440"/>
      <c r="K24" s="1440"/>
      <c r="L24" s="1440"/>
      <c r="M24" s="1440"/>
      <c r="N24" s="1440"/>
      <c r="O24" s="1440"/>
      <c r="P24" s="1440"/>
      <c r="Q24" s="1440"/>
      <c r="R24" s="1440"/>
      <c r="S24" s="1440"/>
      <c r="T24" s="1440"/>
    </row>
    <row r="25" spans="1:20">
      <c r="A25" s="1488"/>
      <c r="B25" s="1431" t="s">
        <v>1671</v>
      </c>
      <c r="C25" s="1552">
        <f>I5</f>
        <v>2015</v>
      </c>
      <c r="D25" s="1410">
        <f>HLOOKUP(C25,$I$5:$M$7,3)</f>
        <v>14</v>
      </c>
      <c r="E25" s="1440">
        <f>$E$21</f>
        <v>8</v>
      </c>
      <c r="F25" s="1440"/>
      <c r="G25" s="1440"/>
      <c r="H25" s="1440"/>
      <c r="I25" s="1440">
        <f t="shared" ref="I25:T25" si="10">$D25/$E25</f>
        <v>1.75</v>
      </c>
      <c r="J25" s="1440">
        <f t="shared" si="10"/>
        <v>1.75</v>
      </c>
      <c r="K25" s="1440">
        <f t="shared" si="10"/>
        <v>1.75</v>
      </c>
      <c r="L25" s="1440">
        <f t="shared" si="10"/>
        <v>1.75</v>
      </c>
      <c r="M25" s="1440">
        <f t="shared" si="10"/>
        <v>1.75</v>
      </c>
      <c r="N25" s="1440">
        <f t="shared" si="10"/>
        <v>1.75</v>
      </c>
      <c r="O25" s="1440">
        <f t="shared" si="10"/>
        <v>1.75</v>
      </c>
      <c r="P25" s="1440">
        <f t="shared" si="10"/>
        <v>1.75</v>
      </c>
      <c r="Q25" s="1440">
        <f t="shared" si="10"/>
        <v>1.75</v>
      </c>
      <c r="R25" s="1440">
        <f t="shared" si="10"/>
        <v>1.75</v>
      </c>
      <c r="S25" s="1440">
        <f t="shared" si="10"/>
        <v>1.75</v>
      </c>
      <c r="T25" s="1440">
        <f t="shared" si="10"/>
        <v>1.75</v>
      </c>
    </row>
    <row r="26" spans="1:20">
      <c r="A26" s="1488"/>
      <c r="B26" s="1431" t="s">
        <v>630</v>
      </c>
      <c r="C26" s="1552">
        <f>C25+1</f>
        <v>2016</v>
      </c>
      <c r="D26" s="1410">
        <f>HLOOKUP(C26,$I$5:$M$7,3)</f>
        <v>5</v>
      </c>
      <c r="E26" s="1440">
        <f>$E$21</f>
        <v>8</v>
      </c>
      <c r="F26" s="1440"/>
      <c r="G26" s="1440"/>
      <c r="H26" s="1440"/>
      <c r="I26" s="1440"/>
      <c r="J26" s="1440">
        <f t="shared" ref="J26:T26" si="11">$D26/$E26</f>
        <v>0.625</v>
      </c>
      <c r="K26" s="1440">
        <f t="shared" si="11"/>
        <v>0.625</v>
      </c>
      <c r="L26" s="1440">
        <f t="shared" si="11"/>
        <v>0.625</v>
      </c>
      <c r="M26" s="1440">
        <f t="shared" si="11"/>
        <v>0.625</v>
      </c>
      <c r="N26" s="1440">
        <f t="shared" si="11"/>
        <v>0.625</v>
      </c>
      <c r="O26" s="1440">
        <f t="shared" si="11"/>
        <v>0.625</v>
      </c>
      <c r="P26" s="1440">
        <f t="shared" si="11"/>
        <v>0.625</v>
      </c>
      <c r="Q26" s="1440">
        <f t="shared" si="11"/>
        <v>0.625</v>
      </c>
      <c r="R26" s="1440">
        <f t="shared" si="11"/>
        <v>0.625</v>
      </c>
      <c r="S26" s="1440">
        <f t="shared" si="11"/>
        <v>0.625</v>
      </c>
      <c r="T26" s="1440">
        <f t="shared" si="11"/>
        <v>0.625</v>
      </c>
    </row>
    <row r="27" spans="1:20">
      <c r="A27" s="1488"/>
      <c r="C27" s="1552">
        <f>C26+1</f>
        <v>2017</v>
      </c>
      <c r="D27" s="1410">
        <f>HLOOKUP(C27,$I$5:$M$7,3)</f>
        <v>5</v>
      </c>
      <c r="E27" s="1440">
        <f>$E$21</f>
        <v>8</v>
      </c>
      <c r="F27" s="1440"/>
      <c r="G27" s="1440"/>
      <c r="H27" s="1440"/>
      <c r="I27" s="1440"/>
      <c r="J27" s="1440"/>
      <c r="K27" s="1440">
        <f t="shared" ref="K27:T27" si="12">$D27/$E27</f>
        <v>0.625</v>
      </c>
      <c r="L27" s="1440">
        <f t="shared" si="12"/>
        <v>0.625</v>
      </c>
      <c r="M27" s="1440">
        <f t="shared" si="12"/>
        <v>0.625</v>
      </c>
      <c r="N27" s="1440">
        <f t="shared" si="12"/>
        <v>0.625</v>
      </c>
      <c r="O27" s="1440">
        <f t="shared" si="12"/>
        <v>0.625</v>
      </c>
      <c r="P27" s="1440">
        <f t="shared" si="12"/>
        <v>0.625</v>
      </c>
      <c r="Q27" s="1440">
        <f t="shared" si="12"/>
        <v>0.625</v>
      </c>
      <c r="R27" s="1440">
        <f t="shared" si="12"/>
        <v>0.625</v>
      </c>
      <c r="S27" s="1440">
        <f t="shared" si="12"/>
        <v>0.625</v>
      </c>
      <c r="T27" s="1440">
        <f t="shared" si="12"/>
        <v>0.625</v>
      </c>
    </row>
    <row r="28" spans="1:20">
      <c r="A28" s="1488"/>
      <c r="C28" s="1552">
        <f>C27+1</f>
        <v>2018</v>
      </c>
      <c r="D28" s="1410">
        <f>HLOOKUP(C28,$I$5:$M$7,3)</f>
        <v>5</v>
      </c>
      <c r="E28" s="1440">
        <f>$E$21</f>
        <v>8</v>
      </c>
      <c r="F28" s="1440"/>
      <c r="G28" s="1440"/>
      <c r="H28" s="1440"/>
      <c r="I28" s="1440"/>
      <c r="J28" s="1440"/>
      <c r="K28" s="1440"/>
      <c r="L28" s="1440">
        <f t="shared" ref="L28:T28" si="13">$D28/$E28</f>
        <v>0.625</v>
      </c>
      <c r="M28" s="1440">
        <f t="shared" si="13"/>
        <v>0.625</v>
      </c>
      <c r="N28" s="1440">
        <f t="shared" si="13"/>
        <v>0.625</v>
      </c>
      <c r="O28" s="1440">
        <f t="shared" si="13"/>
        <v>0.625</v>
      </c>
      <c r="P28" s="1440">
        <f t="shared" si="13"/>
        <v>0.625</v>
      </c>
      <c r="Q28" s="1440">
        <f t="shared" si="13"/>
        <v>0.625</v>
      </c>
      <c r="R28" s="1440">
        <f t="shared" si="13"/>
        <v>0.625</v>
      </c>
      <c r="S28" s="1440">
        <f t="shared" si="13"/>
        <v>0.625</v>
      </c>
      <c r="T28" s="1440">
        <f t="shared" si="13"/>
        <v>0.625</v>
      </c>
    </row>
    <row r="29" spans="1:20">
      <c r="A29" s="1488"/>
      <c r="C29" s="1552">
        <f>C28+1</f>
        <v>2019</v>
      </c>
      <c r="D29" s="1410">
        <f>HLOOKUP(C29,$I$5:$M$7,3)</f>
        <v>5</v>
      </c>
      <c r="E29" s="1440">
        <f>$E$21</f>
        <v>8</v>
      </c>
      <c r="F29" s="1440"/>
      <c r="G29" s="1440"/>
      <c r="H29" s="1440"/>
      <c r="I29" s="1440"/>
      <c r="J29" s="1440"/>
      <c r="K29" s="1440"/>
      <c r="L29" s="1440"/>
      <c r="M29" s="1440">
        <f t="shared" ref="M29:T29" si="14">$D29/$E29</f>
        <v>0.625</v>
      </c>
      <c r="N29" s="1440">
        <f t="shared" si="14"/>
        <v>0.625</v>
      </c>
      <c r="O29" s="1440">
        <f t="shared" si="14"/>
        <v>0.625</v>
      </c>
      <c r="P29" s="1440">
        <f t="shared" si="14"/>
        <v>0.625</v>
      </c>
      <c r="Q29" s="1440">
        <f t="shared" si="14"/>
        <v>0.625</v>
      </c>
      <c r="R29" s="1440">
        <f t="shared" si="14"/>
        <v>0.625</v>
      </c>
      <c r="S29" s="1440">
        <f t="shared" si="14"/>
        <v>0.625</v>
      </c>
      <c r="T29" s="1440">
        <f t="shared" si="14"/>
        <v>0.625</v>
      </c>
    </row>
    <row r="30" spans="1:20">
      <c r="A30" s="1488"/>
      <c r="F30" s="1440"/>
      <c r="G30" s="1440"/>
      <c r="H30" s="1440"/>
      <c r="I30" s="1440"/>
      <c r="J30" s="1440"/>
      <c r="K30" s="1440"/>
      <c r="L30" s="1440"/>
      <c r="M30" s="1440"/>
      <c r="N30" s="1440"/>
      <c r="O30" s="1440"/>
      <c r="P30" s="1440"/>
      <c r="Q30" s="1440"/>
      <c r="R30" s="1440"/>
      <c r="S30" s="1440"/>
      <c r="T30" s="1440"/>
    </row>
    <row r="31" spans="1:20">
      <c r="A31" s="1488" t="s">
        <v>1603</v>
      </c>
      <c r="B31" s="1488" t="s">
        <v>1629</v>
      </c>
    </row>
  </sheetData>
  <pageMargins left="0.7" right="0.7" top="0.75" bottom="0.75" header="0.3" footer="0.3"/>
  <pageSetup paperSize="9" scale="66"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30"/>
  <sheetViews>
    <sheetView zoomScale="115" zoomScaleNormal="115" workbookViewId="0">
      <selection activeCell="Q13" sqref="Q13"/>
    </sheetView>
  </sheetViews>
  <sheetFormatPr defaultColWidth="9.140625" defaultRowHeight="12"/>
  <cols>
    <col min="1" max="1" width="3.140625" style="1431" customWidth="1"/>
    <col min="2" max="2" width="6" style="1431" customWidth="1"/>
    <col min="3" max="3" width="14.7109375" style="1431" customWidth="1"/>
    <col min="4" max="4" width="12.85546875" style="1431" customWidth="1"/>
    <col min="5" max="5" width="12.42578125" style="1431" customWidth="1"/>
    <col min="6" max="8" width="9.140625" style="1431"/>
    <col min="9" max="13" width="9.140625" style="1431" customWidth="1"/>
    <col min="14" max="16384" width="9.140625" style="1431"/>
  </cols>
  <sheetData>
    <row r="1" spans="1:20" ht="21">
      <c r="A1" s="1404" t="s">
        <v>1673</v>
      </c>
      <c r="B1" s="1532"/>
      <c r="M1" s="1533"/>
      <c r="N1" s="1533"/>
      <c r="O1" s="1533"/>
      <c r="P1" s="1533"/>
      <c r="Q1" s="1533"/>
      <c r="R1" s="1533"/>
      <c r="S1" s="1533"/>
      <c r="T1" s="1533"/>
    </row>
    <row r="2" spans="1:20" ht="12.75">
      <c r="A2" s="1405" t="s">
        <v>1776</v>
      </c>
      <c r="B2" s="1549"/>
    </row>
    <row r="4" spans="1:20">
      <c r="F4" s="1523" t="s">
        <v>1614</v>
      </c>
      <c r="G4" s="1468"/>
      <c r="H4" s="1469"/>
      <c r="I4" s="1469" t="s">
        <v>1615</v>
      </c>
      <c r="J4" s="1523"/>
      <c r="K4" s="1523"/>
      <c r="L4" s="1523"/>
      <c r="M4" s="1523"/>
      <c r="N4" s="1523"/>
      <c r="O4" s="1523"/>
      <c r="P4" s="1523"/>
      <c r="Q4" s="1523"/>
      <c r="R4" s="1523"/>
      <c r="S4" s="1523"/>
      <c r="T4" s="1523"/>
    </row>
    <row r="5" spans="1:20">
      <c r="F5" s="1480">
        <f>IS!F5</f>
        <v>2012</v>
      </c>
      <c r="G5" s="1480">
        <f>IS!G5</f>
        <v>2013</v>
      </c>
      <c r="H5" s="1480">
        <f>IS!H5</f>
        <v>2014</v>
      </c>
      <c r="I5" s="1480">
        <f>IS!I5</f>
        <v>2015</v>
      </c>
      <c r="J5" s="1480">
        <f>IS!J5</f>
        <v>2016</v>
      </c>
      <c r="K5" s="1480">
        <f>IS!K5</f>
        <v>2017</v>
      </c>
      <c r="L5" s="1480">
        <f>IS!L5</f>
        <v>2018</v>
      </c>
      <c r="M5" s="1480">
        <f>IS!M5</f>
        <v>2019</v>
      </c>
      <c r="N5" s="1480">
        <f>IS!N5</f>
        <v>2020</v>
      </c>
      <c r="O5" s="1480">
        <f>IS!O5</f>
        <v>2021</v>
      </c>
      <c r="P5" s="1480">
        <f>IS!P5</f>
        <v>2022</v>
      </c>
      <c r="Q5" s="1480">
        <f>IS!Q5</f>
        <v>2023</v>
      </c>
      <c r="R5" s="1480">
        <f>IS!R5</f>
        <v>2024</v>
      </c>
      <c r="S5" s="1480">
        <f>IS!S5</f>
        <v>2025</v>
      </c>
      <c r="T5" s="1480">
        <f>IS!T5</f>
        <v>2026</v>
      </c>
    </row>
    <row r="7" spans="1:20">
      <c r="B7" s="1530" t="s">
        <v>1662</v>
      </c>
      <c r="C7" s="1452"/>
      <c r="D7" s="1452"/>
      <c r="E7" s="1452"/>
      <c r="F7" s="1423"/>
      <c r="G7" s="1423"/>
      <c r="H7" s="1423"/>
      <c r="I7" s="1423">
        <v>3</v>
      </c>
      <c r="J7" s="1423">
        <v>16</v>
      </c>
      <c r="K7" s="1410">
        <f>J7</f>
        <v>16</v>
      </c>
      <c r="L7" s="1410">
        <f>K7</f>
        <v>16</v>
      </c>
      <c r="M7" s="1410">
        <f>L7</f>
        <v>16</v>
      </c>
      <c r="N7" s="1410">
        <v>0</v>
      </c>
      <c r="O7" s="1410">
        <v>0</v>
      </c>
      <c r="P7" s="1410">
        <v>0</v>
      </c>
      <c r="Q7" s="1410">
        <v>0</v>
      </c>
      <c r="R7" s="1410">
        <v>0</v>
      </c>
      <c r="S7" s="1410">
        <v>0</v>
      </c>
      <c r="T7" s="1410">
        <v>0</v>
      </c>
    </row>
    <row r="8" spans="1:20">
      <c r="F8" s="1439"/>
      <c r="G8" s="1439"/>
      <c r="H8" s="1439"/>
      <c r="I8" s="1439"/>
      <c r="J8" s="1439"/>
      <c r="K8" s="1439"/>
      <c r="L8" s="1439"/>
      <c r="M8" s="1439"/>
      <c r="N8" s="1439"/>
      <c r="O8" s="1439"/>
      <c r="P8" s="1439"/>
      <c r="Q8" s="1439"/>
      <c r="R8" s="1439"/>
      <c r="S8" s="1439"/>
      <c r="T8" s="1439"/>
    </row>
    <row r="9" spans="1:20">
      <c r="B9" s="1431" t="s">
        <v>1674</v>
      </c>
      <c r="F9" s="1423"/>
      <c r="G9" s="1440"/>
      <c r="H9" s="1440"/>
      <c r="I9" s="1440">
        <f>H13</f>
        <v>1</v>
      </c>
      <c r="J9" s="1440">
        <f>I13</f>
        <v>2.7</v>
      </c>
      <c r="K9" s="1440">
        <f>J13</f>
        <v>17.970400482999999</v>
      </c>
      <c r="L9" s="1440">
        <f>K13</f>
        <v>21.801035874</v>
      </c>
      <c r="M9" s="1440">
        <f t="shared" ref="M9:T9" si="0">L13</f>
        <v>22.244066965999998</v>
      </c>
      <c r="N9" s="1440">
        <f t="shared" si="0"/>
        <v>31.477576192000001</v>
      </c>
      <c r="O9" s="1440">
        <f t="shared" si="0"/>
        <v>29.894292731</v>
      </c>
      <c r="P9" s="1440">
        <f t="shared" si="0"/>
        <v>68.675237828999997</v>
      </c>
      <c r="Q9" s="1440">
        <f t="shared" si="0"/>
        <v>65.474672076000004</v>
      </c>
      <c r="R9" s="1440">
        <f t="shared" si="0"/>
        <v>61.908732995999998</v>
      </c>
      <c r="S9" s="1440">
        <f t="shared" si="0"/>
        <v>59.548732995999998</v>
      </c>
      <c r="T9" s="1440">
        <f t="shared" si="0"/>
        <v>57.188732995999999</v>
      </c>
    </row>
    <row r="10" spans="1:20">
      <c r="C10" s="1431" t="s">
        <v>1665</v>
      </c>
      <c r="F10" s="1440"/>
      <c r="G10" s="1440"/>
      <c r="H10" s="1440"/>
      <c r="I10" s="1440">
        <f t="shared" ref="I10:N10" si="1">I7</f>
        <v>3</v>
      </c>
      <c r="J10" s="1440">
        <f t="shared" si="1"/>
        <v>16</v>
      </c>
      <c r="K10" s="1440">
        <f t="shared" si="1"/>
        <v>16</v>
      </c>
      <c r="L10" s="1440">
        <f t="shared" si="1"/>
        <v>16</v>
      </c>
      <c r="M10" s="1440">
        <f t="shared" si="1"/>
        <v>16</v>
      </c>
      <c r="N10" s="1440">
        <f t="shared" si="1"/>
        <v>0</v>
      </c>
      <c r="O10" s="1440">
        <f t="shared" ref="O10:T10" si="2">O7</f>
        <v>0</v>
      </c>
      <c r="P10" s="1440">
        <f t="shared" si="2"/>
        <v>0</v>
      </c>
      <c r="Q10" s="1440">
        <f t="shared" ref="Q10" si="3">Q7</f>
        <v>0</v>
      </c>
      <c r="R10" s="1440">
        <f t="shared" si="2"/>
        <v>0</v>
      </c>
      <c r="S10" s="1440">
        <f t="shared" si="2"/>
        <v>0</v>
      </c>
      <c r="T10" s="1440">
        <f t="shared" si="2"/>
        <v>0</v>
      </c>
    </row>
    <row r="11" spans="1:20">
      <c r="C11" s="1431" t="s">
        <v>1675</v>
      </c>
      <c r="F11" s="1423"/>
      <c r="G11" s="1423"/>
      <c r="H11" s="1423"/>
      <c r="I11" s="1423">
        <v>-0.3</v>
      </c>
      <c r="J11" s="1440">
        <f t="shared" ref="J11:O11" si="4">-SUM(J20:J28)</f>
        <v>-0.4</v>
      </c>
      <c r="K11" s="1440">
        <f t="shared" si="4"/>
        <v>-0.72</v>
      </c>
      <c r="L11" s="1440">
        <f t="shared" si="4"/>
        <v>-1.04</v>
      </c>
      <c r="M11" s="1440">
        <f t="shared" si="4"/>
        <v>-1.36</v>
      </c>
      <c r="N11" s="1440">
        <f t="shared" si="4"/>
        <v>-1.36</v>
      </c>
      <c r="O11" s="1440">
        <f t="shared" si="4"/>
        <v>-1.36</v>
      </c>
      <c r="P11" s="1440">
        <f>-SUM(P20:P28)</f>
        <v>-1.36</v>
      </c>
      <c r="Q11" s="1440">
        <f>-SUM(Q20:Q28)</f>
        <v>-1.36</v>
      </c>
      <c r="R11" s="1440">
        <f>-SUM(R20:R28)</f>
        <v>-1.36</v>
      </c>
      <c r="S11" s="1440">
        <f>-SUM(S20:S28)</f>
        <v>-1.36</v>
      </c>
      <c r="T11" s="1440">
        <f>-SUM(T20:T28)</f>
        <v>-1.36</v>
      </c>
    </row>
    <row r="12" spans="1:20">
      <c r="C12" s="1431" t="s">
        <v>1667</v>
      </c>
      <c r="F12" s="1423"/>
      <c r="G12" s="1423"/>
      <c r="H12" s="1423"/>
      <c r="I12" s="1423">
        <v>-1</v>
      </c>
      <c r="J12" s="1440">
        <f t="shared" ref="J12:T12" si="5">I12</f>
        <v>-1</v>
      </c>
      <c r="K12" s="1440">
        <f t="shared" si="5"/>
        <v>-1</v>
      </c>
      <c r="L12" s="1440">
        <f t="shared" si="5"/>
        <v>-1</v>
      </c>
      <c r="M12" s="1440">
        <f t="shared" si="5"/>
        <v>-1</v>
      </c>
      <c r="N12" s="1440">
        <f t="shared" si="5"/>
        <v>-1</v>
      </c>
      <c r="O12" s="1440">
        <f t="shared" si="5"/>
        <v>-1</v>
      </c>
      <c r="P12" s="1440">
        <f t="shared" si="5"/>
        <v>-1</v>
      </c>
      <c r="Q12" s="1440">
        <f t="shared" si="5"/>
        <v>-1</v>
      </c>
      <c r="R12" s="1440">
        <f t="shared" si="5"/>
        <v>-1</v>
      </c>
      <c r="S12" s="1440">
        <f t="shared" si="5"/>
        <v>-1</v>
      </c>
      <c r="T12" s="1440">
        <f t="shared" si="5"/>
        <v>-1</v>
      </c>
    </row>
    <row r="13" spans="1:20">
      <c r="A13" s="1488" t="s">
        <v>1603</v>
      </c>
      <c r="B13" s="1432" t="s">
        <v>1676</v>
      </c>
      <c r="C13" s="1432"/>
      <c r="D13" s="1432"/>
      <c r="E13" s="1432"/>
      <c r="F13" s="1441"/>
      <c r="G13" s="1441"/>
      <c r="H13" s="1422">
        <v>1</v>
      </c>
      <c r="I13" s="1441">
        <f>SUM(I9:I12)</f>
        <v>2.7</v>
      </c>
      <c r="J13" s="2179">
        <f>Diamond!C19</f>
        <v>17.970400482999999</v>
      </c>
      <c r="K13" s="2179">
        <f>Diamond!D19</f>
        <v>21.801035874</v>
      </c>
      <c r="L13" s="2179">
        <f>Diamond!E19</f>
        <v>22.244066965999998</v>
      </c>
      <c r="M13" s="2179">
        <f>Diamond!F19</f>
        <v>31.477576192000001</v>
      </c>
      <c r="N13" s="2179">
        <f>Diamond!G19</f>
        <v>29.894292731</v>
      </c>
      <c r="O13" s="2179">
        <f>Diamond!H19</f>
        <v>68.675237828999997</v>
      </c>
      <c r="P13" s="2179">
        <f>Diamond!I19</f>
        <v>65.474672076000004</v>
      </c>
      <c r="Q13" s="2179">
        <f>Diamond!J19</f>
        <v>61.908732995999998</v>
      </c>
      <c r="R13" s="1422">
        <f>R9+R10+R11+R12</f>
        <v>59.548732995999998</v>
      </c>
      <c r="S13" s="1422">
        <f>S9+S10+S11+S12</f>
        <v>57.188732995999999</v>
      </c>
      <c r="T13" s="1422">
        <f>T9+T10+T11+T12</f>
        <v>54.828732995999999</v>
      </c>
    </row>
    <row r="14" spans="1:20">
      <c r="A14" s="1488"/>
      <c r="F14" s="1440"/>
      <c r="G14" s="1440"/>
      <c r="H14" s="1440"/>
      <c r="I14" s="1440"/>
      <c r="J14" s="1440"/>
      <c r="K14" s="1440"/>
      <c r="L14" s="1440"/>
      <c r="M14" s="1440"/>
      <c r="N14" s="1440"/>
      <c r="O14" s="1440"/>
      <c r="P14" s="1440"/>
      <c r="Q14" s="1440"/>
      <c r="R14" s="1440"/>
      <c r="S14" s="1440"/>
      <c r="T14" s="1440"/>
    </row>
    <row r="15" spans="1:20">
      <c r="A15" s="1488"/>
      <c r="B15" s="1431" t="s">
        <v>1768</v>
      </c>
      <c r="F15" s="1440"/>
      <c r="G15" s="1440"/>
      <c r="H15" s="1440"/>
      <c r="I15" s="1423">
        <v>4</v>
      </c>
      <c r="J15" s="1440">
        <f t="shared" ref="J15:T15" si="6">J13+J16</f>
        <v>19.670400482999998</v>
      </c>
      <c r="K15" s="1440">
        <f t="shared" si="6"/>
        <v>24.221035874000002</v>
      </c>
      <c r="L15" s="1440">
        <f t="shared" si="6"/>
        <v>25.704066965999999</v>
      </c>
      <c r="M15" s="1440">
        <f t="shared" si="6"/>
        <v>36.297576192000001</v>
      </c>
      <c r="N15" s="1440">
        <f t="shared" si="6"/>
        <v>36.074292731</v>
      </c>
      <c r="O15" s="1440">
        <f t="shared" si="6"/>
        <v>76.215237829000003</v>
      </c>
      <c r="P15" s="1440">
        <f t="shared" si="6"/>
        <v>74.37467207600001</v>
      </c>
      <c r="Q15" s="1440">
        <f t="shared" si="6"/>
        <v>72.168732996000003</v>
      </c>
      <c r="R15" s="1440">
        <f t="shared" si="6"/>
        <v>71.168732996000003</v>
      </c>
      <c r="S15" s="1440">
        <f t="shared" si="6"/>
        <v>70.168732996000003</v>
      </c>
      <c r="T15" s="1440">
        <f t="shared" si="6"/>
        <v>69.168732996000003</v>
      </c>
    </row>
    <row r="16" spans="1:20">
      <c r="A16" s="1488"/>
      <c r="B16" s="1431" t="s">
        <v>1769</v>
      </c>
      <c r="F16" s="1440"/>
      <c r="G16" s="1440"/>
      <c r="H16" s="1440"/>
      <c r="I16" s="1440">
        <f>I15-I13</f>
        <v>1.2999999999999998</v>
      </c>
      <c r="J16" s="1440">
        <f>I16-J11</f>
        <v>1.6999999999999997</v>
      </c>
      <c r="K16" s="1440">
        <f t="shared" ref="K16:T16" si="7">J16-K11</f>
        <v>2.42</v>
      </c>
      <c r="L16" s="1440">
        <f t="shared" si="7"/>
        <v>3.46</v>
      </c>
      <c r="M16" s="1440">
        <f t="shared" si="7"/>
        <v>4.82</v>
      </c>
      <c r="N16" s="1440">
        <f t="shared" si="7"/>
        <v>6.1800000000000006</v>
      </c>
      <c r="O16" s="1440">
        <f t="shared" si="7"/>
        <v>7.5400000000000009</v>
      </c>
      <c r="P16" s="1440">
        <f t="shared" si="7"/>
        <v>8.9</v>
      </c>
      <c r="Q16" s="1440">
        <f t="shared" si="7"/>
        <v>10.26</v>
      </c>
      <c r="R16" s="1440">
        <f t="shared" si="7"/>
        <v>11.62</v>
      </c>
      <c r="S16" s="1440">
        <f t="shared" si="7"/>
        <v>12.979999999999999</v>
      </c>
      <c r="T16" s="1440">
        <f t="shared" si="7"/>
        <v>14.339999999999998</v>
      </c>
    </row>
    <row r="17" spans="1:20">
      <c r="A17" s="1488"/>
      <c r="F17" s="1440"/>
      <c r="G17" s="1440"/>
      <c r="H17" s="1440"/>
      <c r="I17" s="1440"/>
      <c r="J17" s="1440"/>
      <c r="K17" s="1440"/>
      <c r="L17" s="1440"/>
      <c r="M17" s="1440"/>
      <c r="N17" s="1440"/>
      <c r="O17" s="1440"/>
      <c r="P17" s="1440"/>
      <c r="Q17" s="1440"/>
      <c r="R17" s="1440"/>
      <c r="S17" s="1440"/>
      <c r="T17" s="1440"/>
    </row>
    <row r="18" spans="1:20">
      <c r="A18" s="1488"/>
      <c r="F18" s="1440"/>
      <c r="G18" s="1440"/>
      <c r="H18" s="1440"/>
    </row>
    <row r="19" spans="1:20">
      <c r="A19" s="1488"/>
      <c r="E19" s="1431" t="s">
        <v>1670</v>
      </c>
      <c r="F19" s="1440"/>
      <c r="G19" s="1440"/>
      <c r="H19" s="1440"/>
      <c r="I19" s="1431">
        <f t="shared" ref="I19:N19" si="8">I5</f>
        <v>2015</v>
      </c>
      <c r="J19" s="1431">
        <f t="shared" si="8"/>
        <v>2016</v>
      </c>
      <c r="K19" s="1431">
        <f t="shared" si="8"/>
        <v>2017</v>
      </c>
      <c r="L19" s="1431">
        <f t="shared" si="8"/>
        <v>2018</v>
      </c>
      <c r="M19" s="1431">
        <f t="shared" si="8"/>
        <v>2019</v>
      </c>
      <c r="N19" s="1431">
        <f t="shared" si="8"/>
        <v>2020</v>
      </c>
      <c r="O19" s="1431">
        <f t="shared" ref="O19:T19" si="9">O5</f>
        <v>2021</v>
      </c>
      <c r="P19" s="1431">
        <f t="shared" si="9"/>
        <v>2022</v>
      </c>
      <c r="Q19" s="1431">
        <f t="shared" si="9"/>
        <v>2023</v>
      </c>
      <c r="R19" s="1431">
        <f t="shared" si="9"/>
        <v>2024</v>
      </c>
      <c r="S19" s="1431">
        <f t="shared" si="9"/>
        <v>2025</v>
      </c>
      <c r="T19" s="1431">
        <f t="shared" si="9"/>
        <v>2026</v>
      </c>
    </row>
    <row r="20" spans="1:20">
      <c r="A20" s="1488"/>
      <c r="B20" s="1431" t="s">
        <v>1678</v>
      </c>
      <c r="D20" s="1440">
        <f>H13</f>
        <v>1</v>
      </c>
      <c r="E20" s="1423">
        <v>50</v>
      </c>
      <c r="F20" s="1440"/>
      <c r="G20" s="1431" t="s">
        <v>1677</v>
      </c>
      <c r="I20" s="1440">
        <f t="shared" ref="I20:T20" si="10">$D$20/$E$20</f>
        <v>0.02</v>
      </c>
      <c r="J20" s="1440">
        <f t="shared" si="10"/>
        <v>0.02</v>
      </c>
      <c r="K20" s="1440">
        <f t="shared" si="10"/>
        <v>0.02</v>
      </c>
      <c r="L20" s="1440">
        <f t="shared" si="10"/>
        <v>0.02</v>
      </c>
      <c r="M20" s="1440">
        <f t="shared" si="10"/>
        <v>0.02</v>
      </c>
      <c r="N20" s="1440">
        <f t="shared" si="10"/>
        <v>0.02</v>
      </c>
      <c r="O20" s="1440">
        <f t="shared" si="10"/>
        <v>0.02</v>
      </c>
      <c r="P20" s="1440">
        <f t="shared" si="10"/>
        <v>0.02</v>
      </c>
      <c r="Q20" s="1440">
        <f t="shared" si="10"/>
        <v>0.02</v>
      </c>
      <c r="R20" s="1440">
        <f t="shared" si="10"/>
        <v>0.02</v>
      </c>
      <c r="S20" s="1440">
        <f t="shared" si="10"/>
        <v>0.02</v>
      </c>
      <c r="T20" s="1440">
        <f t="shared" si="10"/>
        <v>0.02</v>
      </c>
    </row>
    <row r="21" spans="1:20">
      <c r="A21" s="1488"/>
      <c r="F21" s="1440"/>
      <c r="G21" s="1440"/>
      <c r="I21" s="1440"/>
      <c r="J21" s="1440"/>
      <c r="K21" s="1440"/>
      <c r="L21" s="1440"/>
      <c r="M21" s="1440"/>
      <c r="N21" s="1440"/>
      <c r="O21" s="1440"/>
      <c r="P21" s="1440"/>
      <c r="Q21" s="1440"/>
      <c r="R21" s="1440"/>
      <c r="S21" s="1440"/>
      <c r="T21" s="1440"/>
    </row>
    <row r="22" spans="1:20">
      <c r="A22" s="1488"/>
      <c r="D22" s="1423"/>
      <c r="F22" s="1440"/>
      <c r="G22" s="1440"/>
      <c r="I22" s="1440"/>
      <c r="J22" s="1440"/>
      <c r="K22" s="1440"/>
      <c r="L22" s="1440"/>
      <c r="M22" s="1440"/>
      <c r="N22" s="1440"/>
      <c r="O22" s="1440"/>
      <c r="P22" s="1440"/>
      <c r="Q22" s="1440"/>
      <c r="R22" s="1440"/>
      <c r="S22" s="1440"/>
      <c r="T22" s="1440"/>
    </row>
    <row r="23" spans="1:20">
      <c r="A23" s="1488"/>
      <c r="C23" s="1431" t="s">
        <v>843</v>
      </c>
      <c r="D23" s="1431" t="s">
        <v>588</v>
      </c>
      <c r="F23" s="1440"/>
      <c r="G23" s="1440"/>
      <c r="H23" s="1440"/>
      <c r="I23" s="1440"/>
      <c r="J23" s="1440"/>
      <c r="K23" s="1440"/>
      <c r="L23" s="1440"/>
      <c r="M23" s="1440"/>
      <c r="N23" s="1440"/>
      <c r="O23" s="1440"/>
      <c r="P23" s="1440"/>
      <c r="Q23" s="1440"/>
      <c r="R23" s="1440"/>
      <c r="S23" s="1440"/>
      <c r="T23" s="1440"/>
    </row>
    <row r="24" spans="1:20">
      <c r="A24" s="1488"/>
      <c r="B24" s="1431" t="s">
        <v>1671</v>
      </c>
      <c r="C24" s="1552">
        <f>I5</f>
        <v>2015</v>
      </c>
      <c r="D24" s="1410">
        <f>HLOOKUP(C24,$I$5:$M$7,3)</f>
        <v>3</v>
      </c>
      <c r="E24" s="1440">
        <f>$E$20</f>
        <v>50</v>
      </c>
      <c r="F24" s="1440"/>
      <c r="G24" s="1440"/>
      <c r="H24" s="1440"/>
      <c r="I24" s="1440">
        <f t="shared" ref="I24:T24" si="11">$D24/$E24</f>
        <v>0.06</v>
      </c>
      <c r="J24" s="1440">
        <f t="shared" si="11"/>
        <v>0.06</v>
      </c>
      <c r="K24" s="1440">
        <f t="shared" si="11"/>
        <v>0.06</v>
      </c>
      <c r="L24" s="1440">
        <f t="shared" si="11"/>
        <v>0.06</v>
      </c>
      <c r="M24" s="1440">
        <f t="shared" si="11"/>
        <v>0.06</v>
      </c>
      <c r="N24" s="1440">
        <f t="shared" si="11"/>
        <v>0.06</v>
      </c>
      <c r="O24" s="1440">
        <f t="shared" si="11"/>
        <v>0.06</v>
      </c>
      <c r="P24" s="1440">
        <f t="shared" si="11"/>
        <v>0.06</v>
      </c>
      <c r="Q24" s="1440">
        <f t="shared" si="11"/>
        <v>0.06</v>
      </c>
      <c r="R24" s="1440">
        <f t="shared" si="11"/>
        <v>0.06</v>
      </c>
      <c r="S24" s="1440">
        <f t="shared" si="11"/>
        <v>0.06</v>
      </c>
      <c r="T24" s="1440">
        <f t="shared" si="11"/>
        <v>0.06</v>
      </c>
    </row>
    <row r="25" spans="1:20">
      <c r="A25" s="1488"/>
      <c r="B25" s="1431" t="s">
        <v>630</v>
      </c>
      <c r="C25" s="1552">
        <f>C24+1</f>
        <v>2016</v>
      </c>
      <c r="D25" s="1410">
        <f>HLOOKUP(C25,$I$5:$M$7,3)</f>
        <v>16</v>
      </c>
      <c r="E25" s="1440">
        <f>$E$20</f>
        <v>50</v>
      </c>
      <c r="F25" s="1440"/>
      <c r="G25" s="1440"/>
      <c r="H25" s="1440"/>
      <c r="I25" s="1440"/>
      <c r="J25" s="1440">
        <f t="shared" ref="J25:T25" si="12">$D25/$E25</f>
        <v>0.32</v>
      </c>
      <c r="K25" s="1440">
        <f t="shared" si="12"/>
        <v>0.32</v>
      </c>
      <c r="L25" s="1440">
        <f t="shared" si="12"/>
        <v>0.32</v>
      </c>
      <c r="M25" s="1440">
        <f t="shared" si="12"/>
        <v>0.32</v>
      </c>
      <c r="N25" s="1440">
        <f t="shared" si="12"/>
        <v>0.32</v>
      </c>
      <c r="O25" s="1440">
        <f t="shared" si="12"/>
        <v>0.32</v>
      </c>
      <c r="P25" s="1440">
        <f t="shared" si="12"/>
        <v>0.32</v>
      </c>
      <c r="Q25" s="1440">
        <f t="shared" si="12"/>
        <v>0.32</v>
      </c>
      <c r="R25" s="1440">
        <f t="shared" si="12"/>
        <v>0.32</v>
      </c>
      <c r="S25" s="1440">
        <f t="shared" si="12"/>
        <v>0.32</v>
      </c>
      <c r="T25" s="1440">
        <f t="shared" si="12"/>
        <v>0.32</v>
      </c>
    </row>
    <row r="26" spans="1:20">
      <c r="A26" s="1488"/>
      <c r="C26" s="1552">
        <f>C25+1</f>
        <v>2017</v>
      </c>
      <c r="D26" s="1410">
        <f>HLOOKUP(C26,$I$5:$M$7,3)</f>
        <v>16</v>
      </c>
      <c r="E26" s="1440">
        <f>$E$20</f>
        <v>50</v>
      </c>
      <c r="F26" s="1440"/>
      <c r="G26" s="1440"/>
      <c r="H26" s="1440"/>
      <c r="I26" s="1440"/>
      <c r="J26" s="1440"/>
      <c r="K26" s="1440">
        <f t="shared" ref="K26:T26" si="13">$D26/$E26</f>
        <v>0.32</v>
      </c>
      <c r="L26" s="1440">
        <f t="shared" si="13"/>
        <v>0.32</v>
      </c>
      <c r="M26" s="1440">
        <f t="shared" si="13"/>
        <v>0.32</v>
      </c>
      <c r="N26" s="1440">
        <f t="shared" si="13"/>
        <v>0.32</v>
      </c>
      <c r="O26" s="1440">
        <f t="shared" si="13"/>
        <v>0.32</v>
      </c>
      <c r="P26" s="1440">
        <f t="shared" si="13"/>
        <v>0.32</v>
      </c>
      <c r="Q26" s="1440">
        <f t="shared" si="13"/>
        <v>0.32</v>
      </c>
      <c r="R26" s="1440">
        <f t="shared" si="13"/>
        <v>0.32</v>
      </c>
      <c r="S26" s="1440">
        <f t="shared" si="13"/>
        <v>0.32</v>
      </c>
      <c r="T26" s="1440">
        <f t="shared" si="13"/>
        <v>0.32</v>
      </c>
    </row>
    <row r="27" spans="1:20">
      <c r="A27" s="1488"/>
      <c r="C27" s="1552">
        <f>C26+1</f>
        <v>2018</v>
      </c>
      <c r="D27" s="1410">
        <f>HLOOKUP(C27,$I$5:$M$7,3)</f>
        <v>16</v>
      </c>
      <c r="E27" s="1440">
        <f>$E$20</f>
        <v>50</v>
      </c>
      <c r="F27" s="1440"/>
      <c r="G27" s="1440"/>
      <c r="H27" s="1440"/>
      <c r="I27" s="1440"/>
      <c r="J27" s="1440"/>
      <c r="K27" s="1440"/>
      <c r="L27" s="1440">
        <f t="shared" ref="L27:T27" si="14">$D27/$E27</f>
        <v>0.32</v>
      </c>
      <c r="M27" s="1440">
        <f t="shared" si="14"/>
        <v>0.32</v>
      </c>
      <c r="N27" s="1440">
        <f t="shared" si="14"/>
        <v>0.32</v>
      </c>
      <c r="O27" s="1440">
        <f t="shared" si="14"/>
        <v>0.32</v>
      </c>
      <c r="P27" s="1440">
        <f t="shared" si="14"/>
        <v>0.32</v>
      </c>
      <c r="Q27" s="1440">
        <f t="shared" si="14"/>
        <v>0.32</v>
      </c>
      <c r="R27" s="1440">
        <f t="shared" si="14"/>
        <v>0.32</v>
      </c>
      <c r="S27" s="1440">
        <f t="shared" si="14"/>
        <v>0.32</v>
      </c>
      <c r="T27" s="1440">
        <f t="shared" si="14"/>
        <v>0.32</v>
      </c>
    </row>
    <row r="28" spans="1:20">
      <c r="A28" s="1488"/>
      <c r="C28" s="1552">
        <f>C27+1</f>
        <v>2019</v>
      </c>
      <c r="D28" s="1410">
        <f>HLOOKUP(C28,$I$5:$M$7,3)</f>
        <v>16</v>
      </c>
      <c r="E28" s="1440">
        <f>$E$20</f>
        <v>50</v>
      </c>
      <c r="F28" s="1440"/>
      <c r="G28" s="1440"/>
      <c r="H28" s="1440"/>
      <c r="I28" s="1440"/>
      <c r="J28" s="1440"/>
      <c r="K28" s="1440"/>
      <c r="L28" s="1440"/>
      <c r="M28" s="1440">
        <f t="shared" ref="M28:T28" si="15">$D28/$E28</f>
        <v>0.32</v>
      </c>
      <c r="N28" s="1440">
        <f t="shared" si="15"/>
        <v>0.32</v>
      </c>
      <c r="O28" s="1440">
        <f t="shared" si="15"/>
        <v>0.32</v>
      </c>
      <c r="P28" s="1440">
        <f t="shared" si="15"/>
        <v>0.32</v>
      </c>
      <c r="Q28" s="1440">
        <f t="shared" si="15"/>
        <v>0.32</v>
      </c>
      <c r="R28" s="1440">
        <f t="shared" si="15"/>
        <v>0.32</v>
      </c>
      <c r="S28" s="1440">
        <f t="shared" si="15"/>
        <v>0.32</v>
      </c>
      <c r="T28" s="1440">
        <f t="shared" si="15"/>
        <v>0.32</v>
      </c>
    </row>
    <row r="29" spans="1:20">
      <c r="A29" s="1488"/>
      <c r="F29" s="1440"/>
      <c r="G29" s="1440"/>
      <c r="H29" s="1440"/>
      <c r="I29" s="1440"/>
      <c r="J29" s="1440"/>
      <c r="K29" s="1440"/>
      <c r="L29" s="1440"/>
      <c r="M29" s="1440"/>
      <c r="N29" s="1440"/>
      <c r="O29" s="1440"/>
      <c r="P29" s="1440"/>
      <c r="Q29" s="1440"/>
      <c r="R29" s="1440"/>
      <c r="S29" s="1440"/>
      <c r="T29" s="1440"/>
    </row>
    <row r="30" spans="1:20">
      <c r="A30" s="1488" t="s">
        <v>1603</v>
      </c>
      <c r="B30" s="1488" t="s">
        <v>1629</v>
      </c>
    </row>
  </sheetData>
  <pageMargins left="0.7" right="0.7" top="0.75" bottom="0.75" header="0.3" footer="0.3"/>
  <pageSetup paperSize="9" scale="65"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W39"/>
  <sheetViews>
    <sheetView zoomScale="130" zoomScaleNormal="130" zoomScaleSheetLayoutView="130" workbookViewId="0">
      <selection activeCell="Q13" sqref="Q13"/>
    </sheetView>
  </sheetViews>
  <sheetFormatPr defaultColWidth="9.140625" defaultRowHeight="12"/>
  <cols>
    <col min="1" max="1" width="2.140625" style="1431" customWidth="1"/>
    <col min="2" max="5" width="6.42578125" style="1431" customWidth="1"/>
    <col min="6" max="16384" width="9.140625" style="1431"/>
  </cols>
  <sheetData>
    <row r="1" spans="1:23" ht="21">
      <c r="A1" s="1404" t="s">
        <v>759</v>
      </c>
      <c r="B1" s="1532"/>
      <c r="M1" s="1533"/>
      <c r="N1" s="1533"/>
      <c r="O1" s="1533"/>
      <c r="P1" s="1533"/>
      <c r="Q1" s="1533"/>
      <c r="R1" s="1533"/>
      <c r="S1" s="1533"/>
      <c r="T1" s="1533"/>
    </row>
    <row r="2" spans="1:23" ht="12.75">
      <c r="A2" s="1405" t="s">
        <v>1776</v>
      </c>
      <c r="B2" s="1549"/>
    </row>
    <row r="4" spans="1:23">
      <c r="F4" s="1523" t="s">
        <v>1614</v>
      </c>
      <c r="G4" s="1468"/>
      <c r="H4" s="1469"/>
      <c r="I4" s="1469" t="s">
        <v>1615</v>
      </c>
      <c r="J4" s="1523"/>
      <c r="K4" s="1523"/>
      <c r="L4" s="1523"/>
      <c r="M4" s="1523"/>
      <c r="N4" s="1523"/>
      <c r="O4" s="1523"/>
      <c r="P4" s="1523"/>
      <c r="Q4" s="1523"/>
      <c r="R4" s="1523"/>
      <c r="S4" s="1523"/>
      <c r="T4" s="1523"/>
      <c r="U4" s="1523"/>
      <c r="V4" s="1523"/>
      <c r="W4" s="1523"/>
    </row>
    <row r="5" spans="1:23">
      <c r="F5" s="1480">
        <f>IS!F5</f>
        <v>2012</v>
      </c>
      <c r="G5" s="1480">
        <f>IS!G5</f>
        <v>2013</v>
      </c>
      <c r="H5" s="1480">
        <f>IS!H5</f>
        <v>2014</v>
      </c>
      <c r="I5" s="1480">
        <f>IS!I5</f>
        <v>2015</v>
      </c>
      <c r="J5" s="1480">
        <f>IS!J5</f>
        <v>2016</v>
      </c>
      <c r="K5" s="1480">
        <f>IS!K5</f>
        <v>2017</v>
      </c>
      <c r="L5" s="1480">
        <f>IS!L5</f>
        <v>2018</v>
      </c>
      <c r="M5" s="1480">
        <f>IS!M5</f>
        <v>2019</v>
      </c>
      <c r="N5" s="1480">
        <f>IS!N5</f>
        <v>2020</v>
      </c>
      <c r="O5" s="1480">
        <f>IS!O5</f>
        <v>2021</v>
      </c>
      <c r="P5" s="1480">
        <f>IS!P5</f>
        <v>2022</v>
      </c>
      <c r="Q5" s="1480">
        <f>IS!Q5</f>
        <v>2023</v>
      </c>
      <c r="R5" s="1480">
        <f>IS!R5</f>
        <v>2024</v>
      </c>
      <c r="S5" s="1480">
        <f>IS!S5</f>
        <v>2025</v>
      </c>
      <c r="T5" s="1480">
        <f>IS!T5</f>
        <v>2026</v>
      </c>
      <c r="U5" s="1480">
        <f>IS!U5</f>
        <v>2027</v>
      </c>
      <c r="V5" s="1480">
        <f>IS!V5</f>
        <v>2028</v>
      </c>
      <c r="W5" s="1480">
        <f>IS!W5</f>
        <v>0</v>
      </c>
    </row>
    <row r="7" spans="1:23">
      <c r="B7" s="1543" t="s">
        <v>1139</v>
      </c>
      <c r="C7" s="1472"/>
      <c r="D7" s="1472"/>
      <c r="E7" s="1472"/>
      <c r="F7" s="1463"/>
      <c r="G7" s="1463"/>
      <c r="H7" s="1463"/>
      <c r="I7" s="1463"/>
      <c r="J7" s="1463"/>
      <c r="K7" s="1463"/>
      <c r="L7" s="1463"/>
      <c r="M7" s="1463"/>
      <c r="N7" s="1463"/>
      <c r="O7" s="1463"/>
      <c r="P7" s="1463"/>
      <c r="Q7" s="1463"/>
      <c r="R7" s="1463"/>
      <c r="S7" s="1463"/>
      <c r="T7" s="1463"/>
      <c r="U7" s="1463"/>
      <c r="V7" s="1463"/>
      <c r="W7" s="1463"/>
    </row>
    <row r="8" spans="1:23">
      <c r="B8" s="1431" t="s">
        <v>874</v>
      </c>
      <c r="C8" s="1452"/>
      <c r="D8" s="1452"/>
      <c r="E8" s="1452"/>
      <c r="F8" s="1463"/>
      <c r="G8" s="1463"/>
      <c r="H8" s="1463"/>
      <c r="I8" s="1463">
        <f>Projects!F30</f>
        <v>0</v>
      </c>
      <c r="J8" s="1463">
        <f>Projects!G30</f>
        <v>585.17074760000003</v>
      </c>
      <c r="K8" s="1463">
        <f>Projects!H30+1000</f>
        <v>1585.1707476000001</v>
      </c>
      <c r="L8" s="1463">
        <f>Projects!I30+1000</f>
        <v>1079.1624999999999</v>
      </c>
      <c r="M8" s="1463">
        <f>Projects!J30+1000</f>
        <v>6792.23675</v>
      </c>
      <c r="N8" s="1423">
        <v>4500</v>
      </c>
      <c r="O8" s="1423">
        <v>4500</v>
      </c>
      <c r="P8" s="1423">
        <v>4500</v>
      </c>
      <c r="Q8" s="1423">
        <v>4500</v>
      </c>
      <c r="R8" s="1423">
        <v>4500</v>
      </c>
      <c r="S8" s="1423">
        <v>4500</v>
      </c>
      <c r="T8" s="1423">
        <v>4500</v>
      </c>
      <c r="U8" s="1423">
        <v>4500</v>
      </c>
      <c r="V8" s="1423">
        <v>4500</v>
      </c>
      <c r="W8" s="1423">
        <v>4500</v>
      </c>
    </row>
    <row r="9" spans="1:23">
      <c r="B9" s="1431" t="s">
        <v>1593</v>
      </c>
      <c r="C9" s="1452"/>
      <c r="D9" s="1452"/>
      <c r="E9" s="1452"/>
      <c r="F9" s="1463"/>
      <c r="G9" s="1463"/>
      <c r="H9" s="1463"/>
      <c r="I9" s="1463">
        <f>Projects!F31</f>
        <v>0</v>
      </c>
      <c r="J9" s="1463">
        <f>Projects!G31</f>
        <v>0</v>
      </c>
      <c r="K9" s="1463">
        <f>Projects!H31</f>
        <v>0</v>
      </c>
      <c r="L9" s="1463">
        <f>Projects!I31</f>
        <v>585.17074760000003</v>
      </c>
      <c r="M9" s="1463">
        <f>Projects!J31</f>
        <v>0</v>
      </c>
      <c r="N9" s="1463">
        <f>Projects!K31</f>
        <v>0</v>
      </c>
      <c r="O9" s="1463">
        <f>Projects!L31</f>
        <v>919.63000000000011</v>
      </c>
      <c r="P9" s="1463">
        <f>Projects!M31</f>
        <v>1650.5897499999999</v>
      </c>
      <c r="Q9" s="1463">
        <f>Projects!N31</f>
        <v>1650.5897499999999</v>
      </c>
      <c r="R9" s="1463">
        <f>Projects!O31</f>
        <v>2173.1171555999999</v>
      </c>
      <c r="S9" s="1463">
        <f>Projects!P31</f>
        <v>1311.9997738500001</v>
      </c>
      <c r="T9" s="1463">
        <f>Projects!Q31</f>
        <v>1311.9997738500001</v>
      </c>
      <c r="U9" s="1463">
        <f>Projects!R31</f>
        <v>3641.0472718749998</v>
      </c>
      <c r="V9" s="1463">
        <f>Projects!S31</f>
        <v>8086.6139385416664</v>
      </c>
      <c r="W9" s="1463">
        <f>Projects!T31</f>
        <v>8333.7865556897159</v>
      </c>
    </row>
    <row r="10" spans="1:23">
      <c r="B10" s="1431" t="s">
        <v>1800</v>
      </c>
      <c r="C10" s="1452"/>
      <c r="D10" s="1452"/>
      <c r="E10" s="1452"/>
      <c r="F10" s="1463"/>
      <c r="G10" s="1463"/>
      <c r="H10" s="1463"/>
      <c r="I10" s="1463">
        <f>Projects!F32</f>
        <v>0</v>
      </c>
      <c r="J10" s="1463">
        <f>Projects!G32</f>
        <v>70.220489712000003</v>
      </c>
      <c r="K10" s="1463">
        <f>Projects!H32</f>
        <v>70.220489712000003</v>
      </c>
      <c r="L10" s="1463">
        <f>Projects!I32</f>
        <v>79.719989712</v>
      </c>
      <c r="M10" s="1463">
        <f>Projects!J32</f>
        <v>695.06840999999986</v>
      </c>
      <c r="N10" s="1463">
        <f>Projects!K32</f>
        <v>704.56790999999987</v>
      </c>
      <c r="O10" s="1463">
        <f>Projects!L32</f>
        <v>704.56790999999987</v>
      </c>
      <c r="P10" s="1463">
        <f>Projects!M32</f>
        <v>634.96944763679994</v>
      </c>
      <c r="Q10" s="1463">
        <f>Projects!N32</f>
        <v>592.18188554719995</v>
      </c>
      <c r="R10" s="1463">
        <f>Projects!O32</f>
        <v>623.62517142899992</v>
      </c>
      <c r="S10" s="1463">
        <f>Projects!P32</f>
        <v>1499.2892229510003</v>
      </c>
      <c r="T10" s="1463">
        <f>Projects!Q32</f>
        <v>2486.8985341005</v>
      </c>
      <c r="U10" s="1463">
        <f>Projects!R32</f>
        <v>2893.5779824063302</v>
      </c>
      <c r="V10" s="1463">
        <f>Projects!S32</f>
        <v>2756.4356195626597</v>
      </c>
      <c r="W10" s="1463">
        <f>Projects!T32</f>
        <v>2065.0508378126597</v>
      </c>
    </row>
    <row r="11" spans="1:23">
      <c r="B11" s="1530"/>
      <c r="C11" s="1452"/>
      <c r="D11" s="1452"/>
      <c r="E11" s="1452"/>
      <c r="F11" s="1463"/>
      <c r="G11" s="1463"/>
      <c r="H11" s="1463"/>
    </row>
    <row r="12" spans="1:23">
      <c r="B12" s="1550" t="s">
        <v>1763</v>
      </c>
      <c r="C12" s="1452"/>
      <c r="D12" s="1452"/>
      <c r="E12" s="1452"/>
      <c r="F12" s="1463"/>
      <c r="G12" s="1463"/>
      <c r="H12" s="1463"/>
      <c r="I12" s="1410">
        <f>SUM(I13:I14)</f>
        <v>439</v>
      </c>
      <c r="J12" s="1410">
        <f t="shared" ref="J12:P12" si="0">SUM(J13:J14)</f>
        <v>684.06242798100004</v>
      </c>
      <c r="K12" s="1410">
        <f t="shared" si="0"/>
        <v>2529.4046539680003</v>
      </c>
      <c r="L12" s="1410">
        <f t="shared" si="0"/>
        <v>2865.8205387260004</v>
      </c>
      <c r="M12" s="1410">
        <f t="shared" si="0"/>
        <v>4399.7310068309998</v>
      </c>
      <c r="N12" s="1410">
        <f t="shared" si="0"/>
        <v>5945.3164285040002</v>
      </c>
      <c r="O12" s="1410">
        <f t="shared" si="0"/>
        <v>4479.9108110770003</v>
      </c>
      <c r="P12" s="1410">
        <f t="shared" si="0"/>
        <v>5771.364507706</v>
      </c>
      <c r="Q12" s="1410">
        <f t="shared" ref="Q12:W12" si="1">SUM(Q13:Q14)</f>
        <v>5289.2997028179998</v>
      </c>
      <c r="R12" s="1410">
        <f t="shared" si="1"/>
        <v>4789.2997028179998</v>
      </c>
      <c r="S12" s="1410">
        <f t="shared" si="1"/>
        <v>4789.2997028179998</v>
      </c>
      <c r="T12" s="1410">
        <f t="shared" si="1"/>
        <v>4789.2997028179998</v>
      </c>
      <c r="U12" s="1410">
        <f t="shared" si="1"/>
        <v>4789.2997028179998</v>
      </c>
      <c r="V12" s="1410">
        <f t="shared" si="1"/>
        <v>4789.2997028179998</v>
      </c>
      <c r="W12" s="1410">
        <f t="shared" si="1"/>
        <v>4789.2997028179998</v>
      </c>
    </row>
    <row r="13" spans="1:23">
      <c r="B13" s="1431" t="s">
        <v>1474</v>
      </c>
      <c r="I13" s="1423">
        <v>156</v>
      </c>
      <c r="J13" s="1423">
        <f>Diamond!C30</f>
        <v>189.927067327</v>
      </c>
      <c r="K13" s="1423">
        <f>Diamond!D30</f>
        <v>658.18102245600005</v>
      </c>
      <c r="L13" s="1423">
        <f>Diamond!E30</f>
        <v>471.42507623500001</v>
      </c>
      <c r="M13" s="1423">
        <f>Diamond!F30</f>
        <v>1063.200299649</v>
      </c>
      <c r="N13" s="1423">
        <f>Diamond!G30</f>
        <v>2068.9482480010001</v>
      </c>
      <c r="O13" s="1423">
        <f>Diamond!H30</f>
        <v>2962.8058815170002</v>
      </c>
      <c r="P13" s="1423">
        <f>Diamond!I30</f>
        <v>2022.8844031900001</v>
      </c>
      <c r="Q13" s="1423">
        <f>Diamond!J30</f>
        <v>2590.7560194450002</v>
      </c>
      <c r="R13" s="1410">
        <f>Q13-250</f>
        <v>2340.7560194450002</v>
      </c>
      <c r="S13" s="1410">
        <f t="shared" ref="S13:W14" si="2">R13</f>
        <v>2340.7560194450002</v>
      </c>
      <c r="T13" s="1410">
        <f t="shared" si="2"/>
        <v>2340.7560194450002</v>
      </c>
      <c r="U13" s="1410">
        <f t="shared" si="2"/>
        <v>2340.7560194450002</v>
      </c>
      <c r="V13" s="1410">
        <f t="shared" si="2"/>
        <v>2340.7560194450002</v>
      </c>
      <c r="W13" s="1410">
        <f t="shared" si="2"/>
        <v>2340.7560194450002</v>
      </c>
    </row>
    <row r="14" spans="1:23">
      <c r="B14" s="1431" t="s">
        <v>1001</v>
      </c>
      <c r="I14" s="1518">
        <v>283</v>
      </c>
      <c r="J14" s="1423">
        <f>Diamond!C33</f>
        <v>494.13536065400001</v>
      </c>
      <c r="K14" s="1423">
        <f>Diamond!D33</f>
        <v>1871.2236315120001</v>
      </c>
      <c r="L14" s="1423">
        <f>Diamond!E33</f>
        <v>2394.3954624910002</v>
      </c>
      <c r="M14" s="1423">
        <f>Diamond!F33</f>
        <v>3336.5307071819998</v>
      </c>
      <c r="N14" s="1423">
        <f>Diamond!G33</f>
        <v>3876.3681805030001</v>
      </c>
      <c r="O14" s="1423">
        <f>Diamond!H33</f>
        <v>1517.1049295600001</v>
      </c>
      <c r="P14" s="1423">
        <f>Diamond!I33</f>
        <v>3748.4801045160002</v>
      </c>
      <c r="Q14" s="1423">
        <f>Diamond!J33</f>
        <v>2698.543683373</v>
      </c>
      <c r="R14" s="1440">
        <f>Q14-250</f>
        <v>2448.543683373</v>
      </c>
      <c r="S14" s="1440">
        <f t="shared" si="2"/>
        <v>2448.543683373</v>
      </c>
      <c r="T14" s="1440">
        <f t="shared" si="2"/>
        <v>2448.543683373</v>
      </c>
      <c r="U14" s="1440">
        <f t="shared" si="2"/>
        <v>2448.543683373</v>
      </c>
      <c r="V14" s="1440">
        <f t="shared" si="2"/>
        <v>2448.543683373</v>
      </c>
      <c r="W14" s="1440">
        <f t="shared" si="2"/>
        <v>2448.543683373</v>
      </c>
    </row>
    <row r="17" spans="2:23">
      <c r="B17" s="1431" t="s">
        <v>2444</v>
      </c>
      <c r="P17" s="1440">
        <f t="shared" ref="P17:W17" si="3">AVERAGE(O12:P12)</f>
        <v>5125.6376593915002</v>
      </c>
      <c r="Q17" s="1440">
        <f t="shared" si="3"/>
        <v>5530.3321052619995</v>
      </c>
      <c r="R17" s="1440">
        <f t="shared" si="3"/>
        <v>5039.2997028179998</v>
      </c>
      <c r="S17" s="1440">
        <f t="shared" si="3"/>
        <v>4789.2997028179998</v>
      </c>
      <c r="T17" s="1440">
        <f t="shared" si="3"/>
        <v>4789.2997028179998</v>
      </c>
      <c r="U17" s="1440">
        <f t="shared" si="3"/>
        <v>4789.2997028179998</v>
      </c>
      <c r="V17" s="1440">
        <f t="shared" si="3"/>
        <v>4789.2997028179998</v>
      </c>
      <c r="W17" s="1440">
        <f t="shared" si="3"/>
        <v>4789.2997028179998</v>
      </c>
    </row>
    <row r="18" spans="2:23">
      <c r="P18" s="1557">
        <f>-IS!P19</f>
        <v>-462.17099999999999</v>
      </c>
      <c r="Q18" s="1557">
        <f>-IS!Q19</f>
        <v>-536.71400000000006</v>
      </c>
      <c r="R18" s="2187">
        <f t="shared" ref="R18:W18" si="4">-R19*R17</f>
        <v>-503.92997028180002</v>
      </c>
      <c r="S18" s="2187">
        <f t="shared" si="4"/>
        <v>-478.92997028180002</v>
      </c>
      <c r="T18" s="2187">
        <f t="shared" si="4"/>
        <v>-478.92997028180002</v>
      </c>
      <c r="U18" s="2187">
        <f t="shared" si="4"/>
        <v>-478.92997028180002</v>
      </c>
      <c r="V18" s="2187">
        <f t="shared" si="4"/>
        <v>-478.92997028180002</v>
      </c>
      <c r="W18" s="2187">
        <f t="shared" si="4"/>
        <v>-478.92997028180002</v>
      </c>
    </row>
    <row r="19" spans="2:23">
      <c r="P19" s="2186">
        <f>-P18/P17</f>
        <v>9.0168488432494365E-2</v>
      </c>
      <c r="Q19" s="2186">
        <f>-Q18/Q17</f>
        <v>9.704914456933382E-2</v>
      </c>
      <c r="R19" s="1435">
        <v>0.1</v>
      </c>
      <c r="S19" s="1435">
        <v>0.1</v>
      </c>
      <c r="T19" s="1435">
        <v>0.1</v>
      </c>
      <c r="U19" s="1435">
        <v>0.1</v>
      </c>
      <c r="V19" s="1435">
        <v>0.1</v>
      </c>
      <c r="W19" s="1435">
        <v>0.1</v>
      </c>
    </row>
    <row r="27" spans="2:23">
      <c r="C27" s="1431" t="s">
        <v>2522</v>
      </c>
    </row>
    <row r="28" spans="2:23">
      <c r="C28" s="1431" t="s">
        <v>2523</v>
      </c>
      <c r="D28" s="1431">
        <v>1726</v>
      </c>
    </row>
    <row r="29" spans="2:23">
      <c r="C29" s="1431" t="s">
        <v>2524</v>
      </c>
      <c r="D29" s="1431">
        <v>1535</v>
      </c>
    </row>
    <row r="30" spans="2:23">
      <c r="C30" s="1431" t="s">
        <v>2525</v>
      </c>
      <c r="D30" s="1431">
        <v>2355</v>
      </c>
    </row>
    <row r="31" spans="2:23">
      <c r="C31" s="1431" t="s">
        <v>2526</v>
      </c>
      <c r="D31" s="1431">
        <f>SUM(D28:D30)</f>
        <v>5616</v>
      </c>
    </row>
    <row r="33" spans="3:6">
      <c r="C33" s="1431" t="s">
        <v>2527</v>
      </c>
    </row>
    <row r="34" spans="3:6">
      <c r="D34" s="1431" t="s">
        <v>2523</v>
      </c>
      <c r="E34" s="1431" t="s">
        <v>2524</v>
      </c>
    </row>
    <row r="35" spans="3:6">
      <c r="C35" s="1431" t="s">
        <v>2528</v>
      </c>
      <c r="D35" s="1431">
        <v>175</v>
      </c>
      <c r="E35" s="1431">
        <v>66</v>
      </c>
      <c r="F35" s="1431">
        <f>SUM(D35:E35)</f>
        <v>241</v>
      </c>
    </row>
    <row r="36" spans="3:6">
      <c r="C36" s="2244">
        <v>45283</v>
      </c>
      <c r="D36" s="1431">
        <v>0</v>
      </c>
      <c r="E36" s="1431">
        <v>160</v>
      </c>
      <c r="F36" s="1431">
        <f>SUM(D36:E36)</f>
        <v>160</v>
      </c>
    </row>
    <row r="37" spans="3:6">
      <c r="C37" s="1431">
        <v>2024</v>
      </c>
      <c r="D37" s="1431">
        <v>200</v>
      </c>
      <c r="E37" s="1431">
        <v>500</v>
      </c>
      <c r="F37" s="1431">
        <f>SUM(D37:E37)</f>
        <v>700</v>
      </c>
    </row>
    <row r="38" spans="3:6">
      <c r="C38" s="1431">
        <v>2025</v>
      </c>
      <c r="D38" s="1431">
        <v>650</v>
      </c>
      <c r="E38" s="1431">
        <v>500</v>
      </c>
      <c r="F38" s="1431">
        <f>SUM(D38:E38)</f>
        <v>1150</v>
      </c>
    </row>
    <row r="39" spans="3:6">
      <c r="C39" s="1431">
        <v>2026</v>
      </c>
      <c r="D39" s="1431">
        <v>510</v>
      </c>
      <c r="E39" s="1431">
        <v>500</v>
      </c>
      <c r="F39" s="1431">
        <f>SUM(D39:E39)</f>
        <v>1010</v>
      </c>
    </row>
  </sheetData>
  <pageMargins left="0.45" right="0.45" top="0.5" bottom="0.5" header="0.3" footer="0.3"/>
  <pageSetup paperSize="9" scale="90"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42"/>
  <sheetViews>
    <sheetView topLeftCell="A2" zoomScaleNormal="100" zoomScaleSheetLayoutView="100" workbookViewId="0">
      <selection activeCell="S17" sqref="S17"/>
    </sheetView>
  </sheetViews>
  <sheetFormatPr defaultColWidth="9.140625" defaultRowHeight="12.95" customHeight="1"/>
  <cols>
    <col min="1" max="1" width="2.42578125" style="1465" customWidth="1"/>
    <col min="2" max="2" width="5" style="1465" customWidth="1"/>
    <col min="3" max="3" width="7.7109375" style="1465" customWidth="1"/>
    <col min="4" max="4" width="13" style="1465" customWidth="1"/>
    <col min="5" max="5" width="20" style="1465" customWidth="1"/>
    <col min="6" max="20" width="10.7109375" style="1465" customWidth="1"/>
    <col min="21" max="16384" width="9.140625" style="1465"/>
  </cols>
  <sheetData>
    <row r="1" spans="1:21" ht="21">
      <c r="A1" s="1404" t="s">
        <v>1630</v>
      </c>
      <c r="B1" s="1527"/>
      <c r="M1" s="1528"/>
      <c r="N1" s="1528"/>
      <c r="O1" s="1528"/>
      <c r="P1" s="1528"/>
      <c r="Q1" s="1528"/>
      <c r="R1" s="1528"/>
      <c r="S1" s="1528"/>
      <c r="T1" s="1528"/>
    </row>
    <row r="2" spans="1:21" ht="12.75">
      <c r="A2" s="1405" t="s">
        <v>1776</v>
      </c>
      <c r="B2" s="1529"/>
    </row>
    <row r="4" spans="1:21" s="1431" customFormat="1" ht="12">
      <c r="F4" s="1523" t="s">
        <v>1614</v>
      </c>
      <c r="G4" s="1468"/>
      <c r="H4" s="1662"/>
      <c r="I4" s="1469" t="s">
        <v>1615</v>
      </c>
      <c r="J4" s="1469"/>
      <c r="K4" s="1523"/>
      <c r="L4" s="1523"/>
      <c r="M4" s="1523"/>
      <c r="N4" s="1523"/>
      <c r="O4" s="1523"/>
      <c r="P4" s="1523"/>
      <c r="Q4" s="1523"/>
      <c r="R4" s="1523"/>
      <c r="S4" s="1523"/>
      <c r="T4" s="1523"/>
    </row>
    <row r="5" spans="1:21" s="1431" customFormat="1" ht="12">
      <c r="F5" s="1480">
        <f>IS!F5</f>
        <v>2012</v>
      </c>
      <c r="G5" s="1480">
        <f>IS!G5</f>
        <v>2013</v>
      </c>
      <c r="H5" s="1480">
        <f>IS!H5</f>
        <v>2014</v>
      </c>
      <c r="I5" s="1480">
        <f>IS!I5</f>
        <v>2015</v>
      </c>
      <c r="J5" s="1480">
        <f>IS!J5</f>
        <v>2016</v>
      </c>
      <c r="K5" s="1480">
        <f>IS!K5</f>
        <v>2017</v>
      </c>
      <c r="L5" s="1480">
        <f>IS!L5</f>
        <v>2018</v>
      </c>
      <c r="M5" s="1480">
        <f>IS!M5</f>
        <v>2019</v>
      </c>
      <c r="N5" s="1480">
        <f>IS!N5</f>
        <v>2020</v>
      </c>
      <c r="O5" s="1480">
        <f>IS!O5</f>
        <v>2021</v>
      </c>
      <c r="P5" s="1480">
        <f>IS!P5</f>
        <v>2022</v>
      </c>
      <c r="Q5" s="1480">
        <f>IS!Q5</f>
        <v>2023</v>
      </c>
      <c r="R5" s="1480">
        <f>IS!R5</f>
        <v>2024</v>
      </c>
      <c r="S5" s="1480">
        <f>IS!S5</f>
        <v>2025</v>
      </c>
      <c r="T5" s="1480">
        <f>IS!T5</f>
        <v>2026</v>
      </c>
      <c r="U5" s="1480">
        <f>IS!U5</f>
        <v>2027</v>
      </c>
    </row>
    <row r="6" spans="1:21" s="1431" customFormat="1" ht="12"/>
    <row r="7" spans="1:21" s="1431" customFormat="1" ht="12">
      <c r="B7" s="1495" t="s">
        <v>3</v>
      </c>
      <c r="C7" s="1472"/>
      <c r="D7" s="1472"/>
      <c r="E7" s="1472"/>
      <c r="F7" s="1463"/>
      <c r="G7" s="1463"/>
      <c r="H7" s="1463">
        <f>IS!H7</f>
        <v>506</v>
      </c>
      <c r="I7" s="1463">
        <f>IS!I7</f>
        <v>1395</v>
      </c>
      <c r="J7" s="1463">
        <f>IS!J7</f>
        <v>2506.5168574600002</v>
      </c>
      <c r="K7" s="1463">
        <f>IS!K7</f>
        <v>2879.2413899469998</v>
      </c>
      <c r="L7" s="1463">
        <f>IS!L7</f>
        <v>4645.3185625320002</v>
      </c>
      <c r="M7" s="1463">
        <f>IS!M7</f>
        <v>5813.5777320179996</v>
      </c>
      <c r="N7" s="1463">
        <f>IS!N7</f>
        <v>2890.653883727</v>
      </c>
      <c r="O7" s="1463">
        <f>IS!O7</f>
        <v>10089.384737838</v>
      </c>
      <c r="P7" s="1463">
        <f>IS!P7</f>
        <v>5511.7151521940004</v>
      </c>
      <c r="Q7" s="1463">
        <f>IS!Q7</f>
        <v>3724.8259443420002</v>
      </c>
      <c r="R7" s="1463">
        <f>IS!R7</f>
        <v>4733.1931724939996</v>
      </c>
      <c r="S7" s="1463">
        <f>IS!S7</f>
        <v>7111.5760816000002</v>
      </c>
      <c r="T7" s="1463">
        <f>IS!T7</f>
        <v>9090.8002888400006</v>
      </c>
      <c r="U7" s="1463">
        <f>IS!U7</f>
        <v>19117.376260759997</v>
      </c>
    </row>
    <row r="8" spans="1:21" s="1431" customFormat="1" ht="12">
      <c r="B8" s="1530" t="s">
        <v>1616</v>
      </c>
      <c r="C8" s="1452"/>
      <c r="D8" s="1452"/>
      <c r="E8" s="1452"/>
      <c r="F8" s="1463"/>
      <c r="G8" s="1463"/>
      <c r="H8" s="1463">
        <f>IS!H8</f>
        <v>204</v>
      </c>
      <c r="I8" s="1463">
        <f>IS!I8</f>
        <v>735</v>
      </c>
      <c r="J8" s="1463">
        <f>IS!J8</f>
        <v>1454.8795920350001</v>
      </c>
      <c r="K8" s="1463">
        <f>IS!K8</f>
        <v>1149.440021123</v>
      </c>
      <c r="L8" s="1463">
        <f>IS!L8</f>
        <v>2030.54437859</v>
      </c>
      <c r="M8" s="1463">
        <f>IS!M8</f>
        <v>2729.975508597</v>
      </c>
      <c r="N8" s="1463">
        <f>IS!N8</f>
        <v>1016.048215123</v>
      </c>
      <c r="O8" s="1463">
        <f>IS!O8</f>
        <v>4491.591910436</v>
      </c>
      <c r="P8" s="1463">
        <f>IS!P8</f>
        <v>2541.6871609029999</v>
      </c>
      <c r="Q8" s="1463">
        <f>IS!Q8</f>
        <v>2014.4440915319999</v>
      </c>
      <c r="R8" s="1463">
        <f>IS!R8</f>
        <v>2448.364486808</v>
      </c>
      <c r="S8" s="1463">
        <f>IS!S8</f>
        <v>4202.7428206174</v>
      </c>
      <c r="T8" s="1463">
        <f>IS!T8</f>
        <v>5145.1623555947608</v>
      </c>
      <c r="U8" s="1463">
        <f>IS!U8</f>
        <v>7074.4729134388381</v>
      </c>
    </row>
    <row r="9" spans="1:21" s="1431" customFormat="1" ht="12.95" customHeight="1">
      <c r="F9" s="1439"/>
      <c r="G9" s="1439"/>
      <c r="H9" s="1439"/>
      <c r="I9" s="1439"/>
      <c r="J9" s="1439"/>
      <c r="K9" s="1439"/>
      <c r="L9" s="1439"/>
      <c r="M9" s="1439"/>
      <c r="N9" s="1439"/>
      <c r="O9" s="1439"/>
      <c r="P9" s="1439"/>
      <c r="Q9" s="1439"/>
      <c r="R9" s="1439"/>
      <c r="S9" s="1439"/>
      <c r="T9" s="1439"/>
      <c r="U9" s="1439"/>
    </row>
    <row r="10" spans="1:21" s="1431" customFormat="1" ht="12">
      <c r="B10" s="1479" t="s">
        <v>1622</v>
      </c>
      <c r="F10" s="1439"/>
      <c r="G10" s="1439"/>
      <c r="H10" s="1439"/>
      <c r="I10" s="1439"/>
      <c r="J10" s="1439"/>
      <c r="K10" s="1439"/>
      <c r="L10" s="1439"/>
      <c r="M10" s="1439"/>
      <c r="N10" s="1439"/>
      <c r="O10" s="1439"/>
      <c r="P10" s="1439"/>
      <c r="Q10" s="1439"/>
      <c r="R10" s="1439"/>
      <c r="S10" s="1439"/>
      <c r="T10" s="1439"/>
      <c r="U10" s="1439"/>
    </row>
    <row r="11" spans="1:21" s="1431" customFormat="1" ht="12">
      <c r="A11" s="1488" t="s">
        <v>1603</v>
      </c>
      <c r="B11" s="1472"/>
      <c r="C11" s="1464" t="s">
        <v>1632</v>
      </c>
      <c r="D11" s="1464"/>
      <c r="E11" s="1464"/>
      <c r="F11" s="1423"/>
      <c r="G11" s="1423"/>
      <c r="H11" s="1440">
        <v>474</v>
      </c>
      <c r="I11" s="1440">
        <v>925</v>
      </c>
      <c r="J11" s="2178">
        <f>Diamond!C14</f>
        <v>1865.0196754420001</v>
      </c>
      <c r="K11" s="2178">
        <f>Diamond!D14</f>
        <v>3440.5722452169998</v>
      </c>
      <c r="L11" s="2178">
        <f>Diamond!E14</f>
        <v>5566.7738336230004</v>
      </c>
      <c r="M11" s="2178">
        <f>Diamond!F14</f>
        <v>9023.3344316319999</v>
      </c>
      <c r="N11" s="2178">
        <f>Diamond!G14</f>
        <v>7213.2882027839996</v>
      </c>
      <c r="O11" s="2178">
        <f>Diamond!H14</f>
        <v>10795.975183721001</v>
      </c>
      <c r="P11" s="2178">
        <f>Diamond!I14</f>
        <v>11947.519292867</v>
      </c>
      <c r="Q11" s="2178">
        <f>Diamond!J14</f>
        <v>11422.613052922001</v>
      </c>
      <c r="R11" s="1410">
        <f>R26/365*R7</f>
        <v>12319.269901011781</v>
      </c>
      <c r="S11" s="1410">
        <f>S26/365*S7</f>
        <v>7793.5080346301365</v>
      </c>
      <c r="T11" s="1410">
        <f>T26/365*T7</f>
        <v>9962.5208644821923</v>
      </c>
      <c r="U11" s="1410">
        <f>U26/365*U7</f>
        <v>20950.54932686027</v>
      </c>
    </row>
    <row r="12" spans="1:21" s="1431" customFormat="1" ht="12">
      <c r="A12" s="1488"/>
      <c r="B12" s="1452"/>
      <c r="C12" s="1464" t="s">
        <v>1339</v>
      </c>
      <c r="D12" s="1495"/>
      <c r="E12" s="1495"/>
      <c r="F12" s="1423"/>
      <c r="G12" s="1423"/>
      <c r="H12" s="1440">
        <v>499</v>
      </c>
      <c r="I12" s="1440">
        <v>1122</v>
      </c>
      <c r="J12" s="2178">
        <f>Diamond!C15</f>
        <v>915.502618676</v>
      </c>
      <c r="K12" s="2178">
        <f>Diamond!D15</f>
        <v>3400.5832179409999</v>
      </c>
      <c r="L12" s="2178">
        <f>Diamond!E15</f>
        <v>4605.1510868169999</v>
      </c>
      <c r="M12" s="2178">
        <f>Diamond!F15</f>
        <v>6791.4641813839999</v>
      </c>
      <c r="N12" s="2178">
        <f>Diamond!G15</f>
        <v>10251.68135067</v>
      </c>
      <c r="O12" s="2178">
        <f>Diamond!H15</f>
        <v>11238.340946889</v>
      </c>
      <c r="P12" s="2178">
        <f>Diamond!I15</f>
        <v>14030.955749291999</v>
      </c>
      <c r="Q12" s="2178">
        <f>Diamond!J15</f>
        <v>14139.058524280999</v>
      </c>
      <c r="R12" s="1440">
        <f>R27/365*R7</f>
        <v>12319.269901011781</v>
      </c>
      <c r="S12" s="1440">
        <f>S27/365*S7</f>
        <v>22406.335599561644</v>
      </c>
      <c r="T12" s="1440">
        <f>T27/365*T7</f>
        <v>9962.5208644821923</v>
      </c>
      <c r="U12" s="1440">
        <f>U27/365*U7</f>
        <v>20950.54932686027</v>
      </c>
    </row>
    <row r="13" spans="1:21" s="1431" customFormat="1" ht="12">
      <c r="A13" s="1488"/>
      <c r="B13" s="1452"/>
      <c r="C13" s="1464" t="s">
        <v>1341</v>
      </c>
      <c r="D13" s="1495"/>
      <c r="E13" s="1495"/>
      <c r="F13" s="1423"/>
      <c r="G13" s="1423"/>
      <c r="H13" s="1410">
        <v>7</v>
      </c>
      <c r="I13" s="1410">
        <v>30</v>
      </c>
      <c r="J13" s="2178">
        <f>Diamond!C16</f>
        <v>28.287400312999999</v>
      </c>
      <c r="K13" s="2178">
        <f>Diamond!D16</f>
        <v>85.570115752999996</v>
      </c>
      <c r="L13" s="2178">
        <f>Diamond!E16</f>
        <v>102.77910072</v>
      </c>
      <c r="M13" s="2178">
        <f>Diamond!F16</f>
        <v>152.342496697</v>
      </c>
      <c r="N13" s="2178">
        <f>Diamond!G16</f>
        <v>272.757273908</v>
      </c>
      <c r="O13" s="2178">
        <f>Diamond!H16</f>
        <v>197.119793829</v>
      </c>
      <c r="P13" s="2178">
        <f>Diamond!I16</f>
        <v>292.31077241999998</v>
      </c>
      <c r="Q13" s="2178">
        <f>Diamond!J16</f>
        <v>294.84228666000001</v>
      </c>
      <c r="R13" s="1410">
        <f>Q13</f>
        <v>294.84228666000001</v>
      </c>
      <c r="S13" s="1410">
        <f>R13</f>
        <v>294.84228666000001</v>
      </c>
      <c r="T13" s="1410">
        <f>S13</f>
        <v>294.84228666000001</v>
      </c>
      <c r="U13" s="1410">
        <f>T13</f>
        <v>294.84228666000001</v>
      </c>
    </row>
    <row r="14" spans="1:21" s="1431" customFormat="1" ht="12">
      <c r="A14" s="1488"/>
      <c r="D14" s="1431" t="s">
        <v>1623</v>
      </c>
      <c r="F14" s="1440"/>
      <c r="G14" s="1440"/>
      <c r="H14" s="1440">
        <f t="shared" ref="H14:T14" si="0">SUM(H11:H13)</f>
        <v>980</v>
      </c>
      <c r="I14" s="1440">
        <f t="shared" si="0"/>
        <v>2077</v>
      </c>
      <c r="J14" s="1440">
        <f t="shared" si="0"/>
        <v>2808.809694431</v>
      </c>
      <c r="K14" s="1440">
        <f t="shared" si="0"/>
        <v>6926.7255789110004</v>
      </c>
      <c r="L14" s="1440">
        <f t="shared" si="0"/>
        <v>10274.70402116</v>
      </c>
      <c r="M14" s="1440">
        <f t="shared" si="0"/>
        <v>15967.141109712999</v>
      </c>
      <c r="N14" s="1440">
        <f t="shared" si="0"/>
        <v>17737.726827361999</v>
      </c>
      <c r="O14" s="1440">
        <f t="shared" si="0"/>
        <v>22231.435924439</v>
      </c>
      <c r="P14" s="1440">
        <f t="shared" si="0"/>
        <v>26270.785814579001</v>
      </c>
      <c r="Q14" s="1440">
        <f t="shared" ref="Q14" si="1">SUM(Q11:Q13)</f>
        <v>25856.513863863001</v>
      </c>
      <c r="R14" s="1440">
        <f t="shared" si="0"/>
        <v>24933.382088683564</v>
      </c>
      <c r="S14" s="1440">
        <f t="shared" si="0"/>
        <v>30494.685920851782</v>
      </c>
      <c r="T14" s="1440">
        <f t="shared" si="0"/>
        <v>20219.884015624386</v>
      </c>
      <c r="U14" s="1440">
        <f t="shared" ref="U14" si="2">SUM(U11:U13)</f>
        <v>42195.94094038054</v>
      </c>
    </row>
    <row r="15" spans="1:21" s="1431" customFormat="1" ht="12.95" customHeight="1">
      <c r="A15" s="1488"/>
      <c r="F15" s="1439"/>
      <c r="G15" s="1439"/>
      <c r="H15" s="1439"/>
      <c r="I15" s="1439"/>
      <c r="J15" s="1439"/>
      <c r="K15" s="1439"/>
      <c r="L15" s="1439"/>
      <c r="M15" s="1439"/>
      <c r="N15" s="1439"/>
      <c r="O15" s="1439"/>
      <c r="P15" s="1439"/>
      <c r="Q15" s="1439"/>
      <c r="R15" s="1439"/>
      <c r="S15" s="1439"/>
      <c r="T15" s="1439"/>
      <c r="U15" s="1439"/>
    </row>
    <row r="16" spans="1:21" s="1431" customFormat="1" ht="12">
      <c r="A16" s="1488" t="s">
        <v>1603</v>
      </c>
      <c r="C16" s="1464" t="s">
        <v>1357</v>
      </c>
      <c r="F16" s="1423"/>
      <c r="G16" s="1423"/>
      <c r="H16" s="1423">
        <v>55</v>
      </c>
      <c r="I16" s="1423">
        <v>134</v>
      </c>
      <c r="J16" s="2178">
        <f>Diamond!C28</f>
        <v>160.82666017099999</v>
      </c>
      <c r="K16" s="2178">
        <f>Diamond!D28</f>
        <v>315.68985719400001</v>
      </c>
      <c r="L16" s="2178">
        <f>Diamond!E28</f>
        <v>580.97384286500005</v>
      </c>
      <c r="M16" s="2178">
        <f>Diamond!F28</f>
        <v>1186.5137338940001</v>
      </c>
      <c r="N16" s="2178">
        <f>Diamond!G28</f>
        <v>604.01403052299997</v>
      </c>
      <c r="O16" s="2178">
        <f>Diamond!H28</f>
        <v>848.96967495599995</v>
      </c>
      <c r="P16" s="2178">
        <f>Diamond!I28</f>
        <v>1149.3594824500001</v>
      </c>
      <c r="Q16" s="2178">
        <f>Diamond!J28</f>
        <v>767.20483354600003</v>
      </c>
      <c r="R16" s="1440">
        <f>R30/365*R8</f>
        <v>905.55946772350683</v>
      </c>
      <c r="S16" s="1440">
        <f>S30/365*S8</f>
        <v>1554.4391254338327</v>
      </c>
      <c r="T16" s="1440">
        <f>T30/365*T8</f>
        <v>1903.0052548090209</v>
      </c>
      <c r="U16" s="1440">
        <f>U30/365*U8</f>
        <v>2616.5858720938168</v>
      </c>
    </row>
    <row r="17" spans="1:21" s="1431" customFormat="1" ht="12">
      <c r="A17" s="1488"/>
      <c r="C17" s="1464" t="s">
        <v>1646</v>
      </c>
      <c r="F17" s="1423"/>
      <c r="G17" s="1423"/>
      <c r="H17" s="1423">
        <v>234</v>
      </c>
      <c r="I17" s="1643">
        <v>832</v>
      </c>
      <c r="J17" s="2178">
        <f>Diamond!C29</f>
        <v>440.98335732300001</v>
      </c>
      <c r="K17" s="2178">
        <f>Diamond!D29</f>
        <v>1408.4873947369999</v>
      </c>
      <c r="L17" s="2178">
        <f>Diamond!E29</f>
        <v>1048.3442675429999</v>
      </c>
      <c r="M17" s="2178">
        <f>Diamond!F29</f>
        <v>943.84253429199998</v>
      </c>
      <c r="N17" s="2178">
        <f>Diamond!G29</f>
        <v>2968.982334322</v>
      </c>
      <c r="O17" s="2178">
        <f>Diamond!H29</f>
        <v>2242.6083924260001</v>
      </c>
      <c r="P17" s="2178">
        <f>Diamond!I29</f>
        <v>2550.280886819</v>
      </c>
      <c r="Q17" s="2178">
        <f>Diamond!J29</f>
        <v>1866.1541563830001</v>
      </c>
      <c r="R17" s="1463">
        <f>Projects!O24*0.6</f>
        <v>0</v>
      </c>
      <c r="S17" s="1463">
        <f>Projects!P24*0.4</f>
        <v>1671.8355000000001</v>
      </c>
      <c r="T17" s="1463">
        <f>Projects!Q24</f>
        <v>10423.306575000001</v>
      </c>
      <c r="U17" s="1463">
        <f>Projects!R24</f>
        <v>8944.5168867560024</v>
      </c>
    </row>
    <row r="18" spans="1:21" s="1431" customFormat="1" ht="12">
      <c r="A18" s="1488"/>
      <c r="C18" s="1464" t="str">
        <f>[8]bs!B23</f>
        <v>Other current liabilities</v>
      </c>
      <c r="F18" s="1423"/>
      <c r="G18" s="1423"/>
      <c r="H18" s="1643">
        <v>603</v>
      </c>
      <c r="I18" s="1423">
        <v>395</v>
      </c>
      <c r="J18" s="1423">
        <f>Diamond!C31</f>
        <v>735.86777401100005</v>
      </c>
      <c r="K18" s="1423">
        <f>Diamond!D31</f>
        <v>1344.2508111039999</v>
      </c>
      <c r="L18" s="1423">
        <f>Diamond!E31</f>
        <v>3016.8876396330002</v>
      </c>
      <c r="M18" s="1423">
        <f>Diamond!F31</f>
        <v>4083.0268792450001</v>
      </c>
      <c r="N18" s="1423">
        <f>Diamond!G31</f>
        <v>4676.576211138</v>
      </c>
      <c r="O18" s="1423">
        <f>Diamond!H31</f>
        <v>7202.3381429139999</v>
      </c>
      <c r="P18" s="1423">
        <f>Diamond!I31</f>
        <v>6532.4743290280003</v>
      </c>
      <c r="Q18" s="1423">
        <f>Diamond!J31</f>
        <v>6393.4597067080003</v>
      </c>
      <c r="R18" s="1423">
        <f>Q18</f>
        <v>6393.4597067080003</v>
      </c>
      <c r="S18" s="1423">
        <f>R18</f>
        <v>6393.4597067080003</v>
      </c>
      <c r="T18" s="1423">
        <f>S18</f>
        <v>6393.4597067080003</v>
      </c>
      <c r="U18" s="1423">
        <f>T18</f>
        <v>6393.4597067080003</v>
      </c>
    </row>
    <row r="19" spans="1:21" s="1431" customFormat="1" ht="12">
      <c r="A19" s="1488"/>
      <c r="D19" s="1431" t="s">
        <v>1624</v>
      </c>
      <c r="F19" s="1440"/>
      <c r="G19" s="1440"/>
      <c r="H19" s="1440">
        <f>SUM(H16:H18)</f>
        <v>892</v>
      </c>
      <c r="I19" s="1440">
        <f>SUM(I16:I18)</f>
        <v>1361</v>
      </c>
      <c r="J19" s="1423">
        <f t="shared" ref="J19:P19" si="3">J16+J17+J18</f>
        <v>1337.6777915050002</v>
      </c>
      <c r="K19" s="1423">
        <f t="shared" si="3"/>
        <v>3068.4280630349999</v>
      </c>
      <c r="L19" s="1423">
        <f t="shared" si="3"/>
        <v>4646.2057500410001</v>
      </c>
      <c r="M19" s="1423">
        <f t="shared" si="3"/>
        <v>6213.3831474310009</v>
      </c>
      <c r="N19" s="1423">
        <f t="shared" si="3"/>
        <v>8249.5725759830002</v>
      </c>
      <c r="O19" s="1423">
        <f t="shared" si="3"/>
        <v>10293.916210296</v>
      </c>
      <c r="P19" s="1423">
        <f t="shared" si="3"/>
        <v>10232.114698297</v>
      </c>
      <c r="Q19" s="1423">
        <f t="shared" ref="Q19" si="4">Q16+Q17+Q18</f>
        <v>9026.8186966370013</v>
      </c>
      <c r="R19" s="1440">
        <f>SUM(R16:R18)</f>
        <v>7299.0191744315071</v>
      </c>
      <c r="S19" s="1440">
        <f>SUM(S16:S18)</f>
        <v>9619.7343321418339</v>
      </c>
      <c r="T19" s="1440">
        <f>SUM(T16:T18)</f>
        <v>18719.771536517022</v>
      </c>
      <c r="U19" s="1440">
        <f>SUM(U16:U18)</f>
        <v>17954.562465557818</v>
      </c>
    </row>
    <row r="20" spans="1:21" s="1431" customFormat="1" ht="12.95" customHeight="1">
      <c r="A20" s="1488"/>
      <c r="F20" s="1439"/>
      <c r="G20" s="1439"/>
      <c r="H20" s="1439"/>
      <c r="I20" s="1439"/>
      <c r="J20" s="1439"/>
      <c r="K20" s="1439"/>
      <c r="L20" s="1439"/>
      <c r="M20" s="1439"/>
      <c r="N20" s="1439"/>
      <c r="O20" s="1439"/>
      <c r="P20" s="1439"/>
      <c r="Q20" s="1439"/>
      <c r="R20" s="1439"/>
      <c r="S20" s="1439"/>
      <c r="T20" s="1439"/>
      <c r="U20" s="1439"/>
    </row>
    <row r="21" spans="1:21" s="1431" customFormat="1" ht="12">
      <c r="A21" s="1488"/>
      <c r="B21" s="1431" t="s">
        <v>1625</v>
      </c>
      <c r="F21" s="1440"/>
      <c r="G21" s="1440"/>
      <c r="H21" s="1440">
        <f t="shared" ref="H21:M21" si="5">H14-H19</f>
        <v>88</v>
      </c>
      <c r="I21" s="1440">
        <f t="shared" si="5"/>
        <v>716</v>
      </c>
      <c r="J21" s="1440">
        <f t="shared" si="5"/>
        <v>1471.1319029259998</v>
      </c>
      <c r="K21" s="1440">
        <f t="shared" si="5"/>
        <v>3858.2975158760005</v>
      </c>
      <c r="L21" s="1440">
        <f t="shared" si="5"/>
        <v>5628.4982711189996</v>
      </c>
      <c r="M21" s="1440">
        <f t="shared" si="5"/>
        <v>9753.7579622819976</v>
      </c>
      <c r="N21" s="1440">
        <f t="shared" ref="N21:T21" si="6">N14-N19</f>
        <v>9488.1542513789991</v>
      </c>
      <c r="O21" s="1440">
        <f t="shared" si="6"/>
        <v>11937.519714143</v>
      </c>
      <c r="P21" s="1440">
        <f t="shared" si="6"/>
        <v>16038.671116282001</v>
      </c>
      <c r="Q21" s="1440">
        <f t="shared" si="6"/>
        <v>16829.695167226</v>
      </c>
      <c r="R21" s="1440">
        <f t="shared" si="6"/>
        <v>17634.362914252059</v>
      </c>
      <c r="S21" s="1440">
        <f t="shared" si="6"/>
        <v>20874.951588709948</v>
      </c>
      <c r="T21" s="1440">
        <f t="shared" si="6"/>
        <v>1500.1124791073635</v>
      </c>
      <c r="U21" s="1440">
        <f t="shared" ref="U21" si="7">U14-U19</f>
        <v>24241.378474822723</v>
      </c>
    </row>
    <row r="22" spans="1:21" s="1431" customFormat="1" ht="12.95" customHeight="1">
      <c r="A22" s="1488"/>
    </row>
    <row r="23" spans="1:21" s="1431" customFormat="1" ht="12">
      <c r="A23" s="1488" t="s">
        <v>1603</v>
      </c>
      <c r="B23" s="1414" t="s">
        <v>1626</v>
      </c>
      <c r="C23" s="1414"/>
      <c r="D23" s="1414"/>
      <c r="E23" s="1414"/>
      <c r="G23" s="1440"/>
      <c r="H23" s="1440"/>
      <c r="I23" s="1440">
        <f t="shared" ref="I23:U23" si="8">H21-I21</f>
        <v>-628</v>
      </c>
      <c r="J23" s="1440">
        <f t="shared" si="8"/>
        <v>-755.13190292599984</v>
      </c>
      <c r="K23" s="1440">
        <f t="shared" si="8"/>
        <v>-2387.1656129500007</v>
      </c>
      <c r="L23" s="1440">
        <f t="shared" si="8"/>
        <v>-1770.2007552429991</v>
      </c>
      <c r="M23" s="1440">
        <f t="shared" si="8"/>
        <v>-4125.259691162998</v>
      </c>
      <c r="N23" s="1440">
        <f t="shared" si="8"/>
        <v>265.6037109029985</v>
      </c>
      <c r="O23" s="1440">
        <f t="shared" si="8"/>
        <v>-2449.3654627640008</v>
      </c>
      <c r="P23" s="1440">
        <f t="shared" si="8"/>
        <v>-4101.1514021390012</v>
      </c>
      <c r="Q23" s="1440">
        <f t="shared" si="8"/>
        <v>-791.0240509439991</v>
      </c>
      <c r="R23" s="1440">
        <f t="shared" si="8"/>
        <v>-804.66774702605835</v>
      </c>
      <c r="S23" s="1440">
        <f t="shared" si="8"/>
        <v>-3240.5886744578893</v>
      </c>
      <c r="T23" s="1440">
        <f t="shared" si="8"/>
        <v>19374.839109602584</v>
      </c>
      <c r="U23" s="1440">
        <f t="shared" si="8"/>
        <v>-22741.265995715359</v>
      </c>
    </row>
    <row r="24" spans="1:21" s="1431" customFormat="1" ht="12.95" customHeight="1">
      <c r="A24" s="1488"/>
      <c r="G24" s="1440"/>
    </row>
    <row r="25" spans="1:21" s="1431" customFormat="1" ht="12">
      <c r="A25" s="1488"/>
      <c r="B25" s="1479" t="s">
        <v>1627</v>
      </c>
    </row>
    <row r="26" spans="1:21" s="1431" customFormat="1" ht="12">
      <c r="A26" s="1488" t="s">
        <v>1603</v>
      </c>
      <c r="C26" s="1431" t="s">
        <v>1647</v>
      </c>
      <c r="F26" s="1440"/>
      <c r="G26" s="1440"/>
      <c r="H26" s="1440">
        <f>H11/H7*365</f>
        <v>341.91699604743081</v>
      </c>
      <c r="I26" s="1440">
        <f>I11/I7*365</f>
        <v>242.02508960573479</v>
      </c>
      <c r="J26" s="1440">
        <f t="shared" ref="J26:P26" si="9">J11/J7*365</f>
        <v>271.58492052838443</v>
      </c>
      <c r="K26" s="1440">
        <f t="shared" si="9"/>
        <v>436.15963353712465</v>
      </c>
      <c r="L26" s="1440">
        <f t="shared" si="9"/>
        <v>437.40217638914578</v>
      </c>
      <c r="M26" s="1440">
        <f t="shared" si="9"/>
        <v>566.52154995826299</v>
      </c>
      <c r="N26" s="1440">
        <f t="shared" si="9"/>
        <v>910.81474985222144</v>
      </c>
      <c r="O26" s="1440">
        <f t="shared" si="9"/>
        <v>390.56206542308547</v>
      </c>
      <c r="P26" s="1440">
        <f t="shared" si="9"/>
        <v>791.19555736848486</v>
      </c>
      <c r="Q26" s="1440">
        <f t="shared" ref="Q26" si="10">Q11/Q7*365</f>
        <v>1119.3150570296082</v>
      </c>
      <c r="R26" s="1423">
        <v>950</v>
      </c>
      <c r="S26" s="1423">
        <v>400</v>
      </c>
      <c r="T26" s="1423">
        <v>400</v>
      </c>
      <c r="U26" s="1423">
        <v>400</v>
      </c>
    </row>
    <row r="27" spans="1:21" s="1431" customFormat="1" ht="12">
      <c r="A27" s="1488"/>
      <c r="C27" s="1431" t="s">
        <v>1648</v>
      </c>
      <c r="F27" s="1440"/>
      <c r="G27" s="1440"/>
      <c r="H27" s="1440">
        <f t="shared" ref="H27:M27" si="11">H12/H8*365</f>
        <v>892.81862745098044</v>
      </c>
      <c r="I27" s="1440">
        <f t="shared" si="11"/>
        <v>557.18367346938783</v>
      </c>
      <c r="J27" s="1440">
        <f>J12/J8*365</f>
        <v>229.68117612354351</v>
      </c>
      <c r="K27" s="1440">
        <f>K12/K8*365</f>
        <v>1079.8413590435134</v>
      </c>
      <c r="L27" s="1440">
        <f t="shared" si="11"/>
        <v>827.79778881533241</v>
      </c>
      <c r="M27" s="1440">
        <f t="shared" si="11"/>
        <v>908.0244194128752</v>
      </c>
      <c r="N27" s="1440">
        <f>N12/N8*365</f>
        <v>3682.761937179891</v>
      </c>
      <c r="O27" s="1440">
        <f>O12/O8*365</f>
        <v>913.2607163361605</v>
      </c>
      <c r="P27" s="1440">
        <f>P12/P8*365</f>
        <v>2014.9210049407129</v>
      </c>
      <c r="Q27" s="1440">
        <f>Q12/Q8*365</f>
        <v>2561.8761935645334</v>
      </c>
      <c r="R27" s="2178">
        <v>950</v>
      </c>
      <c r="S27" s="2178">
        <v>1150</v>
      </c>
      <c r="T27" s="2178">
        <v>400</v>
      </c>
      <c r="U27" s="2178">
        <v>400</v>
      </c>
    </row>
    <row r="28" spans="1:21" s="1431" customFormat="1" ht="12">
      <c r="A28" s="1488"/>
      <c r="C28" s="1431" t="s">
        <v>1649</v>
      </c>
      <c r="F28" s="1595"/>
      <c r="G28" s="1595"/>
      <c r="H28" s="1512">
        <f>H13/H7</f>
        <v>1.383399209486166E-2</v>
      </c>
      <c r="I28" s="1512">
        <f>I13/I7</f>
        <v>2.1505376344086023E-2</v>
      </c>
      <c r="J28" s="1512">
        <f>J13/J7</f>
        <v>1.1285541618764643E-2</v>
      </c>
      <c r="K28" s="1435">
        <f t="shared" ref="K28:U28" si="12">J28</f>
        <v>1.1285541618764643E-2</v>
      </c>
      <c r="L28" s="1435">
        <f t="shared" si="12"/>
        <v>1.1285541618764643E-2</v>
      </c>
      <c r="M28" s="1435">
        <f t="shared" si="12"/>
        <v>1.1285541618764643E-2</v>
      </c>
      <c r="N28" s="1435">
        <f t="shared" si="12"/>
        <v>1.1285541618764643E-2</v>
      </c>
      <c r="O28" s="1435">
        <f t="shared" si="12"/>
        <v>1.1285541618764643E-2</v>
      </c>
      <c r="P28" s="1435">
        <f t="shared" si="12"/>
        <v>1.1285541618764643E-2</v>
      </c>
      <c r="Q28" s="1435">
        <f t="shared" si="12"/>
        <v>1.1285541618764643E-2</v>
      </c>
      <c r="R28" s="1435">
        <f t="shared" si="12"/>
        <v>1.1285541618764643E-2</v>
      </c>
      <c r="S28" s="1435">
        <f t="shared" si="12"/>
        <v>1.1285541618764643E-2</v>
      </c>
      <c r="T28" s="1435">
        <f t="shared" si="12"/>
        <v>1.1285541618764643E-2</v>
      </c>
      <c r="U28" s="1435">
        <f t="shared" si="12"/>
        <v>1.1285541618764643E-2</v>
      </c>
    </row>
    <row r="29" spans="1:21" s="1431" customFormat="1" ht="12.95" customHeight="1">
      <c r="A29" s="1488"/>
      <c r="I29" s="1412"/>
      <c r="J29" s="1412"/>
    </row>
    <row r="30" spans="1:21" s="1431" customFormat="1" ht="12">
      <c r="A30" s="1488"/>
      <c r="C30" s="1431" t="str">
        <f>C16&amp;" (days outstanding)"</f>
        <v>Accounts payable (days outstanding)</v>
      </c>
      <c r="F30" s="1439"/>
      <c r="G30" s="1439"/>
      <c r="H30" s="1439">
        <f>H16/H8*365</f>
        <v>98.406862745098039</v>
      </c>
      <c r="I30" s="1439">
        <f>I16/I8*365</f>
        <v>66.544217687074834</v>
      </c>
      <c r="J30" s="1439">
        <f t="shared" ref="J30:P30" si="13">J16/J8*365</f>
        <v>40.348171273958464</v>
      </c>
      <c r="K30" s="1439">
        <f t="shared" si="13"/>
        <v>100.24602916055916</v>
      </c>
      <c r="L30" s="1439">
        <f t="shared" si="13"/>
        <v>104.43280869979077</v>
      </c>
      <c r="M30" s="1439">
        <f t="shared" si="13"/>
        <v>158.63787477488358</v>
      </c>
      <c r="N30" s="1439">
        <f t="shared" si="13"/>
        <v>216.98293236429345</v>
      </c>
      <c r="O30" s="1439">
        <f t="shared" si="13"/>
        <v>68.989778576936757</v>
      </c>
      <c r="P30" s="1439">
        <f t="shared" si="13"/>
        <v>165.05422758055167</v>
      </c>
      <c r="Q30" s="1439">
        <f t="shared" ref="Q30" si="14">Q16/Q8*365</f>
        <v>139.01093876044249</v>
      </c>
      <c r="R30" s="2248">
        <v>135</v>
      </c>
      <c r="S30" s="2248">
        <f>R30</f>
        <v>135</v>
      </c>
      <c r="T30" s="2248">
        <f>S30</f>
        <v>135</v>
      </c>
      <c r="U30" s="2248">
        <f>T30</f>
        <v>135</v>
      </c>
    </row>
    <row r="31" spans="1:21" s="1431" customFormat="1" ht="12">
      <c r="A31" s="1488"/>
      <c r="C31" s="1431" t="str">
        <f>C18&amp;" (as % of cost of sales)"</f>
        <v>Other current liabilities (as % of cost of sales)</v>
      </c>
      <c r="F31" s="1435"/>
      <c r="G31" s="1435"/>
      <c r="H31" s="1435">
        <f>H18/H8</f>
        <v>2.9558823529411766</v>
      </c>
      <c r="I31" s="1435">
        <f>I18/I8</f>
        <v>0.5374149659863946</v>
      </c>
      <c r="J31" s="1435">
        <f>J18/J8</f>
        <v>0.50579290412735223</v>
      </c>
      <c r="K31" s="1435">
        <f>K18/K8</f>
        <v>1.169483214783726</v>
      </c>
      <c r="L31" s="1435">
        <f t="shared" ref="L31:U31" si="15">K31</f>
        <v>1.169483214783726</v>
      </c>
      <c r="M31" s="1435">
        <f t="shared" si="15"/>
        <v>1.169483214783726</v>
      </c>
      <c r="N31" s="1435">
        <f t="shared" si="15"/>
        <v>1.169483214783726</v>
      </c>
      <c r="O31" s="1435">
        <f t="shared" si="15"/>
        <v>1.169483214783726</v>
      </c>
      <c r="P31" s="1435">
        <f t="shared" si="15"/>
        <v>1.169483214783726</v>
      </c>
      <c r="Q31" s="1435">
        <f t="shared" si="15"/>
        <v>1.169483214783726</v>
      </c>
      <c r="R31" s="1435">
        <f t="shared" si="15"/>
        <v>1.169483214783726</v>
      </c>
      <c r="S31" s="1435">
        <f t="shared" si="15"/>
        <v>1.169483214783726</v>
      </c>
      <c r="T31" s="1435">
        <f t="shared" si="15"/>
        <v>1.169483214783726</v>
      </c>
      <c r="U31" s="1435">
        <f t="shared" si="15"/>
        <v>1.169483214783726</v>
      </c>
    </row>
    <row r="32" spans="1:21" s="1431" customFormat="1" ht="12">
      <c r="A32" s="1488"/>
    </row>
    <row r="33" spans="1:21" s="1431" customFormat="1" ht="12">
      <c r="A33" s="1488"/>
      <c r="B33" s="1479" t="s">
        <v>1628</v>
      </c>
    </row>
    <row r="34" spans="1:21" s="1431" customFormat="1" ht="12">
      <c r="A34" s="1488"/>
      <c r="C34" s="1472" t="str">
        <f>C11</f>
        <v>Accounts receivable, net</v>
      </c>
      <c r="G34" s="1440"/>
      <c r="H34" s="1440"/>
      <c r="I34" s="1440">
        <f t="shared" ref="I34:Q34" si="16">H11-I11</f>
        <v>-451</v>
      </c>
      <c r="J34" s="1440">
        <f t="shared" si="16"/>
        <v>-940.01967544200011</v>
      </c>
      <c r="K34" s="1440">
        <f t="shared" si="16"/>
        <v>-1575.5525697749997</v>
      </c>
      <c r="L34" s="1440">
        <f t="shared" si="16"/>
        <v>-2126.2015884060006</v>
      </c>
      <c r="M34" s="1440">
        <f t="shared" si="16"/>
        <v>-3456.5605980089995</v>
      </c>
      <c r="N34" s="1440">
        <f t="shared" si="16"/>
        <v>1810.0462288480003</v>
      </c>
      <c r="O34" s="1440">
        <f t="shared" si="16"/>
        <v>-3582.686980937001</v>
      </c>
      <c r="P34" s="1440">
        <f t="shared" si="16"/>
        <v>-1151.5441091459998</v>
      </c>
      <c r="Q34" s="1440">
        <f t="shared" si="16"/>
        <v>524.90623994499947</v>
      </c>
      <c r="R34" s="1440">
        <f t="shared" ref="R34:R36" si="17">Q11-R11</f>
        <v>-896.6568480897804</v>
      </c>
      <c r="S34" s="1440">
        <f t="shared" ref="S34:S36" si="18">R11-S11</f>
        <v>4525.7618663816447</v>
      </c>
      <c r="T34" s="1440">
        <f t="shared" ref="T34:U36" si="19">S11-T11</f>
        <v>-2169.0128298520558</v>
      </c>
      <c r="U34" s="1440">
        <f t="shared" si="19"/>
        <v>-10988.028462378077</v>
      </c>
    </row>
    <row r="35" spans="1:21" s="1431" customFormat="1" ht="12">
      <c r="A35" s="1488"/>
      <c r="C35" s="1472" t="str">
        <f>C12</f>
        <v>Inventories</v>
      </c>
      <c r="G35" s="1440"/>
      <c r="H35" s="1440"/>
      <c r="I35" s="1440">
        <f t="shared" ref="I35:Q35" si="20">H12-I12</f>
        <v>-623</v>
      </c>
      <c r="J35" s="1440">
        <f t="shared" si="20"/>
        <v>206.497381324</v>
      </c>
      <c r="K35" s="1440">
        <f t="shared" si="20"/>
        <v>-2485.0805992649998</v>
      </c>
      <c r="L35" s="1440">
        <f t="shared" si="20"/>
        <v>-1204.5678688759999</v>
      </c>
      <c r="M35" s="1440">
        <f t="shared" si="20"/>
        <v>-2186.313094567</v>
      </c>
      <c r="N35" s="1440">
        <f t="shared" si="20"/>
        <v>-3460.2171692860002</v>
      </c>
      <c r="O35" s="1440">
        <f t="shared" si="20"/>
        <v>-986.65959621900038</v>
      </c>
      <c r="P35" s="1440">
        <f t="shared" si="20"/>
        <v>-2792.614802402999</v>
      </c>
      <c r="Q35" s="1440">
        <f t="shared" si="20"/>
        <v>-108.10277498899995</v>
      </c>
      <c r="R35" s="1440">
        <f t="shared" si="17"/>
        <v>1819.7886232692181</v>
      </c>
      <c r="S35" s="1440">
        <f t="shared" si="18"/>
        <v>-10087.065698549863</v>
      </c>
      <c r="T35" s="1440">
        <f t="shared" si="19"/>
        <v>12443.814735079452</v>
      </c>
      <c r="U35" s="1440">
        <f t="shared" si="19"/>
        <v>-10988.028462378077</v>
      </c>
    </row>
    <row r="36" spans="1:21" s="1431" customFormat="1" ht="12">
      <c r="A36" s="1488"/>
      <c r="C36" s="1472" t="str">
        <f>C13</f>
        <v>Other current assets</v>
      </c>
      <c r="G36" s="1440"/>
      <c r="H36" s="1440"/>
      <c r="I36" s="1440">
        <f t="shared" ref="I36:Q36" si="21">H13-I13</f>
        <v>-23</v>
      </c>
      <c r="J36" s="1440">
        <f t="shared" si="21"/>
        <v>1.7125996870000009</v>
      </c>
      <c r="K36" s="1440">
        <f t="shared" si="21"/>
        <v>-57.282715439999997</v>
      </c>
      <c r="L36" s="1440">
        <f t="shared" si="21"/>
        <v>-17.208984967000006</v>
      </c>
      <c r="M36" s="1440">
        <f t="shared" si="21"/>
        <v>-49.563395976999999</v>
      </c>
      <c r="N36" s="1440">
        <f t="shared" si="21"/>
        <v>-120.414777211</v>
      </c>
      <c r="O36" s="1440">
        <f t="shared" si="21"/>
        <v>75.637480078999999</v>
      </c>
      <c r="P36" s="1440">
        <f t="shared" si="21"/>
        <v>-95.190978590999975</v>
      </c>
      <c r="Q36" s="1440">
        <f t="shared" si="21"/>
        <v>-2.5315142400000354</v>
      </c>
      <c r="R36" s="1440">
        <f t="shared" si="17"/>
        <v>0</v>
      </c>
      <c r="S36" s="1440">
        <f t="shared" si="18"/>
        <v>0</v>
      </c>
      <c r="T36" s="1440">
        <f t="shared" si="19"/>
        <v>0</v>
      </c>
      <c r="U36" s="1440">
        <f t="shared" si="19"/>
        <v>0</v>
      </c>
    </row>
    <row r="37" spans="1:21" s="1431" customFormat="1" ht="12">
      <c r="A37" s="1488"/>
      <c r="C37" s="1472" t="str">
        <f>C16</f>
        <v>Accounts payable</v>
      </c>
      <c r="G37" s="1440"/>
      <c r="H37" s="1440"/>
      <c r="I37" s="1440">
        <f t="shared" ref="I37:Q37" si="22">I16-H16</f>
        <v>79</v>
      </c>
      <c r="J37" s="1440">
        <f t="shared" si="22"/>
        <v>26.826660170999986</v>
      </c>
      <c r="K37" s="1440">
        <f t="shared" si="22"/>
        <v>154.86319702300003</v>
      </c>
      <c r="L37" s="1440">
        <f t="shared" si="22"/>
        <v>265.28398567100004</v>
      </c>
      <c r="M37" s="1440">
        <f t="shared" si="22"/>
        <v>605.53989102900005</v>
      </c>
      <c r="N37" s="1440">
        <f t="shared" si="22"/>
        <v>-582.49970337100012</v>
      </c>
      <c r="O37" s="1440">
        <f t="shared" si="22"/>
        <v>244.95564443299997</v>
      </c>
      <c r="P37" s="1440">
        <f t="shared" si="22"/>
        <v>300.38980749400014</v>
      </c>
      <c r="Q37" s="1440">
        <f t="shared" si="22"/>
        <v>-382.15464890400006</v>
      </c>
      <c r="R37" s="1440">
        <f t="shared" ref="R37:R39" si="23">R16-Q16</f>
        <v>138.3546341775068</v>
      </c>
      <c r="S37" s="1440">
        <f t="shared" ref="S37:S39" si="24">S16-R16</f>
        <v>648.87965771032589</v>
      </c>
      <c r="T37" s="1440">
        <f t="shared" ref="T37:U39" si="25">T16-S16</f>
        <v>348.56612937518821</v>
      </c>
      <c r="U37" s="1440">
        <f t="shared" si="25"/>
        <v>713.58061728479584</v>
      </c>
    </row>
    <row r="38" spans="1:21" s="1431" customFormat="1" ht="12">
      <c r="A38" s="1488"/>
      <c r="C38" s="1472" t="s">
        <v>1646</v>
      </c>
      <c r="G38" s="1440"/>
      <c r="H38" s="1440"/>
      <c r="I38" s="1440">
        <f t="shared" ref="I38:Q38" si="26">I17-H17</f>
        <v>598</v>
      </c>
      <c r="J38" s="1440">
        <f t="shared" si="26"/>
        <v>-391.01664267699999</v>
      </c>
      <c r="K38" s="1440">
        <f t="shared" si="26"/>
        <v>967.50403741399987</v>
      </c>
      <c r="L38" s="1440">
        <f t="shared" si="26"/>
        <v>-360.14312719400004</v>
      </c>
      <c r="M38" s="1440">
        <f t="shared" si="26"/>
        <v>-104.50173325099991</v>
      </c>
      <c r="N38" s="1440">
        <f t="shared" si="26"/>
        <v>2025.1398000300001</v>
      </c>
      <c r="O38" s="1440">
        <f t="shared" si="26"/>
        <v>-726.37394189599991</v>
      </c>
      <c r="P38" s="1440">
        <f t="shared" si="26"/>
        <v>307.67249439299985</v>
      </c>
      <c r="Q38" s="1440">
        <f t="shared" si="26"/>
        <v>-684.12673043599989</v>
      </c>
      <c r="R38" s="1440">
        <f t="shared" si="23"/>
        <v>-1866.1541563830001</v>
      </c>
      <c r="S38" s="1440">
        <f t="shared" si="24"/>
        <v>1671.8355000000001</v>
      </c>
      <c r="T38" s="1440">
        <f t="shared" si="25"/>
        <v>8751.4710750000013</v>
      </c>
      <c r="U38" s="1440">
        <f t="shared" si="25"/>
        <v>-1478.7896882439982</v>
      </c>
    </row>
    <row r="39" spans="1:21" s="1431" customFormat="1" ht="12">
      <c r="A39" s="1488"/>
      <c r="C39" s="1472" t="str">
        <f>C18</f>
        <v>Other current liabilities</v>
      </c>
      <c r="G39" s="1440"/>
      <c r="H39" s="1440"/>
      <c r="I39" s="1440">
        <f t="shared" ref="I39:Q39" si="27">I18-H18</f>
        <v>-208</v>
      </c>
      <c r="J39" s="1440">
        <f t="shared" si="27"/>
        <v>340.86777401100005</v>
      </c>
      <c r="K39" s="1440">
        <f t="shared" si="27"/>
        <v>608.38303709299987</v>
      </c>
      <c r="L39" s="1440">
        <f t="shared" si="27"/>
        <v>1672.6368285290002</v>
      </c>
      <c r="M39" s="1440">
        <f t="shared" si="27"/>
        <v>1066.139239612</v>
      </c>
      <c r="N39" s="1440">
        <f t="shared" si="27"/>
        <v>593.54933189299982</v>
      </c>
      <c r="O39" s="1440">
        <f t="shared" si="27"/>
        <v>2525.761931776</v>
      </c>
      <c r="P39" s="1440">
        <f t="shared" si="27"/>
        <v>-669.86381388599966</v>
      </c>
      <c r="Q39" s="1440">
        <f t="shared" si="27"/>
        <v>-139.01462231999994</v>
      </c>
      <c r="R39" s="1440">
        <f t="shared" si="23"/>
        <v>0</v>
      </c>
      <c r="S39" s="1440">
        <f t="shared" si="24"/>
        <v>0</v>
      </c>
      <c r="T39" s="1440">
        <f t="shared" si="25"/>
        <v>0</v>
      </c>
      <c r="U39" s="1440">
        <f t="shared" si="25"/>
        <v>0</v>
      </c>
    </row>
    <row r="40" spans="1:21" s="1431" customFormat="1" ht="12">
      <c r="A40" s="1488" t="s">
        <v>1603</v>
      </c>
      <c r="B40" s="1414" t="str">
        <f>B23</f>
        <v>(Increase) / decrease in working capital</v>
      </c>
      <c r="C40" s="1414"/>
      <c r="D40" s="1414"/>
      <c r="E40" s="1414"/>
      <c r="G40" s="1440"/>
      <c r="H40" s="1440"/>
      <c r="I40" s="1440">
        <f t="shared" ref="I40:Q40" si="28">SUM(I34:I39)</f>
        <v>-628</v>
      </c>
      <c r="J40" s="1440">
        <f t="shared" si="28"/>
        <v>-755.13190292600018</v>
      </c>
      <c r="K40" s="1440">
        <f t="shared" si="28"/>
        <v>-2387.1656129499997</v>
      </c>
      <c r="L40" s="1440">
        <f t="shared" si="28"/>
        <v>-1770.2007552430002</v>
      </c>
      <c r="M40" s="1440">
        <f t="shared" si="28"/>
        <v>-4125.2596911629998</v>
      </c>
      <c r="N40" s="1440">
        <f t="shared" si="28"/>
        <v>265.60371090299986</v>
      </c>
      <c r="O40" s="1440">
        <f t="shared" si="28"/>
        <v>-2449.3654627640008</v>
      </c>
      <c r="P40" s="1440">
        <f t="shared" si="28"/>
        <v>-4101.1514021389985</v>
      </c>
      <c r="Q40" s="1440">
        <f t="shared" si="28"/>
        <v>-791.02405094400046</v>
      </c>
      <c r="R40" s="1440">
        <f t="shared" ref="R40:T40" si="29">SUM(R34:R39)</f>
        <v>-804.66774702605562</v>
      </c>
      <c r="S40" s="1440">
        <f t="shared" si="29"/>
        <v>-3240.588674457892</v>
      </c>
      <c r="T40" s="1440">
        <f t="shared" si="29"/>
        <v>19374.839109602584</v>
      </c>
      <c r="U40" s="1440">
        <f t="shared" ref="U40" si="30">SUM(U34:U39)</f>
        <v>-22741.265995715359</v>
      </c>
    </row>
    <row r="41" spans="1:21" s="1431" customFormat="1" ht="12">
      <c r="A41" s="1488"/>
      <c r="B41" s="1580"/>
      <c r="C41" s="1580"/>
      <c r="D41" s="1580"/>
      <c r="E41" s="1580"/>
      <c r="F41" s="1542"/>
      <c r="G41" s="1542"/>
      <c r="H41" s="1542"/>
      <c r="I41" s="1542"/>
      <c r="J41" s="1542"/>
      <c r="K41" s="1542"/>
      <c r="L41" s="1542"/>
      <c r="M41" s="1542"/>
      <c r="N41" s="1542"/>
      <c r="O41" s="1542"/>
      <c r="P41" s="1542"/>
      <c r="Q41" s="1542"/>
      <c r="R41" s="1542"/>
      <c r="S41" s="1542"/>
      <c r="T41" s="1542"/>
    </row>
    <row r="42" spans="1:21" s="1431" customFormat="1" ht="12.95" customHeight="1">
      <c r="A42" s="1488" t="s">
        <v>1603</v>
      </c>
      <c r="B42" s="1488" t="s">
        <v>1629</v>
      </c>
    </row>
  </sheetData>
  <pageMargins left="0.45" right="0.45" top="0.5" bottom="0.5" header="0.3" footer="0.3"/>
  <pageSetup paperSize="9" scale="75" orientation="portrait" r:id="rId1"/>
  <ignoredErrors>
    <ignoredError sqref="K27:N27" formula="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M198"/>
  <sheetViews>
    <sheetView zoomScaleNormal="100" workbookViewId="0">
      <pane xSplit="2" ySplit="2" topLeftCell="C3" activePane="bottomRight" state="frozen"/>
      <selection pane="topRight" activeCell="C1" sqref="C1"/>
      <selection pane="bottomLeft" activeCell="A3" sqref="A3"/>
      <selection pane="bottomRight" activeCell="M1" sqref="M1"/>
    </sheetView>
  </sheetViews>
  <sheetFormatPr defaultColWidth="9.140625" defaultRowHeight="12"/>
  <cols>
    <col min="1" max="1" width="9.140625" style="1431"/>
    <col min="2" max="2" width="27.42578125" style="1431" bestFit="1" customWidth="1"/>
    <col min="3" max="16384" width="9.140625" style="1431"/>
  </cols>
  <sheetData>
    <row r="2" spans="2:13">
      <c r="C2" s="1455" t="s">
        <v>2514</v>
      </c>
      <c r="D2" s="1455" t="s">
        <v>2515</v>
      </c>
      <c r="E2" s="1455" t="s">
        <v>2516</v>
      </c>
      <c r="F2" s="1455" t="s">
        <v>2517</v>
      </c>
      <c r="G2" s="1455" t="s">
        <v>2518</v>
      </c>
      <c r="H2" s="1455" t="s">
        <v>2530</v>
      </c>
      <c r="I2" s="1455" t="s">
        <v>2531</v>
      </c>
      <c r="J2" s="1455" t="s">
        <v>2534</v>
      </c>
      <c r="K2" s="1455" t="s">
        <v>2552</v>
      </c>
      <c r="L2" s="1455" t="s">
        <v>2553</v>
      </c>
      <c r="M2" s="1455" t="s">
        <v>2554</v>
      </c>
    </row>
    <row r="3" spans="2:13">
      <c r="B3" s="2251" t="s">
        <v>2541</v>
      </c>
      <c r="C3" s="2187"/>
      <c r="D3" s="2187"/>
      <c r="E3" s="2187"/>
      <c r="F3" s="2187"/>
      <c r="G3" s="2187"/>
      <c r="H3" s="2187"/>
      <c r="I3" s="2187"/>
      <c r="J3" s="2187"/>
    </row>
    <row r="4" spans="2:13">
      <c r="B4" s="1431" t="s">
        <v>2542</v>
      </c>
      <c r="C4" s="2187"/>
      <c r="D4" s="2187"/>
      <c r="E4" s="2187"/>
      <c r="F4" s="2187"/>
      <c r="G4" s="2187"/>
      <c r="H4" s="2187">
        <v>300</v>
      </c>
      <c r="I4" s="2187">
        <v>600</v>
      </c>
      <c r="J4" s="2187">
        <v>600</v>
      </c>
    </row>
    <row r="5" spans="2:13">
      <c r="B5" s="1431" t="s">
        <v>2548</v>
      </c>
      <c r="C5" s="2187">
        <v>249</v>
      </c>
      <c r="D5" s="2187">
        <v>222</v>
      </c>
      <c r="E5" s="2187">
        <v>118</v>
      </c>
      <c r="F5" s="2187">
        <v>74</v>
      </c>
      <c r="G5" s="2187"/>
      <c r="H5" s="2187"/>
      <c r="I5" s="2187"/>
      <c r="J5" s="2187"/>
    </row>
    <row r="6" spans="2:13">
      <c r="C6" s="2187"/>
      <c r="D6" s="2187"/>
      <c r="E6" s="2187"/>
      <c r="F6" s="2187"/>
      <c r="G6" s="2187"/>
      <c r="H6" s="2187"/>
      <c r="I6" s="2187"/>
      <c r="J6" s="2187"/>
    </row>
    <row r="7" spans="2:13">
      <c r="B7" s="1431" t="s">
        <v>2535</v>
      </c>
      <c r="C7" s="2187">
        <v>793.28</v>
      </c>
      <c r="D7" s="2187">
        <v>691.96299999999997</v>
      </c>
      <c r="E7" s="2187">
        <v>323.541</v>
      </c>
      <c r="F7" s="2187">
        <v>267.53100000000001</v>
      </c>
      <c r="G7" s="2187">
        <v>453.82400000000001</v>
      </c>
      <c r="H7" s="2187">
        <v>1011.647</v>
      </c>
      <c r="I7" s="2187">
        <v>1067.518</v>
      </c>
      <c r="J7" s="2187">
        <v>821.00699999999995</v>
      </c>
    </row>
    <row r="8" spans="2:13" s="1407" customFormat="1">
      <c r="B8" s="1431" t="s">
        <v>2536</v>
      </c>
      <c r="C8" s="2187">
        <v>551.01599999999996</v>
      </c>
      <c r="D8" s="2187">
        <v>362.339</v>
      </c>
      <c r="E8" s="2187">
        <v>394.82600000000002</v>
      </c>
      <c r="F8" s="2187">
        <v>82.647000000000006</v>
      </c>
      <c r="G8" s="2187">
        <v>176.31299999999999</v>
      </c>
      <c r="H8" s="2187">
        <v>137.36600000000001</v>
      </c>
      <c r="I8" s="2187">
        <v>205.20099999999999</v>
      </c>
      <c r="J8" s="2187">
        <v>189.191</v>
      </c>
    </row>
    <row r="9" spans="2:13">
      <c r="B9" s="1431" t="s">
        <v>662</v>
      </c>
      <c r="C9" s="2187">
        <v>128.904</v>
      </c>
      <c r="D9" s="2187">
        <v>123.318</v>
      </c>
      <c r="E9" s="2187">
        <v>162.65799999999999</v>
      </c>
      <c r="F9" s="2187">
        <v>28.594000000000001</v>
      </c>
      <c r="G9" s="2187">
        <v>5.14</v>
      </c>
      <c r="H9" s="2187">
        <v>13.848000000000001</v>
      </c>
      <c r="I9" s="2187">
        <v>47.55</v>
      </c>
      <c r="J9" s="2187">
        <v>1.399</v>
      </c>
    </row>
    <row r="10" spans="2:13">
      <c r="B10" s="1431" t="s">
        <v>2537</v>
      </c>
      <c r="C10" s="2187">
        <v>94.665000000000006</v>
      </c>
      <c r="D10" s="2187">
        <v>78.531999999999996</v>
      </c>
      <c r="E10" s="2187">
        <v>58.573999999999998</v>
      </c>
      <c r="F10" s="2187">
        <v>37.173999999999999</v>
      </c>
      <c r="G10" s="2187">
        <v>40.686</v>
      </c>
      <c r="H10" s="2187">
        <v>51.018000000000001</v>
      </c>
      <c r="I10" s="2187">
        <v>79.891999999999996</v>
      </c>
      <c r="J10" s="2187">
        <v>53.084000000000003</v>
      </c>
    </row>
    <row r="11" spans="2:13">
      <c r="B11" s="1407" t="s">
        <v>2452</v>
      </c>
      <c r="C11" s="2250">
        <f t="shared" ref="C11:J11" si="0">C7+C8+C9+C10</f>
        <v>1567.8649999999998</v>
      </c>
      <c r="D11" s="2250">
        <f t="shared" si="0"/>
        <v>1256.1519999999998</v>
      </c>
      <c r="E11" s="2250">
        <f t="shared" si="0"/>
        <v>939.59899999999993</v>
      </c>
      <c r="F11" s="2250">
        <f t="shared" si="0"/>
        <v>415.94599999999997</v>
      </c>
      <c r="G11" s="2250">
        <f t="shared" si="0"/>
        <v>675.96299999999997</v>
      </c>
      <c r="H11" s="2250">
        <f t="shared" si="0"/>
        <v>1213.8790000000001</v>
      </c>
      <c r="I11" s="2250">
        <f t="shared" si="0"/>
        <v>1400.1610000000001</v>
      </c>
      <c r="J11" s="2250">
        <f t="shared" si="0"/>
        <v>1064.681</v>
      </c>
    </row>
    <row r="12" spans="2:13">
      <c r="B12" s="1431" t="s">
        <v>2538</v>
      </c>
      <c r="C12" s="2187">
        <v>-18.061</v>
      </c>
      <c r="D12" s="2187">
        <v>-1.0980000000000001</v>
      </c>
      <c r="E12" s="2187">
        <v>-24.943000000000001</v>
      </c>
      <c r="F12" s="2187">
        <v>-37.854999999999997</v>
      </c>
      <c r="G12" s="2187">
        <v>37.854999999999997</v>
      </c>
      <c r="H12" s="2187"/>
      <c r="I12" s="2187">
        <v>0</v>
      </c>
      <c r="J12" s="2187">
        <v>0</v>
      </c>
    </row>
    <row r="13" spans="2:13">
      <c r="B13" s="1407" t="s">
        <v>2539</v>
      </c>
      <c r="C13" s="2187">
        <f>C11+C12</f>
        <v>1549.8039999999999</v>
      </c>
      <c r="D13" s="2187">
        <f>D11+D12</f>
        <v>1255.0539999999999</v>
      </c>
      <c r="E13" s="2187">
        <f>E11+E12</f>
        <v>914.65599999999995</v>
      </c>
      <c r="F13" s="2187">
        <f>F11+F12</f>
        <v>378.09099999999995</v>
      </c>
      <c r="G13" s="2187">
        <f t="shared" ref="G13:J13" si="1">G11+G12</f>
        <v>713.81799999999998</v>
      </c>
      <c r="H13" s="2187">
        <f t="shared" si="1"/>
        <v>1213.8790000000001</v>
      </c>
      <c r="I13" s="2187">
        <f t="shared" si="1"/>
        <v>1400.1610000000001</v>
      </c>
      <c r="J13" s="2187">
        <f t="shared" si="1"/>
        <v>1064.681</v>
      </c>
    </row>
    <row r="14" spans="2:13">
      <c r="C14" s="2187"/>
      <c r="D14" s="2187"/>
      <c r="E14" s="2187"/>
      <c r="F14" s="2187"/>
      <c r="G14" s="2187"/>
      <c r="H14" s="2187"/>
      <c r="I14" s="2187"/>
      <c r="J14" s="2187"/>
    </row>
    <row r="15" spans="2:13">
      <c r="B15" s="1431" t="s">
        <v>2535</v>
      </c>
      <c r="C15" s="2187">
        <v>-454.96</v>
      </c>
      <c r="D15" s="2187">
        <v>-289.685</v>
      </c>
      <c r="E15" s="2187">
        <v>-134.196</v>
      </c>
      <c r="F15" s="2187">
        <v>-146.35900000000001</v>
      </c>
      <c r="G15" s="2187">
        <v>-324.23500000000001</v>
      </c>
      <c r="H15" s="2187">
        <v>-526.46900000000005</v>
      </c>
      <c r="I15" s="2187">
        <v>-567.36900000000003</v>
      </c>
      <c r="J15" s="2187">
        <v>-497.58600000000001</v>
      </c>
    </row>
    <row r="16" spans="2:13">
      <c r="B16" s="1431" t="s">
        <v>2536</v>
      </c>
      <c r="C16" s="2187">
        <v>-115.724</v>
      </c>
      <c r="D16" s="2187">
        <v>-107.626</v>
      </c>
      <c r="E16" s="2187">
        <v>-135.26</v>
      </c>
      <c r="F16" s="2187">
        <v>-9.8230000000000004</v>
      </c>
      <c r="G16" s="2187">
        <v>-66.087999999999994</v>
      </c>
      <c r="H16" s="2187">
        <v>-32.337000000000003</v>
      </c>
      <c r="I16" s="2187">
        <v>-85.384</v>
      </c>
      <c r="J16" s="2187">
        <v>-43.725000000000001</v>
      </c>
    </row>
    <row r="17" spans="2:10">
      <c r="B17" s="1431" t="s">
        <v>662</v>
      </c>
      <c r="C17" s="2187">
        <v>-119.086</v>
      </c>
      <c r="D17" s="2187">
        <v>-114.422</v>
      </c>
      <c r="E17" s="2187">
        <v>-144.61600000000001</v>
      </c>
      <c r="F17" s="2187">
        <v>-27.027000000000001</v>
      </c>
      <c r="G17" s="2187">
        <v>-1.732</v>
      </c>
      <c r="H17" s="2187">
        <v>-12.707000000000001</v>
      </c>
      <c r="I17" s="2187">
        <v>-37.988999999999997</v>
      </c>
      <c r="J17" s="2187">
        <v>-0.85899999999999999</v>
      </c>
    </row>
    <row r="18" spans="2:10">
      <c r="B18" s="1431" t="s">
        <v>2537</v>
      </c>
      <c r="C18" s="2187">
        <v>-67.081000000000003</v>
      </c>
      <c r="D18" s="2187">
        <v>-61.898000000000003</v>
      </c>
      <c r="E18" s="2187">
        <v>-41.453000000000003</v>
      </c>
      <c r="F18" s="2187">
        <v>-28.504999999999999</v>
      </c>
      <c r="G18" s="2187">
        <v>-31.661000000000001</v>
      </c>
      <c r="H18" s="2187">
        <v>-48.761000000000003</v>
      </c>
      <c r="I18" s="2187">
        <v>-66.664000000000001</v>
      </c>
      <c r="J18" s="2187">
        <v>-50.029000000000003</v>
      </c>
    </row>
    <row r="19" spans="2:10">
      <c r="B19" s="1407" t="s">
        <v>2540</v>
      </c>
      <c r="C19" s="2250">
        <f t="shared" ref="C19:I19" si="2">SUM(C15:C18)</f>
        <v>-756.851</v>
      </c>
      <c r="D19" s="2250">
        <f t="shared" si="2"/>
        <v>-573.63100000000009</v>
      </c>
      <c r="E19" s="2250">
        <f t="shared" si="2"/>
        <v>-455.52499999999998</v>
      </c>
      <c r="F19" s="2250">
        <f t="shared" si="2"/>
        <v>-211.714</v>
      </c>
      <c r="G19" s="2250">
        <f t="shared" si="2"/>
        <v>-423.71600000000001</v>
      </c>
      <c r="H19" s="2250">
        <f t="shared" si="2"/>
        <v>-620.274</v>
      </c>
      <c r="I19" s="2250">
        <f t="shared" si="2"/>
        <v>-757.40600000000006</v>
      </c>
      <c r="J19" s="2250">
        <f>SUM(J15:J18)</f>
        <v>-592.19900000000007</v>
      </c>
    </row>
    <row r="20" spans="2:10">
      <c r="C20" s="2187"/>
      <c r="D20" s="2187"/>
      <c r="E20" s="2187"/>
      <c r="F20" s="2187"/>
      <c r="G20" s="2187"/>
      <c r="H20" s="2187"/>
      <c r="I20" s="2187"/>
      <c r="J20" s="2187"/>
    </row>
    <row r="21" spans="2:10">
      <c r="B21" s="1431" t="s">
        <v>2535</v>
      </c>
      <c r="C21" s="2187">
        <f t="shared" ref="C21:J21" si="3">C7+C15</f>
        <v>338.32</v>
      </c>
      <c r="D21" s="2187">
        <f t="shared" si="3"/>
        <v>402.27799999999996</v>
      </c>
      <c r="E21" s="2187">
        <f t="shared" si="3"/>
        <v>189.345</v>
      </c>
      <c r="F21" s="2187">
        <f t="shared" si="3"/>
        <v>121.172</v>
      </c>
      <c r="G21" s="2187">
        <f t="shared" si="3"/>
        <v>129.589</v>
      </c>
      <c r="H21" s="2187">
        <f t="shared" si="3"/>
        <v>485.178</v>
      </c>
      <c r="I21" s="2187">
        <f t="shared" si="3"/>
        <v>500.149</v>
      </c>
      <c r="J21" s="2187">
        <f t="shared" si="3"/>
        <v>323.42099999999994</v>
      </c>
    </row>
    <row r="22" spans="2:10">
      <c r="B22" s="1431" t="s">
        <v>2536</v>
      </c>
      <c r="C22" s="2187">
        <f t="shared" ref="C22" si="4">C8+C16</f>
        <v>435.29199999999997</v>
      </c>
      <c r="D22" s="2187">
        <f t="shared" ref="D22:E22" si="5">D8+D16</f>
        <v>254.71299999999999</v>
      </c>
      <c r="E22" s="2187">
        <f t="shared" si="5"/>
        <v>259.56600000000003</v>
      </c>
      <c r="F22" s="2187">
        <f t="shared" ref="F22:J22" si="6">F8+F16</f>
        <v>72.824000000000012</v>
      </c>
      <c r="G22" s="2187">
        <f t="shared" si="6"/>
        <v>110.22499999999999</v>
      </c>
      <c r="H22" s="2187">
        <f t="shared" si="6"/>
        <v>105.02900000000001</v>
      </c>
      <c r="I22" s="2187">
        <f t="shared" si="6"/>
        <v>119.81699999999999</v>
      </c>
      <c r="J22" s="2187">
        <f t="shared" si="6"/>
        <v>145.46600000000001</v>
      </c>
    </row>
    <row r="23" spans="2:10">
      <c r="B23" s="1431" t="s">
        <v>662</v>
      </c>
      <c r="C23" s="2187">
        <f t="shared" ref="C23" si="7">C9+C17</f>
        <v>9.8179999999999978</v>
      </c>
      <c r="D23" s="2187">
        <f t="shared" ref="D23:E23" si="8">D9+D17</f>
        <v>8.8960000000000008</v>
      </c>
      <c r="E23" s="2187">
        <f t="shared" si="8"/>
        <v>18.041999999999973</v>
      </c>
      <c r="F23" s="2187">
        <f t="shared" ref="F23:J23" si="9">F9+F17</f>
        <v>1.5670000000000002</v>
      </c>
      <c r="G23" s="2187">
        <f t="shared" si="9"/>
        <v>3.4079999999999995</v>
      </c>
      <c r="H23" s="2187">
        <f t="shared" si="9"/>
        <v>1.141</v>
      </c>
      <c r="I23" s="2187">
        <f t="shared" si="9"/>
        <v>9.5609999999999999</v>
      </c>
      <c r="J23" s="2187">
        <f t="shared" si="9"/>
        <v>0.54</v>
      </c>
    </row>
    <row r="24" spans="2:10">
      <c r="B24" s="1431" t="s">
        <v>2537</v>
      </c>
      <c r="C24" s="2187">
        <f t="shared" ref="C24" si="10">C10+C18</f>
        <v>27.584000000000003</v>
      </c>
      <c r="D24" s="2187">
        <f t="shared" ref="D24:E24" si="11">D10+D18</f>
        <v>16.633999999999993</v>
      </c>
      <c r="E24" s="2187">
        <f t="shared" si="11"/>
        <v>17.120999999999995</v>
      </c>
      <c r="F24" s="2187">
        <f t="shared" ref="F24:J24" si="12">F10+F18</f>
        <v>8.6690000000000005</v>
      </c>
      <c r="G24" s="2187">
        <f t="shared" si="12"/>
        <v>9.0249999999999986</v>
      </c>
      <c r="H24" s="2187">
        <f t="shared" si="12"/>
        <v>2.2569999999999979</v>
      </c>
      <c r="I24" s="2187">
        <f t="shared" si="12"/>
        <v>13.227999999999994</v>
      </c>
      <c r="J24" s="2187">
        <f t="shared" si="12"/>
        <v>3.0549999999999997</v>
      </c>
    </row>
    <row r="25" spans="2:10">
      <c r="B25" s="1407" t="s">
        <v>1336</v>
      </c>
      <c r="C25" s="2250">
        <f>C11+C19+C12</f>
        <v>792.95299999999975</v>
      </c>
      <c r="D25" s="2250">
        <f>D11+D19+D12</f>
        <v>681.42299999999977</v>
      </c>
      <c r="E25" s="2250">
        <f>E11+E19+E12</f>
        <v>459.13099999999997</v>
      </c>
      <c r="F25" s="2250">
        <f>F11+F19+F12</f>
        <v>166.37699999999998</v>
      </c>
      <c r="G25" s="2250">
        <f t="shared" ref="G25:J25" si="13">G11+G19+G12</f>
        <v>290.10199999999998</v>
      </c>
      <c r="H25" s="2250">
        <f t="shared" si="13"/>
        <v>593.60500000000013</v>
      </c>
      <c r="I25" s="2250">
        <f t="shared" si="13"/>
        <v>642.755</v>
      </c>
      <c r="J25" s="2250">
        <f t="shared" si="13"/>
        <v>472.48199999999997</v>
      </c>
    </row>
    <row r="26" spans="2:10">
      <c r="C26" s="2187"/>
      <c r="D26" s="2187"/>
      <c r="E26" s="2187"/>
      <c r="F26" s="2187"/>
      <c r="G26" s="2187"/>
      <c r="H26" s="2187"/>
      <c r="I26" s="2187"/>
      <c r="J26" s="2187"/>
    </row>
    <row r="27" spans="2:10">
      <c r="B27" s="1431" t="s">
        <v>2535</v>
      </c>
      <c r="C27" s="2186">
        <f t="shared" ref="C27:J27" si="14">C21/C7</f>
        <v>0.42648245260185558</v>
      </c>
      <c r="D27" s="2186">
        <f t="shared" si="14"/>
        <v>0.58135767374845182</v>
      </c>
      <c r="E27" s="2186">
        <f t="shared" si="14"/>
        <v>0.58522722004320937</v>
      </c>
      <c r="F27" s="2186">
        <f t="shared" si="14"/>
        <v>0.4529269505216218</v>
      </c>
      <c r="G27" s="2186">
        <f t="shared" si="14"/>
        <v>0.28554902340995625</v>
      </c>
      <c r="H27" s="2186">
        <f t="shared" si="14"/>
        <v>0.47959218976579771</v>
      </c>
      <c r="I27" s="2186">
        <f t="shared" si="14"/>
        <v>0.46851575336434609</v>
      </c>
      <c r="J27" s="2186">
        <f t="shared" si="14"/>
        <v>0.39393208584092454</v>
      </c>
    </row>
    <row r="28" spans="2:10" s="1455" customFormat="1">
      <c r="B28" s="1431" t="s">
        <v>2536</v>
      </c>
      <c r="C28" s="2186">
        <f t="shared" ref="C28:D28" si="15">C22/C8</f>
        <v>0.78998069021589212</v>
      </c>
      <c r="D28" s="2186">
        <f t="shared" si="15"/>
        <v>0.70296876681781428</v>
      </c>
      <c r="E28" s="2186">
        <f t="shared" ref="E28:J28" si="16">E22/E8</f>
        <v>0.657418711027136</v>
      </c>
      <c r="F28" s="2186">
        <f t="shared" si="16"/>
        <v>0.88114511113531047</v>
      </c>
      <c r="G28" s="2186">
        <f t="shared" si="16"/>
        <v>0.62516660711348571</v>
      </c>
      <c r="H28" s="2186">
        <f t="shared" si="16"/>
        <v>0.76459240277798002</v>
      </c>
      <c r="I28" s="2186">
        <f t="shared" si="16"/>
        <v>0.58390066325212842</v>
      </c>
      <c r="J28" s="2186">
        <f t="shared" si="16"/>
        <v>0.76888435496403107</v>
      </c>
    </row>
    <row r="29" spans="2:10">
      <c r="B29" s="1431" t="s">
        <v>662</v>
      </c>
      <c r="C29" s="2186">
        <f t="shared" ref="C29:D29" si="17">C23/C9</f>
        <v>7.616520821696765E-2</v>
      </c>
      <c r="D29" s="2186">
        <f t="shared" si="17"/>
        <v>7.213869832465658E-2</v>
      </c>
      <c r="E29" s="2186">
        <f t="shared" ref="E29:J29" si="18">E23/E9</f>
        <v>0.11091984409005383</v>
      </c>
      <c r="F29" s="2186">
        <f t="shared" si="18"/>
        <v>5.4801706651745122E-2</v>
      </c>
      <c r="G29" s="2186">
        <f t="shared" si="18"/>
        <v>0.66303501945525289</v>
      </c>
      <c r="H29" s="2186">
        <f t="shared" si="18"/>
        <v>8.2394569612940491E-2</v>
      </c>
      <c r="I29" s="2186">
        <f t="shared" si="18"/>
        <v>0.20107255520504733</v>
      </c>
      <c r="J29" s="2186">
        <f t="shared" si="18"/>
        <v>0.38598999285203717</v>
      </c>
    </row>
    <row r="30" spans="2:10">
      <c r="B30" s="1431" t="s">
        <v>2537</v>
      </c>
      <c r="C30" s="2186">
        <f t="shared" ref="C30:D30" si="19">C24/C10</f>
        <v>0.29138541171499499</v>
      </c>
      <c r="D30" s="2186">
        <f t="shared" si="19"/>
        <v>0.21181174553048432</v>
      </c>
      <c r="E30" s="2186">
        <f t="shared" ref="E30:J30" si="20">E24/E10</f>
        <v>0.29229692354969772</v>
      </c>
      <c r="F30" s="2186">
        <f t="shared" si="20"/>
        <v>0.2332006240921074</v>
      </c>
      <c r="G30" s="2186">
        <f t="shared" si="20"/>
        <v>0.22182077373052153</v>
      </c>
      <c r="H30" s="2186">
        <f t="shared" si="20"/>
        <v>4.4239288094398012E-2</v>
      </c>
      <c r="I30" s="2186">
        <f t="shared" si="20"/>
        <v>0.16557352425774791</v>
      </c>
      <c r="J30" s="2186">
        <f t="shared" si="20"/>
        <v>5.7550297641473881E-2</v>
      </c>
    </row>
    <row r="31" spans="2:10">
      <c r="B31" s="1407" t="s">
        <v>1469</v>
      </c>
      <c r="C31" s="2252">
        <f t="shared" ref="C31:D31" si="21">C25/C13</f>
        <v>0.51164727926886222</v>
      </c>
      <c r="D31" s="2252">
        <f t="shared" si="21"/>
        <v>0.54294317216629706</v>
      </c>
      <c r="E31" s="2252">
        <f t="shared" ref="E31" si="22">E25/E13</f>
        <v>0.50197123290067525</v>
      </c>
      <c r="F31" s="2252">
        <f>F25/F13</f>
        <v>0.44004485692597817</v>
      </c>
      <c r="G31" s="2252">
        <f t="shared" ref="G31:J31" si="23">G25/G13</f>
        <v>0.40640891655856254</v>
      </c>
      <c r="H31" s="2252">
        <f t="shared" si="23"/>
        <v>0.4890149677191879</v>
      </c>
      <c r="I31" s="2252">
        <f t="shared" si="23"/>
        <v>0.45905792262461242</v>
      </c>
      <c r="J31" s="2252">
        <f t="shared" si="23"/>
        <v>0.44377799547470081</v>
      </c>
    </row>
    <row r="32" spans="2:10">
      <c r="C32" s="2187"/>
      <c r="D32" s="2187"/>
      <c r="E32" s="2187"/>
      <c r="F32" s="2187"/>
      <c r="G32" s="2187"/>
      <c r="H32" s="2187"/>
      <c r="I32" s="2187"/>
      <c r="J32" s="2187"/>
    </row>
    <row r="33" spans="2:10">
      <c r="B33" s="1431" t="s">
        <v>1766</v>
      </c>
      <c r="C33" s="2187">
        <v>-274.56</v>
      </c>
      <c r="D33" s="2187">
        <v>-272.666</v>
      </c>
      <c r="E33" s="2187">
        <v>-248.69300000000001</v>
      </c>
      <c r="F33" s="2187">
        <v>-78.242000000000004</v>
      </c>
      <c r="G33" s="2187">
        <v>-108.122</v>
      </c>
      <c r="H33" s="2187">
        <v>-183.84200000000001</v>
      </c>
      <c r="I33" s="2187">
        <v>-213.084</v>
      </c>
      <c r="J33" s="2187">
        <v>-144.97499999999999</v>
      </c>
    </row>
    <row r="34" spans="2:10">
      <c r="B34" s="1431" t="s">
        <v>1765</v>
      </c>
      <c r="C34" s="2187">
        <v>-272.28899999999999</v>
      </c>
      <c r="D34" s="2187">
        <v>-188.053</v>
      </c>
      <c r="E34" s="2187">
        <v>-450.54199999999997</v>
      </c>
      <c r="F34" s="2187">
        <v>-93.061000000000007</v>
      </c>
      <c r="G34" s="2187">
        <v>-99.897000000000006</v>
      </c>
      <c r="H34" s="2187">
        <v>-80.159000000000006</v>
      </c>
      <c r="I34" s="2187">
        <v>-98.733999999999995</v>
      </c>
      <c r="J34" s="2187">
        <v>-72.787000000000006</v>
      </c>
    </row>
    <row r="35" spans="2:10">
      <c r="B35" s="1407" t="s">
        <v>656</v>
      </c>
      <c r="C35" s="2250">
        <f t="shared" ref="C35:J35" si="24">C33+C34</f>
        <v>-546.84899999999993</v>
      </c>
      <c r="D35" s="2250">
        <f t="shared" si="24"/>
        <v>-460.71899999999999</v>
      </c>
      <c r="E35" s="2250">
        <f t="shared" si="24"/>
        <v>-699.23500000000001</v>
      </c>
      <c r="F35" s="2250">
        <f t="shared" si="24"/>
        <v>-171.303</v>
      </c>
      <c r="G35" s="2250">
        <f t="shared" si="24"/>
        <v>-208.01900000000001</v>
      </c>
      <c r="H35" s="2250">
        <f t="shared" si="24"/>
        <v>-264.00100000000003</v>
      </c>
      <c r="I35" s="2250">
        <f t="shared" si="24"/>
        <v>-311.81799999999998</v>
      </c>
      <c r="J35" s="2250">
        <f t="shared" si="24"/>
        <v>-217.762</v>
      </c>
    </row>
    <row r="36" spans="2:10">
      <c r="C36" s="2187"/>
      <c r="D36" s="2187"/>
      <c r="E36" s="2187"/>
      <c r="F36" s="2187"/>
      <c r="G36" s="2187"/>
      <c r="H36" s="2187"/>
      <c r="I36" s="2187"/>
      <c r="J36" s="2187"/>
    </row>
    <row r="37" spans="2:10">
      <c r="B37" s="1431" t="s">
        <v>288</v>
      </c>
      <c r="C37" s="2187">
        <f t="shared" ref="C37:I37" si="25">C25+C35</f>
        <v>246.10399999999981</v>
      </c>
      <c r="D37" s="2187">
        <f t="shared" si="25"/>
        <v>220.70399999999978</v>
      </c>
      <c r="E37" s="2187">
        <f t="shared" si="25"/>
        <v>-240.10400000000004</v>
      </c>
      <c r="F37" s="2187">
        <f t="shared" si="25"/>
        <v>-4.9260000000000161</v>
      </c>
      <c r="G37" s="2187">
        <f t="shared" si="25"/>
        <v>82.08299999999997</v>
      </c>
      <c r="H37" s="2187">
        <f t="shared" si="25"/>
        <v>329.6040000000001</v>
      </c>
      <c r="I37" s="2187">
        <f t="shared" si="25"/>
        <v>330.93700000000001</v>
      </c>
      <c r="J37" s="2187">
        <f>J25+J35</f>
        <v>254.71999999999997</v>
      </c>
    </row>
    <row r="38" spans="2:10">
      <c r="C38" s="2187"/>
      <c r="D38" s="2187"/>
      <c r="E38" s="2187"/>
      <c r="F38" s="2187"/>
      <c r="G38" s="2187"/>
      <c r="H38" s="2187"/>
      <c r="I38" s="2187"/>
      <c r="J38" s="2187"/>
    </row>
    <row r="39" spans="2:10">
      <c r="B39" s="1431" t="s">
        <v>2543</v>
      </c>
      <c r="C39" s="2187">
        <v>196.46899999999999</v>
      </c>
      <c r="D39" s="2187">
        <v>211.58799999999999</v>
      </c>
      <c r="E39" s="2187">
        <v>34.628</v>
      </c>
      <c r="F39" s="2187">
        <v>18.484999999999999</v>
      </c>
      <c r="G39" s="2187">
        <v>342.16300000000001</v>
      </c>
      <c r="H39" s="2187">
        <v>7.5990000000000002</v>
      </c>
      <c r="I39" s="2187">
        <v>40.902000000000001</v>
      </c>
      <c r="J39" s="2187">
        <v>8.4209999999999994</v>
      </c>
    </row>
    <row r="40" spans="2:10">
      <c r="B40" s="1431" t="s">
        <v>2544</v>
      </c>
      <c r="C40" s="2187">
        <v>-116.066</v>
      </c>
      <c r="D40" s="2187">
        <v>-128.779</v>
      </c>
      <c r="E40" s="2187">
        <v>-167.46100000000001</v>
      </c>
      <c r="F40" s="2187">
        <v>-150.81700000000001</v>
      </c>
      <c r="G40" s="2187">
        <v>-159.58600000000001</v>
      </c>
      <c r="H40" s="2187">
        <v>-151.80799999999999</v>
      </c>
      <c r="I40" s="2187">
        <v>-131.03899999999999</v>
      </c>
      <c r="J40" s="2187">
        <v>-125.12</v>
      </c>
    </row>
    <row r="41" spans="2:10">
      <c r="B41" s="1431" t="s">
        <v>2546</v>
      </c>
      <c r="C41" s="2187">
        <v>0.67</v>
      </c>
      <c r="D41" s="2187">
        <v>0.45200000000000001</v>
      </c>
      <c r="E41" s="2187">
        <v>-8.0000000000000002E-3</v>
      </c>
      <c r="F41" s="2187">
        <v>-1.3340000000000001</v>
      </c>
      <c r="G41" s="2187">
        <v>-4.4370000000000003</v>
      </c>
      <c r="H41" s="2187">
        <v>-4.7300000000000004</v>
      </c>
      <c r="I41" s="2187">
        <v>-101.88</v>
      </c>
      <c r="J41" s="2187">
        <v>-0.995</v>
      </c>
    </row>
    <row r="42" spans="2:10">
      <c r="B42" s="1431" t="s">
        <v>2545</v>
      </c>
      <c r="C42" s="2187">
        <f>-11.147</f>
        <v>-11.147</v>
      </c>
      <c r="D42" s="2187">
        <v>12.022</v>
      </c>
      <c r="E42" s="2187">
        <v>-27.068000000000001</v>
      </c>
      <c r="F42" s="2187">
        <v>42.204999999999998</v>
      </c>
      <c r="G42" s="2187">
        <v>-10.951000000000001</v>
      </c>
      <c r="H42" s="2187">
        <v>2.4529999999999998</v>
      </c>
      <c r="I42" s="2187">
        <v>-17.34</v>
      </c>
      <c r="J42" s="2187">
        <v>-4.42</v>
      </c>
    </row>
    <row r="44" spans="2:10">
      <c r="B44" s="1407" t="s">
        <v>822</v>
      </c>
      <c r="C44" s="2253">
        <f t="shared" ref="C44:I44" si="26">C37+C39+C40+C41+C42</f>
        <v>316.02999999999986</v>
      </c>
      <c r="D44" s="2253">
        <f t="shared" si="26"/>
        <v>315.9869999999998</v>
      </c>
      <c r="E44" s="2253">
        <f t="shared" si="26"/>
        <v>-400.01300000000003</v>
      </c>
      <c r="F44" s="2253">
        <f t="shared" si="26"/>
        <v>-96.387000000000043</v>
      </c>
      <c r="G44" s="2253">
        <f t="shared" si="26"/>
        <v>249.27199999999996</v>
      </c>
      <c r="H44" s="2253">
        <f t="shared" si="26"/>
        <v>183.11800000000011</v>
      </c>
      <c r="I44" s="2253">
        <f t="shared" si="26"/>
        <v>121.58000000000001</v>
      </c>
      <c r="J44" s="2253">
        <f>J37+J39+J40+J41+J42</f>
        <v>132.60599999999997</v>
      </c>
    </row>
    <row r="45" spans="2:10">
      <c r="B45" s="1431" t="s">
        <v>290</v>
      </c>
      <c r="C45" s="2187">
        <f>-91.928+37.987</f>
        <v>-53.940999999999995</v>
      </c>
      <c r="D45" s="2187">
        <f>-89.593+32.18</f>
        <v>-57.413000000000004</v>
      </c>
      <c r="E45" s="2187">
        <f>58.143-53.459</f>
        <v>4.6839999999999975</v>
      </c>
      <c r="F45" s="2187">
        <f>-29.238+8.362</f>
        <v>-20.875999999999998</v>
      </c>
      <c r="G45" s="2187">
        <f>-85.073-7.054</f>
        <v>-92.126999999999995</v>
      </c>
      <c r="H45" s="2187">
        <f>-48.774-24.637</f>
        <v>-73.411000000000001</v>
      </c>
      <c r="I45" s="2187">
        <f>-22.928-93.678</f>
        <v>-116.60599999999999</v>
      </c>
      <c r="J45" s="2187">
        <f>-40.466-14.501</f>
        <v>-54.966999999999999</v>
      </c>
    </row>
    <row r="46" spans="2:10">
      <c r="B46" s="1407" t="s">
        <v>1601</v>
      </c>
      <c r="C46" s="2253">
        <f t="shared" ref="C46:J46" si="27">C44+C45</f>
        <v>262.08899999999988</v>
      </c>
      <c r="D46" s="2253">
        <f t="shared" si="27"/>
        <v>258.57399999999978</v>
      </c>
      <c r="E46" s="2253">
        <f t="shared" si="27"/>
        <v>-395.32900000000006</v>
      </c>
      <c r="F46" s="2253">
        <f t="shared" si="27"/>
        <v>-117.26300000000003</v>
      </c>
      <c r="G46" s="2253">
        <f t="shared" si="27"/>
        <v>157.14499999999998</v>
      </c>
      <c r="H46" s="2253">
        <f t="shared" si="27"/>
        <v>109.70700000000011</v>
      </c>
      <c r="I46" s="2253">
        <f t="shared" si="27"/>
        <v>4.974000000000018</v>
      </c>
      <c r="J46" s="2253">
        <f t="shared" si="27"/>
        <v>77.638999999999967</v>
      </c>
    </row>
    <row r="47" spans="2:10">
      <c r="B47" s="1431" t="s">
        <v>2547</v>
      </c>
      <c r="C47" s="2187">
        <v>133.11099999999999</v>
      </c>
      <c r="D47" s="2187">
        <v>105.43300000000001</v>
      </c>
      <c r="E47" s="2187">
        <v>-53.755000000000003</v>
      </c>
      <c r="F47" s="2187">
        <v>-22.25</v>
      </c>
      <c r="G47" s="2187">
        <v>0.95299999999999996</v>
      </c>
      <c r="H47" s="2187">
        <v>41.651000000000003</v>
      </c>
      <c r="I47" s="2187">
        <v>-42.146999999999998</v>
      </c>
      <c r="J47" s="2187">
        <v>46.353000000000002</v>
      </c>
    </row>
    <row r="48" spans="2:10">
      <c r="B48" s="1407" t="s">
        <v>2041</v>
      </c>
      <c r="C48" s="2253">
        <v>128.976</v>
      </c>
      <c r="D48" s="2253">
        <f t="shared" ref="D48:J48" si="28">D46-D47</f>
        <v>153.14099999999979</v>
      </c>
      <c r="E48" s="2253">
        <f t="shared" si="28"/>
        <v>-341.57400000000007</v>
      </c>
      <c r="F48" s="2253">
        <f t="shared" si="28"/>
        <v>-95.013000000000034</v>
      </c>
      <c r="G48" s="2253">
        <f t="shared" si="28"/>
        <v>156.19199999999998</v>
      </c>
      <c r="H48" s="2253">
        <f t="shared" si="28"/>
        <v>68.056000000000097</v>
      </c>
      <c r="I48" s="2253">
        <f t="shared" si="28"/>
        <v>47.121000000000016</v>
      </c>
      <c r="J48" s="2253">
        <f t="shared" si="28"/>
        <v>31.285999999999966</v>
      </c>
    </row>
    <row r="80" s="1407" customFormat="1"/>
    <row r="98" s="1455" customFormat="1"/>
    <row r="129" s="1407" customFormat="1"/>
    <row r="147" s="1455" customFormat="1"/>
    <row r="178" s="1407" customFormat="1"/>
    <row r="198" s="1455" customFormat="1"/>
  </sheetData>
  <phoneticPr fontId="53" type="noConversion"/>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K96"/>
  <sheetViews>
    <sheetView topLeftCell="A17" zoomScale="115" zoomScaleNormal="115" workbookViewId="0">
      <selection activeCell="U38" sqref="U38"/>
    </sheetView>
  </sheetViews>
  <sheetFormatPr defaultColWidth="9.140625" defaultRowHeight="12"/>
  <cols>
    <col min="1" max="1" width="5.85546875" style="1444" customWidth="1"/>
    <col min="2" max="3" width="9.140625" style="1431"/>
    <col min="4" max="4" width="9.140625" style="1431" bestFit="1" customWidth="1"/>
    <col min="5" max="5" width="10.5703125" style="1431" bestFit="1" customWidth="1"/>
    <col min="6" max="6" width="9.140625" style="1431" bestFit="1" customWidth="1"/>
    <col min="7" max="7" width="9.42578125" style="1431" bestFit="1" customWidth="1"/>
    <col min="8" max="8" width="10.140625" style="1431" bestFit="1" customWidth="1"/>
    <col min="9" max="10" width="9.42578125" style="1431" bestFit="1" customWidth="1"/>
    <col min="11" max="11" width="11.5703125" style="1431" bestFit="1" customWidth="1"/>
    <col min="12" max="16" width="9.140625" style="1431" customWidth="1"/>
    <col min="17" max="27" width="10.140625" style="1431" customWidth="1"/>
    <col min="28" max="28" width="10.85546875" style="1431" customWidth="1"/>
    <col min="29" max="16384" width="9.140625" style="1431"/>
  </cols>
  <sheetData>
    <row r="1" spans="1:27" ht="21">
      <c r="A1" s="1404" t="s">
        <v>1818</v>
      </c>
    </row>
    <row r="2" spans="1:27">
      <c r="A2" s="1405" t="s">
        <v>1538</v>
      </c>
    </row>
    <row r="4" spans="1:27" hidden="1">
      <c r="B4" s="1407" t="s">
        <v>1546</v>
      </c>
      <c r="D4" s="1414">
        <v>2014</v>
      </c>
      <c r="E4" s="1407">
        <f t="shared" ref="E4:T4" si="0">D4+1</f>
        <v>2015</v>
      </c>
      <c r="F4" s="1407">
        <f t="shared" si="0"/>
        <v>2016</v>
      </c>
      <c r="G4" s="1407">
        <f t="shared" si="0"/>
        <v>2017</v>
      </c>
      <c r="H4" s="1407">
        <f t="shared" si="0"/>
        <v>2018</v>
      </c>
      <c r="I4" s="1407">
        <f t="shared" si="0"/>
        <v>2019</v>
      </c>
      <c r="J4" s="1407">
        <f t="shared" si="0"/>
        <v>2020</v>
      </c>
      <c r="K4" s="1407">
        <f t="shared" si="0"/>
        <v>2021</v>
      </c>
      <c r="L4" s="1407">
        <f t="shared" si="0"/>
        <v>2022</v>
      </c>
      <c r="M4" s="1407">
        <f t="shared" si="0"/>
        <v>2023</v>
      </c>
      <c r="N4" s="1407">
        <f t="shared" si="0"/>
        <v>2024</v>
      </c>
      <c r="O4" s="1407">
        <f t="shared" si="0"/>
        <v>2025</v>
      </c>
      <c r="P4" s="1407">
        <f t="shared" si="0"/>
        <v>2026</v>
      </c>
      <c r="Q4" s="1407">
        <f t="shared" si="0"/>
        <v>2027</v>
      </c>
      <c r="R4" s="1407">
        <f t="shared" si="0"/>
        <v>2028</v>
      </c>
      <c r="S4" s="1407">
        <f t="shared" si="0"/>
        <v>2029</v>
      </c>
      <c r="T4" s="1407">
        <f t="shared" si="0"/>
        <v>2030</v>
      </c>
      <c r="U4" s="1407"/>
      <c r="V4" s="1407"/>
      <c r="W4" s="1407"/>
      <c r="X4" s="1407"/>
      <c r="Y4" s="1407"/>
      <c r="Z4" s="1407"/>
      <c r="AA4" s="1407"/>
    </row>
    <row r="5" spans="1:27" hidden="1">
      <c r="B5" s="1432" t="s">
        <v>1547</v>
      </c>
      <c r="C5" s="1432"/>
      <c r="D5" s="1434">
        <f>1-D10</f>
        <v>0.7</v>
      </c>
      <c r="E5" s="1434">
        <f t="shared" ref="E5:Q5" si="1">1-E10</f>
        <v>0.7</v>
      </c>
      <c r="F5" s="1434">
        <f t="shared" si="1"/>
        <v>0.7</v>
      </c>
      <c r="G5" s="1434">
        <f t="shared" si="1"/>
        <v>0.7</v>
      </c>
      <c r="H5" s="1434">
        <f t="shared" si="1"/>
        <v>0.7</v>
      </c>
      <c r="I5" s="1434">
        <f t="shared" si="1"/>
        <v>0.7</v>
      </c>
      <c r="J5" s="1434">
        <f t="shared" si="1"/>
        <v>0.7</v>
      </c>
      <c r="K5" s="1434">
        <f t="shared" si="1"/>
        <v>0.7</v>
      </c>
      <c r="L5" s="1434">
        <f t="shared" si="1"/>
        <v>0.7</v>
      </c>
      <c r="M5" s="1434">
        <f t="shared" si="1"/>
        <v>0.7</v>
      </c>
      <c r="N5" s="1434">
        <f t="shared" si="1"/>
        <v>0.7</v>
      </c>
      <c r="O5" s="1434">
        <f t="shared" si="1"/>
        <v>0.7</v>
      </c>
      <c r="P5" s="1434">
        <f t="shared" si="1"/>
        <v>0.7</v>
      </c>
      <c r="Q5" s="1434">
        <f t="shared" si="1"/>
        <v>0.7</v>
      </c>
      <c r="R5" s="1434">
        <f>1-R10</f>
        <v>0.7</v>
      </c>
      <c r="S5" s="1434">
        <f>1-S10</f>
        <v>0.7</v>
      </c>
      <c r="T5" s="1434">
        <f>1-T10</f>
        <v>0.7</v>
      </c>
      <c r="U5" s="1436"/>
      <c r="V5" s="1436"/>
      <c r="W5" s="1436"/>
      <c r="X5" s="1436"/>
      <c r="Y5" s="1436"/>
      <c r="Z5" s="1436"/>
      <c r="AA5" s="1436"/>
    </row>
    <row r="6" spans="1:27" hidden="1">
      <c r="B6" s="1431" t="s">
        <v>610</v>
      </c>
      <c r="D6" s="1412">
        <v>1</v>
      </c>
      <c r="E6" s="1431">
        <f>D6</f>
        <v>1</v>
      </c>
      <c r="F6" s="1431">
        <f t="shared" ref="F6:T6" si="2">E6</f>
        <v>1</v>
      </c>
      <c r="G6" s="1431">
        <f t="shared" si="2"/>
        <v>1</v>
      </c>
      <c r="H6" s="1431">
        <f t="shared" si="2"/>
        <v>1</v>
      </c>
      <c r="I6" s="1431">
        <f t="shared" si="2"/>
        <v>1</v>
      </c>
      <c r="J6" s="1431">
        <f t="shared" si="2"/>
        <v>1</v>
      </c>
      <c r="K6" s="1431">
        <f t="shared" si="2"/>
        <v>1</v>
      </c>
      <c r="L6" s="1431">
        <f t="shared" si="2"/>
        <v>1</v>
      </c>
      <c r="M6" s="1431">
        <f t="shared" si="2"/>
        <v>1</v>
      </c>
      <c r="N6" s="1431">
        <f t="shared" si="2"/>
        <v>1</v>
      </c>
      <c r="O6" s="1431">
        <f t="shared" si="2"/>
        <v>1</v>
      </c>
      <c r="P6" s="1431">
        <f t="shared" si="2"/>
        <v>1</v>
      </c>
      <c r="Q6" s="1431">
        <f t="shared" si="2"/>
        <v>1</v>
      </c>
      <c r="R6" s="1431">
        <f t="shared" si="2"/>
        <v>1</v>
      </c>
      <c r="S6" s="1431">
        <f t="shared" si="2"/>
        <v>1</v>
      </c>
      <c r="T6" s="1431">
        <f t="shared" si="2"/>
        <v>1</v>
      </c>
    </row>
    <row r="7" spans="1:27" hidden="1">
      <c r="B7" s="1431" t="s">
        <v>757</v>
      </c>
      <c r="D7" s="1595">
        <f>'Opal Central Park'!D17</f>
        <v>5.5E-2</v>
      </c>
      <c r="E7" s="1435">
        <f t="shared" ref="E7:T8" si="3">D7</f>
        <v>5.5E-2</v>
      </c>
      <c r="F7" s="1435">
        <f t="shared" si="3"/>
        <v>5.5E-2</v>
      </c>
      <c r="G7" s="1435">
        <f t="shared" si="3"/>
        <v>5.5E-2</v>
      </c>
      <c r="H7" s="1435">
        <f t="shared" si="3"/>
        <v>5.5E-2</v>
      </c>
      <c r="I7" s="1435">
        <f t="shared" si="3"/>
        <v>5.5E-2</v>
      </c>
      <c r="J7" s="1435">
        <f t="shared" si="3"/>
        <v>5.5E-2</v>
      </c>
      <c r="K7" s="1435">
        <f t="shared" si="3"/>
        <v>5.5E-2</v>
      </c>
      <c r="L7" s="1435">
        <f t="shared" si="3"/>
        <v>5.5E-2</v>
      </c>
      <c r="M7" s="1435">
        <f t="shared" si="3"/>
        <v>5.5E-2</v>
      </c>
      <c r="N7" s="1435">
        <f t="shared" si="3"/>
        <v>5.5E-2</v>
      </c>
      <c r="O7" s="1435">
        <f t="shared" si="3"/>
        <v>5.5E-2</v>
      </c>
      <c r="P7" s="1435">
        <f t="shared" si="3"/>
        <v>5.5E-2</v>
      </c>
      <c r="Q7" s="1435">
        <f t="shared" si="3"/>
        <v>5.5E-2</v>
      </c>
      <c r="R7" s="1435">
        <f t="shared" si="3"/>
        <v>5.5E-2</v>
      </c>
      <c r="S7" s="1435">
        <f t="shared" si="3"/>
        <v>5.5E-2</v>
      </c>
      <c r="T7" s="1435">
        <f t="shared" si="3"/>
        <v>5.5E-2</v>
      </c>
      <c r="U7" s="1435"/>
      <c r="V7" s="1435"/>
      <c r="W7" s="1435"/>
      <c r="X7" s="1435"/>
      <c r="Y7" s="1435"/>
      <c r="Z7" s="1435"/>
      <c r="AA7" s="1435"/>
    </row>
    <row r="8" spans="1:27" hidden="1">
      <c r="B8" s="1431" t="s">
        <v>609</v>
      </c>
      <c r="D8" s="1595">
        <f>'Opal Central Park'!D18</f>
        <v>7.0000000000000007E-2</v>
      </c>
      <c r="E8" s="1435">
        <f t="shared" si="3"/>
        <v>7.0000000000000007E-2</v>
      </c>
      <c r="F8" s="1435">
        <f t="shared" si="3"/>
        <v>7.0000000000000007E-2</v>
      </c>
      <c r="G8" s="1435">
        <f t="shared" si="3"/>
        <v>7.0000000000000007E-2</v>
      </c>
      <c r="H8" s="1435">
        <f t="shared" si="3"/>
        <v>7.0000000000000007E-2</v>
      </c>
      <c r="I8" s="1435">
        <f t="shared" si="3"/>
        <v>7.0000000000000007E-2</v>
      </c>
      <c r="J8" s="1435">
        <f t="shared" si="3"/>
        <v>7.0000000000000007E-2</v>
      </c>
      <c r="K8" s="1435">
        <f t="shared" si="3"/>
        <v>7.0000000000000007E-2</v>
      </c>
      <c r="L8" s="1435">
        <f t="shared" si="3"/>
        <v>7.0000000000000007E-2</v>
      </c>
      <c r="M8" s="1435">
        <f t="shared" si="3"/>
        <v>7.0000000000000007E-2</v>
      </c>
      <c r="N8" s="1435">
        <f t="shared" si="3"/>
        <v>7.0000000000000007E-2</v>
      </c>
      <c r="O8" s="1435">
        <f t="shared" si="3"/>
        <v>7.0000000000000007E-2</v>
      </c>
      <c r="P8" s="1435">
        <f t="shared" si="3"/>
        <v>7.0000000000000007E-2</v>
      </c>
      <c r="Q8" s="1435">
        <f t="shared" si="3"/>
        <v>7.0000000000000007E-2</v>
      </c>
      <c r="R8" s="1435">
        <f t="shared" si="3"/>
        <v>7.0000000000000007E-2</v>
      </c>
      <c r="S8" s="1435">
        <f t="shared" si="3"/>
        <v>7.0000000000000007E-2</v>
      </c>
      <c r="T8" s="1435">
        <f t="shared" si="3"/>
        <v>7.0000000000000007E-2</v>
      </c>
      <c r="U8" s="1435"/>
      <c r="V8" s="1435"/>
      <c r="W8" s="1435"/>
      <c r="X8" s="1435"/>
      <c r="Y8" s="1435"/>
      <c r="Z8" s="1435"/>
      <c r="AA8" s="1435"/>
    </row>
    <row r="9" spans="1:27" hidden="1">
      <c r="B9" s="1431" t="s">
        <v>758</v>
      </c>
      <c r="D9" s="1433">
        <f t="shared" ref="D9:Q9" si="4">D7+D6*D8</f>
        <v>0.125</v>
      </c>
      <c r="E9" s="1433">
        <f t="shared" si="4"/>
        <v>0.125</v>
      </c>
      <c r="F9" s="1433">
        <f t="shared" si="4"/>
        <v>0.125</v>
      </c>
      <c r="G9" s="1433">
        <f t="shared" si="4"/>
        <v>0.125</v>
      </c>
      <c r="H9" s="1433">
        <f t="shared" si="4"/>
        <v>0.125</v>
      </c>
      <c r="I9" s="1433">
        <f t="shared" si="4"/>
        <v>0.125</v>
      </c>
      <c r="J9" s="1433">
        <f t="shared" si="4"/>
        <v>0.125</v>
      </c>
      <c r="K9" s="1433">
        <f t="shared" si="4"/>
        <v>0.125</v>
      </c>
      <c r="L9" s="1433">
        <f t="shared" si="4"/>
        <v>0.125</v>
      </c>
      <c r="M9" s="1433">
        <f t="shared" si="4"/>
        <v>0.125</v>
      </c>
      <c r="N9" s="1433">
        <f t="shared" si="4"/>
        <v>0.125</v>
      </c>
      <c r="O9" s="1433">
        <f t="shared" si="4"/>
        <v>0.125</v>
      </c>
      <c r="P9" s="1433">
        <f t="shared" si="4"/>
        <v>0.125</v>
      </c>
      <c r="Q9" s="1433">
        <f t="shared" si="4"/>
        <v>0.125</v>
      </c>
      <c r="R9" s="1433">
        <f>R7+R6*R8</f>
        <v>0.125</v>
      </c>
      <c r="S9" s="1433">
        <f>S7+S6*S8</f>
        <v>0.125</v>
      </c>
      <c r="T9" s="1433">
        <f>T7+T6*T8</f>
        <v>0.125</v>
      </c>
      <c r="U9" s="1433"/>
      <c r="V9" s="1433"/>
      <c r="W9" s="1433"/>
      <c r="X9" s="1433"/>
      <c r="Y9" s="1433"/>
      <c r="Z9" s="1433"/>
      <c r="AA9" s="1433"/>
    </row>
    <row r="10" spans="1:27" hidden="1">
      <c r="B10" s="1431" t="s">
        <v>1542</v>
      </c>
      <c r="D10" s="1416">
        <v>0.3</v>
      </c>
      <c r="E10" s="1417">
        <f>D10</f>
        <v>0.3</v>
      </c>
      <c r="F10" s="1436">
        <f>E10</f>
        <v>0.3</v>
      </c>
      <c r="G10" s="1436">
        <f t="shared" ref="G10:T11" si="5">F10</f>
        <v>0.3</v>
      </c>
      <c r="H10" s="1436">
        <f t="shared" si="5"/>
        <v>0.3</v>
      </c>
      <c r="I10" s="1436">
        <f t="shared" si="5"/>
        <v>0.3</v>
      </c>
      <c r="J10" s="1436">
        <f t="shared" si="5"/>
        <v>0.3</v>
      </c>
      <c r="K10" s="1436">
        <f t="shared" si="5"/>
        <v>0.3</v>
      </c>
      <c r="L10" s="1436">
        <f t="shared" si="5"/>
        <v>0.3</v>
      </c>
      <c r="M10" s="1436">
        <f t="shared" si="5"/>
        <v>0.3</v>
      </c>
      <c r="N10" s="1436">
        <f t="shared" si="5"/>
        <v>0.3</v>
      </c>
      <c r="O10" s="1436">
        <f t="shared" si="5"/>
        <v>0.3</v>
      </c>
      <c r="P10" s="1436">
        <f t="shared" si="5"/>
        <v>0.3</v>
      </c>
      <c r="Q10" s="1436">
        <f t="shared" si="5"/>
        <v>0.3</v>
      </c>
      <c r="R10" s="1436">
        <f t="shared" si="5"/>
        <v>0.3</v>
      </c>
      <c r="S10" s="1436">
        <f t="shared" si="5"/>
        <v>0.3</v>
      </c>
      <c r="T10" s="1436">
        <f t="shared" si="5"/>
        <v>0.3</v>
      </c>
      <c r="U10" s="1436"/>
      <c r="V10" s="1436"/>
      <c r="W10" s="1436"/>
      <c r="X10" s="1436"/>
      <c r="Y10" s="1436"/>
      <c r="Z10" s="1436"/>
      <c r="AA10" s="1436"/>
    </row>
    <row r="11" spans="1:27" hidden="1">
      <c r="B11" s="1431" t="s">
        <v>760</v>
      </c>
      <c r="D11" s="1416">
        <v>0.13</v>
      </c>
      <c r="E11" s="1445">
        <v>0.1</v>
      </c>
      <c r="F11" s="1445">
        <v>0.11</v>
      </c>
      <c r="G11" s="1418">
        <f>F11</f>
        <v>0.11</v>
      </c>
      <c r="H11" s="1418">
        <f>G11</f>
        <v>0.11</v>
      </c>
      <c r="I11" s="1418">
        <f t="shared" si="5"/>
        <v>0.11</v>
      </c>
      <c r="J11" s="1418">
        <f t="shared" si="5"/>
        <v>0.11</v>
      </c>
      <c r="K11" s="1418">
        <f t="shared" si="5"/>
        <v>0.11</v>
      </c>
      <c r="L11" s="1418">
        <f t="shared" si="5"/>
        <v>0.11</v>
      </c>
      <c r="M11" s="1418">
        <f t="shared" si="5"/>
        <v>0.11</v>
      </c>
      <c r="N11" s="1418">
        <f t="shared" si="5"/>
        <v>0.11</v>
      </c>
      <c r="O11" s="1418">
        <f t="shared" si="5"/>
        <v>0.11</v>
      </c>
      <c r="P11" s="1418">
        <f t="shared" si="5"/>
        <v>0.11</v>
      </c>
      <c r="Q11" s="1418">
        <f t="shared" si="5"/>
        <v>0.11</v>
      </c>
      <c r="R11" s="1418">
        <f t="shared" si="5"/>
        <v>0.11</v>
      </c>
      <c r="S11" s="1418">
        <f t="shared" si="5"/>
        <v>0.11</v>
      </c>
      <c r="T11" s="1418">
        <f t="shared" si="5"/>
        <v>0.11</v>
      </c>
      <c r="U11" s="1418"/>
      <c r="V11" s="1418"/>
      <c r="W11" s="1418"/>
      <c r="X11" s="1418"/>
      <c r="Y11" s="1418"/>
      <c r="Z11" s="1418"/>
      <c r="AA11" s="1418"/>
    </row>
    <row r="12" spans="1:27" hidden="1">
      <c r="B12" s="1431" t="s">
        <v>846</v>
      </c>
      <c r="D12" s="1416">
        <v>0.22</v>
      </c>
      <c r="E12" s="1417">
        <f>D12</f>
        <v>0.22</v>
      </c>
      <c r="F12" s="1416">
        <v>0.2</v>
      </c>
      <c r="G12" s="1418">
        <f>F12</f>
        <v>0.2</v>
      </c>
      <c r="H12" s="1418">
        <f t="shared" ref="H12:T12" si="6">G12</f>
        <v>0.2</v>
      </c>
      <c r="I12" s="1418">
        <f t="shared" si="6"/>
        <v>0.2</v>
      </c>
      <c r="J12" s="1418">
        <f t="shared" si="6"/>
        <v>0.2</v>
      </c>
      <c r="K12" s="1418">
        <f t="shared" si="6"/>
        <v>0.2</v>
      </c>
      <c r="L12" s="1418">
        <f t="shared" si="6"/>
        <v>0.2</v>
      </c>
      <c r="M12" s="1418">
        <f t="shared" si="6"/>
        <v>0.2</v>
      </c>
      <c r="N12" s="1418">
        <f t="shared" si="6"/>
        <v>0.2</v>
      </c>
      <c r="O12" s="1418">
        <f t="shared" si="6"/>
        <v>0.2</v>
      </c>
      <c r="P12" s="1418">
        <f t="shared" si="6"/>
        <v>0.2</v>
      </c>
      <c r="Q12" s="1418">
        <f t="shared" si="6"/>
        <v>0.2</v>
      </c>
      <c r="R12" s="1418">
        <f t="shared" si="6"/>
        <v>0.2</v>
      </c>
      <c r="S12" s="1418">
        <f t="shared" si="6"/>
        <v>0.2</v>
      </c>
      <c r="T12" s="1418">
        <f t="shared" si="6"/>
        <v>0.2</v>
      </c>
      <c r="U12" s="1418"/>
      <c r="V12" s="1418"/>
      <c r="W12" s="1418"/>
      <c r="X12" s="1418"/>
      <c r="Y12" s="1418"/>
      <c r="Z12" s="1418"/>
      <c r="AA12" s="1418"/>
    </row>
    <row r="13" spans="1:27" hidden="1">
      <c r="B13" s="1419" t="s">
        <v>14</v>
      </c>
      <c r="C13" s="1432"/>
      <c r="D13" s="1437">
        <f>D9*D5+D11*D10*(1-D12)</f>
        <v>0.11792</v>
      </c>
      <c r="E13" s="1437">
        <f t="shared" ref="E13:Q13" si="7">E9*E5+E11*E10*(1-E12)</f>
        <v>0.1109</v>
      </c>
      <c r="F13" s="1437">
        <f>F9*F5+F11*F10*(1-F12)</f>
        <v>0.1139</v>
      </c>
      <c r="G13" s="1437">
        <f>G9*G5+G11*G10*(1-G12)</f>
        <v>0.1139</v>
      </c>
      <c r="H13" s="1437">
        <f>H9*H5+H11*H10*(1-H12)</f>
        <v>0.1139</v>
      </c>
      <c r="I13" s="1437">
        <f>I9*I5+I11*I10*(1-I12)</f>
        <v>0.1139</v>
      </c>
      <c r="J13" s="1437">
        <f t="shared" si="7"/>
        <v>0.1139</v>
      </c>
      <c r="K13" s="1437">
        <f t="shared" si="7"/>
        <v>0.1139</v>
      </c>
      <c r="L13" s="1437">
        <f t="shared" si="7"/>
        <v>0.1139</v>
      </c>
      <c r="M13" s="1437">
        <f t="shared" si="7"/>
        <v>0.1139</v>
      </c>
      <c r="N13" s="1437">
        <f t="shared" si="7"/>
        <v>0.1139</v>
      </c>
      <c r="O13" s="1437">
        <f t="shared" si="7"/>
        <v>0.1139</v>
      </c>
      <c r="P13" s="1437">
        <f t="shared" si="7"/>
        <v>0.1139</v>
      </c>
      <c r="Q13" s="1437">
        <f t="shared" si="7"/>
        <v>0.1139</v>
      </c>
      <c r="R13" s="1437">
        <f>R9*R5+R11*R10*(1-R12)</f>
        <v>0.1139</v>
      </c>
      <c r="S13" s="1437">
        <f>S9*S5+S11*S10*(1-S12)</f>
        <v>0.1139</v>
      </c>
      <c r="T13" s="1437">
        <f>T9*T5+T11*T10*(1-T12)</f>
        <v>0.1139</v>
      </c>
      <c r="U13" s="1433"/>
      <c r="V13" s="1433"/>
      <c r="W13" s="1433"/>
      <c r="X13" s="1433"/>
      <c r="Y13" s="1433"/>
      <c r="Z13" s="1433"/>
      <c r="AA13" s="1433"/>
    </row>
    <row r="14" spans="1:27" hidden="1">
      <c r="B14" s="1407"/>
      <c r="D14" s="1433"/>
      <c r="E14" s="1433"/>
      <c r="F14" s="1433"/>
      <c r="G14" s="1433"/>
      <c r="H14" s="1433"/>
      <c r="I14" s="1433"/>
      <c r="J14" s="1433"/>
      <c r="K14" s="1433"/>
      <c r="L14" s="1433"/>
      <c r="M14" s="1433"/>
      <c r="N14" s="1433"/>
      <c r="O14" s="1433"/>
      <c r="P14" s="1433"/>
      <c r="Q14" s="1433"/>
      <c r="R14" s="1433"/>
      <c r="S14" s="1433"/>
      <c r="T14" s="1433"/>
      <c r="U14" s="1433"/>
      <c r="V14" s="1433"/>
      <c r="W14" s="1433"/>
      <c r="X14" s="1433"/>
      <c r="Y14" s="1433"/>
      <c r="Z14" s="1433"/>
      <c r="AA14" s="1433"/>
    </row>
    <row r="15" spans="1:27" ht="15.75">
      <c r="A15" s="1420" t="s">
        <v>1819</v>
      </c>
      <c r="B15" s="1672"/>
      <c r="C15" s="1438"/>
      <c r="D15" s="1673"/>
      <c r="E15" s="1673"/>
      <c r="F15" s="1433"/>
      <c r="G15" s="1433"/>
      <c r="H15" s="1433"/>
      <c r="I15" s="1433"/>
      <c r="J15" s="1433"/>
      <c r="K15" s="1433"/>
      <c r="L15" s="1433"/>
      <c r="M15" s="1433"/>
      <c r="N15" s="1433"/>
      <c r="O15" s="1433"/>
      <c r="P15" s="1433"/>
      <c r="Q15" s="1433"/>
      <c r="R15" s="1433"/>
      <c r="S15" s="1423">
        <v>4096.2889999999998</v>
      </c>
      <c r="T15" s="1433"/>
      <c r="U15" s="1433"/>
      <c r="V15" s="1433"/>
      <c r="W15" s="1433"/>
      <c r="X15" s="1433"/>
      <c r="Y15" s="1433"/>
      <c r="Z15" s="1433"/>
      <c r="AA15" s="1433"/>
    </row>
    <row r="16" spans="1:27">
      <c r="B16" s="2213" t="s">
        <v>2453</v>
      </c>
      <c r="C16" s="2184"/>
      <c r="D16" s="2213">
        <f>D35</f>
        <v>2007</v>
      </c>
      <c r="E16" s="2213">
        <f t="shared" ref="E16:S16" si="8">E35</f>
        <v>2008</v>
      </c>
      <c r="F16" s="2213">
        <f t="shared" si="8"/>
        <v>2009</v>
      </c>
      <c r="G16" s="2213">
        <f t="shared" si="8"/>
        <v>2010</v>
      </c>
      <c r="H16" s="2213">
        <f t="shared" si="8"/>
        <v>2011</v>
      </c>
      <c r="I16" s="2213">
        <f t="shared" si="8"/>
        <v>2012</v>
      </c>
      <c r="J16" s="2213">
        <f t="shared" si="8"/>
        <v>2013</v>
      </c>
      <c r="K16" s="2213">
        <f t="shared" si="8"/>
        <v>2014</v>
      </c>
      <c r="L16" s="2213">
        <f t="shared" si="8"/>
        <v>2015</v>
      </c>
      <c r="M16" s="2213">
        <f t="shared" si="8"/>
        <v>2016</v>
      </c>
      <c r="N16" s="2213">
        <f t="shared" si="8"/>
        <v>2017</v>
      </c>
      <c r="O16" s="2213">
        <f t="shared" si="8"/>
        <v>2018</v>
      </c>
      <c r="P16" s="2213">
        <f t="shared" si="8"/>
        <v>2019</v>
      </c>
      <c r="Q16" s="2213">
        <f t="shared" si="8"/>
        <v>2020</v>
      </c>
      <c r="R16" s="2213">
        <f t="shared" si="8"/>
        <v>2021</v>
      </c>
      <c r="S16" s="2213">
        <f t="shared" si="8"/>
        <v>2022</v>
      </c>
    </row>
    <row r="17" spans="2:19">
      <c r="B17" s="1431" t="str">
        <f>Diamond_DXS!A12</f>
        <v>Net Revenue</v>
      </c>
      <c r="O17" s="2187">
        <f>Diamond_DXS!C12</f>
        <v>2479.152</v>
      </c>
      <c r="P17" s="2187">
        <f>Diamond_DXS!D12</f>
        <v>4090.732</v>
      </c>
      <c r="Q17" s="2187">
        <f>Diamond_DXS!E12</f>
        <v>3249.212</v>
      </c>
      <c r="R17" s="2187">
        <f>Diamond_DXS!F12</f>
        <v>4328.8061549129998</v>
      </c>
      <c r="S17" s="2187">
        <f>Diamond_DXS!G12</f>
        <v>4096.2897690729997</v>
      </c>
    </row>
    <row r="18" spans="2:19">
      <c r="B18" s="1431" t="str">
        <f>Diamond_DXS!A13</f>
        <v>Cost of sales</v>
      </c>
      <c r="O18" s="2187">
        <f>Diamond_DXS!C13</f>
        <v>-617.98500000000001</v>
      </c>
      <c r="P18" s="2187">
        <f>Diamond_DXS!D13</f>
        <v>-1413.4860000000001</v>
      </c>
      <c r="Q18" s="2187">
        <f>Diamond_DXS!E13</f>
        <v>-912.93700000000001</v>
      </c>
      <c r="R18" s="2187">
        <f>Diamond_DXS!F13</f>
        <v>-1667.462508756</v>
      </c>
      <c r="S18" s="2187">
        <f>Diamond_DXS!G13</f>
        <v>-1767.5429157870001</v>
      </c>
    </row>
    <row r="19" spans="2:19">
      <c r="B19" s="1431" t="str">
        <f>Diamond_DXS!A14</f>
        <v>Gross Profit</v>
      </c>
      <c r="O19" s="2187">
        <f>Diamond_DXS!C14</f>
        <v>1861.1669999999999</v>
      </c>
      <c r="P19" s="2187">
        <f>Diamond_DXS!D14</f>
        <v>2677.2460000000001</v>
      </c>
      <c r="Q19" s="2187">
        <f>Diamond_DXS!E14</f>
        <v>2336.2750000000001</v>
      </c>
      <c r="R19" s="2187">
        <f>Diamond_DXS!F14</f>
        <v>2661.343646157</v>
      </c>
      <c r="S19" s="2187">
        <f>Diamond_DXS!G14</f>
        <v>2328.7468532859998</v>
      </c>
    </row>
    <row r="20" spans="2:19">
      <c r="B20" s="1431" t="str">
        <f>Diamond_DXS!A15</f>
        <v>Selling expenses</v>
      </c>
      <c r="O20" s="2187">
        <f>Diamond_DXS!C15</f>
        <v>-330.99900000000002</v>
      </c>
      <c r="P20" s="2187">
        <f>Diamond_DXS!D15</f>
        <v>-435.18200000000002</v>
      </c>
      <c r="Q20" s="2187">
        <f>Diamond_DXS!E15</f>
        <v>-485.32900000000001</v>
      </c>
      <c r="R20" s="2187">
        <f>Diamond_DXS!F15</f>
        <v>-689.41934388599998</v>
      </c>
      <c r="S20" s="2187">
        <f>Diamond_DXS!G15</f>
        <v>-955.26718602999995</v>
      </c>
    </row>
    <row r="21" spans="2:19">
      <c r="B21" s="1431" t="str">
        <f>Diamond_DXS!A16</f>
        <v>General and admin expenses</v>
      </c>
      <c r="O21" s="2187">
        <f>Diamond_DXS!C16</f>
        <v>-190.12</v>
      </c>
      <c r="P21" s="2187">
        <f>Diamond_DXS!D16</f>
        <v>-324.584</v>
      </c>
      <c r="Q21" s="2187">
        <f>Diamond_DXS!E16</f>
        <v>-436.56299999999999</v>
      </c>
      <c r="R21" s="2187">
        <f>Diamond_DXS!F16</f>
        <v>-706.17261542899996</v>
      </c>
      <c r="S21" s="2187">
        <f>Diamond_DXS!G16</f>
        <v>-644.59473774900005</v>
      </c>
    </row>
    <row r="22" spans="2:19">
      <c r="B22" s="1428" t="s">
        <v>2474</v>
      </c>
      <c r="O22" s="2185">
        <f>-(O20+O21)/O17</f>
        <v>0.21020050404331805</v>
      </c>
      <c r="P22" s="2185">
        <f>-(P20+P21)/P17</f>
        <v>0.18572861776327565</v>
      </c>
      <c r="Q22" s="2185">
        <f>-(Q20+Q21)/Q17</f>
        <v>0.28372787001894617</v>
      </c>
      <c r="R22" s="2185">
        <f>-(R20+R21)/R17</f>
        <v>0.32239650133814979</v>
      </c>
      <c r="S22" s="2185">
        <f>-(S20+S21)/S17</f>
        <v>0.39056365979232288</v>
      </c>
    </row>
    <row r="23" spans="2:19">
      <c r="B23" s="1431" t="str">
        <f>Diamond_DXS!A17</f>
        <v>EBIT</v>
      </c>
      <c r="O23" s="2187">
        <f>Diamond_DXS!C17</f>
        <v>1340.048</v>
      </c>
      <c r="P23" s="2187">
        <f>Diamond_DXS!D17</f>
        <v>1917.48</v>
      </c>
      <c r="Q23" s="2187">
        <f>Diamond_DXS!E17</f>
        <v>1414.383</v>
      </c>
      <c r="R23" s="2187">
        <f>Diamond_DXS!F17</f>
        <v>1265.751686842</v>
      </c>
      <c r="S23" s="2187">
        <f>Diamond_DXS!G17</f>
        <v>728.88492950700004</v>
      </c>
    </row>
    <row r="24" spans="2:19">
      <c r="B24" s="1431" t="str">
        <f>Diamond_DXS!A18</f>
        <v>Financial income</v>
      </c>
      <c r="O24" s="2187">
        <f>Diamond_DXS!C18</f>
        <v>6.26</v>
      </c>
      <c r="P24" s="2187">
        <f>Diamond_DXS!D18</f>
        <v>127.24</v>
      </c>
      <c r="Q24" s="2187">
        <f>Diamond_DXS!E18</f>
        <v>34.325000000000003</v>
      </c>
      <c r="R24" s="2187">
        <f>Diamond_DXS!F18</f>
        <v>49.521699845999997</v>
      </c>
      <c r="S24" s="2187">
        <f>Diamond_DXS!G18</f>
        <v>54.745468416000001</v>
      </c>
    </row>
    <row r="25" spans="2:19">
      <c r="B25" s="1431" t="str">
        <f>Diamond_DXS!A19</f>
        <v>Financial expenses</v>
      </c>
      <c r="O25" s="2187">
        <f>Diamond_DXS!C19</f>
        <v>-19.332000000000001</v>
      </c>
      <c r="P25" s="2187">
        <f>Diamond_DXS!D19</f>
        <v>-32.941000000000003</v>
      </c>
      <c r="Q25" s="2187">
        <f>Diamond_DXS!E19</f>
        <v>-46.411000000000001</v>
      </c>
      <c r="R25" s="2187">
        <f>Diamond_DXS!F19</f>
        <v>-79.373792218999995</v>
      </c>
      <c r="S25" s="2187">
        <f>Diamond_DXS!G19</f>
        <v>-148.12758835100001</v>
      </c>
    </row>
    <row r="26" spans="2:19">
      <c r="B26" s="1431" t="str">
        <f>Diamond_DXS!A20</f>
        <v xml:space="preserve">     Interest Expense</v>
      </c>
      <c r="O26" s="2187">
        <f>Diamond_DXS!C20</f>
        <v>-19.332000000000001</v>
      </c>
      <c r="P26" s="2187">
        <f>Diamond_DXS!D20</f>
        <v>-32.880000000000003</v>
      </c>
      <c r="Q26" s="2187">
        <f>Diamond_DXS!E20</f>
        <v>-45.137999999999998</v>
      </c>
      <c r="R26" s="2187">
        <f>Diamond_DXS!F20</f>
        <v>-77.053586523999996</v>
      </c>
      <c r="S26" s="2187">
        <f>Diamond_DXS!G20</f>
        <v>-125.203855484</v>
      </c>
    </row>
    <row r="27" spans="2:19">
      <c r="B27" s="1431" t="str">
        <f>Diamond_DXS!A21</f>
        <v>Net other income/(expenses)</v>
      </c>
      <c r="O27" s="2187">
        <f>Diamond_DXS!C21</f>
        <v>-12.502000000000001</v>
      </c>
      <c r="P27" s="2187">
        <f>Diamond_DXS!D21</f>
        <v>36.692999999999998</v>
      </c>
      <c r="Q27" s="2187">
        <f>Diamond_DXS!E21</f>
        <v>41.866999999999997</v>
      </c>
      <c r="R27" s="2187">
        <f>Diamond_DXS!F21</f>
        <v>-35.84258715</v>
      </c>
      <c r="S27" s="2187">
        <f>Diamond_DXS!G21</f>
        <v>25.448222703999999</v>
      </c>
    </row>
    <row r="28" spans="2:19">
      <c r="B28" s="1431" t="str">
        <f>Diamond_DXS!A22</f>
        <v>Income from investments in other entities</v>
      </c>
      <c r="O28" s="2187">
        <f>Diamond_DXS!C22</f>
        <v>0</v>
      </c>
      <c r="P28" s="2187">
        <f>Diamond_DXS!D22</f>
        <v>0</v>
      </c>
      <c r="Q28" s="2187">
        <f>Diamond_DXS!E22</f>
        <v>0</v>
      </c>
      <c r="R28" s="2187">
        <f>Diamond_DXS!F22</f>
        <v>0</v>
      </c>
      <c r="S28" s="2187">
        <f>Diamond_DXS!G22</f>
        <v>0</v>
      </c>
    </row>
    <row r="29" spans="2:19">
      <c r="B29" s="1431" t="str">
        <f>Diamond_DXS!A23</f>
        <v>PBT</v>
      </c>
      <c r="O29" s="2187">
        <f>Diamond_DXS!C23</f>
        <v>1314.4739999999999</v>
      </c>
      <c r="P29" s="2187">
        <f>Diamond_DXS!D23</f>
        <v>2048.4720000000002</v>
      </c>
      <c r="Q29" s="2187">
        <f>Diamond_DXS!E23</f>
        <v>1444.164</v>
      </c>
      <c r="R29" s="2187">
        <f>Diamond_DXS!F23</f>
        <v>1200.0570073189999</v>
      </c>
      <c r="S29" s="2187">
        <f>Diamond_DXS!G23</f>
        <v>660.95103227599998</v>
      </c>
    </row>
    <row r="30" spans="2:19">
      <c r="B30" s="1431" t="str">
        <f>Diamond_DXS!A24</f>
        <v>Tax</v>
      </c>
      <c r="O30" s="2187">
        <f>Diamond_DXS!C24</f>
        <v>-273.29599999999999</v>
      </c>
      <c r="P30" s="2187">
        <f>Diamond_DXS!D24</f>
        <v>-415.52699999999999</v>
      </c>
      <c r="Q30" s="2187">
        <f>Diamond_DXS!E24</f>
        <v>-308.625</v>
      </c>
      <c r="R30" s="2187">
        <f>Diamond_DXS!F24</f>
        <v>-326.59459731999999</v>
      </c>
      <c r="S30" s="2187">
        <f>Diamond_DXS!G24</f>
        <v>-131.010732682</v>
      </c>
    </row>
    <row r="31" spans="2:19">
      <c r="B31" s="1431" t="str">
        <f>Diamond_DXS!A25</f>
        <v>NPAT</v>
      </c>
      <c r="O31" s="2187">
        <f>Diamond_DXS!C25</f>
        <v>1041.1780000000001</v>
      </c>
      <c r="P31" s="2187">
        <f>Diamond_DXS!D25</f>
        <v>1632.9449999999999</v>
      </c>
      <c r="Q31" s="2187">
        <f>Diamond_DXS!E25</f>
        <v>1135.539</v>
      </c>
      <c r="R31" s="2187">
        <f>Diamond_DXS!F25</f>
        <v>873.46240999899999</v>
      </c>
      <c r="S31" s="2187">
        <f>Diamond_DXS!G25</f>
        <v>529.94029959399995</v>
      </c>
    </row>
    <row r="32" spans="2:19">
      <c r="B32" s="1431" t="str">
        <f>Diamond_DXS!A26</f>
        <v>Minority interests</v>
      </c>
      <c r="O32" s="2187">
        <f>Diamond_DXS!C26</f>
        <v>-529.928</v>
      </c>
      <c r="P32" s="2187">
        <f>Diamond_DXS!D26</f>
        <v>-571.54999999999995</v>
      </c>
      <c r="Q32" s="2187">
        <f>Diamond_DXS!E26</f>
        <v>-262.28699999999998</v>
      </c>
      <c r="R32" s="2187">
        <f>Diamond_DXS!F26</f>
        <v>334.66687848999999</v>
      </c>
      <c r="S32" s="2187">
        <f>Diamond_DXS!G26</f>
        <v>185.41123195200001</v>
      </c>
    </row>
    <row r="33" spans="1:27">
      <c r="B33" s="1431" t="str">
        <f>Diamond_DXS!A27</f>
        <v>NPATMI</v>
      </c>
      <c r="O33" s="2187">
        <f>Diamond_DXS!C27</f>
        <v>511.25</v>
      </c>
      <c r="P33" s="2187">
        <f>Diamond_DXS!D27</f>
        <v>1061.395</v>
      </c>
      <c r="Q33" s="2187">
        <f>Diamond_DXS!E27</f>
        <v>873.25199999999995</v>
      </c>
      <c r="R33" s="2187">
        <f>Diamond_DXS!F27</f>
        <v>538.79553150900006</v>
      </c>
      <c r="S33" s="2187">
        <f>Diamond_DXS!G27</f>
        <v>344.52906764199997</v>
      </c>
    </row>
    <row r="35" spans="1:27" s="1407" customFormat="1">
      <c r="A35" s="1406">
        <v>1</v>
      </c>
      <c r="B35" s="1407" t="s">
        <v>878</v>
      </c>
      <c r="D35" s="1407">
        <v>2007</v>
      </c>
      <c r="E35" s="1407">
        <f t="shared" ref="E35:O35" si="9">D35+1</f>
        <v>2008</v>
      </c>
      <c r="F35" s="1407">
        <f t="shared" si="9"/>
        <v>2009</v>
      </c>
      <c r="G35" s="1407">
        <f t="shared" si="9"/>
        <v>2010</v>
      </c>
      <c r="H35" s="1407">
        <f t="shared" si="9"/>
        <v>2011</v>
      </c>
      <c r="I35" s="1407">
        <f t="shared" si="9"/>
        <v>2012</v>
      </c>
      <c r="J35" s="1407">
        <f t="shared" si="9"/>
        <v>2013</v>
      </c>
      <c r="K35" s="1407">
        <f t="shared" si="9"/>
        <v>2014</v>
      </c>
      <c r="L35" s="1407">
        <f t="shared" si="9"/>
        <v>2015</v>
      </c>
      <c r="M35" s="1407">
        <f t="shared" si="9"/>
        <v>2016</v>
      </c>
      <c r="N35" s="1407">
        <f t="shared" si="9"/>
        <v>2017</v>
      </c>
      <c r="O35" s="1407">
        <f t="shared" si="9"/>
        <v>2018</v>
      </c>
      <c r="P35" s="1455">
        <v>2019</v>
      </c>
      <c r="Q35" s="1455">
        <v>2020</v>
      </c>
      <c r="R35" s="1455">
        <v>2021</v>
      </c>
      <c r="S35" s="1455">
        <v>2022</v>
      </c>
      <c r="T35" s="1455" t="s">
        <v>2399</v>
      </c>
      <c r="U35" s="1455" t="s">
        <v>2413</v>
      </c>
      <c r="V35" s="1455" t="s">
        <v>2445</v>
      </c>
      <c r="W35" s="1455" t="s">
        <v>2446</v>
      </c>
      <c r="X35" s="1455" t="s">
        <v>2449</v>
      </c>
      <c r="Y35" s="1455" t="s">
        <v>2450</v>
      </c>
      <c r="Z35" s="1455" t="s">
        <v>2451</v>
      </c>
      <c r="AA35" s="1455"/>
    </row>
    <row r="36" spans="1:27">
      <c r="B36" s="1432" t="s">
        <v>26</v>
      </c>
      <c r="C36" s="1432"/>
      <c r="D36" s="1422">
        <v>29</v>
      </c>
      <c r="E36" s="1422">
        <v>29</v>
      </c>
      <c r="F36" s="1422">
        <v>85</v>
      </c>
      <c r="G36" s="1422">
        <v>104</v>
      </c>
      <c r="H36" s="1422">
        <v>181</v>
      </c>
      <c r="I36" s="1422">
        <v>163</v>
      </c>
      <c r="J36" s="1422">
        <v>178</v>
      </c>
      <c r="K36" s="1422">
        <v>314</v>
      </c>
      <c r="L36" s="1422">
        <v>753</v>
      </c>
      <c r="M36" s="1422">
        <v>811</v>
      </c>
      <c r="N36" s="1422">
        <v>1616</v>
      </c>
      <c r="O36" s="1422">
        <v>2420</v>
      </c>
      <c r="P36" s="1422">
        <v>2842</v>
      </c>
      <c r="Q36" s="1422">
        <v>1941</v>
      </c>
      <c r="R36" s="1422">
        <v>2150</v>
      </c>
      <c r="S36" s="1422">
        <f>IS!P51</f>
        <v>2017.951</v>
      </c>
      <c r="T36" s="1422">
        <f>IS!Q51</f>
        <v>601.529</v>
      </c>
      <c r="U36" s="1441">
        <f t="shared" ref="U36:Z36" si="10">T36*(1+U43)</f>
        <v>962.44640000000004</v>
      </c>
      <c r="V36" s="1441">
        <f t="shared" si="10"/>
        <v>1154.93568</v>
      </c>
      <c r="W36" s="1441">
        <f t="shared" si="10"/>
        <v>1385.922816</v>
      </c>
      <c r="X36" s="1441">
        <f t="shared" si="10"/>
        <v>1663.1073792</v>
      </c>
      <c r="Y36" s="1441">
        <f t="shared" si="10"/>
        <v>1995.7288550399999</v>
      </c>
      <c r="Z36" s="1441">
        <f t="shared" si="10"/>
        <v>2394.8746260479998</v>
      </c>
      <c r="AA36" s="1440"/>
    </row>
    <row r="37" spans="1:27">
      <c r="B37" s="1431" t="s">
        <v>432</v>
      </c>
      <c r="D37" s="1423">
        <v>3.5</v>
      </c>
      <c r="E37" s="1423">
        <v>4</v>
      </c>
      <c r="F37" s="1423">
        <v>6.1</v>
      </c>
      <c r="G37" s="1423">
        <v>17.2</v>
      </c>
      <c r="H37" s="1423">
        <v>21.8</v>
      </c>
      <c r="I37" s="1423">
        <v>35</v>
      </c>
      <c r="J37" s="1423">
        <v>46.4</v>
      </c>
      <c r="K37" s="1423">
        <v>83.2</v>
      </c>
      <c r="L37" s="1423">
        <v>209</v>
      </c>
      <c r="M37" s="1423">
        <v>220</v>
      </c>
      <c r="N37" s="1423">
        <v>305</v>
      </c>
      <c r="O37" s="1423">
        <v>498</v>
      </c>
      <c r="P37" s="1423">
        <v>833</v>
      </c>
      <c r="Q37" s="1423">
        <v>501</v>
      </c>
      <c r="R37" s="1423">
        <v>571</v>
      </c>
      <c r="S37" s="1423">
        <f>-IS!P57</f>
        <v>525.67499999999995</v>
      </c>
      <c r="T37" s="1423">
        <f>-IS!Q57</f>
        <v>193.63200000000001</v>
      </c>
      <c r="U37" s="1440">
        <f t="shared" ref="U37:Z37" si="11">U36*(1-U44)</f>
        <v>288.73392000000007</v>
      </c>
      <c r="V37" s="1440">
        <f t="shared" si="11"/>
        <v>346.48070400000006</v>
      </c>
      <c r="W37" s="1440">
        <f t="shared" si="11"/>
        <v>415.77684480000005</v>
      </c>
      <c r="X37" s="1440">
        <f t="shared" si="11"/>
        <v>498.93221376000008</v>
      </c>
      <c r="Y37" s="1440">
        <f t="shared" si="11"/>
        <v>598.71865651200005</v>
      </c>
      <c r="Z37" s="1440">
        <f t="shared" si="11"/>
        <v>718.46238781440002</v>
      </c>
      <c r="AA37" s="1440"/>
    </row>
    <row r="38" spans="1:27" s="1428" customFormat="1">
      <c r="A38" s="1405"/>
      <c r="B38" s="1444" t="s">
        <v>656</v>
      </c>
      <c r="D38" s="1429"/>
      <c r="E38" s="1429"/>
      <c r="F38" s="1429"/>
      <c r="G38" s="1429"/>
      <c r="H38" s="1429"/>
      <c r="I38" s="1429"/>
      <c r="J38" s="1429"/>
      <c r="K38" s="1674">
        <f t="shared" ref="K38:S38" si="12">K36*K45</f>
        <v>94.2</v>
      </c>
      <c r="L38" s="1674">
        <f t="shared" si="12"/>
        <v>225.9</v>
      </c>
      <c r="M38" s="1674">
        <f t="shared" si="12"/>
        <v>243.29999999999998</v>
      </c>
      <c r="N38" s="1674">
        <f t="shared" si="12"/>
        <v>452.48</v>
      </c>
      <c r="O38" s="1674">
        <f t="shared" si="12"/>
        <v>532.4</v>
      </c>
      <c r="P38" s="1674">
        <f t="shared" si="12"/>
        <v>341.03999999999996</v>
      </c>
      <c r="Q38" s="1674">
        <f t="shared" si="12"/>
        <v>640.53000000000009</v>
      </c>
      <c r="R38" s="1674">
        <f t="shared" si="12"/>
        <v>473</v>
      </c>
      <c r="S38" s="1674">
        <f t="shared" si="12"/>
        <v>625.56480999999997</v>
      </c>
      <c r="T38" s="1674">
        <f t="shared" ref="T38:Z38" si="13">T36*T45</f>
        <v>360.91739999999999</v>
      </c>
      <c r="U38" s="1674">
        <f t="shared" si="13"/>
        <v>288.73392000000001</v>
      </c>
      <c r="V38" s="1674">
        <f t="shared" si="13"/>
        <v>288.73392000000001</v>
      </c>
      <c r="W38" s="1674">
        <f t="shared" si="13"/>
        <v>346.480704</v>
      </c>
      <c r="X38" s="1674">
        <f t="shared" si="13"/>
        <v>415.77684479999999</v>
      </c>
      <c r="Y38" s="1674">
        <f t="shared" si="13"/>
        <v>399.145771008</v>
      </c>
      <c r="Z38" s="1674">
        <f t="shared" si="13"/>
        <v>478.97492520959997</v>
      </c>
      <c r="AA38" s="1674"/>
    </row>
    <row r="39" spans="1:27" s="1428" customFormat="1">
      <c r="A39" s="1405"/>
      <c r="B39" s="1444" t="s">
        <v>805</v>
      </c>
      <c r="D39" s="1429"/>
      <c r="E39" s="1429"/>
      <c r="F39" s="1429"/>
      <c r="G39" s="1429"/>
      <c r="H39" s="1429"/>
      <c r="I39" s="1429"/>
      <c r="J39" s="1429"/>
      <c r="K39" s="1675">
        <v>20</v>
      </c>
      <c r="L39" s="1675">
        <v>30</v>
      </c>
      <c r="M39" s="1675">
        <v>30</v>
      </c>
      <c r="N39" s="1675">
        <v>30</v>
      </c>
      <c r="O39" s="1675">
        <v>30</v>
      </c>
      <c r="P39" s="1675">
        <v>30</v>
      </c>
      <c r="Q39" s="1675">
        <v>30</v>
      </c>
      <c r="R39" s="1675">
        <v>30</v>
      </c>
      <c r="S39" s="1675">
        <v>40</v>
      </c>
      <c r="T39" s="1675">
        <v>30</v>
      </c>
      <c r="U39" s="1675">
        <v>60</v>
      </c>
      <c r="V39" s="1675">
        <v>30</v>
      </c>
      <c r="W39" s="1675">
        <v>30</v>
      </c>
      <c r="X39" s="1675">
        <v>30</v>
      </c>
      <c r="Y39" s="1675">
        <v>30</v>
      </c>
      <c r="Z39" s="1675">
        <v>30</v>
      </c>
      <c r="AA39" s="1675"/>
    </row>
    <row r="40" spans="1:27">
      <c r="B40" s="1431" t="s">
        <v>822</v>
      </c>
      <c r="K40" s="1440">
        <f t="shared" ref="K40:Q40" si="14">K36-SUM(K37:K39)</f>
        <v>116.6</v>
      </c>
      <c r="L40" s="1440">
        <f t="shared" si="14"/>
        <v>288.10000000000002</v>
      </c>
      <c r="M40" s="1440">
        <f t="shared" si="14"/>
        <v>317.70000000000005</v>
      </c>
      <c r="N40" s="1440">
        <f t="shared" si="14"/>
        <v>828.52</v>
      </c>
      <c r="O40" s="1440">
        <f t="shared" si="14"/>
        <v>1359.6</v>
      </c>
      <c r="P40" s="1440">
        <f t="shared" si="14"/>
        <v>1637.96</v>
      </c>
      <c r="Q40" s="1440">
        <f t="shared" si="14"/>
        <v>769.4699999999998</v>
      </c>
      <c r="R40" s="1440">
        <f t="shared" ref="R40:Z40" si="15">R36-SUM(R37:R39)</f>
        <v>1076</v>
      </c>
      <c r="S40" s="1440">
        <f t="shared" si="15"/>
        <v>826.71118999999999</v>
      </c>
      <c r="T40" s="1440">
        <f t="shared" si="15"/>
        <v>16.979600000000005</v>
      </c>
      <c r="U40" s="1440">
        <f t="shared" si="15"/>
        <v>324.97856000000002</v>
      </c>
      <c r="V40" s="1440">
        <f t="shared" si="15"/>
        <v>489.72105599999998</v>
      </c>
      <c r="W40" s="1440">
        <f t="shared" si="15"/>
        <v>593.66526720000002</v>
      </c>
      <c r="X40" s="1440">
        <f t="shared" si="15"/>
        <v>718.39832063999984</v>
      </c>
      <c r="Y40" s="1440">
        <f t="shared" si="15"/>
        <v>967.86442751999994</v>
      </c>
      <c r="Z40" s="1440">
        <f t="shared" si="15"/>
        <v>1167.4373130239996</v>
      </c>
      <c r="AA40" s="1440"/>
    </row>
    <row r="41" spans="1:27">
      <c r="B41" s="1431" t="s">
        <v>290</v>
      </c>
      <c r="K41" s="1440">
        <f t="shared" ref="K41:T41" si="16">K40*D12</f>
        <v>25.651999999999997</v>
      </c>
      <c r="L41" s="1440">
        <f t="shared" si="16"/>
        <v>63.382000000000005</v>
      </c>
      <c r="M41" s="1440">
        <f t="shared" si="16"/>
        <v>63.540000000000013</v>
      </c>
      <c r="N41" s="1440">
        <f t="shared" si="16"/>
        <v>165.70400000000001</v>
      </c>
      <c r="O41" s="1440">
        <f t="shared" si="16"/>
        <v>271.92</v>
      </c>
      <c r="P41" s="1440">
        <f t="shared" si="16"/>
        <v>327.59200000000004</v>
      </c>
      <c r="Q41" s="1440">
        <f t="shared" si="16"/>
        <v>153.89399999999998</v>
      </c>
      <c r="R41" s="1440">
        <f t="shared" si="16"/>
        <v>215.20000000000002</v>
      </c>
      <c r="S41" s="1440">
        <f t="shared" si="16"/>
        <v>165.34223800000001</v>
      </c>
      <c r="T41" s="1440">
        <f t="shared" si="16"/>
        <v>3.3959200000000012</v>
      </c>
      <c r="U41" s="1440">
        <f t="shared" ref="U41:Z41" si="17">U40*N12</f>
        <v>64.995712000000012</v>
      </c>
      <c r="V41" s="1440">
        <f t="shared" si="17"/>
        <v>97.944211199999998</v>
      </c>
      <c r="W41" s="1440">
        <f t="shared" si="17"/>
        <v>118.73305344000001</v>
      </c>
      <c r="X41" s="1440">
        <f t="shared" si="17"/>
        <v>143.67966412799998</v>
      </c>
      <c r="Y41" s="1440">
        <f t="shared" si="17"/>
        <v>193.572885504</v>
      </c>
      <c r="Z41" s="1440">
        <f t="shared" si="17"/>
        <v>233.48746260479993</v>
      </c>
      <c r="AA41" s="1440"/>
    </row>
    <row r="42" spans="1:27">
      <c r="B42" s="1431" t="s">
        <v>1601</v>
      </c>
      <c r="K42" s="1440">
        <f t="shared" ref="K42:Q42" si="18">K40-K41</f>
        <v>90.947999999999993</v>
      </c>
      <c r="L42" s="1440">
        <f t="shared" si="18"/>
        <v>224.71800000000002</v>
      </c>
      <c r="M42" s="1440">
        <f t="shared" si="18"/>
        <v>254.16000000000003</v>
      </c>
      <c r="N42" s="1440">
        <f t="shared" si="18"/>
        <v>662.81600000000003</v>
      </c>
      <c r="O42" s="1440">
        <f t="shared" si="18"/>
        <v>1087.6799999999998</v>
      </c>
      <c r="P42" s="1440">
        <f t="shared" si="18"/>
        <v>1310.3679999999999</v>
      </c>
      <c r="Q42" s="1440">
        <f t="shared" si="18"/>
        <v>615.57599999999979</v>
      </c>
      <c r="R42" s="1440">
        <f t="shared" ref="R42:Z42" si="19">R40-R41</f>
        <v>860.8</v>
      </c>
      <c r="S42" s="1440">
        <f t="shared" si="19"/>
        <v>661.36895200000004</v>
      </c>
      <c r="T42" s="1440">
        <f t="shared" si="19"/>
        <v>13.583680000000005</v>
      </c>
      <c r="U42" s="1440">
        <f t="shared" si="19"/>
        <v>259.98284799999999</v>
      </c>
      <c r="V42" s="1440">
        <f t="shared" si="19"/>
        <v>391.77684479999999</v>
      </c>
      <c r="W42" s="1440">
        <f t="shared" si="19"/>
        <v>474.93221376000002</v>
      </c>
      <c r="X42" s="1440">
        <f t="shared" si="19"/>
        <v>574.71865651199982</v>
      </c>
      <c r="Y42" s="1440">
        <f t="shared" si="19"/>
        <v>774.29154201599999</v>
      </c>
      <c r="Z42" s="1440">
        <f t="shared" si="19"/>
        <v>933.94985041919972</v>
      </c>
      <c r="AA42" s="1440"/>
    </row>
    <row r="43" spans="1:27" s="1428" customFormat="1">
      <c r="A43" s="1405"/>
      <c r="B43" s="1405" t="s">
        <v>1820</v>
      </c>
      <c r="E43" s="1429">
        <f t="shared" ref="E43:M43" si="20">E36/D36-1</f>
        <v>0</v>
      </c>
      <c r="F43" s="1429">
        <f t="shared" si="20"/>
        <v>1.9310344827586206</v>
      </c>
      <c r="G43" s="1429">
        <f t="shared" si="20"/>
        <v>0.22352941176470598</v>
      </c>
      <c r="H43" s="1429">
        <f t="shared" si="20"/>
        <v>0.74038461538461542</v>
      </c>
      <c r="I43" s="1429">
        <f t="shared" si="20"/>
        <v>-9.9447513812154664E-2</v>
      </c>
      <c r="J43" s="1429">
        <f t="shared" si="20"/>
        <v>9.2024539877300526E-2</v>
      </c>
      <c r="K43" s="1429">
        <f t="shared" si="20"/>
        <v>0.76404494382022481</v>
      </c>
      <c r="L43" s="1429">
        <f t="shared" si="20"/>
        <v>1.3980891719745223</v>
      </c>
      <c r="M43" s="1429">
        <f t="shared" si="20"/>
        <v>7.7025232403718391E-2</v>
      </c>
      <c r="N43" s="1429">
        <f t="shared" ref="N43:T43" si="21">N36/M36-1</f>
        <v>0.99260172626387178</v>
      </c>
      <c r="O43" s="1429">
        <f t="shared" si="21"/>
        <v>0.49752475247524752</v>
      </c>
      <c r="P43" s="1429">
        <f t="shared" si="21"/>
        <v>0.17438016528925626</v>
      </c>
      <c r="Q43" s="1429">
        <f t="shared" si="21"/>
        <v>-0.31703026038001403</v>
      </c>
      <c r="R43" s="1429">
        <f t="shared" si="21"/>
        <v>0.10767645543534266</v>
      </c>
      <c r="S43" s="1429">
        <f t="shared" si="21"/>
        <v>-6.1418139534883731E-2</v>
      </c>
      <c r="T43" s="1429">
        <f t="shared" si="21"/>
        <v>-0.70191099783889699</v>
      </c>
      <c r="U43" s="1676">
        <v>0.6</v>
      </c>
      <c r="V43" s="1676">
        <v>0.2</v>
      </c>
      <c r="W43" s="1676">
        <v>0.2</v>
      </c>
      <c r="X43" s="1676">
        <v>0.2</v>
      </c>
      <c r="Y43" s="1676">
        <v>0.2</v>
      </c>
      <c r="Z43" s="1676">
        <v>0.2</v>
      </c>
      <c r="AA43" s="1676"/>
    </row>
    <row r="44" spans="1:27" s="1428" customFormat="1">
      <c r="A44" s="1405"/>
      <c r="B44" s="1405" t="s">
        <v>1600</v>
      </c>
      <c r="D44" s="1429">
        <f t="shared" ref="D44:T44" si="22">1-D37/D36</f>
        <v>0.87931034482758619</v>
      </c>
      <c r="E44" s="1429">
        <f t="shared" si="22"/>
        <v>0.86206896551724133</v>
      </c>
      <c r="F44" s="1429">
        <f t="shared" si="22"/>
        <v>0.92823529411764705</v>
      </c>
      <c r="G44" s="1429">
        <f t="shared" si="22"/>
        <v>0.83461538461538465</v>
      </c>
      <c r="H44" s="1429">
        <f t="shared" si="22"/>
        <v>0.87955801104972375</v>
      </c>
      <c r="I44" s="1429">
        <f t="shared" si="22"/>
        <v>0.78527607361963192</v>
      </c>
      <c r="J44" s="1429">
        <f t="shared" si="22"/>
        <v>0.73932584269662915</v>
      </c>
      <c r="K44" s="1429">
        <f t="shared" si="22"/>
        <v>0.73503184713375802</v>
      </c>
      <c r="L44" s="1429">
        <f t="shared" si="22"/>
        <v>0.72244355909694558</v>
      </c>
      <c r="M44" s="1429">
        <f t="shared" si="22"/>
        <v>0.72872996300863124</v>
      </c>
      <c r="N44" s="1429">
        <f t="shared" si="22"/>
        <v>0.81126237623762376</v>
      </c>
      <c r="O44" s="1429">
        <f t="shared" si="22"/>
        <v>0.79421487603305785</v>
      </c>
      <c r="P44" s="1429">
        <f t="shared" si="22"/>
        <v>0.7068965517241379</v>
      </c>
      <c r="Q44" s="1429">
        <f t="shared" si="22"/>
        <v>0.74188562596599694</v>
      </c>
      <c r="R44" s="1429">
        <f t="shared" si="22"/>
        <v>0.73441860465116271</v>
      </c>
      <c r="S44" s="1429">
        <f t="shared" si="22"/>
        <v>0.73950061225470787</v>
      </c>
      <c r="T44" s="1429">
        <f t="shared" si="22"/>
        <v>0.6781003077158374</v>
      </c>
      <c r="U44" s="1677">
        <v>0.7</v>
      </c>
      <c r="V44" s="1677">
        <v>0.7</v>
      </c>
      <c r="W44" s="1677">
        <v>0.7</v>
      </c>
      <c r="X44" s="1677">
        <v>0.7</v>
      </c>
      <c r="Y44" s="1677">
        <v>0.7</v>
      </c>
      <c r="Z44" s="1677">
        <v>0.7</v>
      </c>
      <c r="AA44" s="1677"/>
    </row>
    <row r="45" spans="1:27" s="1428" customFormat="1">
      <c r="A45" s="1405"/>
      <c r="B45" s="1405" t="s">
        <v>1821</v>
      </c>
      <c r="D45" s="1429"/>
      <c r="E45" s="1429"/>
      <c r="F45" s="1429"/>
      <c r="G45" s="1429"/>
      <c r="H45" s="1429"/>
      <c r="I45" s="1429"/>
      <c r="J45" s="1429"/>
      <c r="K45" s="1677">
        <v>0.3</v>
      </c>
      <c r="L45" s="1677">
        <v>0.3</v>
      </c>
      <c r="M45" s="1677">
        <v>0.3</v>
      </c>
      <c r="N45" s="1677">
        <v>0.28000000000000003</v>
      </c>
      <c r="O45" s="1677">
        <v>0.22</v>
      </c>
      <c r="P45" s="1677">
        <v>0.12</v>
      </c>
      <c r="Q45" s="1677">
        <v>0.33</v>
      </c>
      <c r="R45" s="1677">
        <v>0.22</v>
      </c>
      <c r="S45" s="1677">
        <v>0.31</v>
      </c>
      <c r="T45" s="1677">
        <v>0.6</v>
      </c>
      <c r="U45" s="1677">
        <v>0.3</v>
      </c>
      <c r="V45" s="1677">
        <v>0.25</v>
      </c>
      <c r="W45" s="1677">
        <v>0.25</v>
      </c>
      <c r="X45" s="1677">
        <v>0.25</v>
      </c>
      <c r="Y45" s="1677">
        <v>0.2</v>
      </c>
      <c r="Z45" s="1677">
        <v>0.2</v>
      </c>
      <c r="AA45" s="1677"/>
    </row>
    <row r="46" spans="1:27" s="1428" customFormat="1">
      <c r="A46" s="1405"/>
      <c r="B46" s="1428" t="s">
        <v>1798</v>
      </c>
      <c r="K46" s="1429">
        <f t="shared" ref="K46:Q46" si="23">K42/K36</f>
        <v>0.2896433121019108</v>
      </c>
      <c r="L46" s="1429">
        <f t="shared" si="23"/>
        <v>0.29843027888446216</v>
      </c>
      <c r="M46" s="1429">
        <f t="shared" si="23"/>
        <v>0.31339087546239214</v>
      </c>
      <c r="N46" s="1429">
        <f t="shared" si="23"/>
        <v>0.41015841584158419</v>
      </c>
      <c r="O46" s="1429">
        <f t="shared" si="23"/>
        <v>0.44945454545454538</v>
      </c>
      <c r="P46" s="1429">
        <f t="shared" si="23"/>
        <v>0.46107248416608021</v>
      </c>
      <c r="Q46" s="1429">
        <f t="shared" si="23"/>
        <v>0.31714374034003079</v>
      </c>
      <c r="R46" s="1429">
        <f t="shared" ref="R46:Z46" si="24">R42/R36</f>
        <v>0.40037209302325577</v>
      </c>
      <c r="S46" s="1429">
        <f t="shared" si="24"/>
        <v>0.32774282031625152</v>
      </c>
      <c r="T46" s="1429">
        <f t="shared" si="24"/>
        <v>2.2581920406164965E-2</v>
      </c>
      <c r="U46" s="1429">
        <f t="shared" si="24"/>
        <v>0.27012709279186869</v>
      </c>
      <c r="V46" s="1429">
        <f t="shared" si="24"/>
        <v>0.33921962199661193</v>
      </c>
      <c r="W46" s="1429">
        <f t="shared" si="24"/>
        <v>0.34268301833051001</v>
      </c>
      <c r="X46" s="1429">
        <f t="shared" si="24"/>
        <v>0.34556918194209152</v>
      </c>
      <c r="Y46" s="1429">
        <f t="shared" si="24"/>
        <v>0.38797431828507639</v>
      </c>
      <c r="Z46" s="1429">
        <f t="shared" si="24"/>
        <v>0.38997859857089689</v>
      </c>
      <c r="AA46" s="1429"/>
    </row>
    <row r="47" spans="1:27">
      <c r="B47" s="1431" t="s">
        <v>1133</v>
      </c>
      <c r="K47" s="1423">
        <v>45.2</v>
      </c>
      <c r="L47" s="1423">
        <v>109</v>
      </c>
      <c r="M47" s="1423">
        <v>127</v>
      </c>
      <c r="N47" s="1423">
        <v>335</v>
      </c>
      <c r="O47" s="1423">
        <v>544</v>
      </c>
      <c r="P47" s="1423">
        <v>670</v>
      </c>
      <c r="Q47" s="1423">
        <v>305</v>
      </c>
      <c r="R47" s="1440">
        <f t="shared" ref="R47:Z47" si="25">R42*R48</f>
        <v>430.12905256531315</v>
      </c>
      <c r="S47" s="1440">
        <f t="shared" si="25"/>
        <v>330.47630195152658</v>
      </c>
      <c r="T47" s="1440">
        <f t="shared" si="25"/>
        <v>6.7875643689014806</v>
      </c>
      <c r="U47" s="1440">
        <f t="shared" si="25"/>
        <v>129.90959118665407</v>
      </c>
      <c r="V47" s="1440">
        <f t="shared" si="25"/>
        <v>195.76510579792256</v>
      </c>
      <c r="W47" s="1440">
        <f t="shared" si="25"/>
        <v>237.31661609820586</v>
      </c>
      <c r="X47" s="1440">
        <f t="shared" si="25"/>
        <v>287.17842845854568</v>
      </c>
      <c r="Y47" s="1440">
        <f t="shared" si="25"/>
        <v>386.90205317922562</v>
      </c>
      <c r="Z47" s="1440">
        <f t="shared" si="25"/>
        <v>466.68095295576938</v>
      </c>
      <c r="AA47" s="1440"/>
    </row>
    <row r="48" spans="1:27">
      <c r="B48" s="1428" t="s">
        <v>1822</v>
      </c>
      <c r="K48" s="1452">
        <f>K47/K42</f>
        <v>0.49698728944011972</v>
      </c>
      <c r="L48" s="1452">
        <f>L47/L42</f>
        <v>0.48505237675664609</v>
      </c>
      <c r="M48" s="1452">
        <f>M47/M42</f>
        <v>0.49968523764557754</v>
      </c>
      <c r="N48" s="1452">
        <f t="shared" ref="N48:T48" si="26">M48</f>
        <v>0.49968523764557754</v>
      </c>
      <c r="O48" s="1452">
        <f t="shared" si="26"/>
        <v>0.49968523764557754</v>
      </c>
      <c r="P48" s="1452">
        <f t="shared" si="26"/>
        <v>0.49968523764557754</v>
      </c>
      <c r="Q48" s="1452">
        <f t="shared" si="26"/>
        <v>0.49968523764557754</v>
      </c>
      <c r="R48" s="1452">
        <f t="shared" si="26"/>
        <v>0.49968523764557754</v>
      </c>
      <c r="S48" s="1452">
        <f t="shared" si="26"/>
        <v>0.49968523764557754</v>
      </c>
      <c r="T48" s="1452">
        <f t="shared" si="26"/>
        <v>0.49968523764557754</v>
      </c>
      <c r="U48" s="1452">
        <f t="shared" ref="U48:Z48" si="27">T48</f>
        <v>0.49968523764557754</v>
      </c>
      <c r="V48" s="1452">
        <f t="shared" si="27"/>
        <v>0.49968523764557754</v>
      </c>
      <c r="W48" s="1452">
        <f t="shared" si="27"/>
        <v>0.49968523764557754</v>
      </c>
      <c r="X48" s="1452">
        <f t="shared" si="27"/>
        <v>0.49968523764557754</v>
      </c>
      <c r="Y48" s="1452">
        <f t="shared" si="27"/>
        <v>0.49968523764557754</v>
      </c>
      <c r="Z48" s="1452">
        <f t="shared" si="27"/>
        <v>0.49968523764557754</v>
      </c>
      <c r="AA48" s="1452"/>
    </row>
    <row r="49" spans="1:33">
      <c r="B49" s="1428" t="s">
        <v>28</v>
      </c>
      <c r="D49" s="1440">
        <f>D36-D37</f>
        <v>25.5</v>
      </c>
      <c r="E49" s="1440">
        <f t="shared" ref="E49:Q49" si="28">E36-E37</f>
        <v>25</v>
      </c>
      <c r="F49" s="1440">
        <f t="shared" si="28"/>
        <v>78.900000000000006</v>
      </c>
      <c r="G49" s="1440">
        <f t="shared" si="28"/>
        <v>86.8</v>
      </c>
      <c r="H49" s="1440">
        <f t="shared" si="28"/>
        <v>159.19999999999999</v>
      </c>
      <c r="I49" s="1440">
        <f t="shared" si="28"/>
        <v>128</v>
      </c>
      <c r="J49" s="1440">
        <f t="shared" si="28"/>
        <v>131.6</v>
      </c>
      <c r="K49" s="1440">
        <f t="shared" si="28"/>
        <v>230.8</v>
      </c>
      <c r="L49" s="1440">
        <f t="shared" si="28"/>
        <v>544</v>
      </c>
      <c r="M49" s="1440">
        <f t="shared" si="28"/>
        <v>591</v>
      </c>
      <c r="N49" s="1440">
        <f t="shared" si="28"/>
        <v>1311</v>
      </c>
      <c r="O49" s="1440">
        <f t="shared" si="28"/>
        <v>1922</v>
      </c>
      <c r="P49" s="1440">
        <f t="shared" si="28"/>
        <v>2009</v>
      </c>
      <c r="Q49" s="1440">
        <f t="shared" si="28"/>
        <v>1440</v>
      </c>
      <c r="R49" s="1440">
        <f t="shared" ref="R49:Z49" si="29">R36-R37</f>
        <v>1579</v>
      </c>
      <c r="S49" s="1440">
        <f t="shared" si="29"/>
        <v>1492.2760000000001</v>
      </c>
      <c r="T49" s="1440">
        <f t="shared" si="29"/>
        <v>407.89699999999999</v>
      </c>
      <c r="U49" s="1440">
        <f t="shared" si="29"/>
        <v>673.71247999999991</v>
      </c>
      <c r="V49" s="1440">
        <f t="shared" si="29"/>
        <v>808.45497599999999</v>
      </c>
      <c r="W49" s="1440">
        <f t="shared" si="29"/>
        <v>970.14597119999996</v>
      </c>
      <c r="X49" s="1440">
        <f t="shared" si="29"/>
        <v>1164.17516544</v>
      </c>
      <c r="Y49" s="1440">
        <f t="shared" si="29"/>
        <v>1397.0101985279998</v>
      </c>
      <c r="Z49" s="1440">
        <f t="shared" si="29"/>
        <v>1676.4122382335997</v>
      </c>
      <c r="AA49" s="1440"/>
    </row>
    <row r="50" spans="1:33">
      <c r="B50" s="1428"/>
      <c r="L50" s="1433"/>
      <c r="M50" s="1433"/>
      <c r="N50" s="1433"/>
      <c r="O50" s="1433"/>
      <c r="P50" s="1433"/>
      <c r="Q50" s="1433"/>
      <c r="R50" s="1433"/>
      <c r="S50" s="1433"/>
      <c r="T50" s="1433"/>
      <c r="U50" s="1433"/>
      <c r="V50" s="1433"/>
      <c r="W50" s="1433"/>
      <c r="X50" s="1433"/>
      <c r="Y50" s="1433"/>
      <c r="Z50" s="1433"/>
      <c r="AA50" s="1433"/>
    </row>
    <row r="51" spans="1:33" s="1407" customFormat="1">
      <c r="A51" s="1406">
        <v>2</v>
      </c>
      <c r="B51" s="1407" t="s">
        <v>350</v>
      </c>
      <c r="D51" s="1407">
        <f t="shared" ref="D51:Q51" si="30">D35</f>
        <v>2007</v>
      </c>
      <c r="E51" s="1407">
        <f t="shared" si="30"/>
        <v>2008</v>
      </c>
      <c r="F51" s="1407">
        <f t="shared" si="30"/>
        <v>2009</v>
      </c>
      <c r="G51" s="1407">
        <f t="shared" si="30"/>
        <v>2010</v>
      </c>
      <c r="H51" s="1407">
        <f t="shared" si="30"/>
        <v>2011</v>
      </c>
      <c r="I51" s="1407">
        <f t="shared" si="30"/>
        <v>2012</v>
      </c>
      <c r="J51" s="1407">
        <f t="shared" si="30"/>
        <v>2013</v>
      </c>
      <c r="K51" s="1407">
        <f t="shared" si="30"/>
        <v>2014</v>
      </c>
      <c r="L51" s="1407">
        <f t="shared" si="30"/>
        <v>2015</v>
      </c>
      <c r="M51" s="1407">
        <f t="shared" si="30"/>
        <v>2016</v>
      </c>
      <c r="N51" s="1407">
        <f t="shared" si="30"/>
        <v>2017</v>
      </c>
      <c r="O51" s="1407">
        <f t="shared" si="30"/>
        <v>2018</v>
      </c>
      <c r="P51" s="1407">
        <f t="shared" si="30"/>
        <v>2019</v>
      </c>
      <c r="Q51" s="1407">
        <f t="shared" si="30"/>
        <v>2020</v>
      </c>
      <c r="R51" s="1407">
        <f t="shared" ref="R51:Z51" si="31">R35</f>
        <v>2021</v>
      </c>
      <c r="S51" s="1407">
        <f t="shared" si="31"/>
        <v>2022</v>
      </c>
      <c r="T51" s="1407" t="str">
        <f t="shared" si="31"/>
        <v>2023F</v>
      </c>
      <c r="U51" s="1407" t="str">
        <f t="shared" si="31"/>
        <v>2024F</v>
      </c>
      <c r="V51" s="1407" t="str">
        <f t="shared" si="31"/>
        <v>2025F</v>
      </c>
      <c r="W51" s="1407" t="str">
        <f t="shared" si="31"/>
        <v>2026F</v>
      </c>
      <c r="X51" s="1407" t="str">
        <f t="shared" si="31"/>
        <v>2027F</v>
      </c>
      <c r="Y51" s="1407" t="str">
        <f t="shared" si="31"/>
        <v>2028F</v>
      </c>
      <c r="Z51" s="1407" t="str">
        <f t="shared" si="31"/>
        <v>2029F</v>
      </c>
      <c r="AB51" s="1407" t="s">
        <v>1823</v>
      </c>
      <c r="AF51" s="1407">
        <f>K35</f>
        <v>2014</v>
      </c>
      <c r="AG51" s="1407">
        <f>L35</f>
        <v>2015</v>
      </c>
    </row>
    <row r="52" spans="1:33">
      <c r="B52" s="1432" t="s">
        <v>1824</v>
      </c>
      <c r="C52" s="1432"/>
      <c r="D52" s="1432"/>
      <c r="E52" s="1432"/>
      <c r="F52" s="1432"/>
      <c r="G52" s="1432"/>
      <c r="H52" s="1432"/>
      <c r="I52" s="1432"/>
      <c r="J52" s="1432"/>
      <c r="K52" s="1432"/>
      <c r="L52" s="1441">
        <f t="shared" ref="L52:Q52" si="32">L53/365*L36</f>
        <v>649.99999999999989</v>
      </c>
      <c r="M52" s="1441">
        <f t="shared" si="32"/>
        <v>700.06640106241696</v>
      </c>
      <c r="N52" s="1441">
        <f t="shared" si="32"/>
        <v>1394.953519256308</v>
      </c>
      <c r="O52" s="1441">
        <f t="shared" si="32"/>
        <v>2088.977423638778</v>
      </c>
      <c r="P52" s="1441">
        <f t="shared" si="32"/>
        <v>2453.2536520584326</v>
      </c>
      <c r="Q52" s="1441">
        <f t="shared" si="32"/>
        <v>1675.4980079681272</v>
      </c>
      <c r="R52" s="1441">
        <f t="shared" ref="R52:Z52" si="33">R53/365*R36</f>
        <v>1855.9096945551128</v>
      </c>
      <c r="S52" s="1441">
        <f t="shared" si="33"/>
        <v>1741.9231739707834</v>
      </c>
      <c r="T52" s="1441">
        <f t="shared" si="33"/>
        <v>519.24814077025223</v>
      </c>
      <c r="U52" s="1441">
        <f t="shared" si="33"/>
        <v>830.79702523240371</v>
      </c>
      <c r="V52" s="1441">
        <f t="shared" si="33"/>
        <v>996.95643027888434</v>
      </c>
      <c r="W52" s="1441">
        <f t="shared" si="33"/>
        <v>1196.3477163346613</v>
      </c>
      <c r="X52" s="1441">
        <f t="shared" si="33"/>
        <v>1435.6172596015933</v>
      </c>
      <c r="Y52" s="1441">
        <f t="shared" si="33"/>
        <v>1722.7407115219121</v>
      </c>
      <c r="Z52" s="1441">
        <f t="shared" si="33"/>
        <v>2067.2888538262941</v>
      </c>
      <c r="AA52" s="1440"/>
      <c r="AB52" s="1431" t="s">
        <v>26</v>
      </c>
      <c r="AC52" s="1410"/>
      <c r="AD52" s="1410"/>
      <c r="AE52" s="1410"/>
      <c r="AF52" s="1410">
        <f>K36</f>
        <v>314</v>
      </c>
      <c r="AG52" s="1410">
        <f>L36</f>
        <v>753</v>
      </c>
    </row>
    <row r="53" spans="1:33" s="1428" customFormat="1">
      <c r="A53" s="1405"/>
      <c r="B53" s="1428" t="s">
        <v>1825</v>
      </c>
      <c r="L53" s="1675">
        <f>AG54</f>
        <v>315.07304116865868</v>
      </c>
      <c r="M53" s="1678">
        <f t="shared" ref="M53:T53" si="34">L53</f>
        <v>315.07304116865868</v>
      </c>
      <c r="N53" s="1678">
        <f t="shared" si="34"/>
        <v>315.07304116865868</v>
      </c>
      <c r="O53" s="1678">
        <f t="shared" si="34"/>
        <v>315.07304116865868</v>
      </c>
      <c r="P53" s="1678">
        <f t="shared" si="34"/>
        <v>315.07304116865868</v>
      </c>
      <c r="Q53" s="1678">
        <f t="shared" si="34"/>
        <v>315.07304116865868</v>
      </c>
      <c r="R53" s="1678">
        <f t="shared" si="34"/>
        <v>315.07304116865868</v>
      </c>
      <c r="S53" s="1678">
        <f t="shared" si="34"/>
        <v>315.07304116865868</v>
      </c>
      <c r="T53" s="1678">
        <f t="shared" si="34"/>
        <v>315.07304116865868</v>
      </c>
      <c r="U53" s="1678">
        <f t="shared" ref="U53:Z53" si="35">T53</f>
        <v>315.07304116865868</v>
      </c>
      <c r="V53" s="1678">
        <f t="shared" si="35"/>
        <v>315.07304116865868</v>
      </c>
      <c r="W53" s="1678">
        <f t="shared" si="35"/>
        <v>315.07304116865868</v>
      </c>
      <c r="X53" s="1678">
        <f t="shared" si="35"/>
        <v>315.07304116865868</v>
      </c>
      <c r="Y53" s="1678">
        <f t="shared" si="35"/>
        <v>315.07304116865868</v>
      </c>
      <c r="Z53" s="1678">
        <f t="shared" si="35"/>
        <v>315.07304116865868</v>
      </c>
      <c r="AA53" s="1678"/>
      <c r="AB53" s="1431" t="s">
        <v>1834</v>
      </c>
      <c r="AC53" s="1423"/>
      <c r="AD53" s="1423"/>
      <c r="AE53" s="1423"/>
      <c r="AF53" s="1423">
        <v>236</v>
      </c>
      <c r="AG53" s="1423">
        <v>650</v>
      </c>
    </row>
    <row r="54" spans="1:33">
      <c r="B54" s="1431" t="s">
        <v>1492</v>
      </c>
      <c r="L54" s="1440">
        <f t="shared" ref="L54:Q54" si="36">L55/365*L37</f>
        <v>0</v>
      </c>
      <c r="M54" s="1440">
        <f t="shared" si="36"/>
        <v>0</v>
      </c>
      <c r="N54" s="1440">
        <f t="shared" si="36"/>
        <v>0</v>
      </c>
      <c r="O54" s="1440">
        <f t="shared" si="36"/>
        <v>0</v>
      </c>
      <c r="P54" s="1440">
        <f t="shared" si="36"/>
        <v>0</v>
      </c>
      <c r="Q54" s="1440">
        <f t="shared" si="36"/>
        <v>0</v>
      </c>
      <c r="R54" s="1440">
        <f t="shared" ref="R54:Z54" si="37">R55/365*R37</f>
        <v>0</v>
      </c>
      <c r="S54" s="1440">
        <f t="shared" si="37"/>
        <v>0</v>
      </c>
      <c r="T54" s="1440">
        <f t="shared" si="37"/>
        <v>0</v>
      </c>
      <c r="U54" s="1440">
        <f t="shared" si="37"/>
        <v>0</v>
      </c>
      <c r="V54" s="1440">
        <f t="shared" si="37"/>
        <v>0</v>
      </c>
      <c r="W54" s="1440">
        <f t="shared" si="37"/>
        <v>0</v>
      </c>
      <c r="X54" s="1440">
        <f t="shared" si="37"/>
        <v>0</v>
      </c>
      <c r="Y54" s="1440">
        <f t="shared" si="37"/>
        <v>0</v>
      </c>
      <c r="Z54" s="1440">
        <f t="shared" si="37"/>
        <v>0</v>
      </c>
      <c r="AA54" s="1440"/>
      <c r="AB54" s="1431" t="s">
        <v>1825</v>
      </c>
      <c r="AC54" s="1440"/>
      <c r="AD54" s="1440"/>
      <c r="AE54" s="1440"/>
      <c r="AF54" s="1440">
        <f>AF53/AF52*365</f>
        <v>274.33121019108285</v>
      </c>
      <c r="AG54" s="1440">
        <f>AG53/AG52*365</f>
        <v>315.07304116865868</v>
      </c>
    </row>
    <row r="55" spans="1:33" s="1428" customFormat="1">
      <c r="A55" s="1405"/>
      <c r="B55" s="1428" t="s">
        <v>1826</v>
      </c>
      <c r="L55" s="1679">
        <v>0</v>
      </c>
      <c r="M55" s="1428">
        <f t="shared" ref="M55:T55" si="38">L55</f>
        <v>0</v>
      </c>
      <c r="N55" s="1428">
        <f t="shared" si="38"/>
        <v>0</v>
      </c>
      <c r="O55" s="1428">
        <f t="shared" si="38"/>
        <v>0</v>
      </c>
      <c r="P55" s="1428">
        <f t="shared" si="38"/>
        <v>0</v>
      </c>
      <c r="Q55" s="1428">
        <f t="shared" si="38"/>
        <v>0</v>
      </c>
      <c r="R55" s="1428">
        <f t="shared" si="38"/>
        <v>0</v>
      </c>
      <c r="S55" s="1428">
        <f t="shared" si="38"/>
        <v>0</v>
      </c>
      <c r="T55" s="1428">
        <f t="shared" si="38"/>
        <v>0</v>
      </c>
      <c r="U55" s="1428">
        <f t="shared" ref="U55:Z55" si="39">T55</f>
        <v>0</v>
      </c>
      <c r="V55" s="1428">
        <f t="shared" si="39"/>
        <v>0</v>
      </c>
      <c r="W55" s="1428">
        <f t="shared" si="39"/>
        <v>0</v>
      </c>
      <c r="X55" s="1428">
        <f t="shared" si="39"/>
        <v>0</v>
      </c>
      <c r="Y55" s="1428">
        <f t="shared" si="39"/>
        <v>0</v>
      </c>
      <c r="Z55" s="1428">
        <f t="shared" si="39"/>
        <v>0</v>
      </c>
      <c r="AB55" s="1431"/>
      <c r="AC55" s="1431"/>
      <c r="AD55" s="1431"/>
      <c r="AE55" s="1431"/>
      <c r="AF55" s="1431"/>
    </row>
    <row r="56" spans="1:33">
      <c r="B56" s="1431" t="s">
        <v>1827</v>
      </c>
      <c r="L56" s="1440">
        <f t="shared" ref="L56:Q56" si="40">L57/365*L37</f>
        <v>0</v>
      </c>
      <c r="M56" s="1440">
        <f t="shared" si="40"/>
        <v>0</v>
      </c>
      <c r="N56" s="1440">
        <f t="shared" si="40"/>
        <v>0</v>
      </c>
      <c r="O56" s="1440">
        <f t="shared" si="40"/>
        <v>0</v>
      </c>
      <c r="P56" s="1440">
        <f t="shared" si="40"/>
        <v>0</v>
      </c>
      <c r="Q56" s="1440">
        <f t="shared" si="40"/>
        <v>0</v>
      </c>
      <c r="R56" s="1440">
        <f t="shared" ref="R56:Z56" si="41">R57/365*R37</f>
        <v>0</v>
      </c>
      <c r="S56" s="1440">
        <f t="shared" si="41"/>
        <v>0</v>
      </c>
      <c r="T56" s="1440">
        <f t="shared" si="41"/>
        <v>0</v>
      </c>
      <c r="U56" s="1440">
        <f t="shared" si="41"/>
        <v>0</v>
      </c>
      <c r="V56" s="1440">
        <f t="shared" si="41"/>
        <v>0</v>
      </c>
      <c r="W56" s="1440">
        <f t="shared" si="41"/>
        <v>0</v>
      </c>
      <c r="X56" s="1440">
        <f t="shared" si="41"/>
        <v>0</v>
      </c>
      <c r="Y56" s="1440">
        <f t="shared" si="41"/>
        <v>0</v>
      </c>
      <c r="Z56" s="1440">
        <f t="shared" si="41"/>
        <v>0</v>
      </c>
      <c r="AA56" s="1440"/>
    </row>
    <row r="57" spans="1:33" s="1428" customFormat="1">
      <c r="A57" s="1405"/>
      <c r="B57" s="1428" t="s">
        <v>1828</v>
      </c>
      <c r="L57" s="1679">
        <v>0</v>
      </c>
      <c r="M57" s="1428">
        <f t="shared" ref="M57:T57" si="42">L57</f>
        <v>0</v>
      </c>
      <c r="N57" s="1428">
        <f t="shared" si="42"/>
        <v>0</v>
      </c>
      <c r="O57" s="1428">
        <f t="shared" si="42"/>
        <v>0</v>
      </c>
      <c r="P57" s="1428">
        <f t="shared" si="42"/>
        <v>0</v>
      </c>
      <c r="Q57" s="1428">
        <f t="shared" si="42"/>
        <v>0</v>
      </c>
      <c r="R57" s="1428">
        <f t="shared" si="42"/>
        <v>0</v>
      </c>
      <c r="S57" s="1428">
        <f t="shared" si="42"/>
        <v>0</v>
      </c>
      <c r="T57" s="1428">
        <f t="shared" si="42"/>
        <v>0</v>
      </c>
      <c r="U57" s="1428">
        <f>T57</f>
        <v>0</v>
      </c>
      <c r="V57" s="1428">
        <f>U57</f>
        <v>0</v>
      </c>
      <c r="W57" s="1428">
        <f t="shared" ref="W57:Z58" si="43">V57</f>
        <v>0</v>
      </c>
      <c r="X57" s="1428">
        <f t="shared" si="43"/>
        <v>0</v>
      </c>
      <c r="Y57" s="1428">
        <f t="shared" si="43"/>
        <v>0</v>
      </c>
      <c r="Z57" s="1428">
        <f t="shared" si="43"/>
        <v>0</v>
      </c>
    </row>
    <row r="58" spans="1:33">
      <c r="B58" s="1431" t="s">
        <v>759</v>
      </c>
      <c r="L58" s="1423">
        <v>0</v>
      </c>
      <c r="M58" s="1463">
        <f>L58</f>
        <v>0</v>
      </c>
      <c r="N58" s="1463">
        <f t="shared" ref="N58:T58" si="44">M58</f>
        <v>0</v>
      </c>
      <c r="O58" s="1463">
        <f t="shared" si="44"/>
        <v>0</v>
      </c>
      <c r="P58" s="1463">
        <f t="shared" si="44"/>
        <v>0</v>
      </c>
      <c r="Q58" s="1463">
        <f t="shared" si="44"/>
        <v>0</v>
      </c>
      <c r="R58" s="1463">
        <f t="shared" si="44"/>
        <v>0</v>
      </c>
      <c r="S58" s="1463">
        <f t="shared" si="44"/>
        <v>0</v>
      </c>
      <c r="T58" s="1463">
        <f t="shared" si="44"/>
        <v>0</v>
      </c>
      <c r="U58" s="1463">
        <f>T58</f>
        <v>0</v>
      </c>
      <c r="V58" s="1463">
        <f>U58</f>
        <v>0</v>
      </c>
      <c r="W58" s="1463">
        <f t="shared" si="43"/>
        <v>0</v>
      </c>
      <c r="X58" s="1463">
        <f t="shared" si="43"/>
        <v>0</v>
      </c>
      <c r="Y58" s="1463">
        <f t="shared" si="43"/>
        <v>0</v>
      </c>
      <c r="Z58" s="1463">
        <f t="shared" si="43"/>
        <v>0</v>
      </c>
      <c r="AA58" s="1463"/>
    </row>
    <row r="59" spans="1:33">
      <c r="K59" s="1440"/>
    </row>
    <row r="60" spans="1:33" ht="15.75">
      <c r="A60" s="1420" t="s">
        <v>662</v>
      </c>
      <c r="B60" s="1438"/>
      <c r="C60" s="1438"/>
    </row>
    <row r="63" spans="1:33" s="1407" customFormat="1">
      <c r="A63" s="1406">
        <v>1</v>
      </c>
      <c r="B63" s="1407" t="s">
        <v>878</v>
      </c>
      <c r="D63" s="1407">
        <v>2007</v>
      </c>
      <c r="E63" s="1407">
        <f t="shared" ref="E63:T63" si="45">D63+1</f>
        <v>2008</v>
      </c>
      <c r="F63" s="1407">
        <f t="shared" si="45"/>
        <v>2009</v>
      </c>
      <c r="G63" s="1407">
        <f t="shared" si="45"/>
        <v>2010</v>
      </c>
      <c r="H63" s="1407">
        <f t="shared" si="45"/>
        <v>2011</v>
      </c>
      <c r="I63" s="1407">
        <f t="shared" si="45"/>
        <v>2012</v>
      </c>
      <c r="J63" s="1407">
        <f t="shared" si="45"/>
        <v>2013</v>
      </c>
      <c r="K63" s="1407">
        <f t="shared" si="45"/>
        <v>2014</v>
      </c>
      <c r="L63" s="1407">
        <f t="shared" si="45"/>
        <v>2015</v>
      </c>
      <c r="M63" s="1407">
        <f t="shared" si="45"/>
        <v>2016</v>
      </c>
      <c r="N63" s="1407">
        <f t="shared" si="45"/>
        <v>2017</v>
      </c>
      <c r="O63" s="1407">
        <f t="shared" si="45"/>
        <v>2018</v>
      </c>
      <c r="P63" s="1407">
        <f t="shared" si="45"/>
        <v>2019</v>
      </c>
      <c r="Q63" s="1407">
        <f t="shared" si="45"/>
        <v>2020</v>
      </c>
      <c r="R63" s="1407">
        <f t="shared" si="45"/>
        <v>2021</v>
      </c>
      <c r="S63" s="1407">
        <f t="shared" si="45"/>
        <v>2022</v>
      </c>
      <c r="T63" s="1407">
        <f t="shared" si="45"/>
        <v>2023</v>
      </c>
      <c r="U63" s="1407">
        <f t="shared" ref="U63:Z63" si="46">T63+1</f>
        <v>2024</v>
      </c>
      <c r="V63" s="1407">
        <f t="shared" si="46"/>
        <v>2025</v>
      </c>
      <c r="W63" s="1407">
        <f t="shared" si="46"/>
        <v>2026</v>
      </c>
      <c r="X63" s="1407">
        <f t="shared" si="46"/>
        <v>2027</v>
      </c>
      <c r="Y63" s="1407">
        <f t="shared" si="46"/>
        <v>2028</v>
      </c>
      <c r="Z63" s="1407">
        <f t="shared" si="46"/>
        <v>2029</v>
      </c>
    </row>
    <row r="64" spans="1:33">
      <c r="B64" s="1432" t="s">
        <v>26</v>
      </c>
      <c r="C64" s="1432"/>
      <c r="D64" s="1422"/>
      <c r="E64" s="1422"/>
      <c r="F64" s="1422"/>
      <c r="G64" s="1422"/>
      <c r="H64" s="1422"/>
      <c r="I64" s="1422"/>
      <c r="J64" s="1422">
        <v>4</v>
      </c>
      <c r="K64" s="1422">
        <v>44.6</v>
      </c>
      <c r="L64" s="1422">
        <v>153.4</v>
      </c>
      <c r="M64" s="1422">
        <v>207</v>
      </c>
      <c r="N64" s="1422">
        <v>159</v>
      </c>
      <c r="O64" s="1422">
        <v>628</v>
      </c>
      <c r="P64" s="1422">
        <v>894</v>
      </c>
      <c r="Q64" s="1422">
        <f>IS!N52</f>
        <v>530</v>
      </c>
      <c r="R64" s="1422">
        <f>IS!O52</f>
        <v>317</v>
      </c>
      <c r="S64" s="1422">
        <f>IS!P52</f>
        <v>490.23599999999999</v>
      </c>
      <c r="T64" s="1422">
        <f>IS!Q52</f>
        <v>95.134</v>
      </c>
      <c r="U64" s="1441">
        <f t="shared" ref="U64:Z64" si="47">T64*(1+U71)</f>
        <v>190.268</v>
      </c>
      <c r="V64" s="1441">
        <f t="shared" si="47"/>
        <v>209.29480000000001</v>
      </c>
      <c r="W64" s="1441">
        <f t="shared" si="47"/>
        <v>230.22428000000002</v>
      </c>
      <c r="X64" s="1441">
        <f t="shared" si="47"/>
        <v>253.24670800000004</v>
      </c>
      <c r="Y64" s="1441">
        <f t="shared" si="47"/>
        <v>278.57137880000005</v>
      </c>
      <c r="Z64" s="1441">
        <f t="shared" si="47"/>
        <v>306.42851668000009</v>
      </c>
      <c r="AA64" s="1440"/>
    </row>
    <row r="65" spans="1:37">
      <c r="B65" s="1431" t="s">
        <v>432</v>
      </c>
      <c r="D65" s="1423"/>
      <c r="E65" s="1423"/>
      <c r="F65" s="1423"/>
      <c r="G65" s="1423"/>
      <c r="H65" s="1423"/>
      <c r="I65" s="1423"/>
      <c r="J65" s="1423">
        <v>5.3</v>
      </c>
      <c r="K65" s="1423">
        <v>32.1</v>
      </c>
      <c r="L65" s="1440">
        <f t="shared" ref="L65:Q65" si="48">L64*(1-L72)</f>
        <v>145.57659999999998</v>
      </c>
      <c r="M65" s="1440">
        <f t="shared" si="48"/>
        <v>193.54500000000002</v>
      </c>
      <c r="N65" s="1440">
        <f t="shared" si="48"/>
        <v>154.22999999999999</v>
      </c>
      <c r="O65" s="1440">
        <f t="shared" si="48"/>
        <v>609.16</v>
      </c>
      <c r="P65" s="1440">
        <f t="shared" si="48"/>
        <v>867.18</v>
      </c>
      <c r="Q65" s="1440">
        <f t="shared" si="48"/>
        <v>514.1</v>
      </c>
      <c r="R65" s="1440">
        <f t="shared" ref="R65:Z65" si="49">R64*(1-R72)</f>
        <v>307.49</v>
      </c>
      <c r="S65" s="1440">
        <f t="shared" si="49"/>
        <v>475.52891999999997</v>
      </c>
      <c r="T65" s="1440">
        <f t="shared" si="49"/>
        <v>92.279979999999995</v>
      </c>
      <c r="U65" s="1440">
        <f t="shared" si="49"/>
        <v>184.55995999999999</v>
      </c>
      <c r="V65" s="1440">
        <f t="shared" si="49"/>
        <v>203.01595600000002</v>
      </c>
      <c r="W65" s="1440">
        <f t="shared" si="49"/>
        <v>223.3175516</v>
      </c>
      <c r="X65" s="1440">
        <f t="shared" si="49"/>
        <v>245.64930676000003</v>
      </c>
      <c r="Y65" s="1440">
        <f t="shared" si="49"/>
        <v>270.21423743600002</v>
      </c>
      <c r="Z65" s="1440">
        <f t="shared" si="49"/>
        <v>297.23566117960007</v>
      </c>
      <c r="AA65" s="1440"/>
    </row>
    <row r="66" spans="1:37" s="1428" customFormat="1">
      <c r="A66" s="1405"/>
      <c r="B66" s="1444" t="s">
        <v>656</v>
      </c>
      <c r="D66" s="1429"/>
      <c r="E66" s="1429"/>
      <c r="F66" s="1429"/>
      <c r="G66" s="1429"/>
      <c r="H66" s="1429"/>
      <c r="I66" s="1429"/>
      <c r="J66" s="1674">
        <f>J64*J73</f>
        <v>0.4</v>
      </c>
      <c r="K66" s="1674">
        <f>K64*K73</f>
        <v>4.46</v>
      </c>
      <c r="L66" s="1674">
        <f t="shared" ref="L66:Q66" si="50">L64*L73</f>
        <v>18.408000000000001</v>
      </c>
      <c r="M66" s="1674">
        <f t="shared" si="50"/>
        <v>20.700000000000003</v>
      </c>
      <c r="N66" s="1674">
        <f t="shared" si="50"/>
        <v>15.9</v>
      </c>
      <c r="O66" s="1674">
        <f t="shared" si="50"/>
        <v>62.800000000000004</v>
      </c>
      <c r="P66" s="1674">
        <f t="shared" si="50"/>
        <v>89.4</v>
      </c>
      <c r="Q66" s="1674">
        <f t="shared" si="50"/>
        <v>53</v>
      </c>
      <c r="R66" s="1674">
        <f t="shared" ref="R66:Z66" si="51">R64*R73</f>
        <v>31.700000000000003</v>
      </c>
      <c r="S66" s="1674">
        <f t="shared" si="51"/>
        <v>49.023600000000002</v>
      </c>
      <c r="T66" s="1674">
        <f t="shared" si="51"/>
        <v>9.5134000000000007</v>
      </c>
      <c r="U66" s="1674">
        <f t="shared" si="51"/>
        <v>19.026800000000001</v>
      </c>
      <c r="V66" s="1674">
        <f t="shared" si="51"/>
        <v>20.929480000000002</v>
      </c>
      <c r="W66" s="1674">
        <f t="shared" si="51"/>
        <v>23.022428000000005</v>
      </c>
      <c r="X66" s="1674">
        <f t="shared" si="51"/>
        <v>25.324670800000007</v>
      </c>
      <c r="Y66" s="1674">
        <f t="shared" si="51"/>
        <v>27.857137880000007</v>
      </c>
      <c r="Z66" s="1674">
        <f t="shared" si="51"/>
        <v>30.642851668000009</v>
      </c>
      <c r="AA66" s="1674"/>
    </row>
    <row r="67" spans="1:37" s="1428" customFormat="1">
      <c r="A67" s="1405"/>
      <c r="B67" s="1444" t="s">
        <v>805</v>
      </c>
      <c r="D67" s="1429"/>
      <c r="E67" s="1429"/>
      <c r="F67" s="1429"/>
      <c r="G67" s="1429"/>
      <c r="H67" s="1429"/>
      <c r="I67" s="1429"/>
      <c r="J67" s="1429"/>
      <c r="K67" s="1429"/>
      <c r="L67" s="1675">
        <v>0</v>
      </c>
      <c r="M67" s="1675">
        <v>0</v>
      </c>
      <c r="N67" s="1675">
        <v>0</v>
      </c>
      <c r="O67" s="1675">
        <v>0</v>
      </c>
      <c r="P67" s="1675">
        <v>0</v>
      </c>
      <c r="Q67" s="1675">
        <v>0</v>
      </c>
      <c r="R67" s="1675">
        <v>0</v>
      </c>
      <c r="S67" s="1675">
        <v>0</v>
      </c>
      <c r="T67" s="1675">
        <v>0</v>
      </c>
      <c r="U67" s="1675">
        <v>0</v>
      </c>
      <c r="V67" s="1675">
        <v>0</v>
      </c>
      <c r="W67" s="1675">
        <v>0</v>
      </c>
      <c r="X67" s="1675">
        <v>0</v>
      </c>
      <c r="Y67" s="1675">
        <v>0</v>
      </c>
      <c r="Z67" s="1675">
        <v>0</v>
      </c>
      <c r="AA67" s="1675"/>
    </row>
    <row r="68" spans="1:37">
      <c r="B68" s="1431" t="s">
        <v>822</v>
      </c>
      <c r="J68" s="1440">
        <f t="shared" ref="J68:Q68" si="52">J64-SUM(J65:J67)</f>
        <v>-1.7000000000000002</v>
      </c>
      <c r="K68" s="1440">
        <f t="shared" si="52"/>
        <v>8.0399999999999991</v>
      </c>
      <c r="L68" s="1440">
        <f t="shared" si="52"/>
        <v>-10.584599999999995</v>
      </c>
      <c r="M68" s="1440">
        <f t="shared" si="52"/>
        <v>-7.2450000000000045</v>
      </c>
      <c r="N68" s="1440">
        <f t="shared" si="52"/>
        <v>-11.129999999999995</v>
      </c>
      <c r="O68" s="1440">
        <f t="shared" si="52"/>
        <v>-43.959999999999923</v>
      </c>
      <c r="P68" s="1440">
        <f t="shared" si="52"/>
        <v>-62.579999999999927</v>
      </c>
      <c r="Q68" s="1440">
        <f t="shared" si="52"/>
        <v>-37.100000000000023</v>
      </c>
      <c r="R68" s="1440">
        <f t="shared" ref="R68:Z68" si="53">R64-SUM(R65:R67)</f>
        <v>-22.189999999999998</v>
      </c>
      <c r="S68" s="1440">
        <f t="shared" si="53"/>
        <v>-34.316519999999969</v>
      </c>
      <c r="T68" s="1440">
        <f t="shared" si="53"/>
        <v>-6.6593799999999987</v>
      </c>
      <c r="U68" s="1440">
        <f t="shared" si="53"/>
        <v>-13.318759999999997</v>
      </c>
      <c r="V68" s="1440">
        <f t="shared" si="53"/>
        <v>-14.65063600000002</v>
      </c>
      <c r="W68" s="1440">
        <f t="shared" si="53"/>
        <v>-16.115699599999971</v>
      </c>
      <c r="X68" s="1440">
        <f t="shared" si="53"/>
        <v>-17.727269559999996</v>
      </c>
      <c r="Y68" s="1440">
        <f t="shared" si="53"/>
        <v>-19.499996515999953</v>
      </c>
      <c r="Z68" s="1440">
        <f t="shared" si="53"/>
        <v>-21.449996167599977</v>
      </c>
      <c r="AA68" s="1440"/>
    </row>
    <row r="69" spans="1:37">
      <c r="B69" s="1431" t="s">
        <v>290</v>
      </c>
      <c r="J69" s="1440">
        <f>IF(J68&lt;0,0,J68*B12)</f>
        <v>0</v>
      </c>
      <c r="K69" s="1440">
        <f t="shared" ref="K69:T69" si="54">IF(K68&lt;0,0,K68*D12)</f>
        <v>1.7687999999999999</v>
      </c>
      <c r="L69" s="1440">
        <f t="shared" si="54"/>
        <v>0</v>
      </c>
      <c r="M69" s="1440">
        <f t="shared" si="54"/>
        <v>0</v>
      </c>
      <c r="N69" s="1440">
        <f t="shared" si="54"/>
        <v>0</v>
      </c>
      <c r="O69" s="1440">
        <f t="shared" si="54"/>
        <v>0</v>
      </c>
      <c r="P69" s="1440">
        <f t="shared" si="54"/>
        <v>0</v>
      </c>
      <c r="Q69" s="1440">
        <f t="shared" si="54"/>
        <v>0</v>
      </c>
      <c r="R69" s="1440">
        <f t="shared" si="54"/>
        <v>0</v>
      </c>
      <c r="S69" s="1440">
        <f t="shared" si="54"/>
        <v>0</v>
      </c>
      <c r="T69" s="1440">
        <f t="shared" si="54"/>
        <v>0</v>
      </c>
      <c r="U69" s="1440">
        <f t="shared" ref="U69:Z69" si="55">IF(U68&lt;0,0,U68*N12)</f>
        <v>0</v>
      </c>
      <c r="V69" s="1440">
        <f t="shared" si="55"/>
        <v>0</v>
      </c>
      <c r="W69" s="1440">
        <f t="shared" si="55"/>
        <v>0</v>
      </c>
      <c r="X69" s="1440">
        <f t="shared" si="55"/>
        <v>0</v>
      </c>
      <c r="Y69" s="1440">
        <f t="shared" si="55"/>
        <v>0</v>
      </c>
      <c r="Z69" s="1440">
        <f t="shared" si="55"/>
        <v>0</v>
      </c>
      <c r="AA69" s="1440"/>
    </row>
    <row r="70" spans="1:37">
      <c r="B70" s="1431" t="s">
        <v>1601</v>
      </c>
      <c r="J70" s="1440">
        <f t="shared" ref="J70:Q70" si="56">J68-J69</f>
        <v>-1.7000000000000002</v>
      </c>
      <c r="K70" s="1440">
        <f t="shared" si="56"/>
        <v>6.2711999999999994</v>
      </c>
      <c r="L70" s="1440">
        <f t="shared" si="56"/>
        <v>-10.584599999999995</v>
      </c>
      <c r="M70" s="1440">
        <f t="shared" si="56"/>
        <v>-7.2450000000000045</v>
      </c>
      <c r="N70" s="1440">
        <f t="shared" si="56"/>
        <v>-11.129999999999995</v>
      </c>
      <c r="O70" s="1440">
        <f t="shared" si="56"/>
        <v>-43.959999999999923</v>
      </c>
      <c r="P70" s="1440">
        <f t="shared" si="56"/>
        <v>-62.579999999999927</v>
      </c>
      <c r="Q70" s="1440">
        <f t="shared" si="56"/>
        <v>-37.100000000000023</v>
      </c>
      <c r="R70" s="1440">
        <f t="shared" ref="R70:Z70" si="57">R68-R69</f>
        <v>-22.189999999999998</v>
      </c>
      <c r="S70" s="1440">
        <f t="shared" si="57"/>
        <v>-34.316519999999969</v>
      </c>
      <c r="T70" s="1440">
        <f t="shared" si="57"/>
        <v>-6.6593799999999987</v>
      </c>
      <c r="U70" s="1440">
        <f t="shared" si="57"/>
        <v>-13.318759999999997</v>
      </c>
      <c r="V70" s="1440">
        <f t="shared" si="57"/>
        <v>-14.65063600000002</v>
      </c>
      <c r="W70" s="1440">
        <f t="shared" si="57"/>
        <v>-16.115699599999971</v>
      </c>
      <c r="X70" s="1440">
        <f t="shared" si="57"/>
        <v>-17.727269559999996</v>
      </c>
      <c r="Y70" s="1440">
        <f t="shared" si="57"/>
        <v>-19.499996515999953</v>
      </c>
      <c r="Z70" s="1440">
        <f t="shared" si="57"/>
        <v>-21.449996167599977</v>
      </c>
      <c r="AA70" s="1440"/>
    </row>
    <row r="71" spans="1:37" s="1428" customFormat="1">
      <c r="A71" s="1405"/>
      <c r="B71" s="1405" t="s">
        <v>1820</v>
      </c>
      <c r="E71" s="1429"/>
      <c r="F71" s="1429"/>
      <c r="G71" s="1429"/>
      <c r="H71" s="1429"/>
      <c r="I71" s="1429"/>
      <c r="J71" s="1429"/>
      <c r="K71" s="1429">
        <f t="shared" ref="K71:Q71" si="58">K64/J64-1</f>
        <v>10.15</v>
      </c>
      <c r="L71" s="1429">
        <f t="shared" si="58"/>
        <v>2.4394618834080717</v>
      </c>
      <c r="M71" s="1429">
        <f t="shared" si="58"/>
        <v>0.34941329856584091</v>
      </c>
      <c r="N71" s="1429">
        <f t="shared" si="58"/>
        <v>-0.23188405797101452</v>
      </c>
      <c r="O71" s="1429">
        <f t="shared" si="58"/>
        <v>2.949685534591195</v>
      </c>
      <c r="P71" s="1429">
        <f t="shared" si="58"/>
        <v>0.42356687898089174</v>
      </c>
      <c r="Q71" s="1429">
        <f t="shared" si="58"/>
        <v>-0.40715883668903807</v>
      </c>
      <c r="R71" s="1676">
        <v>0.1</v>
      </c>
      <c r="S71" s="1676">
        <v>0.1</v>
      </c>
      <c r="T71" s="1676">
        <v>0.1</v>
      </c>
      <c r="U71" s="1676">
        <v>1</v>
      </c>
      <c r="V71" s="1676">
        <v>0.1</v>
      </c>
      <c r="W71" s="1676">
        <v>0.1</v>
      </c>
      <c r="X71" s="1676">
        <v>0.1</v>
      </c>
      <c r="Y71" s="1676">
        <v>0.1</v>
      </c>
      <c r="Z71" s="1676">
        <v>0.1</v>
      </c>
      <c r="AA71" s="1676"/>
      <c r="AD71" s="1407">
        <v>2014</v>
      </c>
      <c r="AE71" s="1407">
        <v>2015</v>
      </c>
      <c r="AF71" s="1407">
        <v>2016</v>
      </c>
      <c r="AG71" s="1407">
        <v>2017</v>
      </c>
      <c r="AH71" s="1407">
        <v>2018</v>
      </c>
      <c r="AI71" s="1455">
        <v>2019</v>
      </c>
      <c r="AJ71" s="1455" t="s">
        <v>1849</v>
      </c>
      <c r="AK71" s="1455" t="s">
        <v>1924</v>
      </c>
    </row>
    <row r="72" spans="1:37" s="1428" customFormat="1">
      <c r="A72" s="1405"/>
      <c r="B72" s="1405" t="s">
        <v>1600</v>
      </c>
      <c r="D72" s="1429"/>
      <c r="E72" s="1429"/>
      <c r="F72" s="1429"/>
      <c r="G72" s="1429"/>
      <c r="H72" s="1429"/>
      <c r="I72" s="1429"/>
      <c r="J72" s="1429">
        <f>1-J65/J64</f>
        <v>-0.32499999999999996</v>
      </c>
      <c r="K72" s="1429">
        <f>1-K65/K64</f>
        <v>0.28026905829596416</v>
      </c>
      <c r="L72" s="1680">
        <v>5.0999999999999997E-2</v>
      </c>
      <c r="M72" s="1680">
        <v>6.5000000000000002E-2</v>
      </c>
      <c r="N72" s="1681">
        <v>0.03</v>
      </c>
      <c r="O72" s="1681">
        <f t="shared" ref="N72:T73" si="59">N72</f>
        <v>0.03</v>
      </c>
      <c r="P72" s="1681">
        <f t="shared" si="59"/>
        <v>0.03</v>
      </c>
      <c r="Q72" s="1681">
        <f t="shared" si="59"/>
        <v>0.03</v>
      </c>
      <c r="R72" s="1681">
        <f t="shared" si="59"/>
        <v>0.03</v>
      </c>
      <c r="S72" s="1681">
        <f t="shared" si="59"/>
        <v>0.03</v>
      </c>
      <c r="T72" s="1681">
        <f t="shared" si="59"/>
        <v>0.03</v>
      </c>
      <c r="U72" s="1681">
        <f>T72</f>
        <v>0.03</v>
      </c>
      <c r="V72" s="1681">
        <f>U72</f>
        <v>0.03</v>
      </c>
      <c r="W72" s="1681">
        <f t="shared" ref="W72:Z73" si="60">V72</f>
        <v>0.03</v>
      </c>
      <c r="X72" s="1681">
        <f t="shared" si="60"/>
        <v>0.03</v>
      </c>
      <c r="Y72" s="1681">
        <f t="shared" si="60"/>
        <v>0.03</v>
      </c>
      <c r="Z72" s="1681">
        <f t="shared" si="60"/>
        <v>0.03</v>
      </c>
      <c r="AA72" s="1681"/>
      <c r="AD72" s="1423">
        <v>45.2</v>
      </c>
      <c r="AE72" s="1423">
        <v>107</v>
      </c>
      <c r="AF72" s="1423">
        <v>127</v>
      </c>
      <c r="AG72" s="1440">
        <v>348.63338876164778</v>
      </c>
      <c r="AH72" s="1440">
        <v>518.39174222696317</v>
      </c>
      <c r="AI72" s="1440">
        <v>667.494117277947</v>
      </c>
      <c r="AJ72" s="1440">
        <v>400</v>
      </c>
      <c r="AK72" s="1440">
        <v>800</v>
      </c>
    </row>
    <row r="73" spans="1:37" s="1428" customFormat="1">
      <c r="A73" s="1405"/>
      <c r="B73" s="1405" t="s">
        <v>1821</v>
      </c>
      <c r="D73" s="1429"/>
      <c r="E73" s="1429"/>
      <c r="F73" s="1429"/>
      <c r="G73" s="1429"/>
      <c r="H73" s="1429"/>
      <c r="I73" s="1429"/>
      <c r="J73" s="1680">
        <v>0.1</v>
      </c>
      <c r="K73" s="1681">
        <f>J73</f>
        <v>0.1</v>
      </c>
      <c r="L73" s="1680">
        <v>0.12</v>
      </c>
      <c r="M73" s="1681">
        <f>K73</f>
        <v>0.1</v>
      </c>
      <c r="N73" s="1681">
        <f t="shared" si="59"/>
        <v>0.1</v>
      </c>
      <c r="O73" s="1681">
        <f t="shared" si="59"/>
        <v>0.1</v>
      </c>
      <c r="P73" s="1681">
        <f t="shared" si="59"/>
        <v>0.1</v>
      </c>
      <c r="Q73" s="1681">
        <f t="shared" si="59"/>
        <v>0.1</v>
      </c>
      <c r="R73" s="1681">
        <f t="shared" si="59"/>
        <v>0.1</v>
      </c>
      <c r="S73" s="1681">
        <f t="shared" si="59"/>
        <v>0.1</v>
      </c>
      <c r="T73" s="1681">
        <f t="shared" si="59"/>
        <v>0.1</v>
      </c>
      <c r="U73" s="1681">
        <f>T73</f>
        <v>0.1</v>
      </c>
      <c r="V73" s="1681">
        <f>U73</f>
        <v>0.1</v>
      </c>
      <c r="W73" s="1681">
        <f t="shared" si="60"/>
        <v>0.1</v>
      </c>
      <c r="X73" s="1681">
        <f t="shared" si="60"/>
        <v>0.1</v>
      </c>
      <c r="Y73" s="1681">
        <f t="shared" si="60"/>
        <v>0.1</v>
      </c>
      <c r="Z73" s="1681">
        <f t="shared" si="60"/>
        <v>0.1</v>
      </c>
      <c r="AA73" s="1681"/>
    </row>
    <row r="74" spans="1:37" s="1428" customFormat="1">
      <c r="A74" s="1405"/>
      <c r="B74" s="1428" t="s">
        <v>1798</v>
      </c>
      <c r="J74" s="1429">
        <f>J70/J64</f>
        <v>-0.42500000000000004</v>
      </c>
      <c r="K74" s="1429">
        <f>K70/K64</f>
        <v>0.140609865470852</v>
      </c>
      <c r="L74" s="1429">
        <f t="shared" ref="L74:Q74" si="61">L70/L64</f>
        <v>-6.8999999999999964E-2</v>
      </c>
      <c r="M74" s="1429">
        <f t="shared" si="61"/>
        <v>-3.5000000000000024E-2</v>
      </c>
      <c r="N74" s="1429">
        <f t="shared" si="61"/>
        <v>-6.9999999999999965E-2</v>
      </c>
      <c r="O74" s="1429">
        <f t="shared" si="61"/>
        <v>-6.9999999999999882E-2</v>
      </c>
      <c r="P74" s="1429">
        <f t="shared" si="61"/>
        <v>-6.9999999999999923E-2</v>
      </c>
      <c r="Q74" s="1429">
        <f t="shared" si="61"/>
        <v>-7.0000000000000048E-2</v>
      </c>
      <c r="R74" s="1429">
        <f t="shared" ref="R74:Z74" si="62">R70/R64</f>
        <v>-6.9999999999999993E-2</v>
      </c>
      <c r="S74" s="1429">
        <f t="shared" si="62"/>
        <v>-6.9999999999999937E-2</v>
      </c>
      <c r="T74" s="1429">
        <f t="shared" si="62"/>
        <v>-6.9999999999999993E-2</v>
      </c>
      <c r="U74" s="1429">
        <f t="shared" si="62"/>
        <v>-6.9999999999999993E-2</v>
      </c>
      <c r="V74" s="1429">
        <f t="shared" si="62"/>
        <v>-7.000000000000009E-2</v>
      </c>
      <c r="W74" s="1429">
        <f t="shared" si="62"/>
        <v>-6.9999999999999868E-2</v>
      </c>
      <c r="X74" s="1429">
        <f t="shared" si="62"/>
        <v>-6.9999999999999979E-2</v>
      </c>
      <c r="Y74" s="1429">
        <f t="shared" si="62"/>
        <v>-6.9999999999999826E-2</v>
      </c>
      <c r="Z74" s="1429">
        <f t="shared" si="62"/>
        <v>-6.999999999999991E-2</v>
      </c>
      <c r="AA74" s="1429"/>
    </row>
    <row r="75" spans="1:37">
      <c r="B75" s="1431" t="s">
        <v>28</v>
      </c>
      <c r="J75" s="1440">
        <f>J64-J65</f>
        <v>-1.2999999999999998</v>
      </c>
      <c r="K75" s="1440">
        <f t="shared" ref="K75:Q75" si="63">K64-K65</f>
        <v>12.5</v>
      </c>
      <c r="L75" s="1440">
        <f t="shared" si="63"/>
        <v>7.8234000000000208</v>
      </c>
      <c r="M75" s="1440">
        <f t="shared" si="63"/>
        <v>13.454999999999984</v>
      </c>
      <c r="N75" s="1440">
        <f t="shared" si="63"/>
        <v>4.7700000000000102</v>
      </c>
      <c r="O75" s="1440">
        <f t="shared" si="63"/>
        <v>18.840000000000032</v>
      </c>
      <c r="P75" s="1440">
        <f t="shared" si="63"/>
        <v>26.82000000000005</v>
      </c>
      <c r="Q75" s="1440">
        <f t="shared" si="63"/>
        <v>15.899999999999977</v>
      </c>
      <c r="R75" s="1440">
        <f t="shared" ref="R75:Z75" si="64">R64-R65</f>
        <v>9.5099999999999909</v>
      </c>
      <c r="S75" s="1440">
        <f t="shared" si="64"/>
        <v>14.707080000000019</v>
      </c>
      <c r="T75" s="1440">
        <f t="shared" si="64"/>
        <v>2.8540200000000056</v>
      </c>
      <c r="U75" s="1440">
        <f t="shared" si="64"/>
        <v>5.7080400000000111</v>
      </c>
      <c r="V75" s="1440">
        <f t="shared" si="64"/>
        <v>6.2788439999999923</v>
      </c>
      <c r="W75" s="1440">
        <f t="shared" si="64"/>
        <v>6.90672840000002</v>
      </c>
      <c r="X75" s="1440">
        <f t="shared" si="64"/>
        <v>7.5974012400000106</v>
      </c>
      <c r="Y75" s="1440">
        <f t="shared" si="64"/>
        <v>8.3571413640000287</v>
      </c>
      <c r="Z75" s="1440">
        <f t="shared" si="64"/>
        <v>9.1928555004000145</v>
      </c>
      <c r="AA75" s="1440"/>
    </row>
    <row r="77" spans="1:37" s="1407" customFormat="1">
      <c r="A77" s="1406">
        <v>2</v>
      </c>
      <c r="B77" s="1407" t="s">
        <v>350</v>
      </c>
      <c r="D77" s="1407">
        <f>D63</f>
        <v>2007</v>
      </c>
      <c r="E77" s="1407">
        <f t="shared" ref="E77:Q77" si="65">E63</f>
        <v>2008</v>
      </c>
      <c r="F77" s="1407">
        <f t="shared" si="65"/>
        <v>2009</v>
      </c>
      <c r="G77" s="1407">
        <f t="shared" si="65"/>
        <v>2010</v>
      </c>
      <c r="H77" s="1407">
        <f t="shared" si="65"/>
        <v>2011</v>
      </c>
      <c r="I77" s="1407">
        <f t="shared" si="65"/>
        <v>2012</v>
      </c>
      <c r="J77" s="1407">
        <f t="shared" si="65"/>
        <v>2013</v>
      </c>
      <c r="K77" s="1407">
        <f t="shared" si="65"/>
        <v>2014</v>
      </c>
      <c r="L77" s="1407">
        <f t="shared" si="65"/>
        <v>2015</v>
      </c>
      <c r="M77" s="1407">
        <f t="shared" si="65"/>
        <v>2016</v>
      </c>
      <c r="N77" s="1407">
        <f t="shared" si="65"/>
        <v>2017</v>
      </c>
      <c r="O77" s="1407">
        <f t="shared" si="65"/>
        <v>2018</v>
      </c>
      <c r="P77" s="1407">
        <f t="shared" si="65"/>
        <v>2019</v>
      </c>
      <c r="Q77" s="1407">
        <f t="shared" si="65"/>
        <v>2020</v>
      </c>
      <c r="R77" s="1407">
        <f t="shared" ref="R77:Z77" si="66">R63</f>
        <v>2021</v>
      </c>
      <c r="S77" s="1407">
        <f t="shared" si="66"/>
        <v>2022</v>
      </c>
      <c r="T77" s="1407">
        <f t="shared" si="66"/>
        <v>2023</v>
      </c>
      <c r="U77" s="1407">
        <f t="shared" si="66"/>
        <v>2024</v>
      </c>
      <c r="V77" s="1407">
        <f t="shared" si="66"/>
        <v>2025</v>
      </c>
      <c r="W77" s="1407">
        <f t="shared" si="66"/>
        <v>2026</v>
      </c>
      <c r="X77" s="1407">
        <f t="shared" si="66"/>
        <v>2027</v>
      </c>
      <c r="Y77" s="1407">
        <f t="shared" si="66"/>
        <v>2028</v>
      </c>
      <c r="Z77" s="1407">
        <f t="shared" si="66"/>
        <v>2029</v>
      </c>
    </row>
    <row r="78" spans="1:37">
      <c r="B78" s="1432" t="s">
        <v>1824</v>
      </c>
      <c r="C78" s="1432"/>
      <c r="D78" s="1432"/>
      <c r="E78" s="1432"/>
      <c r="F78" s="1432"/>
      <c r="G78" s="1432"/>
      <c r="H78" s="1432"/>
      <c r="I78" s="1432"/>
      <c r="J78" s="1432"/>
      <c r="K78" s="1432"/>
      <c r="L78" s="1441">
        <f t="shared" ref="L78:Q78" si="67">L79/365*L64</f>
        <v>42.027397260273972</v>
      </c>
      <c r="M78" s="1441">
        <f t="shared" si="67"/>
        <v>56.712328767123282</v>
      </c>
      <c r="N78" s="1441">
        <f t="shared" si="67"/>
        <v>43.561643835616437</v>
      </c>
      <c r="O78" s="1441">
        <f t="shared" si="67"/>
        <v>172.05479452054794</v>
      </c>
      <c r="P78" s="1441">
        <f t="shared" si="67"/>
        <v>244.93150684931504</v>
      </c>
      <c r="Q78" s="1441">
        <f t="shared" si="67"/>
        <v>145.20547945205479</v>
      </c>
      <c r="R78" s="1441">
        <f t="shared" ref="R78:Z78" si="68">R79/365*R64</f>
        <v>86.849315068493141</v>
      </c>
      <c r="S78" s="1441">
        <f t="shared" si="68"/>
        <v>134.31123287671232</v>
      </c>
      <c r="T78" s="1441">
        <f t="shared" si="68"/>
        <v>26.064109589041095</v>
      </c>
      <c r="U78" s="1441">
        <f t="shared" si="68"/>
        <v>52.12821917808219</v>
      </c>
      <c r="V78" s="1441">
        <f t="shared" si="68"/>
        <v>57.341041095890411</v>
      </c>
      <c r="W78" s="1441">
        <f t="shared" si="68"/>
        <v>63.075145205479451</v>
      </c>
      <c r="X78" s="1441">
        <f t="shared" si="68"/>
        <v>69.382659726027399</v>
      </c>
      <c r="Y78" s="1441">
        <f t="shared" si="68"/>
        <v>76.320925698630148</v>
      </c>
      <c r="Z78" s="1441">
        <f t="shared" si="68"/>
        <v>83.953018268493167</v>
      </c>
      <c r="AA78" s="1440"/>
    </row>
    <row r="79" spans="1:37" s="1428" customFormat="1">
      <c r="A79" s="1405"/>
      <c r="B79" s="1428" t="s">
        <v>1825</v>
      </c>
      <c r="L79" s="1679">
        <v>100</v>
      </c>
      <c r="M79" s="1428">
        <f t="shared" ref="M79:T79" si="69">L79</f>
        <v>100</v>
      </c>
      <c r="N79" s="1428">
        <f t="shared" si="69"/>
        <v>100</v>
      </c>
      <c r="O79" s="1428">
        <f t="shared" si="69"/>
        <v>100</v>
      </c>
      <c r="P79" s="1428">
        <f t="shared" si="69"/>
        <v>100</v>
      </c>
      <c r="Q79" s="1428">
        <f t="shared" si="69"/>
        <v>100</v>
      </c>
      <c r="R79" s="1428">
        <f t="shared" si="69"/>
        <v>100</v>
      </c>
      <c r="S79" s="1428">
        <f t="shared" si="69"/>
        <v>100</v>
      </c>
      <c r="T79" s="1428">
        <f t="shared" si="69"/>
        <v>100</v>
      </c>
      <c r="U79" s="1428">
        <f t="shared" ref="U79:Z79" si="70">T79</f>
        <v>100</v>
      </c>
      <c r="V79" s="1428">
        <f t="shared" si="70"/>
        <v>100</v>
      </c>
      <c r="W79" s="1428">
        <f t="shared" si="70"/>
        <v>100</v>
      </c>
      <c r="X79" s="1428">
        <f t="shared" si="70"/>
        <v>100</v>
      </c>
      <c r="Y79" s="1428">
        <f t="shared" si="70"/>
        <v>100</v>
      </c>
      <c r="Z79" s="1428">
        <f t="shared" si="70"/>
        <v>100</v>
      </c>
    </row>
    <row r="80" spans="1:37">
      <c r="B80" s="1431" t="s">
        <v>1492</v>
      </c>
      <c r="L80" s="1440">
        <f t="shared" ref="L80:Q80" si="71">L81/365*L65</f>
        <v>5.1849199999999991</v>
      </c>
      <c r="M80" s="1440">
        <f t="shared" si="71"/>
        <v>6.8933835616438364</v>
      </c>
      <c r="N80" s="1440">
        <f t="shared" si="71"/>
        <v>5.4931232876712324</v>
      </c>
      <c r="O80" s="1440">
        <f t="shared" si="71"/>
        <v>21.696109589041093</v>
      </c>
      <c r="P80" s="1440">
        <f t="shared" si="71"/>
        <v>30.885863013698629</v>
      </c>
      <c r="Q80" s="1440">
        <f t="shared" si="71"/>
        <v>18.310410958904111</v>
      </c>
      <c r="R80" s="1440">
        <f t="shared" ref="R80:Z80" si="72">R81/365*R65</f>
        <v>10.951698630136987</v>
      </c>
      <c r="S80" s="1440">
        <f t="shared" si="72"/>
        <v>16.936646465753423</v>
      </c>
      <c r="T80" s="1440">
        <f t="shared" si="72"/>
        <v>3.2866842191780821</v>
      </c>
      <c r="U80" s="1440">
        <f t="shared" si="72"/>
        <v>6.5733684383561641</v>
      </c>
      <c r="V80" s="1440">
        <f t="shared" si="72"/>
        <v>7.2307052821917814</v>
      </c>
      <c r="W80" s="1440">
        <f t="shared" si="72"/>
        <v>7.953775810410959</v>
      </c>
      <c r="X80" s="1440">
        <f t="shared" si="72"/>
        <v>8.7491533914520563</v>
      </c>
      <c r="Y80" s="1440">
        <f t="shared" si="72"/>
        <v>9.6240687305972603</v>
      </c>
      <c r="Z80" s="1440">
        <f t="shared" si="72"/>
        <v>10.586475603656989</v>
      </c>
      <c r="AA80" s="1440"/>
    </row>
    <row r="81" spans="1:28" s="1428" customFormat="1">
      <c r="A81" s="1405"/>
      <c r="B81" s="1428" t="s">
        <v>1826</v>
      </c>
      <c r="L81" s="1679">
        <v>13</v>
      </c>
      <c r="M81" s="1428">
        <f t="shared" ref="M81:T81" si="73">L81</f>
        <v>13</v>
      </c>
      <c r="N81" s="1428">
        <f t="shared" si="73"/>
        <v>13</v>
      </c>
      <c r="O81" s="1428">
        <f t="shared" si="73"/>
        <v>13</v>
      </c>
      <c r="P81" s="1428">
        <f t="shared" si="73"/>
        <v>13</v>
      </c>
      <c r="Q81" s="1428">
        <f t="shared" si="73"/>
        <v>13</v>
      </c>
      <c r="R81" s="1428">
        <f t="shared" si="73"/>
        <v>13</v>
      </c>
      <c r="S81" s="1428">
        <f t="shared" si="73"/>
        <v>13</v>
      </c>
      <c r="T81" s="1428">
        <f t="shared" si="73"/>
        <v>13</v>
      </c>
      <c r="U81" s="1428">
        <f t="shared" ref="U81:Z81" si="74">T81</f>
        <v>13</v>
      </c>
      <c r="V81" s="1428">
        <f t="shared" si="74"/>
        <v>13</v>
      </c>
      <c r="W81" s="1428">
        <f t="shared" si="74"/>
        <v>13</v>
      </c>
      <c r="X81" s="1428">
        <f t="shared" si="74"/>
        <v>13</v>
      </c>
      <c r="Y81" s="1428">
        <f t="shared" si="74"/>
        <v>13</v>
      </c>
      <c r="Z81" s="1428">
        <f t="shared" si="74"/>
        <v>13</v>
      </c>
    </row>
    <row r="82" spans="1:28">
      <c r="B82" s="1431" t="s">
        <v>1827</v>
      </c>
      <c r="L82" s="1440">
        <f t="shared" ref="L82:Q82" si="75">L83/365*L65</f>
        <v>20.34084</v>
      </c>
      <c r="M82" s="1440">
        <f t="shared" si="75"/>
        <v>27.043273972602744</v>
      </c>
      <c r="N82" s="1440">
        <f t="shared" si="75"/>
        <v>21.549945205479453</v>
      </c>
      <c r="O82" s="1440">
        <f t="shared" si="75"/>
        <v>85.115506849315068</v>
      </c>
      <c r="P82" s="1440">
        <f t="shared" si="75"/>
        <v>121.16761643835616</v>
      </c>
      <c r="Q82" s="1440">
        <f t="shared" si="75"/>
        <v>71.83315068493151</v>
      </c>
      <c r="R82" s="1440">
        <f t="shared" ref="R82:Z82" si="76">R83/365*R65</f>
        <v>42.964356164383567</v>
      </c>
      <c r="S82" s="1440">
        <f t="shared" si="76"/>
        <v>66.443766904109594</v>
      </c>
      <c r="T82" s="1440">
        <f t="shared" si="76"/>
        <v>12.89391501369863</v>
      </c>
      <c r="U82" s="1440">
        <f t="shared" si="76"/>
        <v>25.787830027397259</v>
      </c>
      <c r="V82" s="1440">
        <f t="shared" si="76"/>
        <v>28.366613030136989</v>
      </c>
      <c r="W82" s="1440">
        <f t="shared" si="76"/>
        <v>31.203274333150688</v>
      </c>
      <c r="X82" s="1440">
        <f t="shared" si="76"/>
        <v>34.323601766465757</v>
      </c>
      <c r="Y82" s="1440">
        <f t="shared" si="76"/>
        <v>37.755961943112332</v>
      </c>
      <c r="Z82" s="1440">
        <f t="shared" si="76"/>
        <v>41.531558137423573</v>
      </c>
      <c r="AA82" s="1440"/>
    </row>
    <row r="83" spans="1:28" s="1428" customFormat="1">
      <c r="A83" s="1405"/>
      <c r="B83" s="1428" t="s">
        <v>1828</v>
      </c>
      <c r="L83" s="1679">
        <v>51</v>
      </c>
      <c r="M83" s="1428">
        <f t="shared" ref="M83:T83" si="77">L83</f>
        <v>51</v>
      </c>
      <c r="N83" s="1428">
        <f t="shared" si="77"/>
        <v>51</v>
      </c>
      <c r="O83" s="1428">
        <f t="shared" si="77"/>
        <v>51</v>
      </c>
      <c r="P83" s="1428">
        <f t="shared" si="77"/>
        <v>51</v>
      </c>
      <c r="Q83" s="1428">
        <f t="shared" si="77"/>
        <v>51</v>
      </c>
      <c r="R83" s="1428">
        <f t="shared" si="77"/>
        <v>51</v>
      </c>
      <c r="S83" s="1428">
        <f t="shared" si="77"/>
        <v>51</v>
      </c>
      <c r="T83" s="1428">
        <f t="shared" si="77"/>
        <v>51</v>
      </c>
      <c r="U83" s="1428">
        <f t="shared" ref="U83:Z83" si="78">T83</f>
        <v>51</v>
      </c>
      <c r="V83" s="1428">
        <f t="shared" si="78"/>
        <v>51</v>
      </c>
      <c r="W83" s="1428">
        <f t="shared" si="78"/>
        <v>51</v>
      </c>
      <c r="X83" s="1428">
        <f t="shared" si="78"/>
        <v>51</v>
      </c>
      <c r="Y83" s="1428">
        <f t="shared" si="78"/>
        <v>51</v>
      </c>
      <c r="Z83" s="1428">
        <f t="shared" si="78"/>
        <v>51</v>
      </c>
    </row>
    <row r="86" spans="1:28" ht="15.75">
      <c r="A86" s="1420" t="s">
        <v>1697</v>
      </c>
      <c r="B86" s="1420"/>
      <c r="C86" s="1420"/>
      <c r="AB86" s="1407"/>
    </row>
    <row r="87" spans="1:28" s="1407" customFormat="1" ht="15.75">
      <c r="A87" s="1682"/>
      <c r="B87" s="1682"/>
      <c r="C87" s="1682"/>
      <c r="D87" s="1407">
        <f>D77</f>
        <v>2007</v>
      </c>
      <c r="E87" s="1407">
        <f t="shared" ref="E87:P87" si="79">E77</f>
        <v>2008</v>
      </c>
      <c r="F87" s="1407">
        <f t="shared" si="79"/>
        <v>2009</v>
      </c>
      <c r="G87" s="1407">
        <f t="shared" si="79"/>
        <v>2010</v>
      </c>
      <c r="H87" s="1407">
        <f t="shared" si="79"/>
        <v>2011</v>
      </c>
      <c r="I87" s="1407">
        <f t="shared" si="79"/>
        <v>2012</v>
      </c>
      <c r="J87" s="1407">
        <f t="shared" si="79"/>
        <v>2013</v>
      </c>
      <c r="K87" s="1407">
        <f t="shared" si="79"/>
        <v>2014</v>
      </c>
      <c r="L87" s="1407">
        <f t="shared" si="79"/>
        <v>2015</v>
      </c>
      <c r="M87" s="1407">
        <f t="shared" si="79"/>
        <v>2016</v>
      </c>
      <c r="N87" s="1407">
        <f t="shared" si="79"/>
        <v>2017</v>
      </c>
      <c r="O87" s="1407">
        <f t="shared" si="79"/>
        <v>2018</v>
      </c>
      <c r="P87" s="1407">
        <f t="shared" si="79"/>
        <v>2019</v>
      </c>
      <c r="Q87" s="1407">
        <f t="shared" ref="Q87:Z87" si="80">Q77</f>
        <v>2020</v>
      </c>
      <c r="R87" s="1407">
        <f t="shared" si="80"/>
        <v>2021</v>
      </c>
      <c r="S87" s="1407">
        <f t="shared" si="80"/>
        <v>2022</v>
      </c>
      <c r="T87" s="1407">
        <f t="shared" si="80"/>
        <v>2023</v>
      </c>
      <c r="U87" s="1407">
        <f t="shared" si="80"/>
        <v>2024</v>
      </c>
      <c r="V87" s="1407">
        <f t="shared" si="80"/>
        <v>2025</v>
      </c>
      <c r="W87" s="1407">
        <f t="shared" si="80"/>
        <v>2026</v>
      </c>
      <c r="X87" s="1407">
        <f t="shared" si="80"/>
        <v>2027</v>
      </c>
      <c r="Y87" s="1407">
        <f t="shared" si="80"/>
        <v>2028</v>
      </c>
      <c r="Z87" s="1407">
        <f t="shared" si="80"/>
        <v>2029</v>
      </c>
      <c r="AB87" s="1455" t="s">
        <v>1829</v>
      </c>
    </row>
    <row r="88" spans="1:28">
      <c r="B88" s="1431" t="s">
        <v>1601</v>
      </c>
      <c r="L88" s="1440"/>
      <c r="M88" s="1440">
        <f t="shared" ref="M88:Z88" si="81">M42</f>
        <v>254.16000000000003</v>
      </c>
      <c r="N88" s="1440">
        <f t="shared" si="81"/>
        <v>662.81600000000003</v>
      </c>
      <c r="O88" s="1440">
        <f t="shared" si="81"/>
        <v>1087.6799999999998</v>
      </c>
      <c r="P88" s="1440">
        <f t="shared" si="81"/>
        <v>1310.3679999999999</v>
      </c>
      <c r="Q88" s="1440">
        <f t="shared" si="81"/>
        <v>615.57599999999979</v>
      </c>
      <c r="R88" s="1440">
        <f t="shared" si="81"/>
        <v>860.8</v>
      </c>
      <c r="S88" s="1440">
        <f t="shared" si="81"/>
        <v>661.36895200000004</v>
      </c>
      <c r="T88" s="1440">
        <f t="shared" si="81"/>
        <v>13.583680000000005</v>
      </c>
      <c r="U88" s="1440">
        <f t="shared" si="81"/>
        <v>259.98284799999999</v>
      </c>
      <c r="V88" s="1440">
        <f t="shared" si="81"/>
        <v>391.77684479999999</v>
      </c>
      <c r="W88" s="1440">
        <f t="shared" si="81"/>
        <v>474.93221376000002</v>
      </c>
      <c r="X88" s="1440">
        <f t="shared" si="81"/>
        <v>574.71865651199982</v>
      </c>
      <c r="Y88" s="1440">
        <f t="shared" si="81"/>
        <v>774.29154201599999</v>
      </c>
      <c r="Z88" s="1440">
        <f t="shared" si="81"/>
        <v>933.94985041919972</v>
      </c>
      <c r="AA88" s="1440"/>
      <c r="AB88" s="1412">
        <v>8</v>
      </c>
    </row>
    <row r="89" spans="1:28">
      <c r="B89" s="1431" t="s">
        <v>234</v>
      </c>
      <c r="L89" s="1440"/>
      <c r="M89" s="1440">
        <f t="shared" ref="M89:Z89" si="82">M88</f>
        <v>254.16000000000003</v>
      </c>
      <c r="N89" s="1440">
        <f t="shared" si="82"/>
        <v>662.81600000000003</v>
      </c>
      <c r="O89" s="1440">
        <f t="shared" si="82"/>
        <v>1087.6799999999998</v>
      </c>
      <c r="P89" s="1440">
        <f t="shared" si="82"/>
        <v>1310.3679999999999</v>
      </c>
      <c r="Q89" s="1440">
        <f t="shared" si="82"/>
        <v>615.57599999999979</v>
      </c>
      <c r="R89" s="1440">
        <f t="shared" si="82"/>
        <v>860.8</v>
      </c>
      <c r="S89" s="1440">
        <f t="shared" si="82"/>
        <v>661.36895200000004</v>
      </c>
      <c r="T89" s="1440">
        <f t="shared" si="82"/>
        <v>13.583680000000005</v>
      </c>
      <c r="U89" s="1440">
        <f t="shared" si="82"/>
        <v>259.98284799999999</v>
      </c>
      <c r="V89" s="1440">
        <f t="shared" si="82"/>
        <v>391.77684479999999</v>
      </c>
      <c r="W89" s="1440">
        <f t="shared" si="82"/>
        <v>474.93221376000002</v>
      </c>
      <c r="X89" s="1440">
        <f t="shared" si="82"/>
        <v>574.71865651199982</v>
      </c>
      <c r="Y89" s="1440">
        <f t="shared" si="82"/>
        <v>774.29154201599999</v>
      </c>
      <c r="Z89" s="1440">
        <f t="shared" si="82"/>
        <v>933.94985041919972</v>
      </c>
      <c r="AA89" s="1440"/>
    </row>
    <row r="90" spans="1:28">
      <c r="B90" s="1431" t="s">
        <v>1830</v>
      </c>
      <c r="L90" s="1440"/>
      <c r="M90" s="1440">
        <f>M89/(1+F13)^(M87-$L$87)</f>
        <v>228.17129006194452</v>
      </c>
      <c r="N90" s="1440">
        <f>N89/(1+G13)^(N87-$M$87)</f>
        <v>595.0408474728431</v>
      </c>
      <c r="O90" s="1440">
        <f t="shared" ref="O90:T90" si="83">O89/(1+H13)^(O87-$M$87)</f>
        <v>876.61467158853281</v>
      </c>
      <c r="P90" s="1440">
        <f t="shared" si="83"/>
        <v>948.10113605702713</v>
      </c>
      <c r="Q90" s="1440">
        <f t="shared" si="83"/>
        <v>399.84978192028325</v>
      </c>
      <c r="R90" s="1440">
        <f t="shared" si="83"/>
        <v>501.96245951986202</v>
      </c>
      <c r="S90" s="1440">
        <f t="shared" si="83"/>
        <v>346.23150170070596</v>
      </c>
      <c r="T90" s="1440">
        <f t="shared" si="83"/>
        <v>6.3840167001504389</v>
      </c>
      <c r="U90" s="1440">
        <f t="shared" ref="U90:Z90" si="84">U89/(1+N13)^(U87-$M$87)</f>
        <v>109.69202788337583</v>
      </c>
      <c r="V90" s="1440">
        <f t="shared" si="84"/>
        <v>148.39625082065007</v>
      </c>
      <c r="W90" s="1440">
        <f t="shared" si="84"/>
        <v>161.49890739554255</v>
      </c>
      <c r="X90" s="1440">
        <f t="shared" si="84"/>
        <v>175.44744659710088</v>
      </c>
      <c r="Y90" s="1440">
        <f t="shared" si="84"/>
        <v>212.20229078160639</v>
      </c>
      <c r="Z90" s="1440">
        <f t="shared" si="84"/>
        <v>229.78565098552986</v>
      </c>
      <c r="AA90" s="1440"/>
    </row>
    <row r="91" spans="1:28">
      <c r="B91" s="1431" t="s">
        <v>1831</v>
      </c>
      <c r="M91" s="1440"/>
      <c r="N91" s="1440">
        <f>SUM(N90:S90)</f>
        <v>3667.8003982592536</v>
      </c>
    </row>
    <row r="92" spans="1:28">
      <c r="B92" s="1431" t="s">
        <v>1845</v>
      </c>
      <c r="M92" s="1440"/>
      <c r="N92" s="1538">
        <f>N91/N88</f>
        <v>5.5336630350794991</v>
      </c>
    </row>
    <row r="93" spans="1:28">
      <c r="B93" s="1431" t="s">
        <v>1832</v>
      </c>
      <c r="M93" s="1411"/>
      <c r="N93" s="1411">
        <v>0.51</v>
      </c>
    </row>
    <row r="94" spans="1:28">
      <c r="B94" s="1432" t="s">
        <v>1833</v>
      </c>
      <c r="C94" s="1432"/>
      <c r="D94" s="1432"/>
      <c r="E94" s="1432"/>
      <c r="F94" s="1432"/>
      <c r="G94" s="1432"/>
      <c r="H94" s="1432"/>
      <c r="I94" s="1432"/>
      <c r="J94" s="1432"/>
      <c r="K94" s="1432"/>
      <c r="L94" s="1432"/>
      <c r="M94" s="1441"/>
      <c r="N94" s="1441">
        <f>N91*N93</f>
        <v>1870.5782031122194</v>
      </c>
    </row>
    <row r="96" spans="1:28">
      <c r="E96" s="1440"/>
      <c r="F96" s="1440"/>
    </row>
  </sheetData>
  <pageMargins left="0.7" right="0.7" top="0.75" bottom="0.75" header="0.3" footer="0.3"/>
  <pageSetup orientation="portrait" r:id="rId1"/>
  <ignoredErrors>
    <ignoredError sqref="M80:Q82 M54:Q56 E9:Q9" formula="1"/>
  </ignoredErrors>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49"/>
  <sheetViews>
    <sheetView topLeftCell="A19" zoomScale="115" zoomScaleNormal="115" zoomScaleSheetLayoutView="115" workbookViewId="0">
      <selection activeCell="J30" sqref="J30"/>
    </sheetView>
  </sheetViews>
  <sheetFormatPr defaultColWidth="9.140625" defaultRowHeight="12"/>
  <cols>
    <col min="1" max="1" width="2.140625" style="1431" customWidth="1"/>
    <col min="2" max="2" width="4.7109375" style="1431" customWidth="1"/>
    <col min="3" max="3" width="11" style="1431" customWidth="1"/>
    <col min="4" max="4" width="8.140625" style="1431" customWidth="1"/>
    <col min="5" max="5" width="11.140625" style="1431" customWidth="1"/>
    <col min="6" max="16" width="9.7109375" style="1431" bestFit="1" customWidth="1"/>
    <col min="17" max="16384" width="9.140625" style="1431"/>
  </cols>
  <sheetData>
    <row r="1" spans="1:16" ht="21">
      <c r="A1" s="1404" t="s">
        <v>756</v>
      </c>
      <c r="B1" s="1532"/>
      <c r="M1" s="1533"/>
      <c r="N1" s="1533"/>
      <c r="O1" s="1533"/>
      <c r="P1" s="1533"/>
    </row>
    <row r="2" spans="1:16" ht="12.75">
      <c r="A2" s="1405" t="s">
        <v>1776</v>
      </c>
      <c r="B2" s="1549"/>
    </row>
    <row r="4" spans="1:16">
      <c r="F4" s="1523" t="s">
        <v>1614</v>
      </c>
      <c r="G4" s="1468"/>
      <c r="H4" s="1469"/>
      <c r="I4" s="1469" t="s">
        <v>1615</v>
      </c>
      <c r="J4" s="1523"/>
      <c r="K4" s="1523"/>
      <c r="L4" s="1523"/>
      <c r="M4" s="1523"/>
      <c r="N4" s="1523"/>
      <c r="O4" s="1523"/>
      <c r="P4" s="1523"/>
    </row>
    <row r="5" spans="1:16">
      <c r="F5" s="1480">
        <f>IS!F5</f>
        <v>2012</v>
      </c>
      <c r="G5" s="1480">
        <f>IS!G5</f>
        <v>2013</v>
      </c>
      <c r="H5" s="1480">
        <f>IS!H5</f>
        <v>2014</v>
      </c>
      <c r="I5" s="1480">
        <f>IS!I5</f>
        <v>2015</v>
      </c>
      <c r="J5" s="1480">
        <f>IS!J5</f>
        <v>2016</v>
      </c>
      <c r="K5" s="1480">
        <f>IS!K5</f>
        <v>2017</v>
      </c>
      <c r="L5" s="1480">
        <f>IS!L5</f>
        <v>2018</v>
      </c>
      <c r="M5" s="1480">
        <f>IS!M5</f>
        <v>2019</v>
      </c>
      <c r="N5" s="1480">
        <f>IS!N5</f>
        <v>2020</v>
      </c>
      <c r="O5" s="1480">
        <f>IS!O5</f>
        <v>2021</v>
      </c>
      <c r="P5" s="1480">
        <f>IS!P5</f>
        <v>2022</v>
      </c>
    </row>
    <row r="7" spans="1:16">
      <c r="B7" s="1431" t="s">
        <v>68</v>
      </c>
      <c r="F7" s="1423">
        <v>0</v>
      </c>
      <c r="G7" s="1423">
        <v>0</v>
      </c>
      <c r="H7" s="1423">
        <v>0</v>
      </c>
      <c r="I7" s="1423">
        <v>0</v>
      </c>
      <c r="J7" s="1604">
        <f>I7</f>
        <v>0</v>
      </c>
      <c r="K7" s="1604">
        <f t="shared" ref="K7:P7" si="0">J7</f>
        <v>0</v>
      </c>
      <c r="L7" s="1604">
        <f t="shared" si="0"/>
        <v>0</v>
      </c>
      <c r="M7" s="1604">
        <f t="shared" si="0"/>
        <v>0</v>
      </c>
      <c r="N7" s="1604">
        <f t="shared" si="0"/>
        <v>0</v>
      </c>
      <c r="O7" s="1604">
        <f t="shared" si="0"/>
        <v>0</v>
      </c>
      <c r="P7" s="1604">
        <f t="shared" si="0"/>
        <v>0</v>
      </c>
    </row>
    <row r="8" spans="1:16">
      <c r="B8" s="1431" t="s">
        <v>69</v>
      </c>
      <c r="F8" s="1423">
        <v>32</v>
      </c>
      <c r="G8" s="1423">
        <v>11</v>
      </c>
      <c r="H8" s="1423">
        <v>11</v>
      </c>
      <c r="I8" s="1423">
        <v>11</v>
      </c>
      <c r="J8" s="1410">
        <f t="shared" ref="J8:P8" si="1">I8+J19</f>
        <v>11</v>
      </c>
      <c r="K8" s="1410">
        <f t="shared" si="1"/>
        <v>11</v>
      </c>
      <c r="L8" s="1410">
        <f t="shared" si="1"/>
        <v>11</v>
      </c>
      <c r="M8" s="1410">
        <f t="shared" si="1"/>
        <v>11</v>
      </c>
      <c r="N8" s="1410">
        <f t="shared" si="1"/>
        <v>11</v>
      </c>
      <c r="O8" s="1410">
        <f t="shared" si="1"/>
        <v>11</v>
      </c>
      <c r="P8" s="1410">
        <f t="shared" si="1"/>
        <v>11</v>
      </c>
    </row>
    <row r="9" spans="1:16">
      <c r="B9" s="1431" t="s">
        <v>70</v>
      </c>
      <c r="F9" s="1423">
        <v>420</v>
      </c>
      <c r="G9" s="1423">
        <v>528</v>
      </c>
      <c r="H9" s="1423">
        <v>750</v>
      </c>
      <c r="I9" s="1423">
        <v>1173</v>
      </c>
      <c r="J9" s="1440">
        <f>I9+J18+J24+J26</f>
        <v>2530.9499999999998</v>
      </c>
      <c r="K9" s="1423">
        <v>3032</v>
      </c>
      <c r="L9" s="1423">
        <v>3500</v>
      </c>
      <c r="M9" s="1423">
        <v>5200</v>
      </c>
      <c r="N9" s="1440">
        <f>M9+N18+N24+N26</f>
        <v>5190</v>
      </c>
      <c r="O9" s="1440">
        <f>N9+O18+O24+O26</f>
        <v>5190</v>
      </c>
      <c r="P9" s="1440">
        <f>O9+P18+P24+P26</f>
        <v>5190</v>
      </c>
    </row>
    <row r="10" spans="1:16">
      <c r="B10" s="1431" t="s">
        <v>1770</v>
      </c>
      <c r="F10" s="1423">
        <v>96</v>
      </c>
      <c r="G10" s="1423">
        <v>84</v>
      </c>
      <c r="H10" s="1423">
        <v>229</v>
      </c>
      <c r="I10" s="1423">
        <v>382</v>
      </c>
      <c r="J10" s="1423">
        <v>677</v>
      </c>
      <c r="K10" s="1423">
        <v>746</v>
      </c>
      <c r="L10" s="1423">
        <v>1456</v>
      </c>
      <c r="M10" s="1423">
        <v>1716</v>
      </c>
      <c r="N10" s="1463">
        <f>M10+IS!N29-N24-N26</f>
        <v>1220.2546077760001</v>
      </c>
      <c r="O10" s="1463">
        <f>N10+IS!O29-O24-O26</f>
        <v>2377.5149361069998</v>
      </c>
      <c r="P10" s="1463">
        <f>O10+IS!P29-P24-P26</f>
        <v>2592.3841263330005</v>
      </c>
    </row>
    <row r="11" spans="1:16">
      <c r="B11" s="1431" t="s">
        <v>72</v>
      </c>
      <c r="F11" s="1423">
        <v>24</v>
      </c>
      <c r="G11" s="1423">
        <v>31</v>
      </c>
      <c r="H11" s="1423">
        <v>69</v>
      </c>
      <c r="I11" s="1423">
        <v>188</v>
      </c>
      <c r="J11" s="1423">
        <v>293</v>
      </c>
      <c r="K11" s="1423">
        <v>840</v>
      </c>
      <c r="L11" s="1423">
        <v>1233</v>
      </c>
      <c r="M11" s="1423">
        <v>2239</v>
      </c>
      <c r="N11" s="1463">
        <f>M11+IS!N28</f>
        <v>2560.6757160890002</v>
      </c>
      <c r="O11" s="1463">
        <f>N11+IS!O28</f>
        <v>2998.4716930930003</v>
      </c>
      <c r="P11" s="1463">
        <f>O11+IS!P28</f>
        <v>3317.3091709750001</v>
      </c>
    </row>
    <row r="12" spans="1:16">
      <c r="B12" s="1431" t="s">
        <v>1771</v>
      </c>
      <c r="F12" s="1423">
        <v>8</v>
      </c>
      <c r="G12" s="1423">
        <v>10</v>
      </c>
      <c r="H12" s="1423">
        <v>13</v>
      </c>
      <c r="I12" s="1423">
        <v>17</v>
      </c>
      <c r="J12" s="1423">
        <v>25</v>
      </c>
      <c r="K12" s="1410">
        <f t="shared" ref="K12:P12" si="2">J12</f>
        <v>25</v>
      </c>
      <c r="L12" s="1423">
        <v>32</v>
      </c>
      <c r="M12" s="1423">
        <v>62</v>
      </c>
      <c r="N12" s="1410">
        <f t="shared" si="2"/>
        <v>62</v>
      </c>
      <c r="O12" s="1410">
        <f t="shared" si="2"/>
        <v>62</v>
      </c>
      <c r="P12" s="1410">
        <f t="shared" si="2"/>
        <v>62</v>
      </c>
    </row>
    <row r="13" spans="1:16">
      <c r="B13" s="1431" t="s">
        <v>73</v>
      </c>
      <c r="F13" s="1410">
        <f>SUM(F7:F12)</f>
        <v>580</v>
      </c>
      <c r="G13" s="1410">
        <f>SUM(G7:G12)</f>
        <v>664</v>
      </c>
      <c r="H13" s="1410">
        <f t="shared" ref="H13:P13" si="3">SUM(H7:H12)</f>
        <v>1072</v>
      </c>
      <c r="I13" s="1410">
        <f t="shared" si="3"/>
        <v>1771</v>
      </c>
      <c r="J13" s="1410">
        <f t="shared" si="3"/>
        <v>3536.95</v>
      </c>
      <c r="K13" s="1410">
        <f t="shared" si="3"/>
        <v>4654</v>
      </c>
      <c r="L13" s="1410">
        <f t="shared" si="3"/>
        <v>6232</v>
      </c>
      <c r="M13" s="1410">
        <f t="shared" si="3"/>
        <v>9228</v>
      </c>
      <c r="N13" s="1410">
        <f t="shared" si="3"/>
        <v>9043.9303238649991</v>
      </c>
      <c r="O13" s="1410">
        <f t="shared" si="3"/>
        <v>10638.986629200001</v>
      </c>
      <c r="P13" s="1410">
        <f t="shared" si="3"/>
        <v>11172.693297308</v>
      </c>
    </row>
    <row r="14" spans="1:16">
      <c r="F14" s="1412"/>
      <c r="G14" s="1412"/>
      <c r="H14" s="1446"/>
      <c r="I14" s="1439"/>
      <c r="J14" s="1439"/>
      <c r="K14" s="1439"/>
      <c r="L14" s="1439"/>
      <c r="M14" s="1439"/>
      <c r="N14" s="1439"/>
      <c r="O14" s="1439"/>
      <c r="P14" s="1439"/>
    </row>
    <row r="15" spans="1:16">
      <c r="B15" s="1431" t="s">
        <v>1652</v>
      </c>
      <c r="F15" s="1447"/>
      <c r="G15" s="1447"/>
      <c r="H15" s="1447"/>
      <c r="I15" s="1447">
        <f t="shared" ref="I15:P15" si="4">I5</f>
        <v>2015</v>
      </c>
      <c r="J15" s="1447">
        <f t="shared" si="4"/>
        <v>2016</v>
      </c>
      <c r="K15" s="1447">
        <f t="shared" si="4"/>
        <v>2017</v>
      </c>
      <c r="L15" s="1447">
        <f t="shared" si="4"/>
        <v>2018</v>
      </c>
      <c r="M15" s="1447">
        <f t="shared" si="4"/>
        <v>2019</v>
      </c>
      <c r="N15" s="1447">
        <f t="shared" si="4"/>
        <v>2020</v>
      </c>
      <c r="O15" s="1447">
        <f t="shared" si="4"/>
        <v>2021</v>
      </c>
      <c r="P15" s="1447">
        <f t="shared" si="4"/>
        <v>2022</v>
      </c>
    </row>
    <row r="16" spans="1:16">
      <c r="B16" s="1432"/>
      <c r="C16" s="1605" t="s">
        <v>1654</v>
      </c>
      <c r="D16" s="1432"/>
      <c r="E16" s="1432"/>
      <c r="F16" s="1432"/>
      <c r="G16" s="1432"/>
      <c r="H16" s="1432"/>
      <c r="I16" s="1456"/>
      <c r="J16" s="1587">
        <v>117.2</v>
      </c>
      <c r="K16" s="1456">
        <v>0</v>
      </c>
      <c r="L16" s="1456">
        <v>0</v>
      </c>
      <c r="M16" s="1456">
        <v>87.5</v>
      </c>
      <c r="N16" s="1456">
        <v>-1</v>
      </c>
      <c r="O16" s="1456">
        <v>0</v>
      </c>
      <c r="P16" s="1456">
        <v>0</v>
      </c>
    </row>
    <row r="17" spans="2:19">
      <c r="C17" s="1431" t="s">
        <v>1655</v>
      </c>
      <c r="I17" s="1423"/>
      <c r="J17" s="1423">
        <v>10</v>
      </c>
      <c r="K17" s="1440">
        <f t="shared" ref="K17:P17" si="5">J17</f>
        <v>10</v>
      </c>
      <c r="L17" s="1440">
        <f t="shared" si="5"/>
        <v>10</v>
      </c>
      <c r="M17" s="1440">
        <f t="shared" si="5"/>
        <v>10</v>
      </c>
      <c r="N17" s="1440">
        <f t="shared" si="5"/>
        <v>10</v>
      </c>
      <c r="O17" s="1440">
        <f t="shared" si="5"/>
        <v>10</v>
      </c>
      <c r="P17" s="1440">
        <f t="shared" si="5"/>
        <v>10</v>
      </c>
    </row>
    <row r="18" spans="2:19">
      <c r="C18" s="1431" t="s">
        <v>1741</v>
      </c>
      <c r="I18" s="1423"/>
      <c r="J18" s="1423">
        <f>J16*10</f>
        <v>1172</v>
      </c>
      <c r="K18" s="1423">
        <f t="shared" ref="K18:P18" si="6">K16*10</f>
        <v>0</v>
      </c>
      <c r="L18" s="1423">
        <f t="shared" si="6"/>
        <v>0</v>
      </c>
      <c r="M18" s="1423">
        <f t="shared" si="6"/>
        <v>875</v>
      </c>
      <c r="N18" s="1423">
        <f t="shared" si="6"/>
        <v>-10</v>
      </c>
      <c r="O18" s="1423">
        <f t="shared" si="6"/>
        <v>0</v>
      </c>
      <c r="P18" s="1423">
        <f t="shared" si="6"/>
        <v>0</v>
      </c>
    </row>
    <row r="19" spans="2:19">
      <c r="C19" s="1431" t="s">
        <v>1742</v>
      </c>
      <c r="I19" s="1423"/>
      <c r="J19" s="1423">
        <f>J16*(J17-10)</f>
        <v>0</v>
      </c>
      <c r="K19" s="1423">
        <f t="shared" ref="K19:P19" si="7">K16*(K17-10)</f>
        <v>0</v>
      </c>
      <c r="L19" s="1423">
        <f t="shared" si="7"/>
        <v>0</v>
      </c>
      <c r="M19" s="1423">
        <f t="shared" si="7"/>
        <v>0</v>
      </c>
      <c r="N19" s="1423">
        <f t="shared" si="7"/>
        <v>0</v>
      </c>
      <c r="O19" s="1423">
        <f t="shared" si="7"/>
        <v>0</v>
      </c>
      <c r="P19" s="1423">
        <f t="shared" si="7"/>
        <v>0</v>
      </c>
      <c r="Q19" s="1440">
        <f>I32</f>
        <v>501.58982399999991</v>
      </c>
      <c r="R19" s="1423">
        <v>12</v>
      </c>
      <c r="S19" s="1440">
        <f>Q19*R19</f>
        <v>6019.0778879999989</v>
      </c>
    </row>
    <row r="20" spans="2:19">
      <c r="C20" s="1431" t="s">
        <v>1656</v>
      </c>
      <c r="I20" s="1440"/>
      <c r="J20" s="1440">
        <f>J18+J19</f>
        <v>1172</v>
      </c>
      <c r="K20" s="1440">
        <f t="shared" ref="K20:P20" si="8">K18+K19</f>
        <v>0</v>
      </c>
      <c r="L20" s="1440">
        <f t="shared" si="8"/>
        <v>0</v>
      </c>
      <c r="M20" s="1440">
        <f t="shared" si="8"/>
        <v>875</v>
      </c>
      <c r="N20" s="1440">
        <f t="shared" si="8"/>
        <v>-10</v>
      </c>
      <c r="O20" s="1440">
        <f t="shared" si="8"/>
        <v>0</v>
      </c>
      <c r="P20" s="1440">
        <f t="shared" si="8"/>
        <v>0</v>
      </c>
      <c r="Q20" s="1440">
        <f>J16</f>
        <v>117.2</v>
      </c>
      <c r="R20" s="1423">
        <v>2</v>
      </c>
      <c r="S20" s="1440">
        <f>Q20*R20</f>
        <v>234.4</v>
      </c>
    </row>
    <row r="21" spans="2:19">
      <c r="B21" s="1431" t="s">
        <v>1325</v>
      </c>
      <c r="I21" s="1440"/>
      <c r="J21" s="1440"/>
      <c r="K21" s="1440"/>
      <c r="L21" s="1440"/>
      <c r="M21" s="1440"/>
      <c r="N21" s="1440"/>
      <c r="O21" s="1440"/>
      <c r="P21" s="1440"/>
      <c r="Q21" s="1440"/>
      <c r="R21" s="1440"/>
      <c r="S21" s="1440">
        <f>SUM(S19:S20)</f>
        <v>6253.4778879999985</v>
      </c>
    </row>
    <row r="22" spans="2:19">
      <c r="B22" s="1432"/>
      <c r="C22" s="1432" t="s">
        <v>1654</v>
      </c>
      <c r="D22" s="1432"/>
      <c r="E22" s="1432"/>
      <c r="F22" s="1432"/>
      <c r="G22" s="1432"/>
      <c r="H22" s="1432"/>
      <c r="I22" s="1551"/>
      <c r="J22" s="1456">
        <v>1</v>
      </c>
      <c r="K22" s="1456">
        <f t="shared" ref="K22:P23" si="9">J22</f>
        <v>1</v>
      </c>
      <c r="L22" s="1456">
        <v>7.5</v>
      </c>
      <c r="M22" s="1456">
        <v>0</v>
      </c>
      <c r="N22" s="1456">
        <v>0</v>
      </c>
      <c r="O22" s="1456">
        <v>0</v>
      </c>
      <c r="P22" s="1456">
        <v>0</v>
      </c>
      <c r="Q22" s="1440"/>
      <c r="R22" s="1440"/>
      <c r="S22" s="1440">
        <f>S21/12</f>
        <v>521.12315733333321</v>
      </c>
    </row>
    <row r="23" spans="2:19">
      <c r="C23" s="1431" t="s">
        <v>1655</v>
      </c>
      <c r="I23" s="1423"/>
      <c r="J23" s="1423">
        <v>10</v>
      </c>
      <c r="K23" s="1423">
        <f t="shared" si="9"/>
        <v>10</v>
      </c>
      <c r="L23" s="1423">
        <v>10</v>
      </c>
      <c r="M23" s="1423">
        <f t="shared" si="9"/>
        <v>10</v>
      </c>
      <c r="N23" s="1423">
        <f t="shared" si="9"/>
        <v>10</v>
      </c>
      <c r="O23" s="1423">
        <f t="shared" si="9"/>
        <v>10</v>
      </c>
      <c r="P23" s="1423">
        <f t="shared" si="9"/>
        <v>10</v>
      </c>
    </row>
    <row r="24" spans="2:19">
      <c r="C24" s="1431" t="s">
        <v>1656</v>
      </c>
      <c r="J24" s="1440">
        <f t="shared" ref="J24:P24" si="10">J22*J23</f>
        <v>10</v>
      </c>
      <c r="K24" s="1440">
        <f t="shared" si="10"/>
        <v>10</v>
      </c>
      <c r="L24" s="1440">
        <f t="shared" si="10"/>
        <v>75</v>
      </c>
      <c r="M24" s="1440">
        <f t="shared" si="10"/>
        <v>0</v>
      </c>
      <c r="N24" s="1440">
        <f t="shared" si="10"/>
        <v>0</v>
      </c>
      <c r="O24" s="1440">
        <f t="shared" si="10"/>
        <v>0</v>
      </c>
      <c r="P24" s="1440">
        <f t="shared" si="10"/>
        <v>0</v>
      </c>
    </row>
    <row r="25" spans="2:19">
      <c r="B25" s="1431" t="s">
        <v>1653</v>
      </c>
    </row>
    <row r="26" spans="2:19">
      <c r="B26" s="1432"/>
      <c r="C26" s="1432" t="s">
        <v>1651</v>
      </c>
      <c r="D26" s="1432"/>
      <c r="E26" s="1432"/>
      <c r="F26" s="1432"/>
      <c r="G26" s="1432"/>
      <c r="H26" s="1432"/>
      <c r="I26" s="1422">
        <v>0</v>
      </c>
      <c r="J26" s="1422">
        <f>0.15*I9</f>
        <v>175.95</v>
      </c>
      <c r="K26" s="1422">
        <f>13%*J9</f>
        <v>329.02350000000001</v>
      </c>
      <c r="L26" s="1456">
        <v>393</v>
      </c>
      <c r="M26" s="1456">
        <v>770</v>
      </c>
      <c r="N26" s="1456">
        <v>0</v>
      </c>
      <c r="O26" s="1456">
        <v>0</v>
      </c>
      <c r="P26" s="1456">
        <v>0</v>
      </c>
    </row>
    <row r="27" spans="2:19">
      <c r="C27" s="1431" t="s">
        <v>1650</v>
      </c>
      <c r="I27" s="1463">
        <f>IS!I29</f>
        <v>337</v>
      </c>
      <c r="J27" s="1463">
        <f>IS!J29</f>
        <v>537.20353105000027</v>
      </c>
      <c r="K27" s="1463">
        <f>IS!K29</f>
        <v>750.89074550899977</v>
      </c>
      <c r="L27" s="1463">
        <f>IS!L29</f>
        <v>1178.4269852630005</v>
      </c>
      <c r="M27" s="1463">
        <f>IS!M29</f>
        <v>1216.5147559219997</v>
      </c>
      <c r="N27" s="1463">
        <f>IS!N29</f>
        <v>-495.74539222399989</v>
      </c>
      <c r="O27" s="1463">
        <f>IS!O29</f>
        <v>1157.2603283309995</v>
      </c>
      <c r="P27" s="1463">
        <f>IS!P29</f>
        <v>214.86919022600074</v>
      </c>
    </row>
    <row r="28" spans="2:19">
      <c r="C28" s="1431" t="s">
        <v>23</v>
      </c>
      <c r="I28" s="1416">
        <f>I26/I27</f>
        <v>0</v>
      </c>
      <c r="J28" s="1417">
        <f>J26/J27</f>
        <v>0.32752949269729098</v>
      </c>
      <c r="K28" s="1417">
        <f t="shared" ref="K28:P28" si="11">K26/K27</f>
        <v>0.43817759370168785</v>
      </c>
      <c r="L28" s="1417">
        <f t="shared" si="11"/>
        <v>0.33349541797219667</v>
      </c>
      <c r="M28" s="1417">
        <f t="shared" si="11"/>
        <v>0.63295574200940541</v>
      </c>
      <c r="N28" s="1417">
        <f t="shared" si="11"/>
        <v>0</v>
      </c>
      <c r="O28" s="1417">
        <f t="shared" si="11"/>
        <v>0</v>
      </c>
      <c r="P28" s="1417">
        <f t="shared" si="11"/>
        <v>0</v>
      </c>
    </row>
    <row r="29" spans="2:19">
      <c r="B29" s="1431" t="s">
        <v>1657</v>
      </c>
    </row>
    <row r="30" spans="2:19">
      <c r="B30" s="1432"/>
      <c r="C30" s="1432" t="s">
        <v>1658</v>
      </c>
      <c r="D30" s="1432"/>
      <c r="E30" s="1432"/>
      <c r="F30" s="1432"/>
      <c r="G30" s="1432"/>
      <c r="H30" s="1551"/>
      <c r="I30" s="1536"/>
      <c r="J30" s="1536"/>
      <c r="K30" s="1536"/>
      <c r="L30" s="1536"/>
      <c r="M30" s="1536"/>
      <c r="N30" s="1536"/>
      <c r="O30" s="1536"/>
      <c r="P30" s="1536"/>
    </row>
    <row r="31" spans="2:19">
      <c r="C31" s="1431" t="s">
        <v>1659</v>
      </c>
      <c r="H31" s="1439"/>
      <c r="I31" s="1531"/>
      <c r="J31" s="1649"/>
      <c r="K31" s="1452"/>
      <c r="L31" s="1452"/>
      <c r="M31" s="1452"/>
      <c r="N31" s="1452"/>
      <c r="O31" s="1452"/>
      <c r="P31" s="1452"/>
    </row>
    <row r="32" spans="2:19">
      <c r="C32" s="1431" t="s">
        <v>1660</v>
      </c>
      <c r="F32" s="1410">
        <f>(F7+F9)/10*1.15*1.1*1.07*1.2*1.13*1.2*1.13*1.22*1.2</f>
        <v>153.03263258384638</v>
      </c>
      <c r="G32" s="1410">
        <f>(G7+G9)/10*1.15*1.1*1.07*1.13*1.2*1.13*1.22*1.2</f>
        <v>160.31990080212478</v>
      </c>
      <c r="H32" s="1410">
        <f>I32</f>
        <v>501.58982399999991</v>
      </c>
      <c r="I32" s="1410">
        <f>J32</f>
        <v>501.58982399999991</v>
      </c>
      <c r="J32" s="1410">
        <f>K32</f>
        <v>501.58982399999991</v>
      </c>
      <c r="K32" s="1410">
        <f>(K7+K9)/10*1.13*1.22*1.2</f>
        <v>501.58982399999991</v>
      </c>
      <c r="L32" s="1410">
        <f>(L7+L9)/10*1.22*1.2</f>
        <v>512.4</v>
      </c>
      <c r="M32" s="1410">
        <f>(M7+M9)/10</f>
        <v>520</v>
      </c>
      <c r="N32" s="1410">
        <f>(N7+N9)/10</f>
        <v>519</v>
      </c>
      <c r="O32" s="1410">
        <f>(O7+O9)/10</f>
        <v>519</v>
      </c>
      <c r="P32" s="1410">
        <f>(P7+P9)/10</f>
        <v>519</v>
      </c>
      <c r="Q32" s="1591"/>
    </row>
    <row r="33" spans="2:17">
      <c r="C33" s="1431" t="s">
        <v>1760</v>
      </c>
      <c r="F33" s="1440">
        <f>F32</f>
        <v>153.03263258384638</v>
      </c>
      <c r="G33" s="1440">
        <f>G32</f>
        <v>160.31990080212478</v>
      </c>
      <c r="H33" s="1440">
        <v>490</v>
      </c>
      <c r="I33" s="1440">
        <v>495</v>
      </c>
      <c r="J33" s="1440">
        <v>498</v>
      </c>
      <c r="K33" s="1440">
        <v>505</v>
      </c>
      <c r="L33" s="1440">
        <f>L32</f>
        <v>512.4</v>
      </c>
      <c r="M33" s="1440">
        <f>M32</f>
        <v>520</v>
      </c>
      <c r="N33" s="1440">
        <f>N32</f>
        <v>519</v>
      </c>
      <c r="O33" s="1440">
        <f>O32</f>
        <v>519</v>
      </c>
      <c r="P33" s="1440">
        <f>P32</f>
        <v>519</v>
      </c>
    </row>
    <row r="34" spans="2:17">
      <c r="F34" s="1412"/>
      <c r="G34" s="1412"/>
      <c r="H34" s="1446"/>
      <c r="I34" s="1598"/>
      <c r="J34" s="1439"/>
      <c r="K34" s="1439"/>
      <c r="L34" s="1439"/>
      <c r="M34" s="1439"/>
      <c r="N34" s="1439"/>
      <c r="O34" s="1439"/>
      <c r="P34" s="1439"/>
    </row>
    <row r="35" spans="2:17">
      <c r="B35" s="1431" t="s">
        <v>523</v>
      </c>
      <c r="F35" s="1608">
        <f t="shared" ref="F35:P35" si="12">F5</f>
        <v>2012</v>
      </c>
      <c r="G35" s="1608">
        <f t="shared" si="12"/>
        <v>2013</v>
      </c>
      <c r="H35" s="1608">
        <f t="shared" si="12"/>
        <v>2014</v>
      </c>
      <c r="I35" s="1608">
        <f t="shared" si="12"/>
        <v>2015</v>
      </c>
      <c r="J35" s="1608">
        <f t="shared" si="12"/>
        <v>2016</v>
      </c>
      <c r="K35" s="1608">
        <f t="shared" si="12"/>
        <v>2017</v>
      </c>
      <c r="L35" s="1608">
        <f t="shared" si="12"/>
        <v>2018</v>
      </c>
      <c r="M35" s="1608">
        <f t="shared" si="12"/>
        <v>2019</v>
      </c>
      <c r="N35" s="1608">
        <f t="shared" si="12"/>
        <v>2020</v>
      </c>
      <c r="O35" s="1608">
        <f t="shared" si="12"/>
        <v>2021</v>
      </c>
      <c r="P35" s="1608">
        <f t="shared" si="12"/>
        <v>2022</v>
      </c>
    </row>
    <row r="36" spans="2:17">
      <c r="C36" s="1432" t="s">
        <v>1619</v>
      </c>
      <c r="D36" s="1432"/>
      <c r="E36" s="1432"/>
      <c r="F36" s="1476">
        <f>IS!F29</f>
        <v>57</v>
      </c>
      <c r="G36" s="1476">
        <f>IS!G29</f>
        <v>83</v>
      </c>
      <c r="H36" s="1476">
        <f>IS!H29</f>
        <v>169</v>
      </c>
      <c r="I36" s="1476">
        <f>IS!I29</f>
        <v>337</v>
      </c>
      <c r="J36" s="1476">
        <f>IS!J29</f>
        <v>537.20353105000027</v>
      </c>
      <c r="K36" s="1476">
        <f>IS!K29</f>
        <v>750.89074550899977</v>
      </c>
      <c r="L36" s="1476">
        <f>IS!L29</f>
        <v>1178.4269852630005</v>
      </c>
      <c r="M36" s="1476">
        <f>IS!M29</f>
        <v>1216.5147559219997</v>
      </c>
      <c r="N36" s="1476">
        <f>IS!N29</f>
        <v>-495.74539222399989</v>
      </c>
      <c r="O36" s="1476">
        <f>IS!O29</f>
        <v>1157.2603283309995</v>
      </c>
      <c r="P36" s="1476">
        <f>IS!P29</f>
        <v>214.86919022600074</v>
      </c>
    </row>
    <row r="37" spans="2:17">
      <c r="C37" s="1431" t="s">
        <v>1748</v>
      </c>
      <c r="F37" s="1410">
        <f t="shared" ref="F37:P37" si="13">F36-F38</f>
        <v>57</v>
      </c>
      <c r="G37" s="1410">
        <f t="shared" si="13"/>
        <v>83</v>
      </c>
      <c r="H37" s="1410">
        <f t="shared" si="13"/>
        <v>169</v>
      </c>
      <c r="I37" s="1410">
        <f t="shared" si="13"/>
        <v>337</v>
      </c>
      <c r="J37" s="1410">
        <f t="shared" si="13"/>
        <v>537.20353105000027</v>
      </c>
      <c r="K37" s="1410">
        <f t="shared" si="13"/>
        <v>750.89074550899977</v>
      </c>
      <c r="L37" s="1410">
        <f t="shared" si="13"/>
        <v>1178.4269852630005</v>
      </c>
      <c r="M37" s="1410">
        <f t="shared" si="13"/>
        <v>1216.5147559219997</v>
      </c>
      <c r="N37" s="1410">
        <f t="shared" si="13"/>
        <v>-495.74539222399989</v>
      </c>
      <c r="O37" s="1410">
        <f t="shared" si="13"/>
        <v>1157.2603283309995</v>
      </c>
      <c r="P37" s="1410">
        <f t="shared" si="13"/>
        <v>214.86919022600074</v>
      </c>
    </row>
    <row r="38" spans="2:17">
      <c r="C38" s="1431" t="s">
        <v>1762</v>
      </c>
      <c r="F38" s="1440">
        <f t="shared" ref="F38:P38" si="14">F36*$Q$38</f>
        <v>0</v>
      </c>
      <c r="G38" s="1440">
        <f t="shared" si="14"/>
        <v>0</v>
      </c>
      <c r="H38" s="1440">
        <f t="shared" si="14"/>
        <v>0</v>
      </c>
      <c r="I38" s="1440">
        <f t="shared" si="14"/>
        <v>0</v>
      </c>
      <c r="J38" s="1440">
        <f t="shared" si="14"/>
        <v>0</v>
      </c>
      <c r="K38" s="1440">
        <f t="shared" si="14"/>
        <v>0</v>
      </c>
      <c r="L38" s="1440">
        <f t="shared" si="14"/>
        <v>0</v>
      </c>
      <c r="M38" s="1440">
        <f t="shared" si="14"/>
        <v>0</v>
      </c>
      <c r="N38" s="1440">
        <f t="shared" si="14"/>
        <v>0</v>
      </c>
      <c r="O38" s="1440">
        <f t="shared" si="14"/>
        <v>0</v>
      </c>
      <c r="P38" s="1440">
        <f t="shared" si="14"/>
        <v>0</v>
      </c>
      <c r="Q38" s="1411">
        <v>0</v>
      </c>
    </row>
    <row r="39" spans="2:17">
      <c r="C39" s="1431" t="s">
        <v>523</v>
      </c>
      <c r="F39" s="1410">
        <f>F37/F32*1000</f>
        <v>372.46957748550642</v>
      </c>
      <c r="G39" s="1410">
        <f t="shared" ref="G39:P39" si="15">G37/G32*1000</f>
        <v>517.71489119396938</v>
      </c>
      <c r="H39" s="1410">
        <f t="shared" si="15"/>
        <v>336.92868537939086</v>
      </c>
      <c r="I39" s="1410">
        <f t="shared" si="15"/>
        <v>671.86370989854856</v>
      </c>
      <c r="J39" s="1410">
        <f t="shared" si="15"/>
        <v>1071.0016538333925</v>
      </c>
      <c r="K39" s="1410">
        <f t="shared" si="15"/>
        <v>1497.0214896325326</v>
      </c>
      <c r="L39" s="1410">
        <f t="shared" si="15"/>
        <v>2299.8184724102275</v>
      </c>
      <c r="M39" s="1410">
        <f t="shared" si="15"/>
        <v>2339.4514536961533</v>
      </c>
      <c r="N39" s="1410">
        <f t="shared" si="15"/>
        <v>-955.19343395761064</v>
      </c>
      <c r="O39" s="1410">
        <f t="shared" si="15"/>
        <v>2229.7886865722535</v>
      </c>
      <c r="P39" s="1410">
        <f t="shared" si="15"/>
        <v>414.00614687090706</v>
      </c>
    </row>
    <row r="40" spans="2:17">
      <c r="C40" s="1431" t="s">
        <v>196</v>
      </c>
      <c r="F40" s="1425"/>
      <c r="G40" s="1417">
        <f t="shared" ref="G40:P40" si="16">G39/F39-1</f>
        <v>0.38995215311004761</v>
      </c>
      <c r="H40" s="1417">
        <f t="shared" si="16"/>
        <v>-0.34920032027211745</v>
      </c>
      <c r="I40" s="1417">
        <f t="shared" si="16"/>
        <v>0.99408284023668614</v>
      </c>
      <c r="J40" s="1417">
        <f t="shared" si="16"/>
        <v>0.59407575979228566</v>
      </c>
      <c r="K40" s="1417">
        <f t="shared" si="16"/>
        <v>0.39777701021684209</v>
      </c>
      <c r="L40" s="1417">
        <f t="shared" si="16"/>
        <v>0.53626283145391196</v>
      </c>
      <c r="M40" s="1417">
        <f t="shared" si="16"/>
        <v>1.7233091116269694E-2</v>
      </c>
      <c r="N40" s="1417">
        <f t="shared" si="16"/>
        <v>-1.4082980360410893</v>
      </c>
      <c r="O40" s="1417">
        <f t="shared" si="16"/>
        <v>-3.3343844370178184</v>
      </c>
      <c r="P40" s="1417">
        <f t="shared" si="16"/>
        <v>-0.81432942531099717</v>
      </c>
    </row>
    <row r="41" spans="2:17">
      <c r="F41" s="1410"/>
      <c r="G41" s="1410"/>
      <c r="H41" s="1410"/>
      <c r="I41" s="1410"/>
      <c r="J41" s="1410"/>
      <c r="K41" s="1410"/>
      <c r="L41" s="1410"/>
      <c r="M41" s="1410"/>
      <c r="N41" s="1410"/>
      <c r="O41" s="1410"/>
      <c r="P41" s="1410"/>
    </row>
    <row r="42" spans="2:17">
      <c r="C42" s="1431" t="s">
        <v>115</v>
      </c>
      <c r="F42" s="1410">
        <f t="shared" ref="F42:P42" si="17">(F13-F11)/F32*1000</f>
        <v>3633.2120189814309</v>
      </c>
      <c r="G42" s="1410">
        <f t="shared" si="17"/>
        <v>3948.3557364552125</v>
      </c>
      <c r="H42" s="1410">
        <f t="shared" si="17"/>
        <v>1999.6418428137813</v>
      </c>
      <c r="I42" s="1410">
        <f t="shared" si="17"/>
        <v>3155.9651417489686</v>
      </c>
      <c r="J42" s="1410">
        <f t="shared" si="17"/>
        <v>6467.3361475531065</v>
      </c>
      <c r="K42" s="1410">
        <f t="shared" si="17"/>
        <v>7603.8225209289749</v>
      </c>
      <c r="L42" s="1410">
        <f t="shared" si="17"/>
        <v>9756.0499609679937</v>
      </c>
      <c r="M42" s="1410">
        <f t="shared" si="17"/>
        <v>13440.384615384615</v>
      </c>
      <c r="N42" s="1410">
        <f t="shared" si="17"/>
        <v>12491.820053518302</v>
      </c>
      <c r="O42" s="1410">
        <f t="shared" si="17"/>
        <v>14721.608740090558</v>
      </c>
      <c r="P42" s="1410">
        <f t="shared" si="17"/>
        <v>15135.614886961463</v>
      </c>
    </row>
    <row r="43" spans="2:17">
      <c r="C43" s="1431" t="s">
        <v>251</v>
      </c>
      <c r="F43" s="1463" t="e">
        <f ca="1">Valuation!G39</f>
        <v>#NUM!</v>
      </c>
      <c r="G43" s="1410" t="e">
        <f ca="1">F43</f>
        <v>#NUM!</v>
      </c>
      <c r="H43" s="1410" t="e">
        <f t="shared" ref="H43:P43" ca="1" si="18">G43</f>
        <v>#NUM!</v>
      </c>
      <c r="I43" s="1410" t="e">
        <f t="shared" ca="1" si="18"/>
        <v>#NUM!</v>
      </c>
      <c r="J43" s="1410" t="e">
        <f t="shared" ca="1" si="18"/>
        <v>#NUM!</v>
      </c>
      <c r="K43" s="1410" t="e">
        <f t="shared" ca="1" si="18"/>
        <v>#NUM!</v>
      </c>
      <c r="L43" s="1410" t="e">
        <f t="shared" ca="1" si="18"/>
        <v>#NUM!</v>
      </c>
      <c r="M43" s="1410" t="e">
        <f t="shared" ca="1" si="18"/>
        <v>#NUM!</v>
      </c>
      <c r="N43" s="1410" t="e">
        <f t="shared" ca="1" si="18"/>
        <v>#NUM!</v>
      </c>
      <c r="O43" s="1410" t="e">
        <f t="shared" ca="1" si="18"/>
        <v>#NUM!</v>
      </c>
      <c r="P43" s="1410" t="e">
        <f t="shared" ca="1" si="18"/>
        <v>#NUM!</v>
      </c>
    </row>
    <row r="44" spans="2:17">
      <c r="C44" s="1431" t="s">
        <v>1837</v>
      </c>
      <c r="F44" s="1695" t="e">
        <f ca="1">F43/F42</f>
        <v>#NUM!</v>
      </c>
      <c r="G44" s="1695" t="e">
        <f t="shared" ref="G44:P44" ca="1" si="19">G43/G42</f>
        <v>#NUM!</v>
      </c>
      <c r="H44" s="1695" t="e">
        <f t="shared" ca="1" si="19"/>
        <v>#NUM!</v>
      </c>
      <c r="I44" s="1695" t="e">
        <f t="shared" ca="1" si="19"/>
        <v>#NUM!</v>
      </c>
      <c r="J44" s="1695" t="e">
        <f t="shared" ca="1" si="19"/>
        <v>#NUM!</v>
      </c>
      <c r="K44" s="1695" t="e">
        <f t="shared" ca="1" si="19"/>
        <v>#NUM!</v>
      </c>
      <c r="L44" s="1695" t="e">
        <f t="shared" ca="1" si="19"/>
        <v>#NUM!</v>
      </c>
      <c r="M44" s="1695" t="e">
        <f t="shared" ca="1" si="19"/>
        <v>#NUM!</v>
      </c>
      <c r="N44" s="1695" t="e">
        <f t="shared" ca="1" si="19"/>
        <v>#NUM!</v>
      </c>
      <c r="O44" s="1695" t="e">
        <f t="shared" ca="1" si="19"/>
        <v>#NUM!</v>
      </c>
      <c r="P44" s="1695" t="e">
        <f t="shared" ca="1" si="19"/>
        <v>#NUM!</v>
      </c>
    </row>
    <row r="45" spans="2:17">
      <c r="C45" s="1431" t="s">
        <v>1845</v>
      </c>
      <c r="F45" s="1495" t="e">
        <f t="shared" ref="F45:P45" ca="1" si="20">F43/F39</f>
        <v>#NUM!</v>
      </c>
      <c r="G45" s="1495" t="e">
        <f t="shared" ca="1" si="20"/>
        <v>#NUM!</v>
      </c>
      <c r="H45" s="1495" t="e">
        <f t="shared" ca="1" si="20"/>
        <v>#NUM!</v>
      </c>
      <c r="I45" s="1495" t="e">
        <f t="shared" ca="1" si="20"/>
        <v>#NUM!</v>
      </c>
      <c r="J45" s="1495" t="e">
        <f t="shared" ca="1" si="20"/>
        <v>#NUM!</v>
      </c>
      <c r="K45" s="1495" t="e">
        <f t="shared" ca="1" si="20"/>
        <v>#NUM!</v>
      </c>
      <c r="L45" s="1495" t="e">
        <f t="shared" ca="1" si="20"/>
        <v>#NUM!</v>
      </c>
      <c r="M45" s="1495" t="e">
        <f t="shared" ca="1" si="20"/>
        <v>#NUM!</v>
      </c>
      <c r="N45" s="1495" t="e">
        <f t="shared" ca="1" si="20"/>
        <v>#NUM!</v>
      </c>
      <c r="O45" s="1495" t="e">
        <f t="shared" ca="1" si="20"/>
        <v>#NUM!</v>
      </c>
      <c r="P45" s="1495" t="e">
        <f t="shared" ca="1" si="20"/>
        <v>#NUM!</v>
      </c>
    </row>
    <row r="46" spans="2:17">
      <c r="C46" s="1431" t="s">
        <v>1838</v>
      </c>
      <c r="F46" s="1463">
        <f>Valuation!G40</f>
        <v>18100</v>
      </c>
      <c r="G46" s="1410">
        <f>F46</f>
        <v>18100</v>
      </c>
      <c r="H46" s="1410">
        <f t="shared" ref="H46:P46" si="21">G46</f>
        <v>18100</v>
      </c>
      <c r="I46" s="1410">
        <f t="shared" si="21"/>
        <v>18100</v>
      </c>
      <c r="J46" s="1410">
        <f t="shared" si="21"/>
        <v>18100</v>
      </c>
      <c r="K46" s="1410">
        <f t="shared" si="21"/>
        <v>18100</v>
      </c>
      <c r="L46" s="1410">
        <f t="shared" si="21"/>
        <v>18100</v>
      </c>
      <c r="M46" s="1410">
        <f t="shared" si="21"/>
        <v>18100</v>
      </c>
      <c r="N46" s="1410">
        <f t="shared" si="21"/>
        <v>18100</v>
      </c>
      <c r="O46" s="1410">
        <f t="shared" si="21"/>
        <v>18100</v>
      </c>
      <c r="P46" s="1410">
        <f t="shared" si="21"/>
        <v>18100</v>
      </c>
    </row>
    <row r="47" spans="2:17">
      <c r="C47" s="1431" t="s">
        <v>1846</v>
      </c>
      <c r="F47" s="1695">
        <f>F46/F42</f>
        <v>4.9818177154093872</v>
      </c>
      <c r="G47" s="1695">
        <f t="shared" ref="G47:P47" si="22">G46/G42</f>
        <v>4.584186736995985</v>
      </c>
      <c r="H47" s="1695">
        <f t="shared" si="22"/>
        <v>9.0516209515453614</v>
      </c>
      <c r="I47" s="1695">
        <f t="shared" si="22"/>
        <v>5.735171076689829</v>
      </c>
      <c r="J47" s="1695">
        <f t="shared" si="22"/>
        <v>2.7986793305692128</v>
      </c>
      <c r="K47" s="1695">
        <f t="shared" si="22"/>
        <v>2.3803817027792338</v>
      </c>
      <c r="L47" s="1695">
        <f t="shared" si="22"/>
        <v>1.855259051810362</v>
      </c>
      <c r="M47" s="1695">
        <f t="shared" si="22"/>
        <v>1.34668765202461</v>
      </c>
      <c r="N47" s="1695">
        <f t="shared" si="22"/>
        <v>1.4489481854889643</v>
      </c>
      <c r="O47" s="1695">
        <f t="shared" si="22"/>
        <v>1.2294851955078288</v>
      </c>
      <c r="P47" s="1695">
        <f t="shared" si="22"/>
        <v>1.195854951065926</v>
      </c>
    </row>
    <row r="48" spans="2:17">
      <c r="C48" s="1431" t="s">
        <v>1847</v>
      </c>
      <c r="F48" s="1495">
        <f t="shared" ref="F48:P48" si="23">F46/F39</f>
        <v>48.594572802940689</v>
      </c>
      <c r="G48" s="1495">
        <f t="shared" si="23"/>
        <v>34.961327765282633</v>
      </c>
      <c r="H48" s="1495">
        <f t="shared" si="23"/>
        <v>53.720566949112417</v>
      </c>
      <c r="I48" s="1495">
        <f t="shared" si="23"/>
        <v>26.939987579821956</v>
      </c>
      <c r="J48" s="1495">
        <f t="shared" si="23"/>
        <v>16.900067273673582</v>
      </c>
      <c r="K48" s="1495">
        <f t="shared" si="23"/>
        <v>12.090674800161304</v>
      </c>
      <c r="L48" s="1495">
        <f t="shared" si="23"/>
        <v>7.8701863721579119</v>
      </c>
      <c r="M48" s="1495">
        <f t="shared" si="23"/>
        <v>7.7368564205097705</v>
      </c>
      <c r="N48" s="1495">
        <f t="shared" si="23"/>
        <v>-18.949041478443871</v>
      </c>
      <c r="O48" s="1495">
        <f t="shared" si="23"/>
        <v>8.117361124396167</v>
      </c>
      <c r="P48" s="1495">
        <f t="shared" si="23"/>
        <v>43.719157642468133</v>
      </c>
    </row>
    <row r="49" spans="1:2">
      <c r="A49" s="1488" t="s">
        <v>1603</v>
      </c>
      <c r="B49" s="1488" t="s">
        <v>1629</v>
      </c>
    </row>
  </sheetData>
  <pageMargins left="0.45" right="0.45" top="0.5" bottom="0.5" header="0.3" footer="0.3"/>
  <pageSetup paperSize="9" scale="80" orientation="portrait"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CC80F-AE2F-45DF-87E3-1442D8803BE3}">
  <dimension ref="A1:J126"/>
  <sheetViews>
    <sheetView workbookViewId="0">
      <selection activeCell="H17" sqref="H17"/>
    </sheetView>
  </sheetViews>
  <sheetFormatPr defaultColWidth="8.7109375" defaultRowHeight="14.1" customHeight="1"/>
  <cols>
    <col min="1" max="1" width="26.5703125" style="2199" bestFit="1" customWidth="1"/>
    <col min="2" max="2" width="18.85546875" style="2199" bestFit="1" customWidth="1"/>
    <col min="3" max="5" width="8.7109375" style="2201"/>
    <col min="6" max="7" width="8.7109375" style="2200"/>
    <col min="8" max="16384" width="8.7109375" style="2199"/>
  </cols>
  <sheetData>
    <row r="1" spans="1:8" s="2195" customFormat="1" ht="14.1" customHeight="1">
      <c r="B1" s="2195" t="s">
        <v>1949</v>
      </c>
      <c r="C1" s="2196"/>
      <c r="D1" s="2196"/>
      <c r="E1" s="2197"/>
      <c r="F1" s="2198"/>
      <c r="G1" s="2198"/>
    </row>
    <row r="2" spans="1:8" ht="14.1" customHeight="1">
      <c r="A2" s="2199" t="s">
        <v>1950</v>
      </c>
      <c r="B2" s="2199" t="s">
        <v>488</v>
      </c>
      <c r="C2" s="2200" t="s">
        <v>2439</v>
      </c>
      <c r="E2" s="2202"/>
    </row>
    <row r="3" spans="1:8" ht="14.1" customHeight="1">
      <c r="A3" s="2199" t="s">
        <v>1951</v>
      </c>
      <c r="B3" s="2199" t="s">
        <v>1951</v>
      </c>
      <c r="C3" s="2200" t="s">
        <v>2414</v>
      </c>
      <c r="E3" s="2202"/>
    </row>
    <row r="4" spans="1:8" ht="14.1" customHeight="1">
      <c r="A4" s="2199" t="s">
        <v>1952</v>
      </c>
      <c r="B4" s="2199" t="s">
        <v>1952</v>
      </c>
      <c r="C4" s="2200" t="s">
        <v>2532</v>
      </c>
      <c r="E4" s="2202" t="s">
        <v>2415</v>
      </c>
    </row>
    <row r="5" spans="1:8" ht="14.1" customHeight="1">
      <c r="A5" s="2199" t="s">
        <v>1953</v>
      </c>
      <c r="B5" s="2199" t="s">
        <v>1954</v>
      </c>
      <c r="C5" s="2200"/>
      <c r="E5" s="2202"/>
    </row>
    <row r="6" spans="1:8" ht="14.1" customHeight="1">
      <c r="A6" s="2199" t="s">
        <v>1955</v>
      </c>
      <c r="B6" s="2199" t="s">
        <v>1956</v>
      </c>
      <c r="C6" s="2200"/>
      <c r="E6" s="2202"/>
    </row>
    <row r="7" spans="1:8" ht="14.1" customHeight="1">
      <c r="A7" s="2199" t="s">
        <v>1957</v>
      </c>
      <c r="B7" s="2199" t="s">
        <v>1958</v>
      </c>
      <c r="C7" s="2200"/>
      <c r="E7" s="2202"/>
    </row>
    <row r="8" spans="1:8" ht="14.1" customHeight="1">
      <c r="A8" s="2199" t="s">
        <v>1959</v>
      </c>
      <c r="B8" s="2199" t="s">
        <v>1960</v>
      </c>
      <c r="C8" s="2200" t="s">
        <v>2454</v>
      </c>
      <c r="E8" s="2202" t="s">
        <v>2230</v>
      </c>
    </row>
    <row r="9" spans="1:8" ht="14.1" customHeight="1">
      <c r="A9" s="2199" t="s">
        <v>2455</v>
      </c>
      <c r="B9" s="2199" t="s">
        <v>2455</v>
      </c>
      <c r="C9" s="2200"/>
      <c r="E9" s="2202"/>
    </row>
    <row r="11" spans="1:8" s="2203" customFormat="1" ht="14.1" customHeight="1">
      <c r="A11" s="2203" t="s">
        <v>1602</v>
      </c>
      <c r="B11" s="2203" t="s">
        <v>1949</v>
      </c>
      <c r="C11" s="2203" t="s">
        <v>2385</v>
      </c>
      <c r="D11" s="2203" t="s">
        <v>2386</v>
      </c>
      <c r="E11" s="2203" t="s">
        <v>2395</v>
      </c>
      <c r="F11" s="2203" t="s">
        <v>2407</v>
      </c>
      <c r="G11" s="2203" t="s">
        <v>2416</v>
      </c>
      <c r="H11" s="2203" t="s">
        <v>2529</v>
      </c>
    </row>
    <row r="12" spans="1:8" ht="14.1" customHeight="1">
      <c r="A12" s="2199" t="s">
        <v>2417</v>
      </c>
      <c r="B12" s="2199" t="s">
        <v>2024</v>
      </c>
      <c r="C12" s="2201">
        <v>2479.152</v>
      </c>
      <c r="D12" s="2201">
        <v>4090.732</v>
      </c>
      <c r="E12" s="2202">
        <v>3249.212</v>
      </c>
      <c r="F12" s="2202">
        <v>4328.8061549129998</v>
      </c>
      <c r="G12" s="2202">
        <v>4096.2897690729997</v>
      </c>
      <c r="H12" s="2202">
        <v>1978.398162363</v>
      </c>
    </row>
    <row r="13" spans="1:8" ht="14.1" customHeight="1">
      <c r="A13" s="2199" t="s">
        <v>2025</v>
      </c>
      <c r="B13" s="2199" t="s">
        <v>432</v>
      </c>
      <c r="C13" s="2201">
        <v>-617.98500000000001</v>
      </c>
      <c r="D13" s="2201">
        <v>-1413.4860000000001</v>
      </c>
      <c r="E13" s="2202">
        <v>-912.93700000000001</v>
      </c>
      <c r="F13" s="2202">
        <v>-1667.462508756</v>
      </c>
      <c r="G13" s="2202">
        <v>-1767.5429157870001</v>
      </c>
      <c r="H13" s="2202">
        <v>-1287.1022102699999</v>
      </c>
    </row>
    <row r="14" spans="1:8" ht="14.1" customHeight="1">
      <c r="A14" s="2199" t="s">
        <v>1336</v>
      </c>
      <c r="B14" s="2199" t="s">
        <v>2026</v>
      </c>
      <c r="C14" s="2201">
        <v>1861.1669999999999</v>
      </c>
      <c r="D14" s="2201">
        <v>2677.2460000000001</v>
      </c>
      <c r="E14" s="2202">
        <v>2336.2750000000001</v>
      </c>
      <c r="F14" s="2202">
        <v>2661.343646157</v>
      </c>
      <c r="G14" s="2202">
        <v>2328.7468532859998</v>
      </c>
      <c r="H14" s="2202">
        <v>691.29595209299998</v>
      </c>
    </row>
    <row r="15" spans="1:8" ht="14.1" customHeight="1">
      <c r="A15" s="2199" t="s">
        <v>2027</v>
      </c>
      <c r="B15" s="2199" t="s">
        <v>2028</v>
      </c>
      <c r="C15" s="2201">
        <v>-330.99900000000002</v>
      </c>
      <c r="D15" s="2201">
        <v>-435.18200000000002</v>
      </c>
      <c r="E15" s="2202">
        <v>-485.32900000000001</v>
      </c>
      <c r="F15" s="2202">
        <v>-689.41934388599998</v>
      </c>
      <c r="G15" s="2202">
        <v>-955.26718602999995</v>
      </c>
      <c r="H15" s="2202">
        <v>-325.56211426200002</v>
      </c>
    </row>
    <row r="16" spans="1:8" ht="14.1" customHeight="1">
      <c r="A16" s="2199" t="s">
        <v>2029</v>
      </c>
      <c r="B16" s="2199" t="s">
        <v>2030</v>
      </c>
      <c r="C16" s="2201">
        <v>-190.12</v>
      </c>
      <c r="D16" s="2201">
        <v>-324.584</v>
      </c>
      <c r="E16" s="2202">
        <v>-436.56299999999999</v>
      </c>
      <c r="F16" s="2202">
        <v>-706.17261542899996</v>
      </c>
      <c r="G16" s="2202">
        <v>-644.59473774900005</v>
      </c>
      <c r="H16" s="2202">
        <v>-259.3598308</v>
      </c>
    </row>
    <row r="17" spans="1:8" ht="14.1" customHeight="1">
      <c r="A17" s="2199" t="s">
        <v>288</v>
      </c>
      <c r="B17" s="2199" t="s">
        <v>288</v>
      </c>
      <c r="C17" s="2201">
        <v>1340.048</v>
      </c>
      <c r="D17" s="2201">
        <v>1917.48</v>
      </c>
      <c r="E17" s="2202">
        <v>1414.383</v>
      </c>
      <c r="F17" s="2202">
        <v>1265.751686842</v>
      </c>
      <c r="G17" s="2202">
        <v>728.88492950700004</v>
      </c>
      <c r="H17" s="2202">
        <v>106.374007031</v>
      </c>
    </row>
    <row r="18" spans="1:8" ht="14.1" customHeight="1">
      <c r="A18" s="2199" t="s">
        <v>1129</v>
      </c>
      <c r="B18" s="2199" t="s">
        <v>2031</v>
      </c>
      <c r="C18" s="2201">
        <v>6.26</v>
      </c>
      <c r="D18" s="2201">
        <v>127.24</v>
      </c>
      <c r="E18" s="2202">
        <v>34.325000000000003</v>
      </c>
      <c r="F18" s="2202">
        <v>49.521699845999997</v>
      </c>
      <c r="G18" s="2202">
        <v>54.745468416000001</v>
      </c>
      <c r="H18" s="2202">
        <v>47.665734278999999</v>
      </c>
    </row>
    <row r="19" spans="1:8" ht="14.1" customHeight="1">
      <c r="A19" s="2199" t="s">
        <v>1330</v>
      </c>
      <c r="B19" s="2199" t="s">
        <v>2032</v>
      </c>
      <c r="C19" s="2201">
        <v>-19.332000000000001</v>
      </c>
      <c r="D19" s="2201">
        <v>-32.941000000000003</v>
      </c>
      <c r="E19" s="2202">
        <v>-46.411000000000001</v>
      </c>
      <c r="F19" s="2202">
        <v>-79.373792218999995</v>
      </c>
      <c r="G19" s="2202">
        <v>-148.12758835100001</v>
      </c>
      <c r="H19" s="2202">
        <v>-134.23955068999999</v>
      </c>
    </row>
    <row r="20" spans="1:8" ht="14.1" customHeight="1">
      <c r="A20" s="2199" t="s">
        <v>2033</v>
      </c>
      <c r="B20" s="2199" t="s">
        <v>2034</v>
      </c>
      <c r="C20" s="2201">
        <v>-19.332000000000001</v>
      </c>
      <c r="D20" s="2201">
        <v>-32.880000000000003</v>
      </c>
      <c r="E20" s="2202">
        <v>-45.137999999999998</v>
      </c>
      <c r="F20" s="2202">
        <v>-77.053586523999996</v>
      </c>
      <c r="G20" s="2202">
        <v>-125.203855484</v>
      </c>
      <c r="H20" s="2202">
        <v>-126.397721563</v>
      </c>
    </row>
    <row r="21" spans="1:8" ht="14.1" customHeight="1">
      <c r="A21" s="2199" t="s">
        <v>2035</v>
      </c>
      <c r="B21" s="2199" t="s">
        <v>2036</v>
      </c>
      <c r="C21" s="2201">
        <v>-12.502000000000001</v>
      </c>
      <c r="D21" s="2201">
        <v>36.692999999999998</v>
      </c>
      <c r="E21" s="2202">
        <v>41.866999999999997</v>
      </c>
      <c r="F21" s="2202">
        <v>-35.84258715</v>
      </c>
      <c r="G21" s="2202">
        <v>25.448222703999999</v>
      </c>
      <c r="H21" s="2202">
        <v>7.7159451859999999</v>
      </c>
    </row>
    <row r="22" spans="1:8" ht="14.1" customHeight="1">
      <c r="A22" s="2199" t="s">
        <v>2037</v>
      </c>
      <c r="B22" s="2199" t="s">
        <v>2038</v>
      </c>
      <c r="C22" s="2201">
        <v>0</v>
      </c>
      <c r="D22" s="2201">
        <v>0</v>
      </c>
      <c r="E22" s="2202">
        <v>0</v>
      </c>
      <c r="F22" s="2202">
        <v>0</v>
      </c>
      <c r="G22" s="2202">
        <v>0</v>
      </c>
      <c r="H22" s="2202">
        <v>-107.14337036800001</v>
      </c>
    </row>
    <row r="23" spans="1:8" ht="14.1" customHeight="1">
      <c r="A23" s="2199" t="s">
        <v>822</v>
      </c>
      <c r="B23" s="2199" t="s">
        <v>822</v>
      </c>
      <c r="C23" s="2201">
        <v>1314.4739999999999</v>
      </c>
      <c r="D23" s="2201">
        <v>2048.4720000000002</v>
      </c>
      <c r="E23" s="2202">
        <v>1444.164</v>
      </c>
      <c r="F23" s="2202">
        <v>1200.0570073189999</v>
      </c>
      <c r="G23" s="2202">
        <v>660.95103227599998</v>
      </c>
      <c r="H23" s="2202">
        <v>-79.627234561999998</v>
      </c>
    </row>
    <row r="24" spans="1:8" ht="14.1" customHeight="1">
      <c r="A24" s="2199" t="s">
        <v>290</v>
      </c>
      <c r="B24" s="2199" t="s">
        <v>290</v>
      </c>
      <c r="C24" s="2201">
        <v>-273.29599999999999</v>
      </c>
      <c r="D24" s="2201">
        <v>-415.52699999999999</v>
      </c>
      <c r="E24" s="2202">
        <v>-308.625</v>
      </c>
      <c r="F24" s="2202">
        <v>-326.59459731999999</v>
      </c>
      <c r="G24" s="2202">
        <v>-131.010732682</v>
      </c>
      <c r="H24" s="2202">
        <v>-80.724780272000004</v>
      </c>
    </row>
    <row r="25" spans="1:8" ht="14.1" customHeight="1">
      <c r="A25" s="2199" t="s">
        <v>661</v>
      </c>
      <c r="B25" s="2199" t="s">
        <v>661</v>
      </c>
      <c r="C25" s="2201">
        <v>1041.1780000000001</v>
      </c>
      <c r="D25" s="2201">
        <v>1632.9449999999999</v>
      </c>
      <c r="E25" s="2202">
        <v>1135.539</v>
      </c>
      <c r="F25" s="2202">
        <v>873.46240999899999</v>
      </c>
      <c r="G25" s="2202">
        <v>529.94029959399995</v>
      </c>
      <c r="H25" s="2202">
        <v>-160.35201483399999</v>
      </c>
    </row>
    <row r="26" spans="1:8" ht="14.1" customHeight="1">
      <c r="A26" s="2199" t="s">
        <v>2039</v>
      </c>
      <c r="B26" s="2199" t="s">
        <v>2040</v>
      </c>
      <c r="C26" s="2201">
        <v>-529.928</v>
      </c>
      <c r="D26" s="2201">
        <v>-571.54999999999995</v>
      </c>
      <c r="E26" s="2202">
        <v>-262.28699999999998</v>
      </c>
      <c r="F26" s="2202">
        <v>334.66687848999999</v>
      </c>
      <c r="G26" s="2202">
        <v>185.41123195200001</v>
      </c>
      <c r="H26" s="2202">
        <v>7.8581808530000004</v>
      </c>
    </row>
    <row r="27" spans="1:8" ht="14.1" customHeight="1">
      <c r="A27" s="2199" t="s">
        <v>1619</v>
      </c>
      <c r="B27" s="2199" t="s">
        <v>1619</v>
      </c>
      <c r="C27" s="2201">
        <v>511.25</v>
      </c>
      <c r="D27" s="2201">
        <v>1061.395</v>
      </c>
      <c r="E27" s="2202">
        <v>873.25199999999995</v>
      </c>
      <c r="F27" s="2202">
        <v>538.79553150900006</v>
      </c>
      <c r="G27" s="2202">
        <v>344.52906764199997</v>
      </c>
      <c r="H27" s="2202">
        <v>-168.21019568700001</v>
      </c>
    </row>
    <row r="28" spans="1:8" ht="14.1" customHeight="1">
      <c r="A28" s="2199" t="s">
        <v>2042</v>
      </c>
      <c r="B28" s="2199" t="s">
        <v>2043</v>
      </c>
      <c r="E28" s="2202"/>
      <c r="F28" s="2202"/>
      <c r="G28" s="2202">
        <v>0</v>
      </c>
      <c r="H28" s="2202">
        <v>0</v>
      </c>
    </row>
    <row r="29" spans="1:8" ht="14.1" customHeight="1">
      <c r="A29" s="2199" t="s">
        <v>2418</v>
      </c>
      <c r="B29" s="2199" t="s">
        <v>2045</v>
      </c>
      <c r="C29" s="2201">
        <v>511.25</v>
      </c>
      <c r="D29" s="2201">
        <v>1061.395</v>
      </c>
      <c r="E29" s="2202">
        <v>873.25199999999995</v>
      </c>
      <c r="F29" s="2202">
        <v>538.79553150900006</v>
      </c>
      <c r="G29" s="2202">
        <v>344.52906764199997</v>
      </c>
      <c r="H29" s="2202">
        <v>-168.21019568700001</v>
      </c>
    </row>
    <row r="30" spans="1:8" ht="14.1" customHeight="1">
      <c r="A30" s="2199" t="s">
        <v>2419</v>
      </c>
      <c r="B30" s="2199" t="s">
        <v>2097</v>
      </c>
      <c r="C30" s="2201">
        <v>0</v>
      </c>
      <c r="D30" s="2201">
        <v>0</v>
      </c>
      <c r="E30" s="2202">
        <v>0</v>
      </c>
      <c r="F30" s="2202">
        <v>574.10900000000004</v>
      </c>
      <c r="G30" s="2202">
        <v>574.10599999999999</v>
      </c>
      <c r="H30" s="2202">
        <v>574.10299999999995</v>
      </c>
    </row>
    <row r="31" spans="1:8" ht="14.1" customHeight="1">
      <c r="A31" s="2199" t="s">
        <v>2048</v>
      </c>
      <c r="B31" s="2199" t="s">
        <v>523</v>
      </c>
      <c r="C31" s="2201">
        <v>0</v>
      </c>
      <c r="D31" s="2201">
        <v>0</v>
      </c>
      <c r="E31" s="2202">
        <v>0</v>
      </c>
      <c r="F31" s="2202">
        <v>938.49</v>
      </c>
      <c r="G31" s="2202">
        <v>600.11400000000003</v>
      </c>
      <c r="H31" s="2202">
        <v>-292.99650000000003</v>
      </c>
    </row>
    <row r="32" spans="1:8" ht="14.1" customHeight="1">
      <c r="A32" s="2199" t="s">
        <v>4</v>
      </c>
      <c r="B32" s="2199" t="s">
        <v>4</v>
      </c>
      <c r="C32" s="2201">
        <v>1340.048</v>
      </c>
      <c r="D32" s="2201">
        <v>1917.48</v>
      </c>
      <c r="E32" s="2202">
        <v>1442.798670698</v>
      </c>
      <c r="F32" s="2202">
        <v>1312.4477596270001</v>
      </c>
      <c r="G32" s="2202">
        <v>781.47340669200003</v>
      </c>
      <c r="H32" s="2202">
        <v>158.26289742399999</v>
      </c>
    </row>
    <row r="33" spans="1:8" ht="14.1" customHeight="1">
      <c r="H33" s="2200"/>
    </row>
    <row r="34" spans="1:8" s="2203" customFormat="1" ht="14.1" customHeight="1">
      <c r="A34" s="2203" t="s">
        <v>1645</v>
      </c>
      <c r="B34" s="2203" t="s">
        <v>1949</v>
      </c>
      <c r="C34" s="2203" t="s">
        <v>2385</v>
      </c>
      <c r="D34" s="2203" t="s">
        <v>2386</v>
      </c>
      <c r="E34" s="2203" t="s">
        <v>2395</v>
      </c>
      <c r="F34" s="2203" t="s">
        <v>2407</v>
      </c>
      <c r="G34" s="2203" t="s">
        <v>2416</v>
      </c>
      <c r="H34" s="2203" t="s">
        <v>2529</v>
      </c>
    </row>
    <row r="35" spans="1:8" ht="14.1" customHeight="1">
      <c r="A35" s="2199" t="s">
        <v>1961</v>
      </c>
      <c r="B35" s="2199" t="s">
        <v>1962</v>
      </c>
      <c r="C35" s="2201">
        <v>5591.1989999999996</v>
      </c>
      <c r="D35" s="2201">
        <v>8339.4719999999998</v>
      </c>
      <c r="E35" s="2202">
        <v>10525.322</v>
      </c>
      <c r="F35" s="2202">
        <v>14505.135519882</v>
      </c>
      <c r="G35" s="2202">
        <v>15672.588529438999</v>
      </c>
      <c r="H35" s="2202">
        <v>14570.299196804999</v>
      </c>
    </row>
    <row r="36" spans="1:8" ht="14.1" customHeight="1">
      <c r="A36" s="2199" t="s">
        <v>1963</v>
      </c>
      <c r="B36" s="2199" t="s">
        <v>1964</v>
      </c>
      <c r="C36" s="2201">
        <v>321.71499999999997</v>
      </c>
      <c r="D36" s="2201">
        <v>350.80200000000002</v>
      </c>
      <c r="E36" s="2202">
        <v>1146.33</v>
      </c>
      <c r="F36" s="2202">
        <v>1632.448195489</v>
      </c>
      <c r="G36" s="2202">
        <v>492.52478008100002</v>
      </c>
      <c r="H36" s="2202">
        <v>206.52887354200001</v>
      </c>
    </row>
    <row r="37" spans="1:8" ht="14.1" customHeight="1">
      <c r="A37" s="2199" t="s">
        <v>1965</v>
      </c>
      <c r="B37" s="2199" t="s">
        <v>1966</v>
      </c>
      <c r="C37" s="2201">
        <v>47.529000000000003</v>
      </c>
      <c r="D37" s="2201">
        <v>98.308999999999997</v>
      </c>
      <c r="E37" s="2202">
        <v>110.45399999999999</v>
      </c>
      <c r="F37" s="2202">
        <v>155.69837718700001</v>
      </c>
      <c r="G37" s="2202">
        <v>170.93595038199999</v>
      </c>
      <c r="H37" s="2202">
        <v>96.944701710000004</v>
      </c>
    </row>
    <row r="38" spans="1:8" ht="14.1" customHeight="1">
      <c r="A38" s="2199" t="s">
        <v>1967</v>
      </c>
      <c r="B38" s="2199" t="s">
        <v>1968</v>
      </c>
      <c r="C38" s="2201">
        <v>4365.5569999999998</v>
      </c>
      <c r="D38" s="2201">
        <v>6674.0770000000002</v>
      </c>
      <c r="E38" s="2202">
        <v>7428.4750000000004</v>
      </c>
      <c r="F38" s="2202">
        <v>10560.211663530001</v>
      </c>
      <c r="G38" s="2202">
        <v>10656.648287922</v>
      </c>
      <c r="H38" s="2202">
        <v>9979.2537998219996</v>
      </c>
    </row>
    <row r="39" spans="1:8" ht="14.1" customHeight="1">
      <c r="A39" s="2199" t="s">
        <v>1969</v>
      </c>
      <c r="B39" s="2199" t="s">
        <v>1492</v>
      </c>
      <c r="C39" s="2201">
        <v>807.851</v>
      </c>
      <c r="D39" s="2201">
        <v>1143.9449999999999</v>
      </c>
      <c r="E39" s="2202">
        <v>1699.0329999999999</v>
      </c>
      <c r="F39" s="2202">
        <v>1985.890286482</v>
      </c>
      <c r="G39" s="2202">
        <v>4189.8826544490003</v>
      </c>
      <c r="H39" s="2202">
        <v>4119.3768417410001</v>
      </c>
    </row>
    <row r="40" spans="1:8" ht="14.1" customHeight="1">
      <c r="A40" s="2199" t="s">
        <v>1970</v>
      </c>
      <c r="B40" s="2199" t="s">
        <v>1971</v>
      </c>
      <c r="C40" s="2201">
        <v>48.545000000000002</v>
      </c>
      <c r="D40" s="2201">
        <v>72.337000000000003</v>
      </c>
      <c r="E40" s="2202">
        <v>141.02699999999999</v>
      </c>
      <c r="F40" s="2202">
        <v>170.886997194</v>
      </c>
      <c r="G40" s="2202">
        <v>162.596856605</v>
      </c>
      <c r="H40" s="2202">
        <v>168.19497999000001</v>
      </c>
    </row>
    <row r="41" spans="1:8" ht="14.1" customHeight="1">
      <c r="A41" s="2199" t="s">
        <v>1972</v>
      </c>
      <c r="B41" s="2199" t="s">
        <v>1973</v>
      </c>
      <c r="C41" s="2201">
        <v>391.64299999999997</v>
      </c>
      <c r="D41" s="2201">
        <v>653.66600000000005</v>
      </c>
      <c r="E41" s="2202">
        <v>569.71799999999996</v>
      </c>
      <c r="F41" s="2202">
        <v>642.67570791699995</v>
      </c>
      <c r="G41" s="2202">
        <v>929.67063210200001</v>
      </c>
      <c r="H41" s="2202">
        <v>886.66475460000004</v>
      </c>
    </row>
    <row r="42" spans="1:8" ht="14.1" customHeight="1">
      <c r="A42" s="2199" t="s">
        <v>1974</v>
      </c>
      <c r="B42" s="2199" t="s">
        <v>1975</v>
      </c>
      <c r="C42" s="2201">
        <v>35.58</v>
      </c>
      <c r="D42" s="2201">
        <v>112.331</v>
      </c>
      <c r="E42" s="2202">
        <v>118.636</v>
      </c>
      <c r="F42" s="2202">
        <v>128.70561314599999</v>
      </c>
      <c r="G42" s="2202">
        <v>141.64150615099999</v>
      </c>
      <c r="H42" s="2202">
        <v>145.50533069299999</v>
      </c>
    </row>
    <row r="43" spans="1:8" ht="14.1" customHeight="1">
      <c r="A43" s="2199" t="s">
        <v>1976</v>
      </c>
      <c r="B43" s="2199" t="s">
        <v>1977</v>
      </c>
      <c r="C43" s="2201">
        <v>18.800999999999998</v>
      </c>
      <c r="D43" s="2201">
        <v>27.37</v>
      </c>
      <c r="E43" s="2202">
        <v>26.059000000000001</v>
      </c>
      <c r="F43" s="2202">
        <v>65.901943027000002</v>
      </c>
      <c r="G43" s="2202">
        <v>62.470815154</v>
      </c>
      <c r="H43" s="2202">
        <v>53.765245448000002</v>
      </c>
    </row>
    <row r="44" spans="1:8" ht="14.1" customHeight="1">
      <c r="A44" s="2199" t="s">
        <v>1978</v>
      </c>
      <c r="B44" s="2199" t="s">
        <v>1979</v>
      </c>
      <c r="C44" s="2201">
        <v>0</v>
      </c>
      <c r="D44" s="2201">
        <v>9.0820000000000007</v>
      </c>
      <c r="E44" s="2202">
        <v>46.133000000000003</v>
      </c>
      <c r="F44" s="2202">
        <v>43.6004887</v>
      </c>
      <c r="G44" s="2202">
        <v>45.343605811000003</v>
      </c>
      <c r="H44" s="2202">
        <v>36.540736977999998</v>
      </c>
    </row>
    <row r="45" spans="1:8" ht="14.1" customHeight="1">
      <c r="A45" s="2199" t="s">
        <v>1980</v>
      </c>
      <c r="B45" s="2199" t="s">
        <v>662</v>
      </c>
      <c r="C45" s="2201">
        <v>36.823</v>
      </c>
      <c r="D45" s="2201">
        <v>33.348999999999997</v>
      </c>
      <c r="E45" s="2202">
        <v>42.758000000000003</v>
      </c>
      <c r="F45" s="2202">
        <v>59.957958239</v>
      </c>
      <c r="G45" s="2202">
        <v>117.210403551</v>
      </c>
      <c r="H45" s="2202">
        <v>128.81136889499999</v>
      </c>
    </row>
    <row r="46" spans="1:8" ht="14.1" customHeight="1">
      <c r="A46" s="2199" t="s">
        <v>1981</v>
      </c>
      <c r="B46" s="2199" t="s">
        <v>1982</v>
      </c>
      <c r="C46" s="2201">
        <v>8.2623669</v>
      </c>
      <c r="D46" s="2201">
        <v>7.4291870439999999</v>
      </c>
      <c r="E46" s="2202">
        <v>198.855476829</v>
      </c>
      <c r="F46" s="2202">
        <v>181.06827455999999</v>
      </c>
      <c r="G46" s="2202">
        <v>157.208669636</v>
      </c>
      <c r="H46" s="2202">
        <v>136.19984647999999</v>
      </c>
    </row>
    <row r="47" spans="1:8" ht="14.1" customHeight="1">
      <c r="A47" s="2199" t="s">
        <v>1983</v>
      </c>
      <c r="B47" s="2199" t="s">
        <v>1984</v>
      </c>
      <c r="C47" s="2201">
        <v>68.471999999999994</v>
      </c>
      <c r="D47" s="2201">
        <v>30</v>
      </c>
      <c r="E47" s="2202">
        <v>30.5</v>
      </c>
      <c r="F47" s="2202">
        <v>20.5</v>
      </c>
      <c r="G47" s="2202">
        <v>201.38952446799999</v>
      </c>
      <c r="H47" s="2202">
        <v>93.981754100000003</v>
      </c>
    </row>
    <row r="48" spans="1:8" ht="14.1" customHeight="1">
      <c r="A48" s="2199" t="s">
        <v>1985</v>
      </c>
      <c r="B48" s="2199" t="s">
        <v>1986</v>
      </c>
      <c r="C48" s="2201">
        <v>231.965</v>
      </c>
      <c r="D48" s="2201">
        <v>441.53100000000001</v>
      </c>
      <c r="E48" s="2202">
        <v>305.63</v>
      </c>
      <c r="F48" s="2202">
        <v>142.94143024499999</v>
      </c>
      <c r="G48" s="2202">
        <v>204.40610733099999</v>
      </c>
      <c r="H48" s="2202">
        <v>291.86047200600001</v>
      </c>
    </row>
    <row r="49" spans="1:10" ht="14.1" customHeight="1">
      <c r="A49" s="2199" t="s">
        <v>1987</v>
      </c>
      <c r="B49" s="2199" t="s">
        <v>1988</v>
      </c>
      <c r="C49" s="2201">
        <v>5982.8419999999996</v>
      </c>
      <c r="D49" s="2201">
        <v>8993.1380000000008</v>
      </c>
      <c r="E49" s="2202">
        <v>11095.04</v>
      </c>
      <c r="F49" s="2202">
        <v>15147.811227799</v>
      </c>
      <c r="G49" s="2202">
        <v>16602.259161540998</v>
      </c>
      <c r="H49" s="2202">
        <v>15456.963951405</v>
      </c>
    </row>
    <row r="50" spans="1:10" ht="14.1" customHeight="1">
      <c r="A50" s="2199" t="s">
        <v>1989</v>
      </c>
      <c r="B50" s="2199" t="s">
        <v>1990</v>
      </c>
      <c r="C50" s="2201">
        <v>3747.68</v>
      </c>
      <c r="D50" s="2201">
        <v>3914.6089999999999</v>
      </c>
      <c r="E50" s="2202">
        <v>5255.7030000000004</v>
      </c>
      <c r="F50" s="2202">
        <v>7384.2861842940001</v>
      </c>
      <c r="G50" s="2202">
        <v>8317.3752970549995</v>
      </c>
      <c r="H50" s="2202">
        <v>7354.1097890110004</v>
      </c>
    </row>
    <row r="51" spans="1:10" ht="14.1" customHeight="1">
      <c r="A51" s="2199" t="s">
        <v>1991</v>
      </c>
      <c r="B51" s="2199" t="s">
        <v>1992</v>
      </c>
      <c r="C51" s="2201">
        <v>3746.7220000000002</v>
      </c>
      <c r="D51" s="2201">
        <v>3912.346</v>
      </c>
      <c r="E51" s="2202">
        <v>5104.2309999999998</v>
      </c>
      <c r="F51" s="2202">
        <v>7213.6299160810004</v>
      </c>
      <c r="G51" s="2202">
        <v>7349.6287441510003</v>
      </c>
      <c r="H51" s="2202">
        <v>6754.353590359</v>
      </c>
    </row>
    <row r="52" spans="1:10" ht="14.1" customHeight="1">
      <c r="A52" s="2199" t="s">
        <v>1993</v>
      </c>
      <c r="B52" s="2199" t="s">
        <v>1994</v>
      </c>
      <c r="C52" s="2201">
        <v>204.286</v>
      </c>
      <c r="D52" s="2201">
        <v>177.767</v>
      </c>
      <c r="E52" s="2202">
        <v>205.25299999999999</v>
      </c>
      <c r="F52" s="2202">
        <v>379.74576209999998</v>
      </c>
      <c r="G52" s="2202">
        <v>499.958951517</v>
      </c>
      <c r="H52" s="2202">
        <v>282.691404557</v>
      </c>
    </row>
    <row r="53" spans="1:10" ht="14.1" customHeight="1">
      <c r="A53" s="2199" t="s">
        <v>1995</v>
      </c>
      <c r="B53" s="2199" t="s">
        <v>1996</v>
      </c>
      <c r="C53" s="2201">
        <v>169.69800000000001</v>
      </c>
      <c r="D53" s="2201">
        <v>70.600999999999999</v>
      </c>
      <c r="E53" s="2202">
        <v>129.42099999999999</v>
      </c>
      <c r="F53" s="2202">
        <v>241.290518537</v>
      </c>
      <c r="G53" s="2202">
        <v>560.98958411800004</v>
      </c>
      <c r="H53" s="2202">
        <v>468.807591726</v>
      </c>
    </row>
    <row r="54" spans="1:10" ht="14.1" customHeight="1">
      <c r="A54" s="2199" t="s">
        <v>2420</v>
      </c>
      <c r="B54" s="2199" t="s">
        <v>1998</v>
      </c>
      <c r="C54" s="2201">
        <v>238.477</v>
      </c>
      <c r="D54" s="2201">
        <v>677.149</v>
      </c>
      <c r="E54" s="2202">
        <v>630.24699999999996</v>
      </c>
      <c r="F54" s="2202">
        <v>1033.814555701</v>
      </c>
      <c r="G54" s="2202">
        <v>1375.4048810920001</v>
      </c>
      <c r="H54" s="2202">
        <v>1606.3551631350001</v>
      </c>
    </row>
    <row r="55" spans="1:10" ht="14.1" customHeight="1">
      <c r="A55" s="2199" t="s">
        <v>1999</v>
      </c>
      <c r="B55" s="2199" t="s">
        <v>2000</v>
      </c>
      <c r="C55" s="2201">
        <v>3134.261</v>
      </c>
      <c r="D55" s="2201">
        <v>2986.8290000000002</v>
      </c>
      <c r="E55" s="2202">
        <v>4139.3100000000004</v>
      </c>
      <c r="F55" s="2202">
        <v>5558.7790797429998</v>
      </c>
      <c r="G55" s="2202">
        <v>4913.2753274240004</v>
      </c>
      <c r="H55" s="2202">
        <v>4396.4994309410004</v>
      </c>
    </row>
    <row r="56" spans="1:10" ht="14.1" customHeight="1">
      <c r="A56" s="2199" t="s">
        <v>2001</v>
      </c>
      <c r="B56" s="2199" t="s">
        <v>2002</v>
      </c>
      <c r="C56" s="2201">
        <v>0.95799999999999996</v>
      </c>
      <c r="D56" s="2201">
        <v>2.2629999999999999</v>
      </c>
      <c r="E56" s="2202">
        <v>151.47200000000001</v>
      </c>
      <c r="F56" s="2202">
        <v>170.656268213</v>
      </c>
      <c r="G56" s="2202">
        <v>967.74655290400005</v>
      </c>
      <c r="H56" s="2202">
        <v>599.75619865199997</v>
      </c>
    </row>
    <row r="57" spans="1:10" ht="14.1" customHeight="1">
      <c r="A57" s="2199" t="s">
        <v>2421</v>
      </c>
      <c r="B57" s="2199" t="s">
        <v>2004</v>
      </c>
      <c r="C57" s="2201">
        <v>0.95799999999999996</v>
      </c>
      <c r="D57" s="2201">
        <v>2.2629999999999999</v>
      </c>
      <c r="E57" s="2202">
        <v>145.346</v>
      </c>
      <c r="F57" s="2202">
        <v>97.178457436000002</v>
      </c>
      <c r="G57" s="2202">
        <v>942.17893367299996</v>
      </c>
      <c r="H57" s="2202">
        <v>547.67484816000001</v>
      </c>
    </row>
    <row r="58" spans="1:10" ht="14.1" customHeight="1">
      <c r="A58" s="2199" t="s">
        <v>2005</v>
      </c>
      <c r="B58" s="2199" t="s">
        <v>2006</v>
      </c>
      <c r="C58" s="2201">
        <v>0</v>
      </c>
      <c r="D58" s="2201">
        <v>0</v>
      </c>
      <c r="E58" s="2202">
        <v>6.1260000000000003</v>
      </c>
      <c r="F58" s="2202">
        <v>73.477810777000002</v>
      </c>
      <c r="G58" s="2202">
        <v>25.567619230999998</v>
      </c>
      <c r="H58" s="2202">
        <v>52.081350491999999</v>
      </c>
    </row>
    <row r="59" spans="1:10" ht="14.1" customHeight="1">
      <c r="A59" s="2199" t="s">
        <v>2007</v>
      </c>
      <c r="B59" s="2199" t="s">
        <v>2008</v>
      </c>
      <c r="C59" s="2201">
        <v>2235.1619999999998</v>
      </c>
      <c r="D59" s="2201">
        <v>5078.5290000000005</v>
      </c>
      <c r="E59" s="2202">
        <v>5839.3370000000004</v>
      </c>
      <c r="F59" s="2202">
        <v>7763.5250435050002</v>
      </c>
      <c r="G59" s="2202">
        <v>8284.8838644860007</v>
      </c>
      <c r="H59" s="2202">
        <v>8102.854162394</v>
      </c>
    </row>
    <row r="60" spans="1:10" ht="14.1" customHeight="1">
      <c r="A60" s="2199" t="s">
        <v>2009</v>
      </c>
      <c r="B60" s="2199" t="s">
        <v>2010</v>
      </c>
      <c r="C60" s="2201">
        <v>1100</v>
      </c>
      <c r="D60" s="2201">
        <v>3000</v>
      </c>
      <c r="E60" s="2202">
        <v>3224.71</v>
      </c>
      <c r="F60" s="2202">
        <v>3582.01208</v>
      </c>
      <c r="G60" s="2202">
        <v>4531.2237699999996</v>
      </c>
      <c r="H60" s="2202">
        <v>5741.0312400000003</v>
      </c>
      <c r="I60" s="2199">
        <v>3224.71</v>
      </c>
      <c r="J60" s="2201">
        <f>F60+F61-I60-I61</f>
        <v>1121.9801687099998</v>
      </c>
    </row>
    <row r="61" spans="1:10" ht="14.1" customHeight="1">
      <c r="A61" s="2199" t="s">
        <v>2011</v>
      </c>
      <c r="B61" s="2199" t="s">
        <v>2012</v>
      </c>
      <c r="C61" s="2201">
        <v>0</v>
      </c>
      <c r="D61" s="2201">
        <v>0</v>
      </c>
      <c r="E61" s="2202">
        <v>340.68299999999999</v>
      </c>
      <c r="F61" s="2202">
        <v>1105.3610887100001</v>
      </c>
      <c r="G61" s="2202">
        <v>804.50354871000002</v>
      </c>
      <c r="H61" s="2202">
        <v>4.5035487099999996</v>
      </c>
      <c r="I61" s="2199">
        <v>340.68299999999999</v>
      </c>
    </row>
    <row r="62" spans="1:10" ht="14.1" customHeight="1">
      <c r="A62" s="2199" t="s">
        <v>2013</v>
      </c>
      <c r="B62" s="2199" t="s">
        <v>2014</v>
      </c>
      <c r="C62" s="2201">
        <v>0</v>
      </c>
      <c r="D62" s="2201">
        <v>0</v>
      </c>
      <c r="E62" s="2202">
        <v>0</v>
      </c>
      <c r="F62" s="2202">
        <v>0</v>
      </c>
      <c r="G62" s="2202">
        <v>0</v>
      </c>
      <c r="H62" s="2202">
        <v>0</v>
      </c>
    </row>
    <row r="63" spans="1:10" ht="14.1" customHeight="1">
      <c r="A63" s="2199" t="s">
        <v>2015</v>
      </c>
      <c r="B63" s="2199" t="s">
        <v>2016</v>
      </c>
      <c r="C63" s="2201">
        <v>-4.266</v>
      </c>
      <c r="D63" s="2201">
        <v>-4.266</v>
      </c>
      <c r="E63" s="2202">
        <v>-4.266</v>
      </c>
      <c r="F63" s="2202">
        <v>-4.2671564890000004</v>
      </c>
      <c r="G63" s="2202">
        <v>30.697383628000001</v>
      </c>
      <c r="H63" s="2202">
        <v>30.697383628000001</v>
      </c>
    </row>
    <row r="64" spans="1:10" ht="14.1" customHeight="1">
      <c r="A64" s="2199" t="s">
        <v>1366</v>
      </c>
      <c r="B64" s="2199" t="s">
        <v>2018</v>
      </c>
      <c r="C64" s="2201">
        <v>191.768</v>
      </c>
      <c r="D64" s="2201">
        <v>461.50400000000002</v>
      </c>
      <c r="E64" s="2202">
        <v>455.99</v>
      </c>
      <c r="F64" s="2202">
        <v>941.84541666600001</v>
      </c>
      <c r="G64" s="2202">
        <v>679.56376537000006</v>
      </c>
      <c r="H64" s="2202">
        <v>89.888258946999997</v>
      </c>
    </row>
    <row r="65" spans="1:10" ht="14.1" customHeight="1">
      <c r="A65" s="2199" t="s">
        <v>2019</v>
      </c>
      <c r="B65" s="2199" t="s">
        <v>2020</v>
      </c>
      <c r="C65" s="2201">
        <v>947.66</v>
      </c>
      <c r="D65" s="2201">
        <v>1621.2909999999999</v>
      </c>
      <c r="E65" s="2202">
        <v>1822.22</v>
      </c>
      <c r="F65" s="2202">
        <v>2138.5736146180002</v>
      </c>
      <c r="G65" s="2202">
        <v>2238.8953967779998</v>
      </c>
      <c r="H65" s="2202">
        <v>2236.733731109</v>
      </c>
    </row>
    <row r="66" spans="1:10" ht="14.1" customHeight="1">
      <c r="A66" s="2199" t="s">
        <v>2021</v>
      </c>
      <c r="B66" s="2199" t="s">
        <v>2022</v>
      </c>
      <c r="C66" s="2201">
        <v>5982.8419999999996</v>
      </c>
      <c r="D66" s="2201">
        <v>8993.1380000000008</v>
      </c>
      <c r="E66" s="2202">
        <v>11095.04</v>
      </c>
      <c r="F66" s="2202">
        <v>15147.811227799</v>
      </c>
      <c r="G66" s="2202">
        <v>16602.259161540998</v>
      </c>
      <c r="H66" s="2202">
        <v>15456.963951405</v>
      </c>
    </row>
    <row r="68" spans="1:10" s="2203" customFormat="1" ht="14.1" customHeight="1">
      <c r="A68" s="2204" t="s">
        <v>2049</v>
      </c>
      <c r="B68" s="2204" t="s">
        <v>1949</v>
      </c>
      <c r="C68" s="2204" t="s">
        <v>2385</v>
      </c>
      <c r="D68" s="2204" t="s">
        <v>2386</v>
      </c>
      <c r="E68" s="2204" t="s">
        <v>2395</v>
      </c>
      <c r="F68" s="2204" t="s">
        <v>2407</v>
      </c>
      <c r="G68" s="2204" t="s">
        <v>2416</v>
      </c>
      <c r="H68" s="2204"/>
      <c r="I68" s="2204"/>
      <c r="J68" s="2204"/>
    </row>
    <row r="69" spans="1:10" ht="14.1" customHeight="1">
      <c r="A69" s="2205" t="s">
        <v>2422</v>
      </c>
      <c r="B69" s="2205" t="s">
        <v>2218</v>
      </c>
      <c r="C69" s="2206">
        <v>0</v>
      </c>
      <c r="D69" s="2206">
        <v>0</v>
      </c>
      <c r="E69" s="2207">
        <v>1444.164094944</v>
      </c>
      <c r="F69" s="2207">
        <v>1200.0570073189999</v>
      </c>
      <c r="G69" s="2207">
        <v>660.95103227599998</v>
      </c>
      <c r="H69" s="2205"/>
      <c r="I69" s="2205"/>
      <c r="J69" s="2205"/>
    </row>
    <row r="70" spans="1:10" ht="14.1" customHeight="1">
      <c r="A70" s="2205" t="s">
        <v>2050</v>
      </c>
      <c r="B70" s="2205" t="s">
        <v>2051</v>
      </c>
      <c r="C70" s="2206">
        <v>0</v>
      </c>
      <c r="D70" s="2206">
        <v>0</v>
      </c>
      <c r="E70" s="2207">
        <v>28.415670698</v>
      </c>
      <c r="F70" s="2207">
        <v>46.696072784999998</v>
      </c>
      <c r="G70" s="2207">
        <v>52.588477185000002</v>
      </c>
      <c r="H70" s="2205"/>
      <c r="I70" s="2205"/>
      <c r="J70" s="2205"/>
    </row>
    <row r="71" spans="1:10" ht="14.1" customHeight="1">
      <c r="A71" s="2205" t="s">
        <v>2052</v>
      </c>
      <c r="B71" s="2205" t="s">
        <v>2053</v>
      </c>
      <c r="C71" s="2206">
        <v>0</v>
      </c>
      <c r="D71" s="2206">
        <v>0</v>
      </c>
      <c r="E71" s="2207">
        <v>89.903075920000006</v>
      </c>
      <c r="F71" s="2207">
        <v>285.803640691</v>
      </c>
      <c r="G71" s="2207">
        <v>173.40732731899999</v>
      </c>
      <c r="H71" s="2205"/>
      <c r="I71" s="2205"/>
      <c r="J71" s="2205"/>
    </row>
    <row r="72" spans="1:10" ht="14.1" customHeight="1">
      <c r="A72" s="2205" t="s">
        <v>1374</v>
      </c>
      <c r="B72" s="2205" t="s">
        <v>2054</v>
      </c>
      <c r="C72" s="2206">
        <v>0</v>
      </c>
      <c r="D72" s="2206">
        <v>0</v>
      </c>
      <c r="E72" s="2207">
        <v>-144.32376938100001</v>
      </c>
      <c r="F72" s="2207">
        <v>-1877.0981251539999</v>
      </c>
      <c r="G72" s="2207">
        <v>-3118.0825519989999</v>
      </c>
      <c r="H72" s="2205"/>
      <c r="I72" s="2205"/>
      <c r="J72" s="2205"/>
    </row>
    <row r="73" spans="1:10" ht="14.1" customHeight="1">
      <c r="A73" s="2205" t="s">
        <v>2055</v>
      </c>
      <c r="B73" s="2205" t="s">
        <v>2056</v>
      </c>
      <c r="C73" s="2206">
        <v>0</v>
      </c>
      <c r="D73" s="2206">
        <v>0</v>
      </c>
      <c r="E73" s="2207">
        <v>-405.53262645199999</v>
      </c>
      <c r="F73" s="2207">
        <v>-530.81423096200001</v>
      </c>
      <c r="G73" s="2207">
        <v>-334.95738609699998</v>
      </c>
      <c r="H73" s="2205"/>
      <c r="I73" s="2205"/>
      <c r="J73" s="2205"/>
    </row>
    <row r="74" spans="1:10" ht="14.1" customHeight="1">
      <c r="A74" s="2205" t="s">
        <v>2057</v>
      </c>
      <c r="B74" s="2205" t="s">
        <v>2058</v>
      </c>
      <c r="C74" s="2206">
        <v>0</v>
      </c>
      <c r="D74" s="2206">
        <v>0</v>
      </c>
      <c r="E74" s="2207">
        <v>1012.626445729</v>
      </c>
      <c r="F74" s="2207">
        <v>-875.35563532100002</v>
      </c>
      <c r="G74" s="2207">
        <v>-2566.0931013159998</v>
      </c>
      <c r="H74" s="2205"/>
      <c r="I74" s="2205"/>
      <c r="J74" s="2205"/>
    </row>
    <row r="75" spans="1:10" ht="14.1" customHeight="1">
      <c r="A75" s="2205" t="s">
        <v>587</v>
      </c>
      <c r="B75" s="2205" t="s">
        <v>588</v>
      </c>
      <c r="C75" s="2206">
        <v>0</v>
      </c>
      <c r="D75" s="2206">
        <v>0</v>
      </c>
      <c r="E75" s="2207">
        <v>-66.817636612000001</v>
      </c>
      <c r="F75" s="2207">
        <v>-97.188070740000001</v>
      </c>
      <c r="G75" s="2207">
        <v>-82.216449071</v>
      </c>
      <c r="H75" s="2205"/>
      <c r="I75" s="2205"/>
      <c r="J75" s="2205"/>
    </row>
    <row r="76" spans="1:10" ht="14.1" customHeight="1">
      <c r="A76" s="2205" t="s">
        <v>2059</v>
      </c>
      <c r="B76" s="2205" t="s">
        <v>2060</v>
      </c>
      <c r="C76" s="2206">
        <v>0</v>
      </c>
      <c r="D76" s="2206">
        <v>0</v>
      </c>
      <c r="E76" s="2207">
        <v>167.75654307900001</v>
      </c>
      <c r="F76" s="2207">
        <v>-75.550765881999993</v>
      </c>
      <c r="G76" s="2207">
        <v>-193.50430099799999</v>
      </c>
      <c r="H76" s="2205"/>
      <c r="I76" s="2205"/>
      <c r="J76" s="2205"/>
    </row>
    <row r="77" spans="1:10" ht="14.1" customHeight="1">
      <c r="A77" s="2205" t="s">
        <v>2061</v>
      </c>
      <c r="B77" s="2205" t="s">
        <v>2062</v>
      </c>
      <c r="C77" s="2206">
        <v>0</v>
      </c>
      <c r="D77" s="2206">
        <v>0</v>
      </c>
      <c r="E77" s="2207">
        <v>-542.77148801600003</v>
      </c>
      <c r="F77" s="2207">
        <v>-6.0383505570000002</v>
      </c>
      <c r="G77" s="2207">
        <v>84.57</v>
      </c>
      <c r="H77" s="2205"/>
      <c r="I77" s="2205"/>
      <c r="J77" s="2205"/>
    </row>
    <row r="78" spans="1:10" ht="14.1" customHeight="1">
      <c r="A78" s="2205" t="s">
        <v>2063</v>
      </c>
      <c r="B78" s="2205" t="s">
        <v>2064</v>
      </c>
      <c r="C78" s="2206">
        <v>0</v>
      </c>
      <c r="D78" s="2206">
        <v>0</v>
      </c>
      <c r="E78" s="2207">
        <v>31.929425975000001</v>
      </c>
      <c r="F78" s="2207">
        <v>48.715473033999999</v>
      </c>
      <c r="G78" s="2207">
        <v>45.165323414</v>
      </c>
      <c r="H78" s="2205"/>
      <c r="I78" s="2205"/>
      <c r="J78" s="2205"/>
    </row>
    <row r="79" spans="1:10" ht="14.1" customHeight="1">
      <c r="A79" s="2205" t="s">
        <v>2065</v>
      </c>
      <c r="B79" s="2205" t="s">
        <v>2066</v>
      </c>
      <c r="C79" s="2206">
        <v>0</v>
      </c>
      <c r="D79" s="2206">
        <v>0</v>
      </c>
      <c r="E79" s="2207">
        <v>-409.90315557399998</v>
      </c>
      <c r="F79" s="2207">
        <v>-130.061714145</v>
      </c>
      <c r="G79" s="2207">
        <v>-145.985426655</v>
      </c>
      <c r="H79" s="2205"/>
      <c r="I79" s="2205"/>
      <c r="J79" s="2205"/>
    </row>
    <row r="80" spans="1:10" ht="14.1" customHeight="1">
      <c r="A80" s="2205" t="s">
        <v>2067</v>
      </c>
      <c r="B80" s="2205" t="s">
        <v>2068</v>
      </c>
      <c r="C80" s="2206">
        <v>0</v>
      </c>
      <c r="D80" s="2206">
        <v>0</v>
      </c>
      <c r="E80" s="2207">
        <v>-911.01011464600003</v>
      </c>
      <c r="F80" s="2207">
        <v>-298.30320979300001</v>
      </c>
      <c r="G80" s="2207">
        <v>-348.765713038</v>
      </c>
      <c r="H80" s="2205"/>
      <c r="I80" s="2205"/>
      <c r="J80" s="2205"/>
    </row>
    <row r="81" spans="1:10" ht="14.1" customHeight="1">
      <c r="A81" s="2205" t="s">
        <v>2069</v>
      </c>
      <c r="B81" s="2205" t="s">
        <v>2070</v>
      </c>
      <c r="C81" s="2206">
        <v>0</v>
      </c>
      <c r="D81" s="2206">
        <v>0</v>
      </c>
      <c r="E81" s="2207">
        <v>95.330773135000001</v>
      </c>
      <c r="F81" s="2207">
        <v>356.11782592200001</v>
      </c>
      <c r="G81" s="2207">
        <v>1581.8000783489999</v>
      </c>
      <c r="H81" s="2205"/>
      <c r="I81" s="2205"/>
      <c r="J81" s="2205"/>
    </row>
    <row r="82" spans="1:10" ht="14.1" customHeight="1">
      <c r="A82" s="2205" t="s">
        <v>2071</v>
      </c>
      <c r="B82" s="2205" t="s">
        <v>2072</v>
      </c>
      <c r="C82" s="2206">
        <v>0</v>
      </c>
      <c r="D82" s="2206">
        <v>0</v>
      </c>
      <c r="E82" s="2207">
        <v>1008.484545475</v>
      </c>
      <c r="F82" s="2207">
        <v>1433.7200599</v>
      </c>
      <c r="G82" s="2207">
        <v>339.120747252</v>
      </c>
      <c r="H82" s="2205"/>
      <c r="I82" s="2205"/>
      <c r="J82" s="2205"/>
    </row>
    <row r="83" spans="1:10" ht="14.1" customHeight="1">
      <c r="A83" s="2205" t="s">
        <v>2073</v>
      </c>
      <c r="B83" s="2205" t="s">
        <v>2074</v>
      </c>
      <c r="C83" s="2206">
        <v>0</v>
      </c>
      <c r="D83" s="2206">
        <v>0</v>
      </c>
      <c r="E83" s="2207">
        <v>0</v>
      </c>
      <c r="F83" s="2207">
        <v>0</v>
      </c>
      <c r="G83" s="2207">
        <v>0</v>
      </c>
      <c r="H83" s="2205"/>
      <c r="I83" s="2205"/>
      <c r="J83" s="2205"/>
    </row>
    <row r="84" spans="1:10" ht="14.1" customHeight="1">
      <c r="A84" s="2205" t="s">
        <v>2075</v>
      </c>
      <c r="B84" s="2205" t="s">
        <v>2076</v>
      </c>
      <c r="C84" s="2206">
        <v>0</v>
      </c>
      <c r="D84" s="2206">
        <v>0</v>
      </c>
      <c r="E84" s="2207">
        <v>192.80520396399999</v>
      </c>
      <c r="F84" s="2207">
        <v>1491.5346760289999</v>
      </c>
      <c r="G84" s="2207">
        <v>1572.1551125630001</v>
      </c>
      <c r="H84" s="2205"/>
      <c r="I84" s="2205"/>
      <c r="J84" s="2205"/>
    </row>
    <row r="85" spans="1:10" ht="14.1" customHeight="1">
      <c r="A85" s="2205" t="s">
        <v>2077</v>
      </c>
      <c r="B85" s="2205" t="s">
        <v>2078</v>
      </c>
      <c r="C85" s="2206">
        <v>0</v>
      </c>
      <c r="D85" s="2206">
        <v>0</v>
      </c>
      <c r="E85" s="2207">
        <v>795.52849411900002</v>
      </c>
      <c r="F85" s="2207">
        <v>486.11732656300001</v>
      </c>
      <c r="G85" s="2207">
        <v>-1139.923415408</v>
      </c>
      <c r="H85" s="2205"/>
      <c r="I85" s="2205"/>
      <c r="J85" s="2205"/>
    </row>
    <row r="87" spans="1:10" s="2203" customFormat="1" ht="14.1" customHeight="1">
      <c r="A87" s="2204" t="s">
        <v>2079</v>
      </c>
      <c r="B87" s="2204" t="s">
        <v>1949</v>
      </c>
      <c r="C87" s="2204" t="s">
        <v>2385</v>
      </c>
      <c r="D87" s="2204" t="s">
        <v>2386</v>
      </c>
      <c r="E87" s="2204" t="s">
        <v>2395</v>
      </c>
      <c r="F87" s="2204" t="s">
        <v>2407</v>
      </c>
      <c r="G87" s="2204" t="s">
        <v>2416</v>
      </c>
      <c r="H87" s="2204"/>
      <c r="I87" s="2204"/>
      <c r="J87" s="2204"/>
    </row>
    <row r="88" spans="1:10" ht="14.1" customHeight="1">
      <c r="A88" s="2205" t="s">
        <v>2080</v>
      </c>
      <c r="B88" s="2205" t="s">
        <v>1831</v>
      </c>
      <c r="C88" s="2206">
        <v>817.851</v>
      </c>
      <c r="D88" s="2206">
        <v>1851.5920000000001</v>
      </c>
      <c r="E88" s="2207">
        <v>1341.029</v>
      </c>
      <c r="F88" s="2207">
        <v>14842.325113479001</v>
      </c>
      <c r="G88" s="2207">
        <v>6938.0008544800003</v>
      </c>
      <c r="H88" s="2205"/>
      <c r="I88" s="2205"/>
      <c r="J88" s="2205"/>
    </row>
    <row r="89" spans="1:10" ht="14.1" customHeight="1">
      <c r="A89" s="2205" t="s">
        <v>2081</v>
      </c>
      <c r="B89" s="2205" t="s">
        <v>2082</v>
      </c>
      <c r="C89" s="2206">
        <v>0</v>
      </c>
      <c r="D89" s="2206">
        <v>0</v>
      </c>
      <c r="E89" s="2207">
        <v>0</v>
      </c>
      <c r="F89" s="2207">
        <v>0</v>
      </c>
      <c r="G89" s="2207">
        <v>0</v>
      </c>
      <c r="H89" s="2205"/>
      <c r="I89" s="2205"/>
      <c r="J89" s="2205"/>
    </row>
    <row r="90" spans="1:10" ht="14.1" customHeight="1">
      <c r="A90" s="2205" t="s">
        <v>2083</v>
      </c>
      <c r="B90" s="2205" t="s">
        <v>2084</v>
      </c>
      <c r="C90" s="2206">
        <v>0</v>
      </c>
      <c r="D90" s="2206">
        <v>0</v>
      </c>
      <c r="E90" s="2207">
        <v>0</v>
      </c>
      <c r="F90" s="2207">
        <v>-1524.7203</v>
      </c>
      <c r="G90" s="2207">
        <v>-4469.7200999999995</v>
      </c>
      <c r="H90" s="2205"/>
      <c r="I90" s="2205"/>
      <c r="J90" s="2205"/>
    </row>
    <row r="91" spans="1:10" ht="14.1" customHeight="1">
      <c r="A91" s="2205" t="s">
        <v>2085</v>
      </c>
      <c r="B91" s="2205" t="s">
        <v>2086</v>
      </c>
      <c r="C91" s="2206">
        <v>0</v>
      </c>
      <c r="D91" s="2206">
        <v>0</v>
      </c>
      <c r="E91" s="2207">
        <v>0</v>
      </c>
      <c r="F91" s="2207">
        <v>13360.9050584</v>
      </c>
      <c r="G91" s="2207">
        <v>3044.9823734000001</v>
      </c>
      <c r="H91" s="2205"/>
      <c r="I91" s="2205"/>
      <c r="J91" s="2205"/>
    </row>
    <row r="92" spans="1:10" ht="14.1" customHeight="1">
      <c r="A92" s="2205" t="s">
        <v>2089</v>
      </c>
      <c r="B92" s="2205" t="s">
        <v>2090</v>
      </c>
      <c r="C92" s="2206">
        <v>0</v>
      </c>
      <c r="D92" s="2206">
        <v>0</v>
      </c>
      <c r="E92" s="2207">
        <v>945.80880911700001</v>
      </c>
      <c r="F92" s="2207">
        <v>-972.54370606099997</v>
      </c>
      <c r="G92" s="2207">
        <v>-2648.3095503869999</v>
      </c>
      <c r="H92" s="2205"/>
      <c r="I92" s="2205"/>
      <c r="J92" s="2205"/>
    </row>
    <row r="93" spans="1:10" ht="14.1" customHeight="1">
      <c r="A93" s="2205" t="s">
        <v>2091</v>
      </c>
      <c r="B93" s="2205" t="s">
        <v>2092</v>
      </c>
      <c r="C93" s="2206">
        <v>2474.5970000000002</v>
      </c>
      <c r="D93" s="2206">
        <v>5757.9409999999998</v>
      </c>
      <c r="E93" s="2207">
        <v>6614.93</v>
      </c>
      <c r="F93" s="2207">
        <v>8894.5180566420004</v>
      </c>
      <c r="G93" s="2207">
        <v>10602.467679251</v>
      </c>
      <c r="H93" s="2205"/>
      <c r="I93" s="2205"/>
      <c r="J93" s="2205"/>
    </row>
    <row r="94" spans="1:10" ht="14.1" customHeight="1">
      <c r="A94" s="2205" t="s">
        <v>2093</v>
      </c>
      <c r="B94" s="2205" t="s">
        <v>2094</v>
      </c>
      <c r="C94" s="2206"/>
      <c r="D94" s="2206"/>
      <c r="E94" s="2207"/>
      <c r="F94" s="2207"/>
      <c r="G94" s="2207"/>
      <c r="H94" s="2205"/>
      <c r="I94" s="2205"/>
      <c r="J94" s="2205"/>
    </row>
    <row r="95" spans="1:10" ht="14.1" customHeight="1">
      <c r="A95" s="2205" t="s">
        <v>1446</v>
      </c>
      <c r="B95" s="2205" t="s">
        <v>2095</v>
      </c>
      <c r="C95" s="2208">
        <v>0.2079</v>
      </c>
      <c r="D95" s="2208">
        <v>0.20280000000000001</v>
      </c>
      <c r="E95" s="2209">
        <v>0.2137</v>
      </c>
      <c r="F95" s="2209">
        <v>0.27210000000000001</v>
      </c>
      <c r="G95" s="2209">
        <v>0.19819999999999999</v>
      </c>
      <c r="H95" s="2205"/>
      <c r="I95" s="2205"/>
      <c r="J95" s="2205"/>
    </row>
    <row r="96" spans="1:10" ht="14.1" customHeight="1">
      <c r="A96" s="2205" t="s">
        <v>2096</v>
      </c>
      <c r="B96" s="2205"/>
      <c r="C96" s="2206">
        <v>0</v>
      </c>
      <c r="D96" s="2206">
        <v>0</v>
      </c>
      <c r="E96" s="2207">
        <v>0</v>
      </c>
      <c r="F96" s="2207">
        <v>574.10900000000004</v>
      </c>
      <c r="G96" s="2207">
        <v>574.10599999999999</v>
      </c>
      <c r="H96" s="2205"/>
      <c r="I96" s="2205"/>
      <c r="J96" s="2205"/>
    </row>
    <row r="97" spans="1:10" ht="14.1" customHeight="1">
      <c r="A97" s="2205" t="s">
        <v>1328</v>
      </c>
      <c r="B97" s="2205" t="s">
        <v>2429</v>
      </c>
      <c r="C97" s="2206">
        <v>1287.502</v>
      </c>
      <c r="D97" s="2206">
        <v>3457.2379999999998</v>
      </c>
      <c r="E97" s="2207">
        <v>4017.1170000000002</v>
      </c>
      <c r="F97" s="2207">
        <v>5624.9514288869996</v>
      </c>
      <c r="G97" s="2207">
        <v>6045.9884677079999</v>
      </c>
      <c r="H97" s="2205"/>
      <c r="I97" s="2205"/>
      <c r="J97" s="2205"/>
    </row>
    <row r="99" spans="1:10" s="2203" customFormat="1" ht="14.1" customHeight="1">
      <c r="A99" s="2210" t="s">
        <v>2098</v>
      </c>
      <c r="B99" s="2210" t="s">
        <v>1949</v>
      </c>
      <c r="C99" s="2210" t="s">
        <v>2385</v>
      </c>
      <c r="D99" s="2210" t="s">
        <v>2386</v>
      </c>
      <c r="E99" s="2210" t="s">
        <v>2395</v>
      </c>
      <c r="F99" s="2210" t="s">
        <v>2407</v>
      </c>
      <c r="G99" s="2210" t="s">
        <v>2241</v>
      </c>
      <c r="H99" s="2210"/>
      <c r="I99" s="2210"/>
      <c r="J99" s="2210"/>
    </row>
    <row r="100" spans="1:10" ht="14.1" customHeight="1">
      <c r="A100" s="2211" t="s">
        <v>2099</v>
      </c>
      <c r="B100" s="2211" t="s">
        <v>2099</v>
      </c>
      <c r="C100" s="2212"/>
      <c r="D100" s="2212"/>
      <c r="E100" s="2212"/>
      <c r="F100" s="2212"/>
      <c r="G100" s="2212"/>
      <c r="H100" s="2211"/>
      <c r="I100" s="2211"/>
      <c r="J100" s="2211"/>
    </row>
    <row r="101" spans="1:10" ht="14.1" customHeight="1">
      <c r="A101" s="2211" t="s">
        <v>2100</v>
      </c>
      <c r="B101" s="2211" t="s">
        <v>2100</v>
      </c>
      <c r="C101" s="2212"/>
      <c r="D101" s="2212"/>
      <c r="E101" s="2212"/>
      <c r="F101" s="2212"/>
      <c r="G101" s="2212"/>
      <c r="H101" s="2211"/>
      <c r="I101" s="2211"/>
      <c r="J101" s="2211"/>
    </row>
    <row r="102" spans="1:10" ht="14.1" customHeight="1">
      <c r="A102" s="2211" t="s">
        <v>2456</v>
      </c>
      <c r="B102" s="2211" t="s">
        <v>2101</v>
      </c>
      <c r="C102" s="2212"/>
      <c r="D102" s="2212"/>
      <c r="E102" s="2212"/>
      <c r="F102" s="2212"/>
      <c r="G102" s="2212"/>
      <c r="H102" s="2211"/>
      <c r="I102" s="2211"/>
      <c r="J102" s="2211"/>
    </row>
    <row r="103" spans="1:10" ht="14.1" customHeight="1">
      <c r="A103" s="2211" t="s">
        <v>1907</v>
      </c>
      <c r="B103" s="2211" t="s">
        <v>1907</v>
      </c>
      <c r="C103" s="2212"/>
      <c r="D103" s="2212"/>
      <c r="E103" s="2212"/>
      <c r="F103" s="2212"/>
      <c r="G103" s="2212"/>
      <c r="H103" s="2211"/>
      <c r="I103" s="2211"/>
      <c r="J103" s="2211"/>
    </row>
    <row r="104" spans="1:10" ht="14.1" customHeight="1">
      <c r="A104" s="2211" t="s">
        <v>2102</v>
      </c>
      <c r="B104" s="2211" t="s">
        <v>2102</v>
      </c>
      <c r="C104" s="2212"/>
      <c r="D104" s="2212"/>
      <c r="E104" s="2212"/>
      <c r="F104" s="2212"/>
      <c r="G104" s="2212"/>
      <c r="H104" s="2211"/>
      <c r="I104" s="2211"/>
      <c r="J104" s="2211"/>
    </row>
    <row r="105" spans="1:10" ht="14.1" customHeight="1">
      <c r="A105" s="2211" t="s">
        <v>2457</v>
      </c>
      <c r="B105" s="2211" t="s">
        <v>2103</v>
      </c>
      <c r="C105" s="2212"/>
      <c r="D105" s="2212"/>
      <c r="E105" s="2212"/>
      <c r="F105" s="2212"/>
      <c r="G105" s="2212"/>
      <c r="H105" s="2211"/>
      <c r="I105" s="2211"/>
      <c r="J105" s="2211"/>
    </row>
    <row r="106" spans="1:10" ht="14.1" customHeight="1">
      <c r="A106" s="2211" t="s">
        <v>1906</v>
      </c>
      <c r="B106" s="2211" t="s">
        <v>1906</v>
      </c>
      <c r="C106" s="2212"/>
      <c r="D106" s="2212"/>
      <c r="E106" s="2212"/>
      <c r="F106" s="2212"/>
      <c r="G106" s="2212"/>
      <c r="H106" s="2211"/>
      <c r="I106" s="2211"/>
      <c r="J106" s="2211"/>
    </row>
    <row r="107" spans="1:10" ht="14.1" customHeight="1">
      <c r="A107" s="2211" t="s">
        <v>2104</v>
      </c>
      <c r="B107" s="2211" t="s">
        <v>2104</v>
      </c>
      <c r="C107" s="2212"/>
      <c r="D107" s="2212"/>
      <c r="E107" s="2212"/>
      <c r="F107" s="2212"/>
      <c r="G107" s="2212"/>
      <c r="H107" s="2211"/>
      <c r="I107" s="2211"/>
      <c r="J107" s="2211"/>
    </row>
    <row r="108" spans="1:10" ht="14.1" customHeight="1">
      <c r="A108" s="2211" t="s">
        <v>2458</v>
      </c>
      <c r="B108" s="2211" t="s">
        <v>2105</v>
      </c>
      <c r="C108" s="2212"/>
      <c r="D108" s="2212"/>
      <c r="E108" s="2212"/>
      <c r="F108" s="2212"/>
      <c r="G108" s="2212"/>
      <c r="H108" s="2211"/>
      <c r="I108" s="2211"/>
      <c r="J108" s="2211"/>
    </row>
    <row r="109" spans="1:10" ht="14.1" customHeight="1">
      <c r="A109" s="2211" t="s">
        <v>2106</v>
      </c>
      <c r="B109" s="2211" t="s">
        <v>2106</v>
      </c>
      <c r="C109" s="2212"/>
      <c r="D109" s="2212"/>
      <c r="E109" s="2212"/>
      <c r="F109" s="2212"/>
      <c r="G109" s="2212"/>
      <c r="H109" s="2211"/>
      <c r="I109" s="2211"/>
      <c r="J109" s="2211"/>
    </row>
    <row r="110" spans="1:10" ht="14.1" customHeight="1">
      <c r="A110" s="2211" t="s">
        <v>2107</v>
      </c>
      <c r="B110" s="2211" t="s">
        <v>2107</v>
      </c>
      <c r="C110" s="2212"/>
      <c r="D110" s="2212"/>
      <c r="E110" s="2212"/>
      <c r="F110" s="2212"/>
      <c r="G110" s="2212"/>
      <c r="H110" s="2211"/>
      <c r="I110" s="2211"/>
      <c r="J110" s="2211"/>
    </row>
    <row r="111" spans="1:10" ht="14.1" customHeight="1">
      <c r="A111" s="2211" t="s">
        <v>2108</v>
      </c>
      <c r="B111" s="2211" t="s">
        <v>2108</v>
      </c>
      <c r="C111" s="2212"/>
      <c r="D111" s="2212"/>
      <c r="E111" s="2212"/>
      <c r="F111" s="2212"/>
      <c r="G111" s="2212"/>
      <c r="H111" s="2211"/>
      <c r="I111" s="2211"/>
      <c r="J111" s="2211"/>
    </row>
    <row r="112" spans="1:10" ht="14.1" customHeight="1">
      <c r="A112" s="2211" t="s">
        <v>2459</v>
      </c>
      <c r="B112" s="2211" t="s">
        <v>2459</v>
      </c>
      <c r="C112" s="2212"/>
      <c r="D112" s="2212"/>
      <c r="E112" s="2212"/>
      <c r="F112" s="2212"/>
      <c r="G112" s="2212"/>
      <c r="H112" s="2211"/>
      <c r="I112" s="2211"/>
      <c r="J112" s="2211"/>
    </row>
    <row r="113" spans="1:10" ht="14.1" customHeight="1">
      <c r="A113" s="2211" t="s">
        <v>2460</v>
      </c>
      <c r="B113" s="2211" t="s">
        <v>2460</v>
      </c>
      <c r="C113" s="2212"/>
      <c r="D113" s="2212"/>
      <c r="E113" s="2212"/>
      <c r="F113" s="2212"/>
      <c r="G113" s="2212"/>
      <c r="H113" s="2211"/>
      <c r="I113" s="2211"/>
      <c r="J113" s="2211"/>
    </row>
    <row r="114" spans="1:10" ht="14.1" customHeight="1">
      <c r="A114" s="2211" t="s">
        <v>2461</v>
      </c>
      <c r="B114" s="2211" t="s">
        <v>2461</v>
      </c>
      <c r="C114" s="2212"/>
      <c r="D114" s="2212"/>
      <c r="E114" s="2212"/>
      <c r="F114" s="2212"/>
      <c r="G114" s="2212"/>
      <c r="H114" s="2211"/>
      <c r="I114" s="2211"/>
      <c r="J114" s="2211"/>
    </row>
    <row r="115" spans="1:10" ht="14.1" customHeight="1">
      <c r="A115" s="2211" t="s">
        <v>2462</v>
      </c>
      <c r="B115" s="2211" t="s">
        <v>2462</v>
      </c>
      <c r="C115" s="2212"/>
      <c r="D115" s="2212"/>
      <c r="E115" s="2212"/>
      <c r="F115" s="2212"/>
      <c r="G115" s="2212"/>
      <c r="H115" s="2211"/>
      <c r="I115" s="2211"/>
      <c r="J115" s="2211"/>
    </row>
    <row r="116" spans="1:10" ht="14.1" customHeight="1">
      <c r="A116" s="2211" t="s">
        <v>2463</v>
      </c>
      <c r="B116" s="2211" t="s">
        <v>2463</v>
      </c>
      <c r="C116" s="2212"/>
      <c r="D116" s="2212"/>
      <c r="E116" s="2212"/>
      <c r="F116" s="2212"/>
      <c r="G116" s="2212"/>
      <c r="H116" s="2211"/>
      <c r="I116" s="2211"/>
      <c r="J116" s="2211"/>
    </row>
    <row r="117" spans="1:10" ht="14.1" customHeight="1">
      <c r="A117" s="2211" t="s">
        <v>2464</v>
      </c>
      <c r="B117" s="2211" t="s">
        <v>2464</v>
      </c>
      <c r="C117" s="2212"/>
      <c r="D117" s="2212"/>
      <c r="E117" s="2212"/>
      <c r="F117" s="2212"/>
      <c r="G117" s="2212"/>
      <c r="H117" s="2211"/>
      <c r="I117" s="2211"/>
      <c r="J117" s="2211"/>
    </row>
    <row r="118" spans="1:10" ht="14.1" customHeight="1">
      <c r="A118" s="2211" t="s">
        <v>2465</v>
      </c>
      <c r="B118" s="2211" t="s">
        <v>2465</v>
      </c>
      <c r="C118" s="2212"/>
      <c r="D118" s="2212"/>
      <c r="E118" s="2212"/>
      <c r="F118" s="2212"/>
      <c r="G118" s="2212"/>
      <c r="H118" s="2211"/>
      <c r="I118" s="2211"/>
      <c r="J118" s="2211"/>
    </row>
    <row r="119" spans="1:10" ht="14.1" customHeight="1">
      <c r="A119" s="2211" t="s">
        <v>2466</v>
      </c>
      <c r="B119" s="2211" t="s">
        <v>2466</v>
      </c>
      <c r="C119" s="2212"/>
      <c r="D119" s="2212"/>
      <c r="E119" s="2212"/>
      <c r="F119" s="2212"/>
      <c r="G119" s="2212"/>
      <c r="H119" s="2211"/>
      <c r="I119" s="2211"/>
      <c r="J119" s="2211"/>
    </row>
    <row r="120" spans="1:10" ht="14.1" customHeight="1">
      <c r="A120" s="2211" t="s">
        <v>2467</v>
      </c>
      <c r="B120" s="2211" t="s">
        <v>2467</v>
      </c>
      <c r="C120" s="2212"/>
      <c r="D120" s="2212"/>
      <c r="E120" s="2212"/>
      <c r="F120" s="2212"/>
      <c r="G120" s="2212"/>
      <c r="H120" s="2211"/>
      <c r="I120" s="2211"/>
      <c r="J120" s="2211"/>
    </row>
    <row r="121" spans="1:10" ht="14.1" customHeight="1">
      <c r="A121" s="2211" t="s">
        <v>2468</v>
      </c>
      <c r="B121" s="2211" t="s">
        <v>2468</v>
      </c>
      <c r="C121" s="2212"/>
      <c r="D121" s="2212"/>
      <c r="E121" s="2212"/>
      <c r="F121" s="2212"/>
      <c r="G121" s="2212"/>
      <c r="H121" s="2211"/>
      <c r="I121" s="2211"/>
      <c r="J121" s="2211"/>
    </row>
    <row r="122" spans="1:10" ht="14.1" customHeight="1">
      <c r="A122" s="2211" t="s">
        <v>2469</v>
      </c>
      <c r="B122" s="2211" t="s">
        <v>2469</v>
      </c>
      <c r="C122" s="2212"/>
      <c r="D122" s="2212"/>
      <c r="E122" s="2212"/>
      <c r="F122" s="2212"/>
      <c r="G122" s="2212"/>
      <c r="H122" s="2211"/>
      <c r="I122" s="2211"/>
      <c r="J122" s="2211"/>
    </row>
    <row r="123" spans="1:10" ht="14.1" customHeight="1">
      <c r="A123" s="2211" t="s">
        <v>2470</v>
      </c>
      <c r="B123" s="2211" t="s">
        <v>2470</v>
      </c>
      <c r="C123" s="2212"/>
      <c r="D123" s="2212"/>
      <c r="E123" s="2212"/>
      <c r="F123" s="2212"/>
      <c r="G123" s="2212"/>
      <c r="H123" s="2211"/>
      <c r="I123" s="2211"/>
      <c r="J123" s="2211"/>
    </row>
    <row r="124" spans="1:10" ht="14.1" customHeight="1">
      <c r="A124" s="2211" t="s">
        <v>2471</v>
      </c>
      <c r="B124" s="2211" t="s">
        <v>2471</v>
      </c>
      <c r="C124" s="2212"/>
      <c r="D124" s="2212"/>
      <c r="E124" s="2212"/>
      <c r="F124" s="2212"/>
      <c r="G124" s="2212"/>
      <c r="H124" s="2211"/>
      <c r="I124" s="2211"/>
      <c r="J124" s="2211"/>
    </row>
    <row r="125" spans="1:10" ht="14.1" customHeight="1">
      <c r="A125" s="2211" t="s">
        <v>2472</v>
      </c>
      <c r="B125" s="2211" t="s">
        <v>2472</v>
      </c>
      <c r="C125" s="2212"/>
      <c r="D125" s="2212"/>
      <c r="E125" s="2212"/>
      <c r="F125" s="2212"/>
      <c r="G125" s="2212"/>
      <c r="H125" s="2211"/>
      <c r="I125" s="2211"/>
      <c r="J125" s="2211"/>
    </row>
    <row r="126" spans="1:10" ht="14.1" customHeight="1">
      <c r="A126" s="2211" t="s">
        <v>2473</v>
      </c>
      <c r="B126" s="2211" t="s">
        <v>2473</v>
      </c>
      <c r="C126" s="2212"/>
      <c r="D126" s="2212"/>
      <c r="E126" s="2212"/>
      <c r="F126" s="2212"/>
      <c r="G126" s="2212"/>
      <c r="H126" s="2211"/>
      <c r="I126" s="2211"/>
      <c r="J126" s="2211"/>
    </row>
  </sheetData>
  <pageMargins left="0.7" right="0.7" top="0.75" bottom="0.75" header="0.3" footer="0.3"/>
  <pageSetup orientation="portrait" r:id="rId1"/>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W49"/>
  <sheetViews>
    <sheetView topLeftCell="A12" zoomScale="130" zoomScaleNormal="130" zoomScaleSheetLayoutView="115" workbookViewId="0">
      <selection activeCell="U38" sqref="U38"/>
    </sheetView>
  </sheetViews>
  <sheetFormatPr defaultColWidth="9.140625" defaultRowHeight="12"/>
  <cols>
    <col min="1" max="1" width="2.140625" style="1431" customWidth="1"/>
    <col min="2" max="2" width="4.7109375" style="1431" customWidth="1"/>
    <col min="3" max="3" width="11" style="1431" customWidth="1"/>
    <col min="4" max="4" width="8.140625" style="1431" customWidth="1"/>
    <col min="5" max="5" width="11.140625" style="1431" customWidth="1"/>
    <col min="6" max="20" width="9.7109375" style="1431" bestFit="1" customWidth="1"/>
    <col min="21" max="16384" width="9.140625" style="1431"/>
  </cols>
  <sheetData>
    <row r="1" spans="1:21" ht="21">
      <c r="A1" s="1404" t="s">
        <v>756</v>
      </c>
      <c r="B1" s="1532"/>
      <c r="M1" s="1533"/>
      <c r="N1" s="1533"/>
      <c r="O1" s="1533"/>
      <c r="P1" s="1533"/>
      <c r="Q1" s="1533"/>
      <c r="R1" s="1533"/>
      <c r="S1" s="1533"/>
      <c r="T1" s="1533"/>
    </row>
    <row r="2" spans="1:21" ht="12.75">
      <c r="A2" s="1405" t="s">
        <v>1776</v>
      </c>
      <c r="B2" s="1549"/>
    </row>
    <row r="4" spans="1:21">
      <c r="F4" s="1523" t="s">
        <v>1614</v>
      </c>
      <c r="G4" s="1468"/>
      <c r="H4" s="1469"/>
      <c r="I4" s="1469" t="s">
        <v>1615</v>
      </c>
      <c r="J4" s="1523"/>
      <c r="K4" s="1523"/>
      <c r="L4" s="1523"/>
      <c r="M4" s="1523"/>
      <c r="N4" s="1523"/>
      <c r="O4" s="1523"/>
      <c r="P4" s="1523"/>
      <c r="Q4" s="1523"/>
      <c r="R4" s="1523"/>
      <c r="S4" s="1523"/>
      <c r="T4" s="1523"/>
    </row>
    <row r="5" spans="1:21">
      <c r="F5" s="1480">
        <f>IS!F5</f>
        <v>2012</v>
      </c>
      <c r="G5" s="1480">
        <f>IS!G5</f>
        <v>2013</v>
      </c>
      <c r="H5" s="1480">
        <f>IS!H5</f>
        <v>2014</v>
      </c>
      <c r="I5" s="1480">
        <f>IS!I5</f>
        <v>2015</v>
      </c>
      <c r="J5" s="1480">
        <f>IS!J5</f>
        <v>2016</v>
      </c>
      <c r="K5" s="1480">
        <f>IS!K5</f>
        <v>2017</v>
      </c>
      <c r="L5" s="1480">
        <f>IS!L5</f>
        <v>2018</v>
      </c>
      <c r="M5" s="1480">
        <f>IS!M5</f>
        <v>2019</v>
      </c>
      <c r="N5" s="1480">
        <f>IS!N5</f>
        <v>2020</v>
      </c>
      <c r="O5" s="1480">
        <f>IS!O5</f>
        <v>2021</v>
      </c>
      <c r="P5" s="1480">
        <f>IS!P5</f>
        <v>2022</v>
      </c>
      <c r="Q5" s="1480">
        <f>IS!Q5</f>
        <v>2023</v>
      </c>
      <c r="R5" s="1480">
        <f>IS!R5</f>
        <v>2024</v>
      </c>
      <c r="S5" s="1480">
        <f>IS!S5</f>
        <v>2025</v>
      </c>
      <c r="T5" s="1480">
        <f>IS!T5</f>
        <v>2026</v>
      </c>
      <c r="U5" s="1480">
        <f>IS!U5</f>
        <v>2027</v>
      </c>
    </row>
    <row r="7" spans="1:21">
      <c r="B7" s="1431" t="s">
        <v>68</v>
      </c>
      <c r="F7" s="1423">
        <v>0</v>
      </c>
      <c r="G7" s="1423">
        <v>0</v>
      </c>
      <c r="H7" s="1423">
        <v>0</v>
      </c>
      <c r="I7" s="1423">
        <v>0</v>
      </c>
      <c r="J7" s="1604">
        <f>I7</f>
        <v>0</v>
      </c>
      <c r="K7" s="1604">
        <f t="shared" ref="K7:U7" si="0">J7</f>
        <v>0</v>
      </c>
      <c r="L7" s="1604">
        <f t="shared" si="0"/>
        <v>0</v>
      </c>
      <c r="M7" s="1604">
        <f t="shared" si="0"/>
        <v>0</v>
      </c>
      <c r="N7" s="1604">
        <f t="shared" si="0"/>
        <v>0</v>
      </c>
      <c r="O7" s="1604">
        <f t="shared" si="0"/>
        <v>0</v>
      </c>
      <c r="P7" s="1604">
        <f t="shared" si="0"/>
        <v>0</v>
      </c>
      <c r="Q7" s="1604">
        <f t="shared" si="0"/>
        <v>0</v>
      </c>
      <c r="R7" s="1604">
        <f t="shared" si="0"/>
        <v>0</v>
      </c>
      <c r="S7" s="1604">
        <f t="shared" si="0"/>
        <v>0</v>
      </c>
      <c r="T7" s="1604">
        <f t="shared" si="0"/>
        <v>0</v>
      </c>
      <c r="U7" s="1604">
        <f t="shared" si="0"/>
        <v>0</v>
      </c>
    </row>
    <row r="8" spans="1:21">
      <c r="B8" s="1431" t="s">
        <v>69</v>
      </c>
      <c r="F8" s="1423">
        <v>32</v>
      </c>
      <c r="G8" s="1423">
        <v>11</v>
      </c>
      <c r="H8" s="1423">
        <v>11</v>
      </c>
      <c r="I8" s="1423">
        <v>11</v>
      </c>
      <c r="J8" s="2178">
        <f>Diamond!C37</f>
        <v>10.867980806</v>
      </c>
      <c r="K8" s="2178">
        <f>Diamond!D37</f>
        <v>10.867980806</v>
      </c>
      <c r="L8" s="2178">
        <f>Diamond!E37</f>
        <v>10.867980806</v>
      </c>
      <c r="M8" s="2178">
        <f>Diamond!F37</f>
        <v>10.677980806000001</v>
      </c>
      <c r="N8" s="2178">
        <f>Diamond!G37</f>
        <v>10.677980806000001</v>
      </c>
      <c r="O8" s="2178">
        <f>Diamond!H37</f>
        <v>10.677980806000001</v>
      </c>
      <c r="P8" s="2178">
        <f>Diamond!I37</f>
        <v>80.398440805999996</v>
      </c>
      <c r="Q8" s="2178">
        <f>Diamond!J37</f>
        <v>80.398440805999996</v>
      </c>
      <c r="R8" s="1410">
        <f>Q8+R19</f>
        <v>283.742278806</v>
      </c>
      <c r="S8" s="1410">
        <f>R8+S19</f>
        <v>283.742278806</v>
      </c>
      <c r="T8" s="1410">
        <f>S8+T19</f>
        <v>283.742278806</v>
      </c>
      <c r="U8" s="1410">
        <f>T8+U19</f>
        <v>283.742278806</v>
      </c>
    </row>
    <row r="9" spans="1:21">
      <c r="B9" s="1431" t="s">
        <v>70</v>
      </c>
      <c r="F9" s="1423">
        <v>420</v>
      </c>
      <c r="G9" s="1423">
        <v>528</v>
      </c>
      <c r="H9" s="1423">
        <v>750</v>
      </c>
      <c r="I9" s="1423">
        <v>1173</v>
      </c>
      <c r="J9" s="2178">
        <f>Diamond!C36</f>
        <v>2530.4906799999999</v>
      </c>
      <c r="K9" s="2178">
        <f>Diamond!D36</f>
        <v>3031.92686</v>
      </c>
      <c r="L9" s="2178">
        <f>Diamond!E36</f>
        <v>3500.7141200000001</v>
      </c>
      <c r="M9" s="2178">
        <f>Diamond!F36</f>
        <v>5200.3466699999999</v>
      </c>
      <c r="N9" s="2178">
        <f>Diamond!G36</f>
        <v>5200.3466699999999</v>
      </c>
      <c r="O9" s="2178">
        <f>Diamond!H36</f>
        <v>5977.7304800000002</v>
      </c>
      <c r="P9" s="2178">
        <f>Diamond!I36</f>
        <v>6117.7900200000004</v>
      </c>
      <c r="Q9" s="2178">
        <f>Diamond!J36</f>
        <v>6117.7900200000004</v>
      </c>
      <c r="R9" s="1440">
        <f>Q9+R18+R24+R26</f>
        <v>7134.5092100000002</v>
      </c>
      <c r="S9" s="1440">
        <f>R9+S18+S24+S26</f>
        <v>7134.5092100000002</v>
      </c>
      <c r="T9" s="1440">
        <f>S9+T18+T24+T26</f>
        <v>7134.5092100000002</v>
      </c>
      <c r="U9" s="1440">
        <f>T9+U18+U24+U26</f>
        <v>7134.5092100000002</v>
      </c>
    </row>
    <row r="10" spans="1:21">
      <c r="B10" s="1431" t="s">
        <v>1770</v>
      </c>
      <c r="F10" s="1423">
        <v>96</v>
      </c>
      <c r="G10" s="1423">
        <v>84</v>
      </c>
      <c r="H10" s="1423">
        <v>229</v>
      </c>
      <c r="I10" s="1423">
        <v>382</v>
      </c>
      <c r="J10" s="2178">
        <f>Diamond!C40</f>
        <v>676.74725136899997</v>
      </c>
      <c r="K10" s="2178">
        <f>Diamond!D40</f>
        <v>745.71643089500003</v>
      </c>
      <c r="L10" s="2178">
        <f>Diamond!E40</f>
        <v>1455.564086735</v>
      </c>
      <c r="M10" s="2178">
        <f>Diamond!F40</f>
        <v>1715.781731515</v>
      </c>
      <c r="N10" s="2178">
        <f>Diamond!G40</f>
        <v>841.36210771900005</v>
      </c>
      <c r="O10" s="2178">
        <f>Diamond!H40</f>
        <v>2669.0773931939998</v>
      </c>
      <c r="P10" s="2178">
        <f>Diamond!I40</f>
        <v>2308.311063143</v>
      </c>
      <c r="Q10" s="2178">
        <f>Diamond!J40</f>
        <v>1736.2253629899999</v>
      </c>
      <c r="R10" s="1463">
        <f>Q10+IS!R29-R24-R26</f>
        <v>1988.7876912259994</v>
      </c>
      <c r="S10" s="1463">
        <f>R10+IS!S29-S24-S26</f>
        <v>2568.1752899020594</v>
      </c>
      <c r="T10" s="1463">
        <f>S10+IS!T29-T24-T26</f>
        <v>3458.6875390516152</v>
      </c>
      <c r="U10" s="1463">
        <f>T10+IS!U29-U24-U26</f>
        <v>8570.8662403498165</v>
      </c>
    </row>
    <row r="11" spans="1:21">
      <c r="B11" s="1431" t="s">
        <v>72</v>
      </c>
      <c r="F11" s="1423">
        <v>24</v>
      </c>
      <c r="G11" s="1423">
        <v>31</v>
      </c>
      <c r="H11" s="1423">
        <v>69</v>
      </c>
      <c r="I11" s="1423">
        <v>188</v>
      </c>
      <c r="J11" s="2178">
        <f>Diamond!C41</f>
        <v>292.67750375999998</v>
      </c>
      <c r="K11" s="2178">
        <f>Diamond!D41</f>
        <v>840.30703719500002</v>
      </c>
      <c r="L11" s="2178">
        <f>Diamond!E41</f>
        <v>1199.429709585</v>
      </c>
      <c r="M11" s="2178">
        <f>Diamond!F41</f>
        <v>2238.8801764240002</v>
      </c>
      <c r="N11" s="2178">
        <f>Diamond!G41</f>
        <v>2929.8575634919998</v>
      </c>
      <c r="O11" s="2178">
        <f>Diamond!H41</f>
        <v>4611.9929087370001</v>
      </c>
      <c r="P11" s="2178">
        <f>Diamond!I41</f>
        <v>4839.7795632520001</v>
      </c>
      <c r="Q11" s="2178">
        <f>Diamond!J41</f>
        <v>4783.2092204580003</v>
      </c>
      <c r="R11" s="1463">
        <f>Q11+IS!R28</f>
        <v>4984.8717158899999</v>
      </c>
      <c r="S11" s="1463">
        <f>R11+IS!S28</f>
        <v>5199.0915334545798</v>
      </c>
      <c r="T11" s="1463">
        <f>S11+IS!T28</f>
        <v>5455.7855969077764</v>
      </c>
      <c r="U11" s="1463">
        <f>T11+IS!U28</f>
        <v>5763.3103450890621</v>
      </c>
    </row>
    <row r="12" spans="1:21">
      <c r="B12" s="1431" t="s">
        <v>1771</v>
      </c>
      <c r="F12" s="1423">
        <v>8</v>
      </c>
      <c r="G12" s="1423">
        <v>10</v>
      </c>
      <c r="H12" s="1423">
        <v>13</v>
      </c>
      <c r="I12" s="1423">
        <v>17</v>
      </c>
      <c r="J12" s="1410">
        <f t="shared" ref="J12:O12" si="1">J13-J11-J10-J9</f>
        <v>37.439637965000202</v>
      </c>
      <c r="K12" s="1410">
        <f t="shared" si="1"/>
        <v>35.894849475000228</v>
      </c>
      <c r="L12" s="1410">
        <f t="shared" si="1"/>
        <v>43.386169662999691</v>
      </c>
      <c r="M12" s="1410">
        <f t="shared" si="1"/>
        <v>72.812790144999781</v>
      </c>
      <c r="N12" s="1410">
        <f t="shared" si="1"/>
        <v>112.4743584630005</v>
      </c>
      <c r="O12" s="1410">
        <f t="shared" si="1"/>
        <v>122.67435846300032</v>
      </c>
      <c r="P12" s="1410">
        <f>P13-P11-P10-P9-P8</f>
        <v>738.65256325099972</v>
      </c>
      <c r="Q12" s="1410">
        <f>Q13-Q11-Q10-Q9-Q8</f>
        <v>1468.7448633870004</v>
      </c>
      <c r="R12" s="1410">
        <f>Q12</f>
        <v>1468.7448633870004</v>
      </c>
      <c r="S12" s="1410">
        <f>R12</f>
        <v>1468.7448633870004</v>
      </c>
      <c r="T12" s="1410">
        <f>S12</f>
        <v>1468.7448633870004</v>
      </c>
      <c r="U12" s="1410">
        <f>T12</f>
        <v>1468.7448633870004</v>
      </c>
    </row>
    <row r="13" spans="1:21">
      <c r="B13" s="1431" t="s">
        <v>73</v>
      </c>
      <c r="F13" s="1410">
        <f>SUM(F7:F12)</f>
        <v>580</v>
      </c>
      <c r="G13" s="1410">
        <f>SUM(G7:G12)</f>
        <v>664</v>
      </c>
      <c r="H13" s="1410">
        <f>SUM(H7:H12)</f>
        <v>1072</v>
      </c>
      <c r="I13" s="1410">
        <f>SUM(I7:I12)</f>
        <v>1771</v>
      </c>
      <c r="J13" s="2178">
        <f>Diamond!C35</f>
        <v>3537.3550730940001</v>
      </c>
      <c r="K13" s="2178">
        <f>Diamond!D35</f>
        <v>4653.8451775650001</v>
      </c>
      <c r="L13" s="2178">
        <f>Diamond!E35</f>
        <v>6199.0940859829998</v>
      </c>
      <c r="M13" s="2178">
        <f>Diamond!F35</f>
        <v>9227.8213680839999</v>
      </c>
      <c r="N13" s="2178">
        <f>Diamond!G35</f>
        <v>9084.0406996740003</v>
      </c>
      <c r="O13" s="2178">
        <f>Diamond!H35</f>
        <v>13381.475140394001</v>
      </c>
      <c r="P13" s="2178">
        <f>Diamond!I35</f>
        <v>14084.931650451999</v>
      </c>
      <c r="Q13" s="2178">
        <f>Diamond!J35</f>
        <v>14186.367907641001</v>
      </c>
      <c r="R13" s="1410">
        <f>SUM(R7:R12)</f>
        <v>15860.655759309</v>
      </c>
      <c r="S13" s="1410">
        <f>SUM(S7:S12)</f>
        <v>16654.26317554964</v>
      </c>
      <c r="T13" s="1410">
        <f>SUM(T7:T12)</f>
        <v>17801.469488152394</v>
      </c>
      <c r="U13" s="1410">
        <f>SUM(U7:U12)</f>
        <v>23221.17293763188</v>
      </c>
    </row>
    <row r="14" spans="1:21">
      <c r="F14" s="1412"/>
      <c r="G14" s="1412"/>
      <c r="H14" s="1446"/>
      <c r="I14" s="1439"/>
      <c r="J14" s="1439"/>
      <c r="K14" s="1439"/>
      <c r="L14" s="1439"/>
      <c r="M14" s="1439"/>
      <c r="N14" s="1439"/>
      <c r="O14" s="1439"/>
      <c r="P14" s="1439"/>
      <c r="Q14" s="1439"/>
      <c r="R14" s="1439"/>
      <c r="S14" s="1439"/>
      <c r="T14" s="1439"/>
      <c r="U14" s="1439"/>
    </row>
    <row r="15" spans="1:21">
      <c r="B15" s="1431" t="s">
        <v>1652</v>
      </c>
      <c r="F15" s="1447"/>
      <c r="G15" s="1447"/>
      <c r="H15" s="1447"/>
      <c r="I15" s="1447">
        <f t="shared" ref="I15:T15" si="2">I5</f>
        <v>2015</v>
      </c>
      <c r="J15" s="1447">
        <f t="shared" si="2"/>
        <v>2016</v>
      </c>
      <c r="K15" s="1447">
        <f t="shared" si="2"/>
        <v>2017</v>
      </c>
      <c r="L15" s="1447">
        <f t="shared" si="2"/>
        <v>2018</v>
      </c>
      <c r="M15" s="1447">
        <f t="shared" si="2"/>
        <v>2019</v>
      </c>
      <c r="N15" s="1447">
        <f t="shared" si="2"/>
        <v>2020</v>
      </c>
      <c r="O15" s="1447">
        <f t="shared" si="2"/>
        <v>2021</v>
      </c>
      <c r="P15" s="1447">
        <f t="shared" si="2"/>
        <v>2022</v>
      </c>
      <c r="Q15" s="1447">
        <f t="shared" si="2"/>
        <v>2023</v>
      </c>
      <c r="R15" s="1447">
        <f t="shared" si="2"/>
        <v>2024</v>
      </c>
      <c r="S15" s="1447">
        <f t="shared" si="2"/>
        <v>2025</v>
      </c>
      <c r="T15" s="1447">
        <f t="shared" si="2"/>
        <v>2026</v>
      </c>
      <c r="U15" s="1447">
        <f t="shared" ref="U15" si="3">U5</f>
        <v>2027</v>
      </c>
    </row>
    <row r="16" spans="1:21">
      <c r="B16" s="1432"/>
      <c r="C16" s="1605" t="s">
        <v>1654</v>
      </c>
      <c r="D16" s="1432"/>
      <c r="E16" s="1432"/>
      <c r="F16" s="1432"/>
      <c r="G16" s="1432"/>
      <c r="H16" s="1432"/>
      <c r="I16" s="1456"/>
      <c r="J16" s="1587">
        <v>117.2</v>
      </c>
      <c r="K16" s="1456">
        <v>0</v>
      </c>
      <c r="L16" s="1456">
        <v>0</v>
      </c>
      <c r="M16" s="1456">
        <v>87.5</v>
      </c>
      <c r="N16" s="1456">
        <v>-1</v>
      </c>
      <c r="O16" s="1456">
        <v>0</v>
      </c>
      <c r="P16" s="1456">
        <v>0</v>
      </c>
      <c r="Q16" s="1456">
        <v>0</v>
      </c>
      <c r="R16" s="2249">
        <v>101.671919</v>
      </c>
      <c r="S16" s="1456">
        <v>0</v>
      </c>
      <c r="T16" s="1456">
        <v>0</v>
      </c>
      <c r="U16" s="1456">
        <v>0</v>
      </c>
    </row>
    <row r="17" spans="2:23">
      <c r="C17" s="1431" t="s">
        <v>1655</v>
      </c>
      <c r="I17" s="1423"/>
      <c r="J17" s="1423">
        <v>10</v>
      </c>
      <c r="K17" s="1440">
        <f t="shared" ref="K17:U17" si="4">J17</f>
        <v>10</v>
      </c>
      <c r="L17" s="1440">
        <f t="shared" si="4"/>
        <v>10</v>
      </c>
      <c r="M17" s="1440">
        <f t="shared" si="4"/>
        <v>10</v>
      </c>
      <c r="N17" s="1440">
        <f t="shared" si="4"/>
        <v>10</v>
      </c>
      <c r="O17" s="1423">
        <v>10</v>
      </c>
      <c r="P17" s="1440">
        <f t="shared" si="4"/>
        <v>10</v>
      </c>
      <c r="Q17" s="1440">
        <f t="shared" si="4"/>
        <v>10</v>
      </c>
      <c r="R17" s="1440">
        <v>12</v>
      </c>
      <c r="S17" s="1440">
        <f t="shared" si="4"/>
        <v>12</v>
      </c>
      <c r="T17" s="1440">
        <f t="shared" si="4"/>
        <v>12</v>
      </c>
      <c r="U17" s="1440">
        <f t="shared" si="4"/>
        <v>12</v>
      </c>
    </row>
    <row r="18" spans="2:23">
      <c r="C18" s="1431" t="s">
        <v>1741</v>
      </c>
      <c r="I18" s="1423"/>
      <c r="J18" s="1423">
        <f t="shared" ref="J18:T18" si="5">J16*10</f>
        <v>1172</v>
      </c>
      <c r="K18" s="1423">
        <f t="shared" si="5"/>
        <v>0</v>
      </c>
      <c r="L18" s="1423">
        <f t="shared" si="5"/>
        <v>0</v>
      </c>
      <c r="M18" s="1423">
        <f t="shared" si="5"/>
        <v>875</v>
      </c>
      <c r="N18" s="1423">
        <f t="shared" si="5"/>
        <v>-10</v>
      </c>
      <c r="O18" s="1423">
        <f t="shared" si="5"/>
        <v>0</v>
      </c>
      <c r="P18" s="1423">
        <f t="shared" si="5"/>
        <v>0</v>
      </c>
      <c r="Q18" s="1423">
        <f t="shared" ref="Q18" si="6">Q16*10</f>
        <v>0</v>
      </c>
      <c r="R18" s="1423">
        <f t="shared" si="5"/>
        <v>1016.71919</v>
      </c>
      <c r="S18" s="1423">
        <f t="shared" si="5"/>
        <v>0</v>
      </c>
      <c r="T18" s="1423">
        <f t="shared" si="5"/>
        <v>0</v>
      </c>
      <c r="U18" s="1423">
        <f t="shared" ref="U18" si="7">U16*10</f>
        <v>0</v>
      </c>
    </row>
    <row r="19" spans="2:23">
      <c r="C19" s="1431" t="s">
        <v>1742</v>
      </c>
      <c r="I19" s="1423"/>
      <c r="J19" s="1423">
        <f t="shared" ref="J19:T19" si="8">J16*(J17-10)</f>
        <v>0</v>
      </c>
      <c r="K19" s="1423">
        <f t="shared" si="8"/>
        <v>0</v>
      </c>
      <c r="L19" s="1423">
        <f t="shared" si="8"/>
        <v>0</v>
      </c>
      <c r="M19" s="1423">
        <f t="shared" si="8"/>
        <v>0</v>
      </c>
      <c r="N19" s="1423">
        <f t="shared" si="8"/>
        <v>0</v>
      </c>
      <c r="O19" s="1423">
        <f t="shared" si="8"/>
        <v>0</v>
      </c>
      <c r="P19" s="1423">
        <f t="shared" si="8"/>
        <v>0</v>
      </c>
      <c r="Q19" s="1423">
        <f t="shared" ref="Q19" si="9">Q16*(Q17-10)</f>
        <v>0</v>
      </c>
      <c r="R19" s="1423">
        <f t="shared" si="8"/>
        <v>203.34383800000001</v>
      </c>
      <c r="S19" s="1423">
        <f t="shared" si="8"/>
        <v>0</v>
      </c>
      <c r="T19" s="1423">
        <f t="shared" si="8"/>
        <v>0</v>
      </c>
      <c r="U19" s="1423">
        <f t="shared" ref="U19" si="10">U16*(U17-10)</f>
        <v>0</v>
      </c>
      <c r="V19" s="1423">
        <v>12</v>
      </c>
      <c r="W19" s="1440">
        <f>U19*V19</f>
        <v>0</v>
      </c>
    </row>
    <row r="20" spans="2:23">
      <c r="C20" s="1431" t="s">
        <v>1656</v>
      </c>
      <c r="I20" s="1440"/>
      <c r="J20" s="1440">
        <f t="shared" ref="J20:T20" si="11">J18+J19</f>
        <v>1172</v>
      </c>
      <c r="K20" s="1440">
        <f t="shared" si="11"/>
        <v>0</v>
      </c>
      <c r="L20" s="1440">
        <f t="shared" si="11"/>
        <v>0</v>
      </c>
      <c r="M20" s="1440">
        <f t="shared" si="11"/>
        <v>875</v>
      </c>
      <c r="N20" s="1440">
        <f t="shared" si="11"/>
        <v>-10</v>
      </c>
      <c r="O20" s="1440">
        <f t="shared" si="11"/>
        <v>0</v>
      </c>
      <c r="P20" s="1440">
        <f t="shared" si="11"/>
        <v>0</v>
      </c>
      <c r="Q20" s="1440">
        <f t="shared" ref="Q20" si="12">Q18+Q19</f>
        <v>0</v>
      </c>
      <c r="R20" s="1440">
        <f t="shared" si="11"/>
        <v>1220.063028</v>
      </c>
      <c r="S20" s="1440">
        <f t="shared" si="11"/>
        <v>0</v>
      </c>
      <c r="T20" s="1440">
        <f t="shared" si="11"/>
        <v>0</v>
      </c>
      <c r="U20" s="1440">
        <f t="shared" ref="U20" si="13">U18+U19</f>
        <v>0</v>
      </c>
      <c r="V20" s="1423">
        <v>2</v>
      </c>
      <c r="W20" s="1440">
        <f>U20*V20</f>
        <v>0</v>
      </c>
    </row>
    <row r="21" spans="2:23">
      <c r="B21" s="1431" t="s">
        <v>1325</v>
      </c>
      <c r="I21" s="1440"/>
      <c r="J21" s="1440"/>
      <c r="K21" s="1440"/>
      <c r="L21" s="1440"/>
      <c r="M21" s="1440"/>
      <c r="N21" s="1440"/>
      <c r="O21" s="1440"/>
      <c r="P21" s="1440"/>
      <c r="Q21" s="1440"/>
      <c r="R21" s="1440"/>
      <c r="S21" s="1440"/>
      <c r="T21" s="1440"/>
      <c r="U21" s="1440"/>
      <c r="V21" s="1440"/>
      <c r="W21" s="1440">
        <f>SUM(W19:W20)</f>
        <v>0</v>
      </c>
    </row>
    <row r="22" spans="2:23">
      <c r="B22" s="1432"/>
      <c r="C22" s="1432" t="s">
        <v>1654</v>
      </c>
      <c r="D22" s="1432"/>
      <c r="E22" s="1432"/>
      <c r="F22" s="1432"/>
      <c r="G22" s="1432"/>
      <c r="H22" s="1432"/>
      <c r="I22" s="1551"/>
      <c r="J22" s="1456">
        <v>1</v>
      </c>
      <c r="K22" s="1456">
        <f t="shared" ref="K22:U23" si="14">J22</f>
        <v>1</v>
      </c>
      <c r="L22" s="1456">
        <v>7.5</v>
      </c>
      <c r="M22" s="1456">
        <v>0</v>
      </c>
      <c r="N22" s="1456">
        <v>0</v>
      </c>
      <c r="O22" s="1456">
        <v>0</v>
      </c>
      <c r="P22" s="1456">
        <v>0</v>
      </c>
      <c r="Q22" s="1456">
        <v>0</v>
      </c>
      <c r="R22" s="1456">
        <v>0</v>
      </c>
      <c r="S22" s="1456">
        <v>0</v>
      </c>
      <c r="T22" s="1456">
        <v>0</v>
      </c>
      <c r="U22" s="1456">
        <v>0</v>
      </c>
      <c r="V22" s="1440"/>
      <c r="W22" s="1440">
        <f>W21/12</f>
        <v>0</v>
      </c>
    </row>
    <row r="23" spans="2:23">
      <c r="C23" s="1431" t="s">
        <v>1655</v>
      </c>
      <c r="I23" s="1423"/>
      <c r="J23" s="1423">
        <v>10</v>
      </c>
      <c r="K23" s="1423">
        <f t="shared" si="14"/>
        <v>10</v>
      </c>
      <c r="L23" s="1423">
        <v>10</v>
      </c>
      <c r="M23" s="1423">
        <f t="shared" si="14"/>
        <v>10</v>
      </c>
      <c r="N23" s="1423">
        <f t="shared" si="14"/>
        <v>10</v>
      </c>
      <c r="O23" s="1423">
        <f t="shared" si="14"/>
        <v>10</v>
      </c>
      <c r="P23" s="1423">
        <f t="shared" si="14"/>
        <v>10</v>
      </c>
      <c r="Q23" s="1423">
        <f t="shared" si="14"/>
        <v>10</v>
      </c>
      <c r="R23" s="1423">
        <f t="shared" si="14"/>
        <v>10</v>
      </c>
      <c r="S23" s="1423">
        <f t="shared" si="14"/>
        <v>10</v>
      </c>
      <c r="T23" s="1423">
        <f t="shared" si="14"/>
        <v>10</v>
      </c>
      <c r="U23" s="1423">
        <f t="shared" si="14"/>
        <v>10</v>
      </c>
    </row>
    <row r="24" spans="2:23">
      <c r="C24" s="1431" t="s">
        <v>1656</v>
      </c>
      <c r="J24" s="1440">
        <f t="shared" ref="J24:O24" si="15">J22*J23</f>
        <v>10</v>
      </c>
      <c r="K24" s="1440">
        <f t="shared" si="15"/>
        <v>10</v>
      </c>
      <c r="L24" s="1440">
        <f t="shared" si="15"/>
        <v>75</v>
      </c>
      <c r="M24" s="1440">
        <f t="shared" si="15"/>
        <v>0</v>
      </c>
      <c r="N24" s="1440">
        <f t="shared" si="15"/>
        <v>0</v>
      </c>
      <c r="O24" s="1440">
        <f t="shared" si="15"/>
        <v>0</v>
      </c>
      <c r="P24" s="1440">
        <f t="shared" ref="P24:U24" si="16">P22*P23</f>
        <v>0</v>
      </c>
      <c r="Q24" s="1440">
        <f t="shared" si="16"/>
        <v>0</v>
      </c>
      <c r="R24" s="1440">
        <f t="shared" si="16"/>
        <v>0</v>
      </c>
      <c r="S24" s="1440">
        <f t="shared" si="16"/>
        <v>0</v>
      </c>
      <c r="T24" s="1440">
        <f t="shared" si="16"/>
        <v>0</v>
      </c>
      <c r="U24" s="1440">
        <f t="shared" si="16"/>
        <v>0</v>
      </c>
    </row>
    <row r="25" spans="2:23">
      <c r="B25" s="1431" t="s">
        <v>1653</v>
      </c>
    </row>
    <row r="26" spans="2:23">
      <c r="B26" s="1432"/>
      <c r="C26" s="1432" t="s">
        <v>1651</v>
      </c>
      <c r="D26" s="1432"/>
      <c r="E26" s="1432"/>
      <c r="F26" s="1432"/>
      <c r="G26" s="1432"/>
      <c r="H26" s="1432"/>
      <c r="I26" s="1422">
        <v>0</v>
      </c>
      <c r="J26" s="1422">
        <f>0.15*I9</f>
        <v>175.95</v>
      </c>
      <c r="K26" s="1422">
        <f>13%*J9</f>
        <v>328.9637884</v>
      </c>
      <c r="L26" s="1456">
        <v>393</v>
      </c>
      <c r="M26" s="1456">
        <v>770</v>
      </c>
      <c r="N26" s="1456">
        <v>0</v>
      </c>
      <c r="O26" s="1456">
        <v>0</v>
      </c>
      <c r="P26" s="1456">
        <v>0</v>
      </c>
      <c r="Q26" s="1456">
        <v>0</v>
      </c>
      <c r="R26" s="1456">
        <v>0</v>
      </c>
      <c r="S26" s="1456">
        <v>0</v>
      </c>
      <c r="T26" s="1456">
        <v>0</v>
      </c>
      <c r="U26" s="1456">
        <v>0</v>
      </c>
    </row>
    <row r="27" spans="2:23">
      <c r="C27" s="1431" t="s">
        <v>1650</v>
      </c>
      <c r="I27" s="1463">
        <f>IS!I29</f>
        <v>337</v>
      </c>
      <c r="J27" s="1463">
        <f>IS!J29</f>
        <v>537.20353105000027</v>
      </c>
      <c r="K27" s="1463">
        <f>IS!K29</f>
        <v>750.89074550899977</v>
      </c>
      <c r="L27" s="1463">
        <f>IS!L29</f>
        <v>1178.4269852630005</v>
      </c>
      <c r="M27" s="1463">
        <f>IS!M29</f>
        <v>1216.5147559219997</v>
      </c>
      <c r="N27" s="1463">
        <f>IS!N29</f>
        <v>-495.74539222399989</v>
      </c>
      <c r="O27" s="1463">
        <f>IS!O29</f>
        <v>1157.2603283309995</v>
      </c>
      <c r="P27" s="1463">
        <f>IS!P29</f>
        <v>214.86919022600074</v>
      </c>
      <c r="Q27" s="1463">
        <f>IS!Q29</f>
        <v>171.98328923100024</v>
      </c>
      <c r="R27" s="1463">
        <f>IS!R29</f>
        <v>252.56232823599944</v>
      </c>
      <c r="S27" s="1463">
        <f>IS!S29</f>
        <v>579.38759867605995</v>
      </c>
      <c r="T27" s="1463">
        <f>IS!T29</f>
        <v>890.51224914955571</v>
      </c>
      <c r="U27" s="1463">
        <f>IS!U29</f>
        <v>5112.1787012982022</v>
      </c>
    </row>
    <row r="28" spans="2:23">
      <c r="C28" s="1431" t="s">
        <v>23</v>
      </c>
      <c r="I28" s="1416">
        <f t="shared" ref="I28:T28" si="17">I26/I27</f>
        <v>0</v>
      </c>
      <c r="J28" s="1417">
        <f t="shared" si="17"/>
        <v>0.32752949269729098</v>
      </c>
      <c r="K28" s="1417">
        <f t="shared" si="17"/>
        <v>0.43809807267901296</v>
      </c>
      <c r="L28" s="1417">
        <f t="shared" si="17"/>
        <v>0.33349541797219667</v>
      </c>
      <c r="M28" s="1417">
        <f t="shared" si="17"/>
        <v>0.63295574200940541</v>
      </c>
      <c r="N28" s="1417">
        <f t="shared" si="17"/>
        <v>0</v>
      </c>
      <c r="O28" s="1417">
        <f t="shared" si="17"/>
        <v>0</v>
      </c>
      <c r="P28" s="1417">
        <f t="shared" si="17"/>
        <v>0</v>
      </c>
      <c r="Q28" s="1417">
        <f t="shared" si="17"/>
        <v>0</v>
      </c>
      <c r="R28" s="1417">
        <f t="shared" si="17"/>
        <v>0</v>
      </c>
      <c r="S28" s="1417">
        <f t="shared" si="17"/>
        <v>0</v>
      </c>
      <c r="T28" s="1417">
        <f t="shared" si="17"/>
        <v>0</v>
      </c>
      <c r="U28" s="1417">
        <f t="shared" ref="U28" si="18">U26/U27</f>
        <v>0</v>
      </c>
    </row>
    <row r="29" spans="2:23">
      <c r="B29" s="1431" t="s">
        <v>1657</v>
      </c>
    </row>
    <row r="30" spans="2:23">
      <c r="B30" s="1432"/>
      <c r="C30" s="1432" t="s">
        <v>1658</v>
      </c>
      <c r="D30" s="1432"/>
      <c r="E30" s="1432"/>
      <c r="F30" s="1432"/>
      <c r="G30" s="1432"/>
      <c r="H30" s="1551"/>
      <c r="I30" s="1536"/>
      <c r="J30" s="1536"/>
      <c r="K30" s="1536"/>
      <c r="L30" s="1536"/>
      <c r="M30" s="1536"/>
      <c r="N30" s="1536"/>
      <c r="O30" s="1536"/>
      <c r="P30" s="1536"/>
      <c r="Q30" s="1536"/>
      <c r="R30" s="1536"/>
      <c r="S30" s="1536"/>
      <c r="T30" s="1536"/>
      <c r="U30" s="1536"/>
    </row>
    <row r="31" spans="2:23">
      <c r="C31" s="1431" t="s">
        <v>1659</v>
      </c>
      <c r="H31" s="1439"/>
      <c r="I31" s="1531"/>
      <c r="J31" s="1649"/>
      <c r="K31" s="1452"/>
      <c r="L31" s="1452"/>
      <c r="M31" s="1452"/>
      <c r="N31" s="1452"/>
      <c r="O31" s="1452"/>
      <c r="P31" s="1452"/>
      <c r="Q31" s="1452"/>
      <c r="R31" s="1452">
        <f>R16</f>
        <v>101.671919</v>
      </c>
      <c r="S31" s="1452"/>
      <c r="T31" s="1452"/>
      <c r="U31" s="1452"/>
    </row>
    <row r="32" spans="2:23">
      <c r="C32" s="1431" t="s">
        <v>1660</v>
      </c>
      <c r="F32" s="1410"/>
      <c r="G32" s="1410"/>
      <c r="H32" s="1410"/>
      <c r="I32" s="1423"/>
      <c r="J32" s="1423">
        <f>431*1.15</f>
        <v>495.65</v>
      </c>
      <c r="K32" s="1423">
        <v>501</v>
      </c>
      <c r="L32" s="1423">
        <v>512</v>
      </c>
      <c r="M32" s="1423">
        <v>598</v>
      </c>
      <c r="N32" s="1423">
        <v>596</v>
      </c>
      <c r="O32" s="2178">
        <v>596.02556200000004</v>
      </c>
      <c r="P32" s="2178">
        <v>610.03151600000001</v>
      </c>
      <c r="Q32" s="2178">
        <v>610.03151600000001</v>
      </c>
      <c r="R32" s="1410">
        <f>Q32+R31</f>
        <v>711.70343500000001</v>
      </c>
      <c r="S32" s="1410">
        <f>R32</f>
        <v>711.70343500000001</v>
      </c>
      <c r="T32" s="1410">
        <f>S32</f>
        <v>711.70343500000001</v>
      </c>
      <c r="U32" s="1410">
        <f>T32</f>
        <v>711.70343500000001</v>
      </c>
    </row>
    <row r="33" spans="2:21">
      <c r="C33" s="1431" t="s">
        <v>1760</v>
      </c>
      <c r="F33" s="1440"/>
      <c r="G33" s="1440"/>
      <c r="H33" s="1440"/>
      <c r="I33" s="1440"/>
      <c r="J33" s="1440">
        <v>498</v>
      </c>
      <c r="K33" s="1440">
        <v>505</v>
      </c>
      <c r="L33" s="1440">
        <f>L32</f>
        <v>512</v>
      </c>
      <c r="M33" s="1440">
        <f>M32</f>
        <v>598</v>
      </c>
      <c r="N33" s="1440">
        <f>N32</f>
        <v>596</v>
      </c>
      <c r="O33" s="1440">
        <f>O32</f>
        <v>596.02556200000004</v>
      </c>
      <c r="P33" s="1440">
        <f t="shared" ref="P33:U33" si="19">AVERAGE(O32:P32)</f>
        <v>603.02853900000002</v>
      </c>
      <c r="Q33" s="1440">
        <f t="shared" si="19"/>
        <v>610.03151600000001</v>
      </c>
      <c r="R33" s="1440">
        <f t="shared" si="19"/>
        <v>660.86747549999995</v>
      </c>
      <c r="S33" s="1440">
        <f t="shared" si="19"/>
        <v>711.70343500000001</v>
      </c>
      <c r="T33" s="1440">
        <f t="shared" si="19"/>
        <v>711.70343500000001</v>
      </c>
      <c r="U33" s="1440">
        <f t="shared" si="19"/>
        <v>711.70343500000001</v>
      </c>
    </row>
    <row r="34" spans="2:21">
      <c r="F34" s="1412"/>
      <c r="G34" s="1412"/>
      <c r="H34" s="1446"/>
      <c r="I34" s="1598"/>
      <c r="J34" s="1439"/>
      <c r="K34" s="1439"/>
      <c r="L34" s="1439"/>
      <c r="M34" s="1439"/>
      <c r="N34" s="1439"/>
      <c r="O34" s="1439"/>
      <c r="P34" s="1439"/>
      <c r="Q34" s="1439"/>
      <c r="R34" s="1439"/>
      <c r="S34" s="1439"/>
      <c r="T34" s="1439"/>
      <c r="U34" s="1439"/>
    </row>
    <row r="35" spans="2:21">
      <c r="B35" s="1431" t="s">
        <v>523</v>
      </c>
      <c r="F35" s="1608">
        <f t="shared" ref="F35:M35" si="20">F5</f>
        <v>2012</v>
      </c>
      <c r="G35" s="1608">
        <f t="shared" si="20"/>
        <v>2013</v>
      </c>
      <c r="H35" s="1608">
        <f t="shared" si="20"/>
        <v>2014</v>
      </c>
      <c r="I35" s="1608">
        <f t="shared" si="20"/>
        <v>2015</v>
      </c>
      <c r="J35" s="1608">
        <f t="shared" si="20"/>
        <v>2016</v>
      </c>
      <c r="K35" s="1608">
        <f t="shared" si="20"/>
        <v>2017</v>
      </c>
      <c r="L35" s="1608">
        <f t="shared" si="20"/>
        <v>2018</v>
      </c>
      <c r="M35" s="1608">
        <f t="shared" si="20"/>
        <v>2019</v>
      </c>
      <c r="N35" s="1608">
        <f t="shared" ref="N35:T35" si="21">N5</f>
        <v>2020</v>
      </c>
      <c r="O35" s="1608">
        <f t="shared" si="21"/>
        <v>2021</v>
      </c>
      <c r="P35" s="1608">
        <f t="shared" si="21"/>
        <v>2022</v>
      </c>
      <c r="Q35" s="1608">
        <f t="shared" si="21"/>
        <v>2023</v>
      </c>
      <c r="R35" s="1608">
        <f t="shared" si="21"/>
        <v>2024</v>
      </c>
      <c r="S35" s="1608">
        <f t="shared" si="21"/>
        <v>2025</v>
      </c>
      <c r="T35" s="1608">
        <f t="shared" si="21"/>
        <v>2026</v>
      </c>
      <c r="U35" s="1608">
        <f t="shared" ref="U35" si="22">U5</f>
        <v>2027</v>
      </c>
    </row>
    <row r="36" spans="2:21">
      <c r="C36" s="1432" t="s">
        <v>1619</v>
      </c>
      <c r="D36" s="1432"/>
      <c r="E36" s="1432"/>
      <c r="F36" s="1476">
        <f>IS!F29</f>
        <v>57</v>
      </c>
      <c r="G36" s="1476">
        <f>IS!G29</f>
        <v>83</v>
      </c>
      <c r="H36" s="1476">
        <f>IS!H29</f>
        <v>169</v>
      </c>
      <c r="I36" s="1476">
        <f>IS!I29</f>
        <v>337</v>
      </c>
      <c r="J36" s="1476">
        <f>IS!J29</f>
        <v>537.20353105000027</v>
      </c>
      <c r="K36" s="1476">
        <f>IS!K29</f>
        <v>750.89074550899977</v>
      </c>
      <c r="L36" s="1476">
        <f>IS!L29</f>
        <v>1178.4269852630005</v>
      </c>
      <c r="M36" s="1476">
        <f>IS!M29</f>
        <v>1216.5147559219997</v>
      </c>
      <c r="N36" s="1476">
        <f>IS!N29</f>
        <v>-495.74539222399989</v>
      </c>
      <c r="O36" s="1476">
        <f>IS!O29</f>
        <v>1157.2603283309995</v>
      </c>
      <c r="P36" s="1476">
        <f>IS!P29</f>
        <v>214.86919022600074</v>
      </c>
      <c r="Q36" s="1476">
        <f>IS!Q29</f>
        <v>171.98328923100024</v>
      </c>
      <c r="R36" s="1476">
        <f>IS!R29</f>
        <v>252.56232823599944</v>
      </c>
      <c r="S36" s="1476">
        <f>IS!S29</f>
        <v>579.38759867605995</v>
      </c>
      <c r="T36" s="1476">
        <f>IS!T29</f>
        <v>890.51224914955571</v>
      </c>
      <c r="U36" s="1476">
        <f>IS!U29</f>
        <v>5112.1787012982022</v>
      </c>
    </row>
    <row r="37" spans="2:21">
      <c r="C37" s="1431" t="s">
        <v>1748</v>
      </c>
      <c r="F37" s="1410" t="e">
        <f t="shared" ref="F37:N37" ca="1" si="23">F36-F38</f>
        <v>#NUM!</v>
      </c>
      <c r="G37" s="1410" t="e">
        <f t="shared" ca="1" si="23"/>
        <v>#NUM!</v>
      </c>
      <c r="H37" s="1410" t="e">
        <f t="shared" ca="1" si="23"/>
        <v>#NUM!</v>
      </c>
      <c r="I37" s="1410" t="e">
        <f t="shared" ca="1" si="23"/>
        <v>#NUM!</v>
      </c>
      <c r="J37" s="1410" t="e">
        <f t="shared" ca="1" si="23"/>
        <v>#NUM!</v>
      </c>
      <c r="K37" s="1410" t="e">
        <f t="shared" ca="1" si="23"/>
        <v>#NUM!</v>
      </c>
      <c r="L37" s="1410" t="e">
        <f t="shared" ca="1" si="23"/>
        <v>#NUM!</v>
      </c>
      <c r="M37" s="1410" t="e">
        <f t="shared" ca="1" si="23"/>
        <v>#NUM!</v>
      </c>
      <c r="N37" s="1410">
        <f t="shared" si="23"/>
        <v>-495.74539222399989</v>
      </c>
      <c r="O37" s="1410" t="e">
        <f t="shared" ref="O37:T37" ca="1" si="24">O36-O38</f>
        <v>#NUM!</v>
      </c>
      <c r="P37" s="1410" t="e">
        <f t="shared" ca="1" si="24"/>
        <v>#NUM!</v>
      </c>
      <c r="Q37" s="1410" t="e">
        <f t="shared" ca="1" si="24"/>
        <v>#NUM!</v>
      </c>
      <c r="R37" s="1410" t="e">
        <f t="shared" ca="1" si="24"/>
        <v>#NUM!</v>
      </c>
      <c r="S37" s="1410" t="e">
        <f t="shared" ca="1" si="24"/>
        <v>#NUM!</v>
      </c>
      <c r="T37" s="1410" t="e">
        <f t="shared" ca="1" si="24"/>
        <v>#NUM!</v>
      </c>
      <c r="U37" s="1410" t="e">
        <f t="shared" ref="U37" ca="1" si="25">U36-U38</f>
        <v>#NUM!</v>
      </c>
    </row>
    <row r="38" spans="2:21">
      <c r="C38" s="1431" t="s">
        <v>1762</v>
      </c>
      <c r="F38" s="1440" t="e">
        <f t="shared" ref="F38:M38" ca="1" si="26">F36*$U$38</f>
        <v>#NUM!</v>
      </c>
      <c r="G38" s="1440" t="e">
        <f t="shared" ca="1" si="26"/>
        <v>#NUM!</v>
      </c>
      <c r="H38" s="1440" t="e">
        <f t="shared" ca="1" si="26"/>
        <v>#NUM!</v>
      </c>
      <c r="I38" s="1440" t="e">
        <f t="shared" ca="1" si="26"/>
        <v>#NUM!</v>
      </c>
      <c r="J38" s="1440" t="e">
        <f t="shared" ca="1" si="26"/>
        <v>#NUM!</v>
      </c>
      <c r="K38" s="1440" t="e">
        <f t="shared" ca="1" si="26"/>
        <v>#NUM!</v>
      </c>
      <c r="L38" s="1440" t="e">
        <f t="shared" ca="1" si="26"/>
        <v>#NUM!</v>
      </c>
      <c r="M38" s="1440" t="e">
        <f t="shared" ca="1" si="26"/>
        <v>#NUM!</v>
      </c>
      <c r="N38" s="1440"/>
      <c r="O38" s="1440" t="e">
        <f t="shared" ref="O38:T38" ca="1" si="27">O36*$U$38</f>
        <v>#NUM!</v>
      </c>
      <c r="P38" s="1440" t="e">
        <f t="shared" ca="1" si="27"/>
        <v>#NUM!</v>
      </c>
      <c r="Q38" s="1440" t="e">
        <f t="shared" ca="1" si="27"/>
        <v>#NUM!</v>
      </c>
      <c r="R38" s="1440" t="e">
        <f t="shared" ca="1" si="27"/>
        <v>#NUM!</v>
      </c>
      <c r="S38" s="1440" t="e">
        <f t="shared" ca="1" si="27"/>
        <v>#NUM!</v>
      </c>
      <c r="T38" s="1440" t="e">
        <f t="shared" ca="1" si="27"/>
        <v>#NUM!</v>
      </c>
      <c r="U38" s="1440" t="e">
        <f t="shared" ref="U38" ca="1" si="28">U36*$U$38</f>
        <v>#NUM!</v>
      </c>
    </row>
    <row r="39" spans="2:21">
      <c r="C39" s="1431" t="s">
        <v>523</v>
      </c>
      <c r="F39" s="1410"/>
      <c r="G39" s="1410"/>
      <c r="H39" s="1410"/>
      <c r="I39" s="1410" t="e">
        <f t="shared" ref="I39:O39" ca="1" si="29">I37/I32*1000</f>
        <v>#NUM!</v>
      </c>
      <c r="J39" s="1410" t="e">
        <f t="shared" ca="1" si="29"/>
        <v>#NUM!</v>
      </c>
      <c r="K39" s="1410" t="e">
        <f t="shared" ca="1" si="29"/>
        <v>#NUM!</v>
      </c>
      <c r="L39" s="1410" t="e">
        <f t="shared" ca="1" si="29"/>
        <v>#NUM!</v>
      </c>
      <c r="M39" s="1410" t="e">
        <f t="shared" ca="1" si="29"/>
        <v>#NUM!</v>
      </c>
      <c r="N39" s="1410">
        <f t="shared" si="29"/>
        <v>-831.78757084563733</v>
      </c>
      <c r="O39" s="1410" t="e">
        <f t="shared" ca="1" si="29"/>
        <v>#NUM!</v>
      </c>
      <c r="P39" s="1410" t="e">
        <f t="shared" ref="P39:U39" ca="1" si="30">P37/P32*1000</f>
        <v>#NUM!</v>
      </c>
      <c r="Q39" s="1410" t="e">
        <f t="shared" ca="1" si="30"/>
        <v>#NUM!</v>
      </c>
      <c r="R39" s="1410" t="e">
        <f t="shared" ca="1" si="30"/>
        <v>#NUM!</v>
      </c>
      <c r="S39" s="1410" t="e">
        <f t="shared" ca="1" si="30"/>
        <v>#NUM!</v>
      </c>
      <c r="T39" s="1410" t="e">
        <f t="shared" ca="1" si="30"/>
        <v>#NUM!</v>
      </c>
      <c r="U39" s="1410" t="e">
        <f t="shared" ca="1" si="30"/>
        <v>#NUM!</v>
      </c>
    </row>
    <row r="40" spans="2:21">
      <c r="C40" s="1431" t="s">
        <v>196</v>
      </c>
      <c r="F40" s="1425"/>
      <c r="G40" s="1417"/>
      <c r="H40" s="1417"/>
      <c r="I40" s="1417"/>
      <c r="J40" s="1417" t="e">
        <f t="shared" ref="J40:U40" ca="1" si="31">J39/I39-1</f>
        <v>#NUM!</v>
      </c>
      <c r="K40" s="1417" t="e">
        <f t="shared" ca="1" si="31"/>
        <v>#NUM!</v>
      </c>
      <c r="L40" s="1417" t="e">
        <f t="shared" ca="1" si="31"/>
        <v>#NUM!</v>
      </c>
      <c r="M40" s="1417" t="e">
        <f t="shared" ca="1" si="31"/>
        <v>#NUM!</v>
      </c>
      <c r="N40" s="1417" t="e">
        <f t="shared" ca="1" si="31"/>
        <v>#NUM!</v>
      </c>
      <c r="O40" s="1417" t="e">
        <f t="shared" ca="1" si="31"/>
        <v>#NUM!</v>
      </c>
      <c r="P40" s="1417" t="e">
        <f t="shared" ca="1" si="31"/>
        <v>#NUM!</v>
      </c>
      <c r="Q40" s="1417" t="e">
        <f t="shared" ca="1" si="31"/>
        <v>#NUM!</v>
      </c>
      <c r="R40" s="1417" t="e">
        <f t="shared" ca="1" si="31"/>
        <v>#NUM!</v>
      </c>
      <c r="S40" s="1417" t="e">
        <f t="shared" ca="1" si="31"/>
        <v>#NUM!</v>
      </c>
      <c r="T40" s="1417" t="e">
        <f t="shared" ca="1" si="31"/>
        <v>#NUM!</v>
      </c>
      <c r="U40" s="1417" t="e">
        <f t="shared" ca="1" si="31"/>
        <v>#NUM!</v>
      </c>
    </row>
    <row r="41" spans="2:21">
      <c r="F41" s="1410"/>
      <c r="G41" s="1410"/>
      <c r="H41" s="1410"/>
      <c r="I41" s="1410"/>
      <c r="J41" s="1410"/>
      <c r="K41" s="1410"/>
      <c r="L41" s="1410"/>
      <c r="M41" s="1410"/>
      <c r="N41" s="1410"/>
      <c r="O41" s="1410"/>
      <c r="P41" s="1410"/>
      <c r="Q41" s="1410"/>
      <c r="R41" s="1410"/>
      <c r="S41" s="1410"/>
      <c r="T41" s="1410"/>
      <c r="U41" s="1410"/>
    </row>
    <row r="42" spans="2:21">
      <c r="C42" s="1431" t="s">
        <v>115</v>
      </c>
      <c r="F42" s="1410"/>
      <c r="G42" s="1410"/>
      <c r="H42" s="1410"/>
      <c r="I42" s="1410" t="e">
        <f t="shared" ref="I42:N42" si="32">(I13-I11)/I32*1000</f>
        <v>#DIV/0!</v>
      </c>
      <c r="J42" s="1410">
        <f t="shared" si="32"/>
        <v>6546.3080184283272</v>
      </c>
      <c r="K42" s="1410">
        <f t="shared" si="32"/>
        <v>7611.8525755888222</v>
      </c>
      <c r="L42" s="1410">
        <f t="shared" si="32"/>
        <v>9764.9694851523436</v>
      </c>
      <c r="M42" s="1410">
        <f t="shared" si="32"/>
        <v>11687.19262819398</v>
      </c>
      <c r="N42" s="1410">
        <f t="shared" si="32"/>
        <v>10325.810631177854</v>
      </c>
      <c r="O42" s="1410">
        <f t="shared" ref="O42:T42" si="33">(O13-O11)/O32*1000</f>
        <v>14713.26532075314</v>
      </c>
      <c r="P42" s="1410">
        <f t="shared" si="33"/>
        <v>15155.204025885116</v>
      </c>
      <c r="Q42" s="1410">
        <f t="shared" si="33"/>
        <v>15414.217856873809</v>
      </c>
      <c r="R42" s="1410">
        <f t="shared" si="33"/>
        <v>15281.34263314185</v>
      </c>
      <c r="S42" s="1410">
        <f t="shared" si="33"/>
        <v>16095.428346632978</v>
      </c>
      <c r="T42" s="1410">
        <f t="shared" si="33"/>
        <v>17346.668969280188</v>
      </c>
      <c r="U42" s="1410">
        <f t="shared" ref="U42" si="34">(U13-U11)/U32*1000</f>
        <v>24529.687133718577</v>
      </c>
    </row>
    <row r="43" spans="2:21">
      <c r="C43" s="1431" t="s">
        <v>251</v>
      </c>
      <c r="F43" s="1463"/>
      <c r="G43" s="1410"/>
      <c r="H43" s="1410"/>
      <c r="I43" s="1463" t="e">
        <f ca="1">Valuation!G42</f>
        <v>#NUM!</v>
      </c>
      <c r="J43" s="1410" t="e">
        <f t="shared" ref="J43:U43" ca="1" si="35">I43</f>
        <v>#NUM!</v>
      </c>
      <c r="K43" s="1410" t="e">
        <f t="shared" ca="1" si="35"/>
        <v>#NUM!</v>
      </c>
      <c r="L43" s="1410" t="e">
        <f t="shared" ca="1" si="35"/>
        <v>#NUM!</v>
      </c>
      <c r="M43" s="1410" t="e">
        <f t="shared" ca="1" si="35"/>
        <v>#NUM!</v>
      </c>
      <c r="N43" s="1410" t="e">
        <f t="shared" ca="1" si="35"/>
        <v>#NUM!</v>
      </c>
      <c r="O43" s="1410" t="e">
        <f t="shared" ca="1" si="35"/>
        <v>#NUM!</v>
      </c>
      <c r="P43" s="1410" t="e">
        <f t="shared" ca="1" si="35"/>
        <v>#NUM!</v>
      </c>
      <c r="Q43" s="1410" t="e">
        <f t="shared" ca="1" si="35"/>
        <v>#NUM!</v>
      </c>
      <c r="R43" s="1410" t="e">
        <f t="shared" ca="1" si="35"/>
        <v>#NUM!</v>
      </c>
      <c r="S43" s="1410" t="e">
        <f t="shared" ca="1" si="35"/>
        <v>#NUM!</v>
      </c>
      <c r="T43" s="1410" t="e">
        <f t="shared" ca="1" si="35"/>
        <v>#NUM!</v>
      </c>
      <c r="U43" s="1410" t="e">
        <f t="shared" ca="1" si="35"/>
        <v>#NUM!</v>
      </c>
    </row>
    <row r="44" spans="2:21">
      <c r="C44" s="1431" t="s">
        <v>1837</v>
      </c>
      <c r="F44" s="1695"/>
      <c r="G44" s="1695"/>
      <c r="H44" s="1695"/>
      <c r="I44" s="1695" t="e">
        <f t="shared" ref="I44:T44" ca="1" si="36">I43/I42</f>
        <v>#NUM!</v>
      </c>
      <c r="J44" s="1695" t="e">
        <f t="shared" ca="1" si="36"/>
        <v>#NUM!</v>
      </c>
      <c r="K44" s="1695" t="e">
        <f t="shared" ca="1" si="36"/>
        <v>#NUM!</v>
      </c>
      <c r="L44" s="1695" t="e">
        <f t="shared" ca="1" si="36"/>
        <v>#NUM!</v>
      </c>
      <c r="M44" s="1695" t="e">
        <f t="shared" ca="1" si="36"/>
        <v>#NUM!</v>
      </c>
      <c r="N44" s="1695" t="e">
        <f t="shared" ca="1" si="36"/>
        <v>#NUM!</v>
      </c>
      <c r="O44" s="1695" t="e">
        <f t="shared" ca="1" si="36"/>
        <v>#NUM!</v>
      </c>
      <c r="P44" s="1695" t="e">
        <f t="shared" ca="1" si="36"/>
        <v>#NUM!</v>
      </c>
      <c r="Q44" s="1695" t="e">
        <f t="shared" ca="1" si="36"/>
        <v>#NUM!</v>
      </c>
      <c r="R44" s="1695" t="e">
        <f t="shared" ca="1" si="36"/>
        <v>#NUM!</v>
      </c>
      <c r="S44" s="1695" t="e">
        <f t="shared" ca="1" si="36"/>
        <v>#NUM!</v>
      </c>
      <c r="T44" s="1695" t="e">
        <f t="shared" ca="1" si="36"/>
        <v>#NUM!</v>
      </c>
      <c r="U44" s="1695" t="e">
        <f t="shared" ref="U44" ca="1" si="37">U43/U42</f>
        <v>#NUM!</v>
      </c>
    </row>
    <row r="45" spans="2:21">
      <c r="C45" s="1431" t="s">
        <v>1845</v>
      </c>
      <c r="F45" s="1495"/>
      <c r="G45" s="1495"/>
      <c r="H45" s="1495"/>
      <c r="I45" s="1495" t="e">
        <f t="shared" ref="I45:N45" ca="1" si="38">I43/I39</f>
        <v>#NUM!</v>
      </c>
      <c r="J45" s="1495" t="e">
        <f t="shared" ca="1" si="38"/>
        <v>#NUM!</v>
      </c>
      <c r="K45" s="1495" t="e">
        <f t="shared" ca="1" si="38"/>
        <v>#NUM!</v>
      </c>
      <c r="L45" s="1495" t="e">
        <f t="shared" ca="1" si="38"/>
        <v>#NUM!</v>
      </c>
      <c r="M45" s="1495" t="e">
        <f t="shared" ca="1" si="38"/>
        <v>#NUM!</v>
      </c>
      <c r="N45" s="1495" t="e">
        <f t="shared" ca="1" si="38"/>
        <v>#NUM!</v>
      </c>
      <c r="O45" s="1495" t="e">
        <f t="shared" ref="O45:T45" ca="1" si="39">O43/O39</f>
        <v>#NUM!</v>
      </c>
      <c r="P45" s="1495" t="e">
        <f t="shared" ca="1" si="39"/>
        <v>#NUM!</v>
      </c>
      <c r="Q45" s="1495" t="e">
        <f t="shared" ca="1" si="39"/>
        <v>#NUM!</v>
      </c>
      <c r="R45" s="1495" t="e">
        <f t="shared" ca="1" si="39"/>
        <v>#NUM!</v>
      </c>
      <c r="S45" s="1495" t="e">
        <f t="shared" ca="1" si="39"/>
        <v>#NUM!</v>
      </c>
      <c r="T45" s="1495" t="e">
        <f t="shared" ca="1" si="39"/>
        <v>#NUM!</v>
      </c>
      <c r="U45" s="1495" t="e">
        <f t="shared" ref="U45" ca="1" si="40">U43/U39</f>
        <v>#NUM!</v>
      </c>
    </row>
    <row r="46" spans="2:21">
      <c r="C46" s="1431" t="s">
        <v>1838</v>
      </c>
      <c r="F46" s="1463"/>
      <c r="G46" s="1410"/>
      <c r="H46" s="1410"/>
      <c r="I46" s="1423">
        <v>8370</v>
      </c>
      <c r="J46" s="1423">
        <v>7180</v>
      </c>
      <c r="K46" s="1423">
        <v>14330</v>
      </c>
      <c r="L46" s="1423">
        <v>18710</v>
      </c>
      <c r="M46" s="1423">
        <v>14500</v>
      </c>
      <c r="N46" s="1463">
        <f>Valuation!G40</f>
        <v>18100</v>
      </c>
      <c r="O46" s="1410">
        <f t="shared" ref="O46:U46" si="41">N46</f>
        <v>18100</v>
      </c>
      <c r="P46" s="1410">
        <f t="shared" si="41"/>
        <v>18100</v>
      </c>
      <c r="Q46" s="1410">
        <f t="shared" si="41"/>
        <v>18100</v>
      </c>
      <c r="R46" s="1410">
        <f t="shared" si="41"/>
        <v>18100</v>
      </c>
      <c r="S46" s="1410">
        <f t="shared" si="41"/>
        <v>18100</v>
      </c>
      <c r="T46" s="1410">
        <f t="shared" si="41"/>
        <v>18100</v>
      </c>
      <c r="U46" s="1410">
        <f t="shared" si="41"/>
        <v>18100</v>
      </c>
    </row>
    <row r="47" spans="2:21">
      <c r="C47" s="1431" t="s">
        <v>1846</v>
      </c>
      <c r="F47" s="1695"/>
      <c r="G47" s="1695"/>
      <c r="H47" s="1695"/>
      <c r="I47" s="1695" t="e">
        <f t="shared" ref="I47:T47" si="42">I46/I42</f>
        <v>#DIV/0!</v>
      </c>
      <c r="J47" s="1695">
        <f t="shared" si="42"/>
        <v>1.0968014306365945</v>
      </c>
      <c r="K47" s="1695">
        <f t="shared" si="42"/>
        <v>1.8825903231437044</v>
      </c>
      <c r="L47" s="1695">
        <f t="shared" si="42"/>
        <v>1.9160326131534353</v>
      </c>
      <c r="M47" s="1695">
        <f t="shared" si="42"/>
        <v>1.2406743399625717</v>
      </c>
      <c r="N47" s="1695">
        <f t="shared" si="42"/>
        <v>1.752889012446992</v>
      </c>
      <c r="O47" s="1695">
        <f t="shared" si="42"/>
        <v>1.2301823970012864</v>
      </c>
      <c r="P47" s="1695">
        <f t="shared" si="42"/>
        <v>1.1943092266580619</v>
      </c>
      <c r="Q47" s="1695">
        <f t="shared" si="42"/>
        <v>1.1742405724419223</v>
      </c>
      <c r="R47" s="1695">
        <f t="shared" si="42"/>
        <v>1.1844508977074504</v>
      </c>
      <c r="S47" s="1695">
        <f t="shared" si="42"/>
        <v>1.1245429205235387</v>
      </c>
      <c r="T47" s="1695">
        <f t="shared" si="42"/>
        <v>1.0434279937003417</v>
      </c>
      <c r="U47" s="1695">
        <f t="shared" ref="U47" si="43">U46/U42</f>
        <v>0.73788140473751451</v>
      </c>
    </row>
    <row r="48" spans="2:21">
      <c r="C48" s="1431" t="s">
        <v>1847</v>
      </c>
      <c r="F48" s="1495"/>
      <c r="G48" s="1495"/>
      <c r="H48" s="1495"/>
      <c r="I48" s="1495" t="e">
        <f t="shared" ref="I48:T48" ca="1" si="44">I46/I39</f>
        <v>#NUM!</v>
      </c>
      <c r="J48" s="1495" t="e">
        <f t="shared" ca="1" si="44"/>
        <v>#NUM!</v>
      </c>
      <c r="K48" s="1495" t="e">
        <f t="shared" ca="1" si="44"/>
        <v>#NUM!</v>
      </c>
      <c r="L48" s="1495" t="e">
        <f t="shared" ca="1" si="44"/>
        <v>#NUM!</v>
      </c>
      <c r="M48" s="1495" t="e">
        <f t="shared" ca="1" si="44"/>
        <v>#NUM!</v>
      </c>
      <c r="N48" s="1495">
        <f t="shared" si="44"/>
        <v>-21.760363624571383</v>
      </c>
      <c r="O48" s="1495" t="e">
        <f t="shared" ca="1" si="44"/>
        <v>#NUM!</v>
      </c>
      <c r="P48" s="1495" t="e">
        <f t="shared" ca="1" si="44"/>
        <v>#NUM!</v>
      </c>
      <c r="Q48" s="1495" t="e">
        <f t="shared" ca="1" si="44"/>
        <v>#NUM!</v>
      </c>
      <c r="R48" s="1495" t="e">
        <f t="shared" ca="1" si="44"/>
        <v>#NUM!</v>
      </c>
      <c r="S48" s="1495" t="e">
        <f t="shared" ca="1" si="44"/>
        <v>#NUM!</v>
      </c>
      <c r="T48" s="1495" t="e">
        <f t="shared" ca="1" si="44"/>
        <v>#NUM!</v>
      </c>
      <c r="U48" s="1495" t="e">
        <f t="shared" ref="U48" ca="1" si="45">U46/U39</f>
        <v>#NUM!</v>
      </c>
    </row>
    <row r="49" spans="1:2">
      <c r="A49" s="1488" t="s">
        <v>1603</v>
      </c>
      <c r="B49" s="1488" t="s">
        <v>1629</v>
      </c>
    </row>
  </sheetData>
  <pageMargins left="0.45" right="0.45" top="0.5" bottom="0.5" header="0.3" footer="0.3"/>
  <pageSetup paperSize="9" scale="8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1:W96"/>
  <sheetViews>
    <sheetView zoomScale="85" zoomScaleNormal="85" workbookViewId="0">
      <selection activeCell="E9" sqref="E9"/>
    </sheetView>
  </sheetViews>
  <sheetFormatPr defaultColWidth="10.140625" defaultRowHeight="14.25"/>
  <cols>
    <col min="1" max="1" width="4.5703125" style="1784" customWidth="1"/>
    <col min="2" max="2" width="24.140625" style="1809" bestFit="1" customWidth="1"/>
    <col min="3" max="3" width="19.28515625" style="1809" customWidth="1"/>
    <col min="4" max="4" width="67.5703125" style="1809" customWidth="1"/>
    <col min="5" max="5" width="33.85546875" style="1809" bestFit="1" customWidth="1"/>
    <col min="6" max="10" width="10.140625" style="1809"/>
    <col min="11" max="11" width="10.140625" style="1784"/>
    <col min="12" max="12" width="14.42578125" style="1785" customWidth="1"/>
    <col min="13" max="13" width="10.42578125" style="1785" customWidth="1"/>
    <col min="14" max="16" width="16.7109375" style="1785" customWidth="1"/>
    <col min="17" max="17" width="18.140625" style="1784" customWidth="1"/>
    <col min="18" max="16384" width="10.140625" style="1784"/>
  </cols>
  <sheetData>
    <row r="1" spans="2:17" ht="26.25">
      <c r="B1" s="1782" t="s">
        <v>653</v>
      </c>
      <c r="C1" s="1783"/>
      <c r="D1" s="1783"/>
      <c r="E1" s="1783"/>
      <c r="F1" s="1783"/>
      <c r="G1" s="1783"/>
      <c r="H1" s="1783"/>
      <c r="I1" s="1783"/>
      <c r="J1" s="1783"/>
    </row>
    <row r="2" spans="2:17" ht="15.75" thickBot="1">
      <c r="B2" s="1783"/>
      <c r="C2" s="1783"/>
      <c r="D2" s="1786" t="s">
        <v>2113</v>
      </c>
      <c r="E2" s="1787" t="s">
        <v>2114</v>
      </c>
      <c r="F2" s="1787" t="s">
        <v>2115</v>
      </c>
      <c r="G2" s="1787" t="s">
        <v>2116</v>
      </c>
      <c r="H2" s="1783"/>
      <c r="I2" s="1783"/>
      <c r="J2" s="1783"/>
    </row>
    <row r="3" spans="2:17">
      <c r="B3" s="1783"/>
      <c r="C3" s="1783"/>
      <c r="D3" s="1788" t="s">
        <v>1697</v>
      </c>
      <c r="E3" s="1789"/>
      <c r="F3" s="1790">
        <f>J96</f>
        <v>7.1428571428571432</v>
      </c>
      <c r="G3" s="1790"/>
      <c r="H3" s="1783"/>
      <c r="I3" s="1783"/>
      <c r="J3" s="1783"/>
    </row>
    <row r="4" spans="2:17">
      <c r="B4" s="1783"/>
      <c r="C4" s="1783"/>
      <c r="D4" s="1791" t="s">
        <v>2110</v>
      </c>
      <c r="E4" s="1792"/>
      <c r="F4" s="1793">
        <f>J47</f>
        <v>7</v>
      </c>
      <c r="G4" s="1794"/>
      <c r="H4" s="1783"/>
      <c r="I4" s="1783"/>
      <c r="J4" s="1783"/>
    </row>
    <row r="5" spans="2:17">
      <c r="B5" s="1795"/>
      <c r="C5" s="1796"/>
      <c r="D5" s="1791" t="s">
        <v>2117</v>
      </c>
      <c r="E5" s="1792"/>
      <c r="F5" s="1793">
        <f>J54</f>
        <v>8.3333333333333339</v>
      </c>
      <c r="G5" s="1794"/>
      <c r="H5" s="1783"/>
      <c r="I5" s="1783"/>
      <c r="J5" s="1783"/>
    </row>
    <row r="6" spans="2:17">
      <c r="B6" s="1795"/>
      <c r="C6" s="1797"/>
      <c r="D6" s="1798" t="s">
        <v>2118</v>
      </c>
      <c r="E6" s="1799"/>
      <c r="F6" s="1800">
        <f>J62</f>
        <v>5</v>
      </c>
      <c r="G6" s="1800"/>
      <c r="H6" s="1783"/>
      <c r="I6" s="1783"/>
      <c r="J6" s="1783"/>
    </row>
    <row r="7" spans="2:17">
      <c r="B7" s="1801"/>
      <c r="C7" s="1802"/>
      <c r="D7" s="1798" t="s">
        <v>2109</v>
      </c>
      <c r="E7" s="1799"/>
      <c r="F7" s="1800">
        <f>J32</f>
        <v>4</v>
      </c>
      <c r="G7" s="1800"/>
      <c r="H7" s="1783"/>
      <c r="I7" s="1783"/>
      <c r="J7" s="1783"/>
    </row>
    <row r="8" spans="2:17">
      <c r="B8" s="1783"/>
      <c r="C8" s="1802"/>
      <c r="D8" s="1798" t="s">
        <v>1192</v>
      </c>
      <c r="E8" s="1799"/>
      <c r="F8" s="1800">
        <f>J39</f>
        <v>8.75</v>
      </c>
      <c r="G8" s="1800"/>
      <c r="H8" s="1783"/>
      <c r="I8" s="1783"/>
      <c r="J8" s="1783"/>
    </row>
    <row r="9" spans="2:17">
      <c r="B9" s="1795"/>
      <c r="C9" s="1783"/>
      <c r="D9" s="1798" t="s">
        <v>2119</v>
      </c>
      <c r="E9" s="1799"/>
      <c r="F9" s="1800">
        <f>J79</f>
        <v>7.5</v>
      </c>
      <c r="G9" s="1800"/>
      <c r="H9" s="1783"/>
      <c r="I9" s="1783"/>
      <c r="J9" s="1783"/>
    </row>
    <row r="10" spans="2:17">
      <c r="B10" s="1795"/>
      <c r="C10" s="1783"/>
      <c r="D10" s="1798" t="s">
        <v>2112</v>
      </c>
      <c r="E10" s="1799"/>
      <c r="F10" s="1800">
        <f>J88</f>
        <v>6.25</v>
      </c>
      <c r="G10" s="1800"/>
      <c r="H10" s="1783"/>
      <c r="I10" s="1783"/>
      <c r="J10" s="1783"/>
    </row>
    <row r="11" spans="2:17">
      <c r="B11" s="1803"/>
      <c r="C11" s="1783"/>
      <c r="D11" s="1798" t="s">
        <v>2120</v>
      </c>
      <c r="E11" s="1799"/>
      <c r="F11" s="1800">
        <f>J25</f>
        <v>3.8888888888888888</v>
      </c>
      <c r="G11" s="1800"/>
      <c r="H11" s="1783"/>
      <c r="I11" s="1783"/>
      <c r="J11" s="1783"/>
    </row>
    <row r="12" spans="2:17">
      <c r="B12" s="1804"/>
      <c r="C12" s="1783"/>
      <c r="D12" s="1798" t="s">
        <v>2121</v>
      </c>
      <c r="E12" s="1799"/>
      <c r="F12" s="1800">
        <f>J70</f>
        <v>3.75</v>
      </c>
      <c r="G12" s="1800"/>
      <c r="H12" s="1783"/>
      <c r="I12" s="1783"/>
      <c r="J12" s="1783"/>
    </row>
    <row r="13" spans="2:17" ht="15.75" thickBot="1">
      <c r="B13" s="1783"/>
      <c r="C13" s="1783"/>
      <c r="D13" s="1805" t="s">
        <v>2122</v>
      </c>
      <c r="E13" s="1806"/>
      <c r="F13" s="1807">
        <f>SUM(F3:F12)</f>
        <v>61.61507936507936</v>
      </c>
      <c r="G13" s="1807"/>
      <c r="H13" s="1783"/>
      <c r="I13" s="1783"/>
      <c r="J13" s="1783"/>
      <c r="Q13" s="1808" t="s">
        <v>2123</v>
      </c>
    </row>
    <row r="14" spans="2:17" ht="15" thickBot="1">
      <c r="B14" s="1783"/>
      <c r="D14" s="1798"/>
      <c r="E14" s="1783"/>
      <c r="F14" s="1783"/>
      <c r="G14" s="1783"/>
      <c r="H14" s="1783"/>
      <c r="I14" s="1783"/>
      <c r="J14" s="1783"/>
      <c r="L14" s="2276" t="s">
        <v>2124</v>
      </c>
      <c r="M14" s="2276"/>
      <c r="N14" s="2276"/>
      <c r="O14" s="1949"/>
      <c r="P14" s="1949"/>
    </row>
    <row r="15" spans="2:17">
      <c r="B15" s="1810" t="s">
        <v>2113</v>
      </c>
      <c r="C15" s="1811" t="s">
        <v>2125</v>
      </c>
      <c r="D15" s="1811" t="s">
        <v>2126</v>
      </c>
      <c r="E15" s="1811" t="s">
        <v>2127</v>
      </c>
      <c r="F15" s="1810" t="s">
        <v>2128</v>
      </c>
      <c r="G15" s="1811" t="s">
        <v>2129</v>
      </c>
      <c r="H15" s="1811" t="s">
        <v>2130</v>
      </c>
      <c r="I15" s="1811" t="s">
        <v>2131</v>
      </c>
      <c r="J15" s="1812" t="s">
        <v>2132</v>
      </c>
      <c r="K15" s="1813"/>
      <c r="L15" s="1814" t="s">
        <v>2128</v>
      </c>
      <c r="M15" s="1814" t="s">
        <v>2129</v>
      </c>
      <c r="N15" s="1814" t="s">
        <v>2130</v>
      </c>
      <c r="O15" s="1814" t="s">
        <v>2131</v>
      </c>
      <c r="P15" s="1784"/>
    </row>
    <row r="16" spans="2:17">
      <c r="B16" s="1815" t="s">
        <v>2120</v>
      </c>
      <c r="C16" s="1816">
        <v>10</v>
      </c>
      <c r="D16" s="1817" t="s">
        <v>2133</v>
      </c>
      <c r="E16" s="1818" t="s">
        <v>2134</v>
      </c>
      <c r="F16" s="1819"/>
      <c r="G16" s="1820" t="s">
        <v>1603</v>
      </c>
      <c r="H16" s="1820"/>
      <c r="I16" s="1821"/>
      <c r="J16" s="1822">
        <f t="shared" ref="J16:J24" si="0">IF(F16&lt;&gt;0,L16,IF(G16&lt;&gt;0,M16,IF(H16&lt;&gt;0,N16,IF(I16&lt;&gt;0,O16,""))))</f>
        <v>0.5</v>
      </c>
      <c r="K16" s="1823"/>
      <c r="L16" s="1785">
        <v>1</v>
      </c>
      <c r="M16" s="1785">
        <f>L16/2</f>
        <v>0.5</v>
      </c>
      <c r="N16" s="1785">
        <v>0</v>
      </c>
      <c r="O16" s="1824">
        <f>N16-M16</f>
        <v>-0.5</v>
      </c>
      <c r="P16" s="1824"/>
    </row>
    <row r="17" spans="2:23">
      <c r="B17" s="1825" t="s">
        <v>2135</v>
      </c>
      <c r="C17" s="1816"/>
      <c r="D17" s="1817" t="s">
        <v>2136</v>
      </c>
      <c r="E17" s="1818" t="s">
        <v>2137</v>
      </c>
      <c r="F17" s="1819"/>
      <c r="G17" s="1820" t="s">
        <v>1603</v>
      </c>
      <c r="H17" s="1820"/>
      <c r="I17" s="1821"/>
      <c r="J17" s="1822">
        <f t="shared" si="0"/>
        <v>0.5</v>
      </c>
      <c r="K17" s="1826"/>
      <c r="L17" s="1785">
        <f>L16</f>
        <v>1</v>
      </c>
      <c r="M17" s="1785">
        <f t="shared" ref="M17:O24" si="1">M16</f>
        <v>0.5</v>
      </c>
      <c r="N17" s="1785">
        <f t="shared" si="1"/>
        <v>0</v>
      </c>
      <c r="O17" s="1785">
        <f t="shared" si="1"/>
        <v>-0.5</v>
      </c>
      <c r="P17" s="1824"/>
      <c r="Q17" s="2277"/>
      <c r="R17" s="2277"/>
      <c r="S17" s="2277"/>
      <c r="T17" s="2277"/>
      <c r="U17" s="2277"/>
      <c r="V17" s="2277"/>
      <c r="W17" s="2277"/>
    </row>
    <row r="18" spans="2:23">
      <c r="B18" s="1825" t="s">
        <v>655</v>
      </c>
      <c r="C18" s="1816"/>
      <c r="D18" s="1817" t="s">
        <v>2138</v>
      </c>
      <c r="E18" s="1827"/>
      <c r="F18" s="1819"/>
      <c r="G18" s="1820"/>
      <c r="H18" s="1820" t="s">
        <v>1603</v>
      </c>
      <c r="I18" s="1821"/>
      <c r="J18" s="1822">
        <f t="shared" si="0"/>
        <v>0</v>
      </c>
      <c r="K18" s="1826"/>
      <c r="L18" s="1785">
        <f t="shared" ref="L18:L24" si="2">L17</f>
        <v>1</v>
      </c>
      <c r="M18" s="1785">
        <f t="shared" si="1"/>
        <v>0.5</v>
      </c>
      <c r="N18" s="1785">
        <f t="shared" si="1"/>
        <v>0</v>
      </c>
      <c r="O18" s="1785">
        <f t="shared" si="1"/>
        <v>-0.5</v>
      </c>
      <c r="P18" s="1824"/>
      <c r="Q18" s="2277"/>
      <c r="R18" s="2277"/>
      <c r="S18" s="2277"/>
      <c r="T18" s="2277"/>
      <c r="U18" s="2277"/>
      <c r="V18" s="2277"/>
      <c r="W18" s="2277"/>
    </row>
    <row r="19" spans="2:23">
      <c r="B19" s="1825" t="s">
        <v>2139</v>
      </c>
      <c r="C19" s="1816"/>
      <c r="D19" s="1817" t="s">
        <v>2140</v>
      </c>
      <c r="E19" s="1827"/>
      <c r="F19" s="1819"/>
      <c r="G19" s="1820" t="s">
        <v>1603</v>
      </c>
      <c r="H19" s="1820"/>
      <c r="I19" s="1820"/>
      <c r="J19" s="1822">
        <f t="shared" si="0"/>
        <v>0.5</v>
      </c>
      <c r="K19" s="1826"/>
      <c r="L19" s="1785">
        <f t="shared" si="2"/>
        <v>1</v>
      </c>
      <c r="M19" s="1785">
        <f t="shared" si="1"/>
        <v>0.5</v>
      </c>
      <c r="N19" s="1785">
        <f t="shared" si="1"/>
        <v>0</v>
      </c>
      <c r="O19" s="1785">
        <f t="shared" si="1"/>
        <v>-0.5</v>
      </c>
      <c r="P19" s="1824"/>
      <c r="Q19" s="1950"/>
    </row>
    <row r="20" spans="2:23">
      <c r="B20" s="1828" t="s">
        <v>2141</v>
      </c>
      <c r="C20" s="1829"/>
      <c r="D20" s="1817" t="s">
        <v>2142</v>
      </c>
      <c r="E20" s="1830" t="s">
        <v>2143</v>
      </c>
      <c r="F20" s="1819" t="s">
        <v>1603</v>
      </c>
      <c r="G20" s="1820"/>
      <c r="H20" s="1831"/>
      <c r="I20" s="1832"/>
      <c r="J20" s="1822">
        <f t="shared" si="0"/>
        <v>1</v>
      </c>
      <c r="K20" s="1826"/>
      <c r="L20" s="1785">
        <f t="shared" si="2"/>
        <v>1</v>
      </c>
      <c r="M20" s="1785">
        <f t="shared" si="1"/>
        <v>0.5</v>
      </c>
      <c r="N20" s="1785">
        <f t="shared" si="1"/>
        <v>0</v>
      </c>
      <c r="O20" s="1785">
        <f t="shared" si="1"/>
        <v>-0.5</v>
      </c>
      <c r="P20" s="1824"/>
      <c r="Q20" s="2278"/>
      <c r="R20" s="2278"/>
      <c r="S20" s="2278"/>
      <c r="T20" s="2278"/>
      <c r="U20" s="2278"/>
      <c r="V20" s="2278"/>
      <c r="W20" s="2278"/>
    </row>
    <row r="21" spans="2:23">
      <c r="B21" s="1833"/>
      <c r="C21" s="1816"/>
      <c r="D21" s="1817" t="s">
        <v>2144</v>
      </c>
      <c r="E21" s="1830" t="s">
        <v>700</v>
      </c>
      <c r="F21" s="1819" t="s">
        <v>1603</v>
      </c>
      <c r="G21" s="1820"/>
      <c r="H21" s="1831"/>
      <c r="I21" s="1832"/>
      <c r="J21" s="1822">
        <f t="shared" si="0"/>
        <v>1</v>
      </c>
      <c r="K21" s="1823"/>
      <c r="L21" s="1785">
        <f t="shared" si="2"/>
        <v>1</v>
      </c>
      <c r="M21" s="1785">
        <f t="shared" si="1"/>
        <v>0.5</v>
      </c>
      <c r="N21" s="1785">
        <f t="shared" si="1"/>
        <v>0</v>
      </c>
      <c r="O21" s="1785">
        <f t="shared" si="1"/>
        <v>-0.5</v>
      </c>
      <c r="P21" s="1824"/>
    </row>
    <row r="22" spans="2:23">
      <c r="B22" s="1833"/>
      <c r="C22" s="1816"/>
      <c r="D22" s="1817" t="s">
        <v>2145</v>
      </c>
      <c r="E22" s="1827"/>
      <c r="F22" s="1819"/>
      <c r="G22" s="1820"/>
      <c r="H22" s="1820"/>
      <c r="I22" s="1821" t="s">
        <v>1603</v>
      </c>
      <c r="J22" s="1822">
        <f t="shared" si="0"/>
        <v>-0.5</v>
      </c>
      <c r="K22" s="1826"/>
      <c r="L22" s="1785">
        <f t="shared" si="2"/>
        <v>1</v>
      </c>
      <c r="M22" s="1785">
        <f t="shared" si="1"/>
        <v>0.5</v>
      </c>
      <c r="N22" s="1785">
        <f t="shared" si="1"/>
        <v>0</v>
      </c>
      <c r="O22" s="1785">
        <f t="shared" si="1"/>
        <v>-0.5</v>
      </c>
      <c r="P22" s="1824"/>
      <c r="Q22" s="1834"/>
    </row>
    <row r="23" spans="2:23" ht="25.5">
      <c r="B23" s="1825"/>
      <c r="C23" s="1816"/>
      <c r="D23" s="1817" t="s">
        <v>2146</v>
      </c>
      <c r="E23" s="1827" t="s">
        <v>2147</v>
      </c>
      <c r="F23" s="1819"/>
      <c r="G23" s="1820"/>
      <c r="H23" s="1820" t="s">
        <v>1603</v>
      </c>
      <c r="I23" s="1821"/>
      <c r="J23" s="1822">
        <f t="shared" si="0"/>
        <v>0</v>
      </c>
      <c r="K23" s="1826"/>
      <c r="L23" s="1785">
        <f t="shared" si="2"/>
        <v>1</v>
      </c>
      <c r="M23" s="1785">
        <f t="shared" si="1"/>
        <v>0.5</v>
      </c>
      <c r="N23" s="1785">
        <f t="shared" si="1"/>
        <v>0</v>
      </c>
      <c r="O23" s="1785">
        <f t="shared" si="1"/>
        <v>-0.5</v>
      </c>
      <c r="P23" s="1824"/>
      <c r="Q23" s="1834"/>
    </row>
    <row r="24" spans="2:23">
      <c r="B24" s="1825"/>
      <c r="C24" s="1816"/>
      <c r="D24" s="1817" t="s">
        <v>2148</v>
      </c>
      <c r="E24" s="1830" t="s">
        <v>2149</v>
      </c>
      <c r="F24" s="1819"/>
      <c r="G24" s="1820" t="s">
        <v>1603</v>
      </c>
      <c r="H24" s="1820"/>
      <c r="I24" s="1821"/>
      <c r="J24" s="1822">
        <f t="shared" si="0"/>
        <v>0.5</v>
      </c>
      <c r="K24" s="1826"/>
      <c r="L24" s="1785">
        <f t="shared" si="2"/>
        <v>1</v>
      </c>
      <c r="M24" s="1785">
        <f t="shared" si="1"/>
        <v>0.5</v>
      </c>
      <c r="N24" s="1785">
        <f t="shared" si="1"/>
        <v>0</v>
      </c>
      <c r="O24" s="1785">
        <f t="shared" si="1"/>
        <v>-0.5</v>
      </c>
      <c r="P24" s="1824"/>
      <c r="Q24" s="1834"/>
    </row>
    <row r="25" spans="2:23">
      <c r="B25" s="1833" t="s">
        <v>642</v>
      </c>
      <c r="C25" s="1835">
        <f>J25</f>
        <v>3.8888888888888888</v>
      </c>
      <c r="D25" s="1836"/>
      <c r="E25" s="1827"/>
      <c r="F25" s="1837"/>
      <c r="G25" s="1838"/>
      <c r="H25" s="1838"/>
      <c r="I25" s="1839"/>
      <c r="J25" s="1840">
        <f>SUM(J16:J24)/COUNTA(J16:J24)*10</f>
        <v>3.8888888888888888</v>
      </c>
      <c r="K25" s="1841"/>
      <c r="L25" s="1824"/>
      <c r="M25" s="1824"/>
      <c r="N25" s="1824"/>
      <c r="O25" s="1824"/>
    </row>
    <row r="26" spans="2:23" ht="3.75" customHeight="1">
      <c r="B26" s="1842"/>
      <c r="C26" s="1843"/>
      <c r="D26" s="1844"/>
      <c r="E26" s="1844"/>
      <c r="F26" s="1845"/>
      <c r="G26" s="1844"/>
      <c r="H26" s="1844"/>
      <c r="I26" s="1844"/>
      <c r="J26" s="1846"/>
      <c r="K26" s="1847"/>
      <c r="L26" s="1824"/>
      <c r="M26" s="1824"/>
      <c r="N26" s="1824"/>
      <c r="O26" s="1824"/>
    </row>
    <row r="27" spans="2:23">
      <c r="B27" s="1815" t="s">
        <v>2109</v>
      </c>
      <c r="C27" s="1816">
        <v>10</v>
      </c>
      <c r="D27" s="1817" t="s">
        <v>2150</v>
      </c>
      <c r="E27" s="1848" t="s">
        <v>2151</v>
      </c>
      <c r="F27" s="1849" t="s">
        <v>1603</v>
      </c>
      <c r="G27" s="1850"/>
      <c r="H27" s="1850"/>
      <c r="I27" s="1851"/>
      <c r="J27" s="1822">
        <f>IF(F27&lt;&gt;0,L27,IF(G27&lt;&gt;0,M27,IF(H27&lt;&gt;0,N27,IF(I27&lt;&gt;0,O27,""))))</f>
        <v>1</v>
      </c>
      <c r="K27" s="1852"/>
      <c r="L27" s="1785">
        <v>1</v>
      </c>
      <c r="M27" s="1785">
        <f>L27/2</f>
        <v>0.5</v>
      </c>
      <c r="N27" s="1785">
        <v>0</v>
      </c>
      <c r="O27" s="1824">
        <f>N27-M27</f>
        <v>-0.5</v>
      </c>
      <c r="P27" s="1824"/>
      <c r="Q27" s="1834"/>
    </row>
    <row r="28" spans="2:23">
      <c r="B28" s="1825" t="s">
        <v>2135</v>
      </c>
      <c r="C28" s="1853"/>
      <c r="D28" s="1817" t="s">
        <v>1003</v>
      </c>
      <c r="E28" s="1848" t="s">
        <v>2232</v>
      </c>
      <c r="F28" s="1854"/>
      <c r="G28" s="1855" t="s">
        <v>1603</v>
      </c>
      <c r="H28" s="1855"/>
      <c r="I28" s="1856"/>
      <c r="J28" s="1857">
        <f>IF(F28&lt;&gt;0,L28,IF(G28&lt;&gt;0,M28,IF(H28&lt;&gt;0,N28,IF(I28&lt;&gt;0,O28,""))))</f>
        <v>0.5</v>
      </c>
      <c r="K28" s="1852"/>
      <c r="L28" s="1785">
        <f>L27</f>
        <v>1</v>
      </c>
      <c r="M28" s="1785">
        <f t="shared" ref="M28:O31" si="3">M27</f>
        <v>0.5</v>
      </c>
      <c r="N28" s="1785">
        <f t="shared" si="3"/>
        <v>0</v>
      </c>
      <c r="O28" s="1785">
        <f t="shared" si="3"/>
        <v>-0.5</v>
      </c>
      <c r="P28" s="1824"/>
      <c r="Q28" s="1834"/>
    </row>
    <row r="29" spans="2:23">
      <c r="B29" s="1825" t="s">
        <v>655</v>
      </c>
      <c r="C29" s="1853"/>
      <c r="D29" s="1817" t="s">
        <v>2152</v>
      </c>
      <c r="E29" s="1827" t="s">
        <v>2153</v>
      </c>
      <c r="F29" s="1854"/>
      <c r="G29" s="1855"/>
      <c r="H29" s="1855" t="s">
        <v>1603</v>
      </c>
      <c r="I29" s="1856"/>
      <c r="J29" s="1857">
        <f>IF(F29&lt;&gt;0,L29,IF(G29&lt;&gt;0,M29,IF(H29&lt;&gt;0,N29,IF(I29&lt;&gt;0,O29,""))))</f>
        <v>0</v>
      </c>
      <c r="K29" s="1852"/>
      <c r="L29" s="1785">
        <f>L28</f>
        <v>1</v>
      </c>
      <c r="M29" s="1785">
        <f t="shared" si="3"/>
        <v>0.5</v>
      </c>
      <c r="N29" s="1785">
        <f t="shared" si="3"/>
        <v>0</v>
      </c>
      <c r="O29" s="1785">
        <f t="shared" si="3"/>
        <v>-0.5</v>
      </c>
      <c r="P29" s="1824"/>
      <c r="Q29" s="1834"/>
    </row>
    <row r="30" spans="2:23">
      <c r="B30" s="1825" t="s">
        <v>2139</v>
      </c>
      <c r="C30" s="1853"/>
      <c r="D30" s="1817" t="s">
        <v>2154</v>
      </c>
      <c r="E30" s="1848" t="s">
        <v>2233</v>
      </c>
      <c r="F30" s="1854"/>
      <c r="G30" s="1855"/>
      <c r="H30" s="1855" t="s">
        <v>1603</v>
      </c>
      <c r="I30" s="1856"/>
      <c r="J30" s="1857">
        <f>IF(F30&lt;&gt;0,L30,IF(G30&lt;&gt;0,M30,IF(H30&lt;&gt;0,N30,IF(I30&lt;&gt;0,O30,""))))</f>
        <v>0</v>
      </c>
      <c r="K30" s="1852"/>
      <c r="L30" s="1785">
        <f>L29</f>
        <v>1</v>
      </c>
      <c r="M30" s="1785">
        <f t="shared" si="3"/>
        <v>0.5</v>
      </c>
      <c r="N30" s="1785">
        <f t="shared" si="3"/>
        <v>0</v>
      </c>
      <c r="O30" s="1785">
        <f t="shared" si="3"/>
        <v>-0.5</v>
      </c>
      <c r="P30" s="1824"/>
      <c r="Q30" s="1834"/>
    </row>
    <row r="31" spans="2:23">
      <c r="B31" s="1828" t="s">
        <v>2141</v>
      </c>
      <c r="C31" s="1829"/>
      <c r="D31" s="1817" t="s">
        <v>2155</v>
      </c>
      <c r="E31" s="1827"/>
      <c r="F31" s="1854"/>
      <c r="G31" s="1855" t="s">
        <v>1603</v>
      </c>
      <c r="H31" s="1855"/>
      <c r="I31" s="1856"/>
      <c r="J31" s="1857">
        <f>IF(F31&lt;&gt;0,L31,IF(G31&lt;&gt;0,M31,IF(H31&lt;&gt;0,N31,IF(I31&lt;&gt;0,O31,""))))</f>
        <v>0.5</v>
      </c>
      <c r="K31" s="1852"/>
      <c r="L31" s="1785">
        <f>L30</f>
        <v>1</v>
      </c>
      <c r="M31" s="1785">
        <f t="shared" si="3"/>
        <v>0.5</v>
      </c>
      <c r="N31" s="1785">
        <f t="shared" si="3"/>
        <v>0</v>
      </c>
      <c r="O31" s="1785">
        <f t="shared" si="3"/>
        <v>-0.5</v>
      </c>
      <c r="P31" s="1824"/>
    </row>
    <row r="32" spans="2:23">
      <c r="B32" s="1858" t="s">
        <v>2156</v>
      </c>
      <c r="C32" s="1859">
        <f>J32</f>
        <v>4</v>
      </c>
      <c r="D32" s="1860"/>
      <c r="E32" s="1861"/>
      <c r="F32" s="1837"/>
      <c r="G32" s="1838"/>
      <c r="H32" s="1838"/>
      <c r="I32" s="1839"/>
      <c r="J32" s="1840">
        <f>SUM(J27:J31)/COUNTA(J27:J31)*10</f>
        <v>4</v>
      </c>
      <c r="K32" s="1841"/>
      <c r="L32" s="1824"/>
      <c r="M32" s="1824"/>
      <c r="N32" s="1824"/>
      <c r="O32" s="1824"/>
    </row>
    <row r="33" spans="2:17" ht="3.75" customHeight="1">
      <c r="B33" s="1862"/>
      <c r="C33" s="1863"/>
      <c r="D33" s="1864"/>
      <c r="E33" s="1865"/>
      <c r="F33" s="1866"/>
      <c r="G33" s="1864"/>
      <c r="H33" s="1864"/>
      <c r="I33" s="1864"/>
      <c r="J33" s="1867"/>
      <c r="K33" s="1847"/>
      <c r="L33" s="1824"/>
      <c r="M33" s="1824"/>
      <c r="N33" s="1824"/>
      <c r="O33" s="1824"/>
    </row>
    <row r="34" spans="2:17">
      <c r="B34" s="1815" t="s">
        <v>1192</v>
      </c>
      <c r="C34" s="1816"/>
      <c r="D34" s="1817" t="s">
        <v>2157</v>
      </c>
      <c r="E34" s="1868">
        <v>0.52</v>
      </c>
      <c r="F34" s="1849" t="s">
        <v>1603</v>
      </c>
      <c r="G34" s="1850"/>
      <c r="H34" s="1850"/>
      <c r="I34" s="1851"/>
      <c r="J34" s="1822">
        <f>IF(F34&lt;&gt;0,L34,IF(G34&lt;&gt;0,M34,IF(H34&lt;&gt;0,N34,IF(I34&lt;&gt;0,O34,""))))</f>
        <v>1</v>
      </c>
      <c r="K34" s="1869"/>
      <c r="L34" s="1785">
        <v>1</v>
      </c>
      <c r="M34" s="1785">
        <f>L34/2</f>
        <v>0.5</v>
      </c>
      <c r="N34" s="1785">
        <v>0</v>
      </c>
      <c r="O34" s="1824">
        <f>N34-M34</f>
        <v>-0.5</v>
      </c>
      <c r="P34" s="1824"/>
      <c r="Q34" s="1834"/>
    </row>
    <row r="35" spans="2:17">
      <c r="B35" s="1825" t="s">
        <v>2135</v>
      </c>
      <c r="C35" s="1853"/>
      <c r="D35" s="1817" t="s">
        <v>2158</v>
      </c>
      <c r="E35" s="1870">
        <v>0.33</v>
      </c>
      <c r="F35" s="1854" t="s">
        <v>1603</v>
      </c>
      <c r="G35" s="1855"/>
      <c r="H35" s="1855"/>
      <c r="I35" s="1856"/>
      <c r="J35" s="1822">
        <f>IF(F35&lt;&gt;0,L35,IF(G35&lt;&gt;0,M35,IF(H35&lt;&gt;0,N35,IF(I35&lt;&gt;0,O35,""))))</f>
        <v>1</v>
      </c>
      <c r="K35" s="1869"/>
      <c r="L35" s="1785">
        <f>L34</f>
        <v>1</v>
      </c>
      <c r="M35" s="1785">
        <f t="shared" ref="M35:O37" si="4">M34</f>
        <v>0.5</v>
      </c>
      <c r="N35" s="1785">
        <f t="shared" si="4"/>
        <v>0</v>
      </c>
      <c r="O35" s="1785">
        <f t="shared" si="4"/>
        <v>-0.5</v>
      </c>
      <c r="P35" s="1824"/>
      <c r="Q35" s="1834"/>
    </row>
    <row r="36" spans="2:17">
      <c r="B36" s="1825" t="s">
        <v>655</v>
      </c>
      <c r="C36" s="1853"/>
      <c r="D36" s="1817" t="s">
        <v>2159</v>
      </c>
      <c r="E36" s="1871" t="s">
        <v>2234</v>
      </c>
      <c r="F36" s="1854"/>
      <c r="G36" s="1855" t="s">
        <v>1603</v>
      </c>
      <c r="H36" s="1855"/>
      <c r="I36" s="1856"/>
      <c r="J36" s="1822">
        <f>IF(F36&lt;&gt;0,L36,IF(G36&lt;&gt;0,M36,IF(H36&lt;&gt;0,N36,IF(I36&lt;&gt;0,O36,""))))</f>
        <v>0.5</v>
      </c>
      <c r="K36" s="1869"/>
      <c r="L36" s="1785">
        <f>L35</f>
        <v>1</v>
      </c>
      <c r="M36" s="1785">
        <f t="shared" si="4"/>
        <v>0.5</v>
      </c>
      <c r="N36" s="1785">
        <f t="shared" si="4"/>
        <v>0</v>
      </c>
      <c r="O36" s="1785">
        <f t="shared" si="4"/>
        <v>-0.5</v>
      </c>
      <c r="P36" s="1824"/>
      <c r="Q36" s="1834"/>
    </row>
    <row r="37" spans="2:17">
      <c r="B37" s="1825" t="s">
        <v>2139</v>
      </c>
      <c r="C37" s="1853"/>
      <c r="D37" s="1817" t="s">
        <v>2160</v>
      </c>
      <c r="E37" s="1827" t="s">
        <v>2135</v>
      </c>
      <c r="F37" s="1854" t="s">
        <v>1603</v>
      </c>
      <c r="G37" s="1855"/>
      <c r="H37" s="1855"/>
      <c r="I37" s="1856"/>
      <c r="J37" s="1822">
        <f>IF(F37&lt;&gt;0,L37,IF(G37&lt;&gt;0,M37,IF(H37&lt;&gt;0,N37,IF(I37&lt;&gt;0,O37,""))))</f>
        <v>1</v>
      </c>
      <c r="K37" s="1869"/>
      <c r="L37" s="1785">
        <f>L36</f>
        <v>1</v>
      </c>
      <c r="M37" s="1785">
        <f t="shared" si="4"/>
        <v>0.5</v>
      </c>
      <c r="N37" s="1785">
        <f t="shared" si="4"/>
        <v>0</v>
      </c>
      <c r="O37" s="1785">
        <f t="shared" si="4"/>
        <v>-0.5</v>
      </c>
      <c r="P37" s="1824"/>
    </row>
    <row r="38" spans="2:17">
      <c r="B38" s="1828" t="s">
        <v>2141</v>
      </c>
      <c r="C38" s="1829"/>
      <c r="D38" s="1817"/>
      <c r="E38" s="1827"/>
      <c r="F38" s="1854"/>
      <c r="G38" s="1855"/>
      <c r="H38" s="1855"/>
      <c r="I38" s="1856"/>
      <c r="J38" s="1822"/>
      <c r="K38" s="1869"/>
      <c r="P38" s="1824"/>
    </row>
    <row r="39" spans="2:17">
      <c r="B39" s="1825" t="s">
        <v>642</v>
      </c>
      <c r="C39" s="1835">
        <f>J39</f>
        <v>8.75</v>
      </c>
      <c r="D39" s="1836"/>
      <c r="E39" s="1872"/>
      <c r="F39" s="1837"/>
      <c r="G39" s="1838"/>
      <c r="H39" s="1838"/>
      <c r="I39" s="1839"/>
      <c r="J39" s="1840">
        <f>SUM(J33:J37)/COUNTA(J34:J37)*10</f>
        <v>8.75</v>
      </c>
      <c r="K39" s="1841"/>
      <c r="L39" s="1824"/>
      <c r="M39" s="1824"/>
      <c r="N39" s="1824"/>
      <c r="O39" s="1824"/>
    </row>
    <row r="40" spans="2:17" ht="3.75" customHeight="1">
      <c r="B40" s="1845"/>
      <c r="C40" s="1843"/>
      <c r="D40" s="1873"/>
      <c r="E40" s="1844"/>
      <c r="F40" s="1845"/>
      <c r="G40" s="1844"/>
      <c r="H40" s="1844"/>
      <c r="I40" s="1844"/>
      <c r="J40" s="1846"/>
      <c r="K40" s="1847"/>
      <c r="L40" s="1824"/>
      <c r="M40" s="1824"/>
      <c r="N40" s="1824"/>
      <c r="O40" s="1824"/>
    </row>
    <row r="41" spans="2:17">
      <c r="B41" s="1874" t="s">
        <v>2110</v>
      </c>
      <c r="C41" s="1816">
        <v>14</v>
      </c>
      <c r="D41" s="1874" t="s">
        <v>2110</v>
      </c>
      <c r="E41" s="1827"/>
      <c r="F41" s="1875"/>
      <c r="G41" s="1876"/>
      <c r="H41" s="1876"/>
      <c r="I41" s="1877"/>
      <c r="J41" s="1822"/>
      <c r="K41" s="1878"/>
      <c r="L41" s="1785">
        <v>1</v>
      </c>
      <c r="M41" s="1785">
        <f>L41/2</f>
        <v>0.5</v>
      </c>
      <c r="N41" s="1785">
        <v>0</v>
      </c>
      <c r="O41" s="1824">
        <f>N41-M41</f>
        <v>-0.5</v>
      </c>
      <c r="P41" s="1824"/>
    </row>
    <row r="42" spans="2:17" ht="25.5">
      <c r="B42" s="1825" t="s">
        <v>2135</v>
      </c>
      <c r="C42" s="1853"/>
      <c r="D42" s="1817" t="s">
        <v>2161</v>
      </c>
      <c r="E42" s="1827" t="s">
        <v>2162</v>
      </c>
      <c r="F42" s="1875" t="s">
        <v>1603</v>
      </c>
      <c r="G42" s="1876"/>
      <c r="H42" s="1876"/>
      <c r="I42" s="1877"/>
      <c r="J42" s="1822">
        <f>IF(F42&lt;&gt;0,L42,IF(G42&lt;&gt;0,M42,IF(H42&lt;&gt;0,N42,IF(I42&lt;&gt;0,O42,""))))</f>
        <v>1</v>
      </c>
      <c r="K42" s="1847"/>
      <c r="L42" s="1785">
        <f>L41</f>
        <v>1</v>
      </c>
      <c r="M42" s="1785">
        <f t="shared" ref="M42:O46" si="5">M41</f>
        <v>0.5</v>
      </c>
      <c r="N42" s="1785">
        <f t="shared" si="5"/>
        <v>0</v>
      </c>
      <c r="O42" s="1785">
        <f t="shared" si="5"/>
        <v>-0.5</v>
      </c>
      <c r="P42" s="1824"/>
      <c r="Q42" s="1834"/>
    </row>
    <row r="43" spans="2:17" ht="25.5">
      <c r="B43" s="1825" t="s">
        <v>655</v>
      </c>
      <c r="C43" s="1853"/>
      <c r="D43" s="1817" t="s">
        <v>2163</v>
      </c>
      <c r="E43" s="1827" t="s">
        <v>2164</v>
      </c>
      <c r="F43" s="1875"/>
      <c r="G43" s="1876" t="s">
        <v>1603</v>
      </c>
      <c r="H43" s="1876"/>
      <c r="I43" s="1877"/>
      <c r="J43" s="1822">
        <f>IF(F43&lt;&gt;0,L43,IF(G43&lt;&gt;0,M43,IF(H43&lt;&gt;0,N43,IF(I43&lt;&gt;0,O43,""))))</f>
        <v>0.5</v>
      </c>
      <c r="K43" s="1847"/>
      <c r="L43" s="1785">
        <f>L42</f>
        <v>1</v>
      </c>
      <c r="M43" s="1785">
        <f t="shared" si="5"/>
        <v>0.5</v>
      </c>
      <c r="N43" s="1785">
        <f t="shared" si="5"/>
        <v>0</v>
      </c>
      <c r="O43" s="1785">
        <f t="shared" si="5"/>
        <v>-0.5</v>
      </c>
      <c r="P43" s="1824"/>
      <c r="Q43" s="1834"/>
    </row>
    <row r="44" spans="2:17">
      <c r="B44" s="1825" t="s">
        <v>2139</v>
      </c>
      <c r="C44" s="1853"/>
      <c r="D44" s="1817" t="s">
        <v>2165</v>
      </c>
      <c r="E44" s="1827"/>
      <c r="F44" s="1875"/>
      <c r="G44" s="1876" t="s">
        <v>1603</v>
      </c>
      <c r="H44" s="1876"/>
      <c r="I44" s="1877"/>
      <c r="J44" s="1822">
        <f>IF(F44&lt;&gt;0,L44,IF(G44&lt;&gt;0,M44,IF(H44&lt;&gt;0,N44,IF(I44&lt;&gt;0,O44,""))))</f>
        <v>0.5</v>
      </c>
      <c r="K44" s="1847"/>
      <c r="L44" s="1785">
        <f>L43</f>
        <v>1</v>
      </c>
      <c r="M44" s="1785">
        <f t="shared" si="5"/>
        <v>0.5</v>
      </c>
      <c r="N44" s="1785">
        <f t="shared" si="5"/>
        <v>0</v>
      </c>
      <c r="O44" s="1785">
        <f t="shared" si="5"/>
        <v>-0.5</v>
      </c>
      <c r="P44" s="1824"/>
      <c r="Q44" s="1834"/>
    </row>
    <row r="45" spans="2:17">
      <c r="B45" s="1828" t="s">
        <v>2141</v>
      </c>
      <c r="C45" s="1829"/>
      <c r="D45" s="1817" t="s">
        <v>196</v>
      </c>
      <c r="E45" s="1830" t="s">
        <v>2235</v>
      </c>
      <c r="F45" s="1875" t="s">
        <v>1603</v>
      </c>
      <c r="G45" s="1876"/>
      <c r="H45" s="1876"/>
      <c r="I45" s="1877"/>
      <c r="J45" s="1822">
        <f>IF(F45&lt;&gt;0,L45,IF(G45&lt;&gt;0,M45,IF(H45&lt;&gt;0,N45,IF(I45&lt;&gt;0,O45,""))))</f>
        <v>1</v>
      </c>
      <c r="K45" s="1847"/>
      <c r="L45" s="1785">
        <f>L44</f>
        <v>1</v>
      </c>
      <c r="M45" s="1785">
        <f t="shared" si="5"/>
        <v>0.5</v>
      </c>
      <c r="N45" s="1785">
        <f t="shared" si="5"/>
        <v>0</v>
      </c>
      <c r="O45" s="1785">
        <f t="shared" si="5"/>
        <v>-0.5</v>
      </c>
      <c r="P45" s="1824"/>
      <c r="Q45" s="1834"/>
    </row>
    <row r="46" spans="2:17">
      <c r="B46" s="1833"/>
      <c r="C46" s="1816"/>
      <c r="D46" s="1817" t="s">
        <v>2166</v>
      </c>
      <c r="E46" s="1827" t="s">
        <v>2236</v>
      </c>
      <c r="F46" s="1875"/>
      <c r="G46" s="1876" t="s">
        <v>1603</v>
      </c>
      <c r="H46" s="1876"/>
      <c r="I46" s="1877"/>
      <c r="J46" s="1822">
        <f>IF(F46&lt;&gt;0,L46,IF(G46&lt;&gt;0,M46,IF(H46&lt;&gt;0,N46,IF(I46&lt;&gt;0,O46,""))))</f>
        <v>0.5</v>
      </c>
      <c r="K46" s="1847"/>
      <c r="L46" s="1785">
        <f>L45</f>
        <v>1</v>
      </c>
      <c r="M46" s="1785">
        <f t="shared" si="5"/>
        <v>0.5</v>
      </c>
      <c r="N46" s="1785">
        <f t="shared" si="5"/>
        <v>0</v>
      </c>
      <c r="O46" s="1785">
        <f t="shared" si="5"/>
        <v>-0.5</v>
      </c>
      <c r="P46" s="1824"/>
      <c r="Q46" s="1834"/>
    </row>
    <row r="47" spans="2:17" s="1785" customFormat="1" ht="12.75">
      <c r="B47" s="1879" t="s">
        <v>642</v>
      </c>
      <c r="C47" s="1880">
        <f>J47</f>
        <v>7</v>
      </c>
      <c r="D47" s="1817"/>
      <c r="E47" s="1827"/>
      <c r="F47" s="1881"/>
      <c r="G47" s="1882"/>
      <c r="H47" s="1882"/>
      <c r="I47" s="1883"/>
      <c r="J47" s="1884">
        <f>SUM(J42:J46)/COUNTA(J42:J46)*10</f>
        <v>7</v>
      </c>
      <c r="K47" s="1847"/>
      <c r="P47" s="1824"/>
      <c r="Q47" s="1834"/>
    </row>
    <row r="48" spans="2:17" s="1785" customFormat="1" ht="3.75" customHeight="1">
      <c r="B48" s="1885"/>
      <c r="C48" s="1886"/>
      <c r="D48" s="1887"/>
      <c r="E48" s="1888"/>
      <c r="F48" s="1889"/>
      <c r="G48" s="1887"/>
      <c r="H48" s="1887"/>
      <c r="I48" s="1887"/>
      <c r="J48" s="1890"/>
      <c r="K48" s="1847"/>
      <c r="L48" s="1824"/>
      <c r="M48" s="1824"/>
      <c r="N48" s="1824"/>
      <c r="O48" s="1824"/>
    </row>
    <row r="49" spans="2:17" ht="25.5">
      <c r="B49" s="1874" t="s">
        <v>2111</v>
      </c>
      <c r="C49" s="1816"/>
      <c r="D49" s="1874" t="s">
        <v>2111</v>
      </c>
      <c r="E49" s="1827"/>
      <c r="F49" s="1875"/>
      <c r="G49" s="1876"/>
      <c r="H49" s="1876"/>
      <c r="I49" s="1877"/>
      <c r="J49" s="1822"/>
      <c r="K49" s="1847"/>
      <c r="L49" s="1824"/>
      <c r="M49" s="1824"/>
      <c r="N49" s="1824"/>
      <c r="O49" s="1824"/>
      <c r="P49" s="1824"/>
      <c r="Q49" s="1834"/>
    </row>
    <row r="50" spans="2:17" ht="25.5">
      <c r="B50" s="1833"/>
      <c r="C50" s="1816"/>
      <c r="D50" s="1817" t="s">
        <v>2167</v>
      </c>
      <c r="E50" s="1827" t="s">
        <v>2168</v>
      </c>
      <c r="F50" s="1875"/>
      <c r="G50" s="1876" t="s">
        <v>1603</v>
      </c>
      <c r="H50" s="1876"/>
      <c r="I50" s="1877"/>
      <c r="J50" s="1891">
        <f>IF(F50&lt;&gt;0,L50,IF(G50&lt;&gt;0,M50,IF(H50&lt;&gt;0,N50,"")))</f>
        <v>0.5</v>
      </c>
      <c r="K50" s="1847"/>
      <c r="L50" s="1785">
        <v>1</v>
      </c>
      <c r="M50" s="1785">
        <f>L50/2</f>
        <v>0.5</v>
      </c>
      <c r="N50" s="1785">
        <v>0</v>
      </c>
      <c r="O50" s="1824">
        <f>N50-M50</f>
        <v>-0.5</v>
      </c>
      <c r="P50" s="1824"/>
      <c r="Q50" s="1834"/>
    </row>
    <row r="51" spans="2:17" ht="25.5">
      <c r="B51" s="1825"/>
      <c r="C51" s="1816"/>
      <c r="D51" s="1817" t="s">
        <v>2169</v>
      </c>
      <c r="E51" s="1830" t="s">
        <v>2170</v>
      </c>
      <c r="F51" s="1875" t="s">
        <v>1603</v>
      </c>
      <c r="G51" s="1876"/>
      <c r="H51" s="1876"/>
      <c r="I51" s="1877"/>
      <c r="J51" s="1891">
        <f>IF(F51&lt;&gt;0,L51,IF(G51&lt;&gt;0,M51,IF(H51&lt;&gt;0,N51,"")))</f>
        <v>1</v>
      </c>
      <c r="K51" s="1878"/>
      <c r="L51" s="1785">
        <v>1</v>
      </c>
      <c r="M51" s="1785">
        <f>L51/2</f>
        <v>0.5</v>
      </c>
      <c r="N51" s="1785">
        <v>0</v>
      </c>
      <c r="O51" s="1824">
        <f>N51-M51</f>
        <v>-0.5</v>
      </c>
    </row>
    <row r="52" spans="2:17">
      <c r="B52" s="1825"/>
      <c r="C52" s="1853"/>
      <c r="D52" s="1817" t="s">
        <v>2171</v>
      </c>
      <c r="E52" s="1827" t="s">
        <v>2172</v>
      </c>
      <c r="F52" s="1875" t="s">
        <v>1603</v>
      </c>
      <c r="G52" s="1820"/>
      <c r="H52" s="1820"/>
      <c r="I52" s="1821"/>
      <c r="J52" s="1891">
        <f>IF(F52&lt;&gt;0,L52,IF(G52&lt;&gt;0,M52,IF(H52&lt;&gt;0,N52,"")))</f>
        <v>1</v>
      </c>
      <c r="K52" s="1847"/>
      <c r="L52" s="1785">
        <v>1</v>
      </c>
      <c r="M52" s="1785">
        <f>L52/2</f>
        <v>0.5</v>
      </c>
      <c r="N52" s="1785">
        <v>0</v>
      </c>
      <c r="O52" s="1824">
        <f>N52-M52</f>
        <v>-0.5</v>
      </c>
      <c r="P52" s="1824"/>
      <c r="Q52" s="1834"/>
    </row>
    <row r="53" spans="2:17">
      <c r="B53" s="1825"/>
      <c r="C53" s="1816"/>
      <c r="D53" s="1817"/>
      <c r="E53" s="1827"/>
      <c r="F53" s="1875"/>
      <c r="G53" s="1820"/>
      <c r="H53" s="1820"/>
      <c r="I53" s="1821"/>
      <c r="J53" s="1891"/>
      <c r="K53" s="1847"/>
      <c r="O53" s="1824"/>
      <c r="P53" s="1824"/>
      <c r="Q53" s="1834"/>
    </row>
    <row r="54" spans="2:17" s="1785" customFormat="1" ht="12.75">
      <c r="B54" s="1892" t="s">
        <v>642</v>
      </c>
      <c r="C54" s="1893">
        <f>J54</f>
        <v>8.3333333333333339</v>
      </c>
      <c r="D54" s="1894"/>
      <c r="E54" s="1895"/>
      <c r="F54" s="1896"/>
      <c r="G54" s="1897"/>
      <c r="H54" s="1897"/>
      <c r="I54" s="1898"/>
      <c r="J54" s="1884">
        <f>SUM(J50:J52)/COUNTA(J50:J52)*10</f>
        <v>8.3333333333333339</v>
      </c>
      <c r="K54" s="1841"/>
      <c r="L54" s="1824"/>
      <c r="M54" s="1824"/>
      <c r="N54" s="1824"/>
      <c r="O54" s="1824"/>
    </row>
    <row r="55" spans="2:17" ht="3.75" customHeight="1">
      <c r="B55" s="1845"/>
      <c r="C55" s="1843"/>
      <c r="D55" s="1873"/>
      <c r="E55" s="1844"/>
      <c r="F55" s="1845"/>
      <c r="G55" s="1844"/>
      <c r="H55" s="1844"/>
      <c r="I55" s="1844"/>
      <c r="J55" s="1846" t="s">
        <v>2173</v>
      </c>
      <c r="K55" s="1847"/>
      <c r="L55" s="1824"/>
      <c r="M55" s="1824"/>
      <c r="N55" s="1824"/>
      <c r="O55" s="1824"/>
    </row>
    <row r="56" spans="2:17">
      <c r="B56" s="1815" t="s">
        <v>577</v>
      </c>
      <c r="C56" s="1816"/>
      <c r="D56" s="1874" t="s">
        <v>2174</v>
      </c>
      <c r="E56" s="1827"/>
      <c r="F56" s="1819"/>
      <c r="G56" s="1820"/>
      <c r="H56" s="1820"/>
      <c r="I56" s="1821"/>
      <c r="J56" s="1822"/>
      <c r="K56" s="1878"/>
      <c r="L56" s="1824">
        <f t="shared" ref="L56:O61" si="6">L$41</f>
        <v>1</v>
      </c>
      <c r="M56" s="1824">
        <f t="shared" si="6"/>
        <v>0.5</v>
      </c>
      <c r="N56" s="1824">
        <f t="shared" si="6"/>
        <v>0</v>
      </c>
      <c r="O56" s="1824">
        <f t="shared" si="6"/>
        <v>-0.5</v>
      </c>
      <c r="Q56" s="1834"/>
    </row>
    <row r="57" spans="2:17" ht="25.5">
      <c r="B57" s="1825"/>
      <c r="C57" s="1816"/>
      <c r="D57" s="1817" t="s">
        <v>2175</v>
      </c>
      <c r="E57" s="1827" t="s">
        <v>2176</v>
      </c>
      <c r="F57" s="1819"/>
      <c r="G57" s="1820" t="s">
        <v>1603</v>
      </c>
      <c r="H57" s="1820"/>
      <c r="I57" s="1821"/>
      <c r="J57" s="1822">
        <f>IF(F57&lt;&gt;0,L57,IF(G57&lt;&gt;0,M57,IF(H57&lt;&gt;0,N57,IF(I57&lt;&gt;0,O57,""))))</f>
        <v>0.5</v>
      </c>
      <c r="K57" s="1847"/>
      <c r="L57" s="1824">
        <f t="shared" si="6"/>
        <v>1</v>
      </c>
      <c r="M57" s="1824">
        <f t="shared" si="6"/>
        <v>0.5</v>
      </c>
      <c r="N57" s="1824">
        <f t="shared" si="6"/>
        <v>0</v>
      </c>
      <c r="O57" s="1824">
        <f t="shared" si="6"/>
        <v>-0.5</v>
      </c>
      <c r="P57" s="1824"/>
      <c r="Q57" s="1834"/>
    </row>
    <row r="58" spans="2:17">
      <c r="B58" s="1825"/>
      <c r="C58" s="1816"/>
      <c r="D58" s="1817" t="s">
        <v>2177</v>
      </c>
      <c r="E58" s="1827"/>
      <c r="F58" s="1819"/>
      <c r="G58" s="1820" t="s">
        <v>1603</v>
      </c>
      <c r="H58" s="1820"/>
      <c r="I58" s="1821"/>
      <c r="J58" s="1822">
        <f>IF(F58&lt;&gt;0,L58,IF(G58&lt;&gt;0,M58,IF(H58&lt;&gt;0,N58,IF(I58&lt;&gt;0,O58,""))))</f>
        <v>0.5</v>
      </c>
      <c r="K58" s="1847"/>
      <c r="L58" s="1824">
        <f t="shared" si="6"/>
        <v>1</v>
      </c>
      <c r="M58" s="1824">
        <f t="shared" si="6"/>
        <v>0.5</v>
      </c>
      <c r="N58" s="1824">
        <f t="shared" si="6"/>
        <v>0</v>
      </c>
      <c r="O58" s="1824">
        <f t="shared" si="6"/>
        <v>-0.5</v>
      </c>
      <c r="P58" s="1824"/>
    </row>
    <row r="59" spans="2:17">
      <c r="B59" s="1825"/>
      <c r="C59" s="1816"/>
      <c r="D59" s="1817" t="s">
        <v>2178</v>
      </c>
      <c r="E59" s="1827"/>
      <c r="F59" s="1819"/>
      <c r="G59" s="1820" t="s">
        <v>1603</v>
      </c>
      <c r="H59" s="1820"/>
      <c r="I59" s="1821"/>
      <c r="J59" s="1822">
        <f>IF(F59&lt;&gt;0,L59,IF(G59&lt;&gt;0,M59,IF(H59&lt;&gt;0,N59,IF(I59&lt;&gt;0,O59,""))))</f>
        <v>0.5</v>
      </c>
      <c r="K59" s="1847"/>
      <c r="L59" s="1824">
        <f t="shared" si="6"/>
        <v>1</v>
      </c>
      <c r="M59" s="1824">
        <f t="shared" si="6"/>
        <v>0.5</v>
      </c>
      <c r="N59" s="1824">
        <f t="shared" si="6"/>
        <v>0</v>
      </c>
      <c r="O59" s="1824">
        <f t="shared" si="6"/>
        <v>-0.5</v>
      </c>
      <c r="P59" s="1824"/>
    </row>
    <row r="60" spans="2:17">
      <c r="B60" s="1825"/>
      <c r="C60" s="1816"/>
      <c r="D60" s="1817" t="s">
        <v>2179</v>
      </c>
      <c r="E60" s="1830" t="s">
        <v>2180</v>
      </c>
      <c r="F60" s="1819"/>
      <c r="G60" s="1820" t="s">
        <v>1603</v>
      </c>
      <c r="H60" s="1820"/>
      <c r="I60" s="1821"/>
      <c r="J60" s="1822">
        <f>IF(F60&lt;&gt;0,L60,IF(G60&lt;&gt;0,M60,IF(H60&lt;&gt;0,N60,IF(I60&lt;&gt;0,O60,""))))</f>
        <v>0.5</v>
      </c>
      <c r="K60" s="1847"/>
      <c r="L60" s="1824">
        <f t="shared" si="6"/>
        <v>1</v>
      </c>
      <c r="M60" s="1824">
        <f t="shared" si="6"/>
        <v>0.5</v>
      </c>
      <c r="N60" s="1824">
        <f t="shared" si="6"/>
        <v>0</v>
      </c>
      <c r="O60" s="1824">
        <f t="shared" si="6"/>
        <v>-0.5</v>
      </c>
      <c r="P60" s="1824"/>
    </row>
    <row r="61" spans="2:17">
      <c r="B61" s="1825"/>
      <c r="C61" s="1816"/>
      <c r="D61" s="1817"/>
      <c r="E61" s="1827"/>
      <c r="F61" s="1819"/>
      <c r="G61" s="1820"/>
      <c r="H61" s="1820"/>
      <c r="I61" s="1821"/>
      <c r="J61" s="1822"/>
      <c r="K61" s="1847"/>
      <c r="L61" s="1824">
        <f t="shared" si="6"/>
        <v>1</v>
      </c>
      <c r="M61" s="1824">
        <f t="shared" si="6"/>
        <v>0.5</v>
      </c>
      <c r="N61" s="1824">
        <f t="shared" si="6"/>
        <v>0</v>
      </c>
      <c r="O61" s="1824">
        <f t="shared" si="6"/>
        <v>-0.5</v>
      </c>
      <c r="P61" s="1824"/>
    </row>
    <row r="62" spans="2:17">
      <c r="B62" s="1899" t="s">
        <v>642</v>
      </c>
      <c r="C62" s="1859">
        <f>J62</f>
        <v>5</v>
      </c>
      <c r="D62" s="1900"/>
      <c r="E62" s="1861"/>
      <c r="F62" s="1837"/>
      <c r="G62" s="1838"/>
      <c r="H62" s="1838"/>
      <c r="I62" s="1839"/>
      <c r="J62" s="1840">
        <f>SUM(J57:J60)/COUNTA(J57:J60)*10</f>
        <v>5</v>
      </c>
      <c r="K62" s="1841"/>
      <c r="L62" s="1824"/>
      <c r="M62" s="1824"/>
      <c r="N62" s="1824"/>
      <c r="O62" s="1824"/>
    </row>
    <row r="63" spans="2:17">
      <c r="B63" s="1845"/>
      <c r="C63" s="1843"/>
      <c r="D63" s="1873"/>
      <c r="E63" s="1844"/>
      <c r="F63" s="1845"/>
      <c r="G63" s="1844"/>
      <c r="H63" s="1844"/>
      <c r="I63" s="1844"/>
      <c r="J63" s="1846"/>
      <c r="K63" s="1847"/>
      <c r="L63" s="1824"/>
      <c r="M63" s="1824"/>
      <c r="N63" s="1824"/>
      <c r="O63" s="1824"/>
    </row>
    <row r="64" spans="2:17">
      <c r="B64" s="1815" t="s">
        <v>2121</v>
      </c>
      <c r="C64" s="1816"/>
      <c r="D64" s="1836" t="s">
        <v>2181</v>
      </c>
      <c r="E64" s="1827"/>
      <c r="F64" s="1849"/>
      <c r="G64" s="1850" t="s">
        <v>1603</v>
      </c>
      <c r="H64" s="1850"/>
      <c r="I64" s="1851"/>
      <c r="J64" s="1822">
        <f>IF(F64&lt;&gt;0,L64,IF(G64&lt;&gt;0,M64,IF(H64&lt;&gt;0,N64,IF(I64&lt;&gt;0,O64,""))))</f>
        <v>0.5</v>
      </c>
      <c r="K64" s="1901"/>
      <c r="L64" s="1824">
        <f t="shared" ref="L64:O67" si="7">L$41</f>
        <v>1</v>
      </c>
      <c r="M64" s="1824">
        <f t="shared" si="7"/>
        <v>0.5</v>
      </c>
      <c r="N64" s="1824">
        <f t="shared" si="7"/>
        <v>0</v>
      </c>
      <c r="O64" s="1824">
        <f t="shared" si="7"/>
        <v>-0.5</v>
      </c>
      <c r="P64" s="1824"/>
    </row>
    <row r="65" spans="2:17">
      <c r="B65" s="1825" t="s">
        <v>2135</v>
      </c>
      <c r="C65" s="1829"/>
      <c r="D65" s="1836" t="s">
        <v>2182</v>
      </c>
      <c r="E65" s="1827" t="s">
        <v>2183</v>
      </c>
      <c r="F65" s="1854"/>
      <c r="G65" s="1855"/>
      <c r="H65" s="1855" t="s">
        <v>1603</v>
      </c>
      <c r="I65" s="1856"/>
      <c r="J65" s="1822">
        <f>IF(F65&lt;&gt;0,L65,IF(G65&lt;&gt;0,M65,IF(H65&lt;&gt;0,N65,IF(I65&lt;&gt;0,O65,""))))</f>
        <v>0</v>
      </c>
      <c r="K65" s="1901"/>
      <c r="L65" s="1824">
        <f t="shared" si="7"/>
        <v>1</v>
      </c>
      <c r="M65" s="1824">
        <f t="shared" si="7"/>
        <v>0.5</v>
      </c>
      <c r="N65" s="1824">
        <f t="shared" si="7"/>
        <v>0</v>
      </c>
      <c r="O65" s="1824">
        <f t="shared" si="7"/>
        <v>-0.5</v>
      </c>
      <c r="P65" s="1824"/>
    </row>
    <row r="66" spans="2:17">
      <c r="B66" s="1825" t="s">
        <v>655</v>
      </c>
      <c r="C66" s="1829"/>
      <c r="D66" s="1836" t="s">
        <v>2184</v>
      </c>
      <c r="E66" s="1827" t="s">
        <v>2185</v>
      </c>
      <c r="F66" s="1854"/>
      <c r="G66" s="1855" t="s">
        <v>1603</v>
      </c>
      <c r="H66" s="1855"/>
      <c r="I66" s="1856"/>
      <c r="J66" s="1822">
        <f>IF(F66&lt;&gt;0,L66,IF(G66&lt;&gt;0,M66,IF(H66&lt;&gt;0,N66,IF(I66&lt;&gt;0,O66,""))))</f>
        <v>0.5</v>
      </c>
      <c r="K66" s="1901"/>
      <c r="L66" s="1824">
        <f t="shared" si="7"/>
        <v>1</v>
      </c>
      <c r="M66" s="1824">
        <f t="shared" si="7"/>
        <v>0.5</v>
      </c>
      <c r="N66" s="1824">
        <f t="shared" si="7"/>
        <v>0</v>
      </c>
      <c r="O66" s="1824">
        <f t="shared" si="7"/>
        <v>-0.5</v>
      </c>
      <c r="P66" s="1824"/>
    </row>
    <row r="67" spans="2:17">
      <c r="B67" s="1825" t="s">
        <v>2139</v>
      </c>
      <c r="C67" s="1829"/>
      <c r="D67" s="1836" t="s">
        <v>2186</v>
      </c>
      <c r="E67" s="1827" t="s">
        <v>2187</v>
      </c>
      <c r="F67" s="1854"/>
      <c r="G67" s="1855" t="s">
        <v>1603</v>
      </c>
      <c r="H67" s="1855"/>
      <c r="I67" s="1856"/>
      <c r="J67" s="1822">
        <f>IF(F67&lt;&gt;0,L67,IF(G67&lt;&gt;0,M67,IF(H67&lt;&gt;0,N67,IF(I67&lt;&gt;0,O67,""))))</f>
        <v>0.5</v>
      </c>
      <c r="K67" s="1869"/>
      <c r="L67" s="1824">
        <f t="shared" si="7"/>
        <v>1</v>
      </c>
      <c r="M67" s="1824">
        <f t="shared" si="7"/>
        <v>0.5</v>
      </c>
      <c r="N67" s="1824">
        <f t="shared" si="7"/>
        <v>0</v>
      </c>
      <c r="O67" s="1824">
        <f t="shared" si="7"/>
        <v>-0.5</v>
      </c>
      <c r="Q67" s="1834"/>
    </row>
    <row r="68" spans="2:17">
      <c r="B68" s="1828" t="s">
        <v>2141</v>
      </c>
      <c r="C68" s="1829"/>
      <c r="D68" s="1836"/>
      <c r="E68" s="1827"/>
      <c r="F68" s="1854"/>
      <c r="G68" s="1855"/>
      <c r="H68" s="1855"/>
      <c r="I68" s="1856"/>
      <c r="J68" s="1902"/>
      <c r="K68" s="1869"/>
      <c r="L68" s="1824"/>
      <c r="M68" s="1824"/>
      <c r="N68" s="1824"/>
      <c r="O68" s="1824"/>
      <c r="Q68" s="1834"/>
    </row>
    <row r="69" spans="2:17">
      <c r="B69" s="1828"/>
      <c r="C69" s="1853"/>
      <c r="D69" s="1836"/>
      <c r="E69" s="1827"/>
      <c r="F69" s="1854"/>
      <c r="G69" s="1855"/>
      <c r="H69" s="1855"/>
      <c r="I69" s="1856"/>
      <c r="J69" s="1902"/>
      <c r="K69" s="1869"/>
      <c r="L69" s="1824"/>
      <c r="M69" s="1824"/>
      <c r="N69" s="1824"/>
      <c r="O69" s="1824"/>
      <c r="Q69" s="1834"/>
    </row>
    <row r="70" spans="2:17">
      <c r="B70" s="1833" t="s">
        <v>642</v>
      </c>
      <c r="C70" s="1835">
        <f>J70</f>
        <v>3.75</v>
      </c>
      <c r="D70" s="1836"/>
      <c r="E70" s="1872"/>
      <c r="F70" s="1837"/>
      <c r="G70" s="1838"/>
      <c r="H70" s="1838"/>
      <c r="I70" s="1839"/>
      <c r="J70" s="1840">
        <f>SUM(J64:J67)/COUNTA(J64:J67)*10</f>
        <v>3.75</v>
      </c>
      <c r="K70" s="1903"/>
      <c r="L70" s="1824"/>
      <c r="M70" s="1824"/>
      <c r="N70" s="1824"/>
      <c r="O70" s="1824"/>
      <c r="Q70" s="1834"/>
    </row>
    <row r="71" spans="2:17">
      <c r="B71" s="1845"/>
      <c r="C71" s="1843"/>
      <c r="D71" s="1873"/>
      <c r="E71" s="1844"/>
      <c r="F71" s="1904"/>
      <c r="G71" s="1905"/>
      <c r="H71" s="1905"/>
      <c r="I71" s="1906"/>
      <c r="J71" s="1907"/>
      <c r="K71" s="1847"/>
      <c r="L71" s="1824"/>
      <c r="M71" s="1824"/>
      <c r="N71" s="1824"/>
      <c r="O71" s="1824"/>
    </row>
    <row r="72" spans="2:17">
      <c r="B72" s="1815" t="s">
        <v>2188</v>
      </c>
      <c r="C72" s="1908"/>
      <c r="D72" s="1909" t="s">
        <v>2189</v>
      </c>
      <c r="E72" s="1910" t="s">
        <v>2190</v>
      </c>
      <c r="F72" s="1854"/>
      <c r="G72" s="1855"/>
      <c r="H72" s="1855" t="s">
        <v>1603</v>
      </c>
      <c r="I72" s="1856"/>
      <c r="J72" s="1822">
        <f t="shared" ref="J72:J78" si="8">IF(F72&lt;&gt;0,L72,IF(G72&lt;&gt;0,M72,IF(H72&lt;&gt;0,N72,IF(I72&lt;&gt;0,O72,""))))</f>
        <v>0</v>
      </c>
      <c r="K72" s="1869"/>
      <c r="L72" s="1824">
        <f t="shared" ref="L72:O78" si="9">L$41</f>
        <v>1</v>
      </c>
      <c r="M72" s="1824">
        <f t="shared" si="9"/>
        <v>0.5</v>
      </c>
      <c r="N72" s="1824">
        <f t="shared" si="9"/>
        <v>0</v>
      </c>
      <c r="O72" s="1824">
        <f t="shared" si="9"/>
        <v>-0.5</v>
      </c>
      <c r="P72" s="1824"/>
    </row>
    <row r="73" spans="2:17">
      <c r="B73" s="1825" t="s">
        <v>2135</v>
      </c>
      <c r="C73" s="1853"/>
      <c r="D73" s="1836" t="s">
        <v>2191</v>
      </c>
      <c r="E73" s="1911" t="s">
        <v>2192</v>
      </c>
      <c r="F73" s="1854"/>
      <c r="G73" s="1855" t="s">
        <v>1603</v>
      </c>
      <c r="H73" s="1855"/>
      <c r="I73" s="1856"/>
      <c r="J73" s="1822">
        <f t="shared" si="8"/>
        <v>0.5</v>
      </c>
      <c r="K73" s="1869"/>
      <c r="L73" s="1824">
        <f t="shared" si="9"/>
        <v>1</v>
      </c>
      <c r="M73" s="1824">
        <f t="shared" si="9"/>
        <v>0.5</v>
      </c>
      <c r="N73" s="1824">
        <f t="shared" si="9"/>
        <v>0</v>
      </c>
      <c r="O73" s="1824">
        <f t="shared" si="9"/>
        <v>-0.5</v>
      </c>
      <c r="P73" s="1824"/>
    </row>
    <row r="74" spans="2:17">
      <c r="B74" s="1825" t="s">
        <v>655</v>
      </c>
      <c r="C74" s="1853"/>
      <c r="D74" s="1836" t="s">
        <v>2193</v>
      </c>
      <c r="E74" s="1868" t="s">
        <v>2194</v>
      </c>
      <c r="F74" s="1854" t="s">
        <v>1603</v>
      </c>
      <c r="G74" s="1855"/>
      <c r="H74" s="1855"/>
      <c r="I74" s="1856"/>
      <c r="J74" s="1822">
        <f t="shared" si="8"/>
        <v>1</v>
      </c>
      <c r="K74" s="1869"/>
      <c r="L74" s="1824">
        <f t="shared" si="9"/>
        <v>1</v>
      </c>
      <c r="M74" s="1824">
        <f t="shared" si="9"/>
        <v>0.5</v>
      </c>
      <c r="N74" s="1824">
        <f t="shared" si="9"/>
        <v>0</v>
      </c>
      <c r="O74" s="1824">
        <f t="shared" si="9"/>
        <v>-0.5</v>
      </c>
      <c r="P74" s="1824"/>
    </row>
    <row r="75" spans="2:17">
      <c r="B75" s="1825" t="s">
        <v>2139</v>
      </c>
      <c r="C75" s="1853"/>
      <c r="D75" s="1836" t="s">
        <v>2195</v>
      </c>
      <c r="E75" s="1911" t="s">
        <v>2196</v>
      </c>
      <c r="F75" s="1854" t="s">
        <v>1603</v>
      </c>
      <c r="G75" s="1855"/>
      <c r="H75" s="1855"/>
      <c r="I75" s="1856"/>
      <c r="J75" s="1822">
        <f t="shared" si="8"/>
        <v>1</v>
      </c>
      <c r="K75" s="1869"/>
      <c r="L75" s="1824">
        <f t="shared" si="9"/>
        <v>1</v>
      </c>
      <c r="M75" s="1824">
        <f t="shared" si="9"/>
        <v>0.5</v>
      </c>
      <c r="N75" s="1824">
        <f t="shared" si="9"/>
        <v>0</v>
      </c>
      <c r="O75" s="1824">
        <f t="shared" si="9"/>
        <v>-0.5</v>
      </c>
      <c r="P75" s="1824"/>
    </row>
    <row r="76" spans="2:17">
      <c r="B76" s="1828" t="s">
        <v>2141</v>
      </c>
      <c r="C76" s="1853"/>
      <c r="D76" s="1836" t="s">
        <v>2197</v>
      </c>
      <c r="E76" s="1911" t="s">
        <v>2196</v>
      </c>
      <c r="F76" s="1854" t="s">
        <v>1603</v>
      </c>
      <c r="G76" s="1855"/>
      <c r="H76" s="1855"/>
      <c r="I76" s="1856"/>
      <c r="J76" s="1822">
        <f t="shared" si="8"/>
        <v>1</v>
      </c>
      <c r="K76" s="1869"/>
      <c r="L76" s="1824">
        <f t="shared" si="9"/>
        <v>1</v>
      </c>
      <c r="M76" s="1824">
        <f t="shared" si="9"/>
        <v>0.5</v>
      </c>
      <c r="N76" s="1824">
        <f t="shared" si="9"/>
        <v>0</v>
      </c>
      <c r="O76" s="1824">
        <f t="shared" si="9"/>
        <v>-0.5</v>
      </c>
      <c r="P76" s="1824"/>
    </row>
    <row r="77" spans="2:17">
      <c r="B77" s="1828"/>
      <c r="C77" s="1829"/>
      <c r="D77" s="1836" t="s">
        <v>2198</v>
      </c>
      <c r="E77" s="1911" t="s">
        <v>2199</v>
      </c>
      <c r="F77" s="1854" t="s">
        <v>1603</v>
      </c>
      <c r="G77" s="1855"/>
      <c r="H77" s="1855"/>
      <c r="I77" s="1856"/>
      <c r="J77" s="1822">
        <f t="shared" si="8"/>
        <v>1</v>
      </c>
      <c r="K77" s="1869"/>
      <c r="L77" s="1824">
        <f t="shared" si="9"/>
        <v>1</v>
      </c>
      <c r="M77" s="1824">
        <f t="shared" si="9"/>
        <v>0.5</v>
      </c>
      <c r="N77" s="1824">
        <f t="shared" si="9"/>
        <v>0</v>
      </c>
      <c r="O77" s="1824">
        <f t="shared" si="9"/>
        <v>-0.5</v>
      </c>
      <c r="P77" s="1824"/>
    </row>
    <row r="78" spans="2:17">
      <c r="B78" s="1828"/>
      <c r="C78" s="1829"/>
      <c r="D78" s="1836"/>
      <c r="E78" s="1911"/>
      <c r="F78" s="1854"/>
      <c r="G78" s="1855"/>
      <c r="H78" s="1855"/>
      <c r="I78" s="1856"/>
      <c r="J78" s="1822" t="str">
        <f t="shared" si="8"/>
        <v/>
      </c>
      <c r="K78" s="1869"/>
      <c r="L78" s="1824">
        <f t="shared" si="9"/>
        <v>1</v>
      </c>
      <c r="M78" s="1824">
        <f t="shared" si="9"/>
        <v>0.5</v>
      </c>
      <c r="N78" s="1824">
        <f t="shared" si="9"/>
        <v>0</v>
      </c>
      <c r="O78" s="1824">
        <f t="shared" si="9"/>
        <v>-0.5</v>
      </c>
      <c r="P78" s="1824"/>
    </row>
    <row r="79" spans="2:17">
      <c r="B79" s="1833" t="s">
        <v>642</v>
      </c>
      <c r="C79" s="1835">
        <f>J79</f>
        <v>7.5</v>
      </c>
      <c r="D79" s="1836"/>
      <c r="E79" s="1872"/>
      <c r="F79" s="1837"/>
      <c r="G79" s="1838"/>
      <c r="H79" s="1838"/>
      <c r="I79" s="1839"/>
      <c r="J79" s="1840">
        <f>SUM(J72:J77)/COUNTA(J72:J77)*10</f>
        <v>7.5</v>
      </c>
      <c r="K79" s="1841"/>
      <c r="L79" s="1912"/>
      <c r="M79" s="1824"/>
      <c r="N79" s="1824"/>
      <c r="O79" s="1824"/>
    </row>
    <row r="80" spans="2:17">
      <c r="B80" s="1842"/>
      <c r="C80" s="1843"/>
      <c r="D80" s="1873"/>
      <c r="E80" s="1913"/>
      <c r="F80" s="1904"/>
      <c r="G80" s="1905"/>
      <c r="H80" s="1905"/>
      <c r="I80" s="1906"/>
      <c r="J80" s="1907"/>
      <c r="K80" s="1847"/>
      <c r="L80" s="1824"/>
      <c r="M80" s="1824"/>
      <c r="N80" s="1824"/>
      <c r="O80" s="1824"/>
    </row>
    <row r="81" spans="2:17">
      <c r="B81" s="1815" t="s">
        <v>2112</v>
      </c>
      <c r="C81" s="1908">
        <v>28</v>
      </c>
      <c r="D81" s="1914"/>
      <c r="E81" s="1910"/>
      <c r="F81" s="1854"/>
      <c r="G81" s="1855"/>
      <c r="H81" s="1855"/>
      <c r="I81" s="1856"/>
      <c r="J81" s="1822"/>
      <c r="K81" s="1915"/>
      <c r="L81" s="1824">
        <f t="shared" ref="L81:O95" si="10">L$41</f>
        <v>1</v>
      </c>
      <c r="M81" s="1824">
        <f t="shared" si="10"/>
        <v>0.5</v>
      </c>
      <c r="N81" s="1824">
        <f t="shared" si="10"/>
        <v>0</v>
      </c>
      <c r="O81" s="1824">
        <f t="shared" si="10"/>
        <v>-0.5</v>
      </c>
      <c r="P81" s="1824"/>
      <c r="Q81" s="1834"/>
    </row>
    <row r="82" spans="2:17" ht="25.5">
      <c r="B82" s="1825" t="s">
        <v>2135</v>
      </c>
      <c r="C82" s="1829">
        <f>C81/6</f>
        <v>4.666666666666667</v>
      </c>
      <c r="D82" s="1836" t="s">
        <v>2200</v>
      </c>
      <c r="E82" s="1848" t="s">
        <v>2201</v>
      </c>
      <c r="F82" s="1854"/>
      <c r="G82" s="1855" t="s">
        <v>1603</v>
      </c>
      <c r="H82" s="1855"/>
      <c r="I82" s="1856"/>
      <c r="J82" s="1822">
        <f>IF(F82&lt;&gt;0,L82,IF(G82&lt;&gt;0,M82,IF(H82&lt;&gt;0,N82,IF(I82&lt;&gt;0,O82,""))))</f>
        <v>0.5</v>
      </c>
      <c r="K82" s="1915"/>
      <c r="L82" s="1824">
        <f t="shared" si="10"/>
        <v>1</v>
      </c>
      <c r="M82" s="1824">
        <f t="shared" si="10"/>
        <v>0.5</v>
      </c>
      <c r="N82" s="1824">
        <f t="shared" si="10"/>
        <v>0</v>
      </c>
      <c r="O82" s="1824">
        <f t="shared" si="10"/>
        <v>-0.5</v>
      </c>
      <c r="P82" s="1824"/>
      <c r="Q82" s="1834"/>
    </row>
    <row r="83" spans="2:17">
      <c r="B83" s="1825" t="s">
        <v>655</v>
      </c>
      <c r="C83" s="1829">
        <f>C82/2</f>
        <v>2.3333333333333335</v>
      </c>
      <c r="D83" s="1836" t="s">
        <v>2202</v>
      </c>
      <c r="E83" s="1848" t="s">
        <v>2203</v>
      </c>
      <c r="F83" s="1854" t="s">
        <v>1603</v>
      </c>
      <c r="G83" s="1855"/>
      <c r="H83" s="1855"/>
      <c r="I83" s="1856"/>
      <c r="J83" s="1822">
        <f>IF(F83&lt;&gt;0,L83,IF(G83&lt;&gt;0,M83,IF(H83&lt;&gt;0,N83,IF(I83&lt;&gt;0,O83,""))))</f>
        <v>1</v>
      </c>
      <c r="K83" s="1915"/>
      <c r="L83" s="1824">
        <f t="shared" si="10"/>
        <v>1</v>
      </c>
      <c r="M83" s="1824">
        <f t="shared" si="10"/>
        <v>0.5</v>
      </c>
      <c r="N83" s="1824">
        <f t="shared" si="10"/>
        <v>0</v>
      </c>
      <c r="O83" s="1824">
        <f t="shared" si="10"/>
        <v>-0.5</v>
      </c>
      <c r="P83" s="1824"/>
      <c r="Q83" s="1834"/>
    </row>
    <row r="84" spans="2:17">
      <c r="B84" s="1825" t="s">
        <v>2139</v>
      </c>
      <c r="C84" s="1829">
        <v>0</v>
      </c>
      <c r="D84" s="1836" t="s">
        <v>2204</v>
      </c>
      <c r="E84" s="1827"/>
      <c r="F84" s="1854"/>
      <c r="G84" s="1855" t="s">
        <v>1603</v>
      </c>
      <c r="H84" s="1855"/>
      <c r="I84" s="1856"/>
      <c r="J84" s="1822">
        <f>IF(F84&lt;&gt;0,L84,IF(G84&lt;&gt;0,M84,IF(H84&lt;&gt;0,N84,IF(I84&lt;&gt;0,O84,""))))</f>
        <v>0.5</v>
      </c>
      <c r="K84" s="1915"/>
      <c r="L84" s="1824">
        <f t="shared" si="10"/>
        <v>1</v>
      </c>
      <c r="M84" s="1824">
        <f t="shared" si="10"/>
        <v>0.5</v>
      </c>
      <c r="N84" s="1824">
        <f t="shared" si="10"/>
        <v>0</v>
      </c>
      <c r="O84" s="1824">
        <f t="shared" si="10"/>
        <v>-0.5</v>
      </c>
      <c r="P84" s="1824"/>
      <c r="Q84" s="1834"/>
    </row>
    <row r="85" spans="2:17">
      <c r="B85" s="1828" t="s">
        <v>2141</v>
      </c>
      <c r="C85" s="1829">
        <f>C84-C83</f>
        <v>-2.3333333333333335</v>
      </c>
      <c r="D85" s="1836" t="s">
        <v>2205</v>
      </c>
      <c r="E85" s="1916" t="s">
        <v>2206</v>
      </c>
      <c r="F85" s="1854"/>
      <c r="G85" s="1855" t="s">
        <v>1603</v>
      </c>
      <c r="H85" s="1855"/>
      <c r="I85" s="1856"/>
      <c r="J85" s="1822">
        <f>IF(F85&lt;&gt;0,L85,IF(G85&lt;&gt;0,M85,IF(H85&lt;&gt;0,N85,IF(I85&lt;&gt;0,O85,""))))</f>
        <v>0.5</v>
      </c>
      <c r="K85" s="1915"/>
      <c r="L85" s="1824">
        <f t="shared" si="10"/>
        <v>1</v>
      </c>
      <c r="M85" s="1824">
        <f t="shared" si="10"/>
        <v>0.5</v>
      </c>
      <c r="N85" s="1824">
        <f t="shared" si="10"/>
        <v>0</v>
      </c>
      <c r="O85" s="1824">
        <f t="shared" si="10"/>
        <v>-0.5</v>
      </c>
      <c r="P85" s="1824"/>
      <c r="Q85" s="1834"/>
    </row>
    <row r="86" spans="2:17">
      <c r="B86" s="1825"/>
      <c r="C86" s="1816"/>
      <c r="D86" s="1836"/>
      <c r="E86" s="1917"/>
      <c r="F86" s="1854"/>
      <c r="G86" s="1855"/>
      <c r="H86" s="1855"/>
      <c r="I86" s="1856"/>
      <c r="J86" s="1822"/>
      <c r="K86" s="1915"/>
      <c r="L86" s="1824">
        <f t="shared" si="10"/>
        <v>1</v>
      </c>
      <c r="M86" s="1824">
        <f t="shared" si="10"/>
        <v>0.5</v>
      </c>
      <c r="N86" s="1824">
        <f t="shared" si="10"/>
        <v>0</v>
      </c>
      <c r="O86" s="1824">
        <f t="shared" si="10"/>
        <v>-0.5</v>
      </c>
      <c r="P86" s="1824"/>
      <c r="Q86" s="1834"/>
    </row>
    <row r="87" spans="2:17">
      <c r="B87" s="1825"/>
      <c r="C87" s="1816"/>
      <c r="D87" s="1836"/>
      <c r="E87" s="1917"/>
      <c r="F87" s="1918"/>
      <c r="G87" s="1919"/>
      <c r="H87" s="1919"/>
      <c r="I87" s="1920"/>
      <c r="J87" s="1822"/>
      <c r="K87" s="1915"/>
      <c r="L87" s="1824">
        <f t="shared" si="10"/>
        <v>1</v>
      </c>
      <c r="M87" s="1824">
        <f t="shared" si="10"/>
        <v>0.5</v>
      </c>
      <c r="N87" s="1824">
        <f t="shared" si="10"/>
        <v>0</v>
      </c>
      <c r="O87" s="1824">
        <f t="shared" si="10"/>
        <v>-0.5</v>
      </c>
      <c r="P87" s="1824"/>
      <c r="Q87" s="1834"/>
    </row>
    <row r="88" spans="2:17" ht="15" thickBot="1">
      <c r="B88" s="1921" t="s">
        <v>642</v>
      </c>
      <c r="C88" s="1922"/>
      <c r="D88" s="1923"/>
      <c r="E88" s="1924"/>
      <c r="F88" s="1925"/>
      <c r="G88" s="1926"/>
      <c r="H88" s="1926"/>
      <c r="I88" s="1927"/>
      <c r="J88" s="1928">
        <f>SUM(J81:J87)/COUNTA(J81:J87)*10</f>
        <v>6.25</v>
      </c>
      <c r="K88" s="1903"/>
      <c r="L88" s="1929"/>
    </row>
    <row r="89" spans="2:17">
      <c r="B89" s="1815" t="s">
        <v>2207</v>
      </c>
      <c r="C89" s="1908">
        <v>28</v>
      </c>
      <c r="D89" s="1836" t="s">
        <v>2208</v>
      </c>
      <c r="E89" s="1930" t="s">
        <v>2237</v>
      </c>
      <c r="F89" s="1854" t="s">
        <v>1603</v>
      </c>
      <c r="G89" s="1855"/>
      <c r="H89" s="1855"/>
      <c r="I89" s="1856"/>
      <c r="J89" s="1822">
        <f t="shared" ref="J89:J95" si="11">IF(F89&lt;&gt;0,L89,IF(G89&lt;&gt;0,M89,IF(H89&lt;&gt;0,N89,IF(I89&lt;&gt;0,O89,""))))</f>
        <v>1</v>
      </c>
      <c r="K89" s="1915"/>
      <c r="L89" s="1824">
        <f t="shared" si="10"/>
        <v>1</v>
      </c>
      <c r="M89" s="1824">
        <f t="shared" si="10"/>
        <v>0.5</v>
      </c>
      <c r="N89" s="1824">
        <f t="shared" si="10"/>
        <v>0</v>
      </c>
      <c r="O89" s="1824">
        <f t="shared" si="10"/>
        <v>-0.5</v>
      </c>
    </row>
    <row r="90" spans="2:17">
      <c r="B90" s="1825" t="s">
        <v>2135</v>
      </c>
      <c r="C90" s="1829">
        <f>C89/6</f>
        <v>4.666666666666667</v>
      </c>
      <c r="D90" s="1931" t="s">
        <v>2209</v>
      </c>
      <c r="E90" s="1932" t="s">
        <v>2238</v>
      </c>
      <c r="F90" s="1854" t="s">
        <v>1603</v>
      </c>
      <c r="G90" s="1855"/>
      <c r="H90" s="1855"/>
      <c r="I90" s="1856"/>
      <c r="J90" s="1822">
        <f t="shared" si="11"/>
        <v>1</v>
      </c>
      <c r="K90" s="1915"/>
      <c r="L90" s="1824">
        <f t="shared" si="10"/>
        <v>1</v>
      </c>
      <c r="M90" s="1824">
        <f t="shared" si="10"/>
        <v>0.5</v>
      </c>
      <c r="N90" s="1824">
        <f t="shared" si="10"/>
        <v>0</v>
      </c>
      <c r="O90" s="1824">
        <f t="shared" si="10"/>
        <v>-0.5</v>
      </c>
    </row>
    <row r="91" spans="2:17">
      <c r="B91" s="1825" t="s">
        <v>655</v>
      </c>
      <c r="C91" s="1829">
        <f>C90/2</f>
        <v>2.3333333333333335</v>
      </c>
      <c r="D91" s="1836" t="s">
        <v>2210</v>
      </c>
      <c r="E91" s="1848" t="s">
        <v>2211</v>
      </c>
      <c r="F91" s="1854" t="s">
        <v>1603</v>
      </c>
      <c r="G91" s="1855"/>
      <c r="H91" s="1855"/>
      <c r="I91" s="1856"/>
      <c r="J91" s="1822">
        <f t="shared" si="11"/>
        <v>1</v>
      </c>
      <c r="K91" s="1915"/>
      <c r="L91" s="1824">
        <f t="shared" si="10"/>
        <v>1</v>
      </c>
      <c r="M91" s="1824">
        <f t="shared" si="10"/>
        <v>0.5</v>
      </c>
      <c r="N91" s="1824">
        <f t="shared" si="10"/>
        <v>0</v>
      </c>
      <c r="O91" s="1824">
        <f t="shared" si="10"/>
        <v>-0.5</v>
      </c>
    </row>
    <row r="92" spans="2:17">
      <c r="B92" s="1825" t="s">
        <v>2139</v>
      </c>
      <c r="C92" s="1829">
        <v>0</v>
      </c>
      <c r="D92" s="1836" t="s">
        <v>2212</v>
      </c>
      <c r="E92" s="1827" t="s">
        <v>700</v>
      </c>
      <c r="F92" s="1854"/>
      <c r="G92" s="1855"/>
      <c r="H92" s="1855" t="s">
        <v>1603</v>
      </c>
      <c r="I92" s="1856"/>
      <c r="J92" s="1822">
        <f t="shared" si="11"/>
        <v>0</v>
      </c>
      <c r="K92" s="1915"/>
      <c r="L92" s="1824">
        <f t="shared" si="10"/>
        <v>1</v>
      </c>
      <c r="M92" s="1824">
        <f t="shared" si="10"/>
        <v>0.5</v>
      </c>
      <c r="N92" s="1824">
        <f t="shared" si="10"/>
        <v>0</v>
      </c>
      <c r="O92" s="1824">
        <f t="shared" si="10"/>
        <v>-0.5</v>
      </c>
    </row>
    <row r="93" spans="2:17">
      <c r="B93" s="1828" t="s">
        <v>2141</v>
      </c>
      <c r="C93" s="1829">
        <f>C92-C91</f>
        <v>-2.3333333333333335</v>
      </c>
      <c r="D93" s="1933" t="s">
        <v>2213</v>
      </c>
      <c r="E93" s="1827" t="s">
        <v>2214</v>
      </c>
      <c r="F93" s="1854" t="s">
        <v>1603</v>
      </c>
      <c r="G93" s="1855"/>
      <c r="H93" s="1855"/>
      <c r="I93" s="1856"/>
      <c r="J93" s="1822">
        <f t="shared" si="11"/>
        <v>1</v>
      </c>
      <c r="K93" s="1915"/>
      <c r="L93" s="1824">
        <f t="shared" si="10"/>
        <v>1</v>
      </c>
      <c r="M93" s="1824">
        <f t="shared" si="10"/>
        <v>0.5</v>
      </c>
      <c r="N93" s="1824">
        <f t="shared" si="10"/>
        <v>0</v>
      </c>
      <c r="O93" s="1824">
        <f t="shared" si="10"/>
        <v>-0.5</v>
      </c>
    </row>
    <row r="94" spans="2:17">
      <c r="B94" s="1825"/>
      <c r="C94" s="1816"/>
      <c r="D94" s="1931" t="s">
        <v>2215</v>
      </c>
      <c r="E94" s="1934" t="s">
        <v>2216</v>
      </c>
      <c r="F94" s="1854"/>
      <c r="G94" s="1855" t="s">
        <v>1603</v>
      </c>
      <c r="H94" s="1855"/>
      <c r="I94" s="1856"/>
      <c r="J94" s="1822">
        <f t="shared" si="11"/>
        <v>0.5</v>
      </c>
      <c r="K94" s="1915"/>
      <c r="L94" s="1824">
        <f t="shared" si="10"/>
        <v>1</v>
      </c>
      <c r="M94" s="1824">
        <f t="shared" si="10"/>
        <v>0.5</v>
      </c>
      <c r="N94" s="1824">
        <f t="shared" si="10"/>
        <v>0</v>
      </c>
      <c r="O94" s="1824">
        <f t="shared" si="10"/>
        <v>-0.5</v>
      </c>
    </row>
    <row r="95" spans="2:17">
      <c r="B95" s="1825"/>
      <c r="C95" s="1816"/>
      <c r="D95" s="1836" t="s">
        <v>2217</v>
      </c>
      <c r="E95" s="1917">
        <v>0.94</v>
      </c>
      <c r="F95" s="1918"/>
      <c r="G95" s="1919" t="s">
        <v>1603</v>
      </c>
      <c r="H95" s="1919"/>
      <c r="I95" s="1920"/>
      <c r="J95" s="1822">
        <f t="shared" si="11"/>
        <v>0.5</v>
      </c>
      <c r="K95" s="1915"/>
      <c r="L95" s="1824">
        <f t="shared" si="10"/>
        <v>1</v>
      </c>
      <c r="M95" s="1824">
        <f t="shared" si="10"/>
        <v>0.5</v>
      </c>
      <c r="N95" s="1824">
        <f t="shared" si="10"/>
        <v>0</v>
      </c>
      <c r="O95" s="1824">
        <f t="shared" si="10"/>
        <v>-0.5</v>
      </c>
    </row>
    <row r="96" spans="2:17" ht="15" thickBot="1">
      <c r="B96" s="1921" t="s">
        <v>642</v>
      </c>
      <c r="C96" s="1922"/>
      <c r="D96" s="1923"/>
      <c r="E96" s="1924"/>
      <c r="F96" s="1925"/>
      <c r="G96" s="1926"/>
      <c r="H96" s="1926"/>
      <c r="I96" s="1927"/>
      <c r="J96" s="1928">
        <f>SUM(J89:J95)/COUNTA(J89:J95)*10</f>
        <v>7.1428571428571432</v>
      </c>
      <c r="K96" s="1903"/>
      <c r="L96" s="1929"/>
    </row>
  </sheetData>
  <mergeCells count="4">
    <mergeCell ref="L14:N14"/>
    <mergeCell ref="Q17:W17"/>
    <mergeCell ref="Q18:W18"/>
    <mergeCell ref="Q20:W20"/>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N110"/>
  <sheetViews>
    <sheetView topLeftCell="A4" zoomScale="115" zoomScaleNormal="115" workbookViewId="0">
      <selection activeCell="L29" sqref="L29"/>
    </sheetView>
  </sheetViews>
  <sheetFormatPr defaultColWidth="8.85546875" defaultRowHeight="14.1" customHeight="1"/>
  <cols>
    <col min="1" max="1" width="29.42578125" style="96" bestFit="1" customWidth="1"/>
    <col min="2" max="2" width="20.7109375" style="96" bestFit="1" customWidth="1"/>
    <col min="3" max="5" width="8.85546875" style="420"/>
    <col min="6" max="8" width="8.85546875" style="1777"/>
    <col min="9" max="16384" width="8.85546875" style="96"/>
  </cols>
  <sheetData>
    <row r="1" spans="1:14" s="14" customFormat="1" ht="14.1" customHeight="1">
      <c r="B1" s="14" t="s">
        <v>1949</v>
      </c>
      <c r="C1" s="1775"/>
      <c r="D1" s="1775"/>
      <c r="E1" s="1780"/>
      <c r="F1" s="1776"/>
      <c r="G1" s="1776"/>
      <c r="H1" s="1776"/>
    </row>
    <row r="2" spans="1:14" ht="14.1" customHeight="1">
      <c r="A2" s="96" t="s">
        <v>1950</v>
      </c>
      <c r="B2" s="96" t="s">
        <v>488</v>
      </c>
      <c r="C2" s="1777" t="s">
        <v>653</v>
      </c>
      <c r="E2" s="1781"/>
    </row>
    <row r="3" spans="1:14" ht="14.1" customHeight="1">
      <c r="A3" s="96" t="s">
        <v>1951</v>
      </c>
      <c r="B3" s="96" t="s">
        <v>1951</v>
      </c>
      <c r="C3" s="1777" t="s">
        <v>2414</v>
      </c>
      <c r="E3" s="1781"/>
    </row>
    <row r="4" spans="1:14" ht="14.1" customHeight="1">
      <c r="A4" s="96" t="s">
        <v>1952</v>
      </c>
      <c r="B4" s="96" t="s">
        <v>1952</v>
      </c>
      <c r="C4" s="1777" t="s">
        <v>2519</v>
      </c>
      <c r="E4" s="1781" t="s">
        <v>2415</v>
      </c>
    </row>
    <row r="5" spans="1:14" ht="14.1" customHeight="1">
      <c r="A5" s="96" t="s">
        <v>1953</v>
      </c>
      <c r="B5" s="96" t="s">
        <v>1954</v>
      </c>
      <c r="C5" s="1777">
        <v>20900</v>
      </c>
      <c r="E5" s="1781"/>
    </row>
    <row r="6" spans="1:14" ht="14.1" customHeight="1">
      <c r="A6" s="96" t="s">
        <v>1955</v>
      </c>
      <c r="B6" s="96" t="s">
        <v>1956</v>
      </c>
      <c r="C6" s="1777">
        <v>14000</v>
      </c>
      <c r="E6" s="1781"/>
    </row>
    <row r="7" spans="1:14" ht="14.1" customHeight="1">
      <c r="A7" s="96" t="s">
        <v>1957</v>
      </c>
      <c r="B7" s="96" t="s">
        <v>1958</v>
      </c>
      <c r="C7" s="1777">
        <v>26000</v>
      </c>
      <c r="E7" s="1781"/>
    </row>
    <row r="8" spans="1:14" ht="14.1" customHeight="1">
      <c r="A8" s="96" t="s">
        <v>1959</v>
      </c>
      <c r="B8" s="96" t="s">
        <v>1960</v>
      </c>
      <c r="C8" s="1777" t="s">
        <v>2231</v>
      </c>
      <c r="E8" s="1781" t="s">
        <v>2230</v>
      </c>
    </row>
    <row r="10" spans="1:14" s="1778" customFormat="1" ht="14.1" customHeight="1">
      <c r="A10" s="1778" t="s">
        <v>1645</v>
      </c>
      <c r="B10" s="1778" t="s">
        <v>1949</v>
      </c>
      <c r="C10" s="1778" t="s">
        <v>2383</v>
      </c>
      <c r="D10" s="1778" t="s">
        <v>2384</v>
      </c>
      <c r="E10" s="1778" t="s">
        <v>2385</v>
      </c>
      <c r="F10" s="1778" t="s">
        <v>2386</v>
      </c>
      <c r="G10" s="1778" t="s">
        <v>2395</v>
      </c>
      <c r="H10" s="1778" t="s">
        <v>2407</v>
      </c>
      <c r="I10" s="1778" t="s">
        <v>2416</v>
      </c>
      <c r="J10" s="1778" t="s">
        <v>2529</v>
      </c>
      <c r="K10" s="1778" t="s">
        <v>2551</v>
      </c>
      <c r="L10" s="1778" t="s">
        <v>2533</v>
      </c>
      <c r="M10" s="1778" t="s">
        <v>2555</v>
      </c>
      <c r="N10" s="1778" t="s">
        <v>2564</v>
      </c>
    </row>
    <row r="11" spans="1:14" ht="14.1" customHeight="1">
      <c r="A11" s="96" t="s">
        <v>1961</v>
      </c>
      <c r="B11" s="96" t="s">
        <v>1962</v>
      </c>
      <c r="C11" s="420">
        <v>4627.0265841319997</v>
      </c>
      <c r="D11" s="420">
        <v>8840.1861964599993</v>
      </c>
      <c r="E11" s="420">
        <v>11815.774324512</v>
      </c>
      <c r="F11" s="1781">
        <v>17066.173125309</v>
      </c>
      <c r="G11" s="1781">
        <v>19723.041845371001</v>
      </c>
      <c r="H11" s="1781">
        <v>25255.041006267998</v>
      </c>
      <c r="I11" s="1781">
        <v>27370.930591236</v>
      </c>
      <c r="J11" s="1781">
        <v>26229.757136503998</v>
      </c>
      <c r="K11" s="1781">
        <v>26087.346135604999</v>
      </c>
      <c r="L11" s="1777">
        <f>SUM(L12:L16)</f>
        <v>29427.014626420532</v>
      </c>
      <c r="M11" s="1777">
        <f t="shared" ref="M11:N11" si="0">SUM(M12:M16)</f>
        <v>39726.618143398475</v>
      </c>
      <c r="N11" s="1777">
        <f t="shared" si="0"/>
        <v>44381.112521918752</v>
      </c>
    </row>
    <row r="12" spans="1:14" ht="14.1" customHeight="1">
      <c r="A12" s="96" t="s">
        <v>1963</v>
      </c>
      <c r="B12" s="96" t="s">
        <v>1964</v>
      </c>
      <c r="C12" s="420">
        <v>1818.2168897009999</v>
      </c>
      <c r="D12" s="420">
        <v>1687.4373084639999</v>
      </c>
      <c r="E12" s="420">
        <v>1158.571308567</v>
      </c>
      <c r="F12" s="1781">
        <v>793.29259972600005</v>
      </c>
      <c r="G12" s="1781">
        <v>1779.630924503</v>
      </c>
      <c r="H12" s="1781">
        <v>2737.6767956170002</v>
      </c>
      <c r="I12" s="1781">
        <v>918.97882627499996</v>
      </c>
      <c r="J12" s="1781">
        <v>276.06857093100001</v>
      </c>
      <c r="K12" s="1781">
        <v>1249.0792792249999</v>
      </c>
      <c r="L12" s="1777">
        <f>BS!S7</f>
        <v>-1145.5419789922494</v>
      </c>
      <c r="M12" s="1777">
        <f>BS!T7</f>
        <v>19428.863443213089</v>
      </c>
      <c r="N12" s="1777">
        <f>BS!U7</f>
        <v>2107.3008969772163</v>
      </c>
    </row>
    <row r="13" spans="1:14" ht="14.1" customHeight="1">
      <c r="A13" s="96" t="s">
        <v>1965</v>
      </c>
      <c r="B13" s="96" t="s">
        <v>1966</v>
      </c>
      <c r="C13" s="420">
        <v>0</v>
      </c>
      <c r="D13" s="420">
        <v>226.02330908499999</v>
      </c>
      <c r="E13" s="420">
        <v>382.49899478499998</v>
      </c>
      <c r="F13" s="1781">
        <v>305.73941587000002</v>
      </c>
      <c r="G13" s="1781">
        <v>205.68409350600001</v>
      </c>
      <c r="H13" s="1781">
        <v>285.92828621199999</v>
      </c>
      <c r="I13" s="1781">
        <v>181.16595038200001</v>
      </c>
      <c r="J13" s="1781">
        <v>97.174701709999994</v>
      </c>
      <c r="K13" s="1781">
        <v>77.870684561000004</v>
      </c>
      <c r="L13" s="1777">
        <f>BS!S8</f>
        <v>77.870684561000004</v>
      </c>
      <c r="M13" s="1777">
        <f>BS!T8</f>
        <v>77.870684561000004</v>
      </c>
      <c r="N13" s="1777">
        <f>BS!U8</f>
        <v>77.870684561000004</v>
      </c>
    </row>
    <row r="14" spans="1:14" ht="14.1" customHeight="1">
      <c r="A14" s="96" t="s">
        <v>1967</v>
      </c>
      <c r="B14" s="96" t="s">
        <v>1968</v>
      </c>
      <c r="C14" s="420">
        <v>1865.0196754420001</v>
      </c>
      <c r="D14" s="420">
        <v>3440.5722452169998</v>
      </c>
      <c r="E14" s="420">
        <v>5566.7738336230004</v>
      </c>
      <c r="F14" s="1781">
        <v>9023.3344316319999</v>
      </c>
      <c r="G14" s="1781">
        <v>7213.2882027839996</v>
      </c>
      <c r="H14" s="1781">
        <v>10795.975183721001</v>
      </c>
      <c r="I14" s="1781">
        <v>11947.519292867</v>
      </c>
      <c r="J14" s="1781">
        <v>11422.613052922001</v>
      </c>
      <c r="K14" s="1781">
        <v>11005.671660358001</v>
      </c>
      <c r="L14" s="1777">
        <f>BS!S9</f>
        <v>7793.5080346301365</v>
      </c>
      <c r="M14" s="1777">
        <f>BS!T9</f>
        <v>9962.5208644821923</v>
      </c>
      <c r="N14" s="1777">
        <f>BS!U9</f>
        <v>20950.54932686027</v>
      </c>
    </row>
    <row r="15" spans="1:14" ht="14.1" customHeight="1">
      <c r="A15" s="96" t="s">
        <v>1969</v>
      </c>
      <c r="B15" s="96" t="s">
        <v>1492</v>
      </c>
      <c r="C15" s="420">
        <v>915.502618676</v>
      </c>
      <c r="D15" s="420">
        <v>3400.5832179409999</v>
      </c>
      <c r="E15" s="420">
        <v>4605.1510868169999</v>
      </c>
      <c r="F15" s="1781">
        <v>6791.4641813839999</v>
      </c>
      <c r="G15" s="1781">
        <v>10251.68135067</v>
      </c>
      <c r="H15" s="1781">
        <v>11238.340946889</v>
      </c>
      <c r="I15" s="1781">
        <v>14030.955749291999</v>
      </c>
      <c r="J15" s="1781">
        <v>14139.058524280999</v>
      </c>
      <c r="K15" s="1781">
        <v>13440.166071887999</v>
      </c>
      <c r="L15" s="1777">
        <f>BS!S10</f>
        <v>22406.335599561644</v>
      </c>
      <c r="M15" s="1777">
        <f>BS!T10</f>
        <v>9962.5208644821923</v>
      </c>
      <c r="N15" s="1777">
        <f>BS!U10</f>
        <v>20950.54932686027</v>
      </c>
    </row>
    <row r="16" spans="1:14" ht="14.1" customHeight="1">
      <c r="A16" s="96" t="s">
        <v>1970</v>
      </c>
      <c r="B16" s="96" t="s">
        <v>1971</v>
      </c>
      <c r="C16" s="420">
        <v>28.287400312999999</v>
      </c>
      <c r="D16" s="420">
        <v>85.570115752999996</v>
      </c>
      <c r="E16" s="420">
        <v>102.77910072</v>
      </c>
      <c r="F16" s="1781">
        <v>152.342496697</v>
      </c>
      <c r="G16" s="1781">
        <v>272.757273908</v>
      </c>
      <c r="H16" s="1781">
        <v>197.119793829</v>
      </c>
      <c r="I16" s="1781">
        <v>292.31077241999998</v>
      </c>
      <c r="J16" s="1781">
        <v>294.84228666000001</v>
      </c>
      <c r="K16" s="1781">
        <v>314.55843957299999</v>
      </c>
      <c r="L16" s="1777">
        <f>BS!S11</f>
        <v>294.84228666000001</v>
      </c>
      <c r="M16" s="1777">
        <f>BS!T11</f>
        <v>294.84228666000001</v>
      </c>
      <c r="N16" s="1777">
        <f>BS!U11</f>
        <v>294.84228666000001</v>
      </c>
    </row>
    <row r="17" spans="1:14" ht="14.1" customHeight="1">
      <c r="A17" s="96" t="s">
        <v>1972</v>
      </c>
      <c r="B17" s="96" t="s">
        <v>1973</v>
      </c>
      <c r="C17" s="420">
        <v>935.76459012400005</v>
      </c>
      <c r="D17" s="420">
        <v>1424.2163696519999</v>
      </c>
      <c r="E17" s="420">
        <v>1912.9404160290001</v>
      </c>
      <c r="F17" s="1781">
        <v>2814.3440895039998</v>
      </c>
      <c r="G17" s="1781">
        <v>3588.3911998439999</v>
      </c>
      <c r="H17" s="1781">
        <v>2999.020049147</v>
      </c>
      <c r="I17" s="1781">
        <v>2949.7358341730001</v>
      </c>
      <c r="J17" s="1781">
        <v>2556.6837178129999</v>
      </c>
      <c r="K17" s="1781">
        <v>3049.5671155270002</v>
      </c>
      <c r="L17" s="1777">
        <f>SUM(L18:L24)</f>
        <v>2947.3115055460003</v>
      </c>
      <c r="M17" s="1777">
        <f t="shared" ref="M17:N17" si="1">SUM(M18:M24)</f>
        <v>2894.9515055460001</v>
      </c>
      <c r="N17" s="1777">
        <f t="shared" si="1"/>
        <v>2679.8229906670003</v>
      </c>
    </row>
    <row r="18" spans="1:14" ht="14.1" customHeight="1">
      <c r="A18" s="96" t="s">
        <v>1974</v>
      </c>
      <c r="B18" s="96" t="s">
        <v>1975</v>
      </c>
      <c r="C18" s="420">
        <v>20.886919549999998</v>
      </c>
      <c r="D18" s="420">
        <v>42.143941339000001</v>
      </c>
      <c r="E18" s="420">
        <v>53.539168844000002</v>
      </c>
      <c r="F18" s="1781">
        <v>330.16375069499998</v>
      </c>
      <c r="G18" s="1781">
        <v>325.19953644200001</v>
      </c>
      <c r="H18" s="1781">
        <v>357.91752014299999</v>
      </c>
      <c r="I18" s="1781">
        <v>328.39567550100003</v>
      </c>
      <c r="J18" s="1781">
        <v>310.29978188299998</v>
      </c>
      <c r="K18" s="1781">
        <v>298.73046843899999</v>
      </c>
      <c r="L18" s="1777">
        <f>BS!S14</f>
        <v>210.29978188299998</v>
      </c>
      <c r="M18" s="1777">
        <f>BS!T14</f>
        <v>160.29978188299998</v>
      </c>
      <c r="N18" s="1777">
        <f>BS!U14</f>
        <v>0</v>
      </c>
    </row>
    <row r="19" spans="1:14" ht="14.1" customHeight="1">
      <c r="A19" s="96" t="s">
        <v>1976</v>
      </c>
      <c r="B19" s="96" t="s">
        <v>1977</v>
      </c>
      <c r="C19" s="420">
        <v>17.970400482999999</v>
      </c>
      <c r="D19" s="420">
        <v>21.801035874</v>
      </c>
      <c r="E19" s="420">
        <v>22.244066965999998</v>
      </c>
      <c r="F19" s="1781">
        <v>31.477576192000001</v>
      </c>
      <c r="G19" s="1781">
        <v>29.894292731</v>
      </c>
      <c r="H19" s="1781">
        <v>68.675237828999997</v>
      </c>
      <c r="I19" s="1781">
        <v>65.474672076000004</v>
      </c>
      <c r="J19" s="1781">
        <v>61.908732995999998</v>
      </c>
      <c r="K19" s="1781">
        <v>71.013656420999993</v>
      </c>
      <c r="L19" s="1777">
        <f>BS!S17</f>
        <v>57.188732995999999</v>
      </c>
      <c r="M19" s="1777">
        <f>BS!T17</f>
        <v>54.828732995999999</v>
      </c>
      <c r="N19" s="1777">
        <f>BS!U17</f>
        <v>0</v>
      </c>
    </row>
    <row r="20" spans="1:14" ht="14.1" customHeight="1">
      <c r="A20" s="96" t="s">
        <v>1978</v>
      </c>
      <c r="B20" s="96" t="s">
        <v>1979</v>
      </c>
      <c r="C20" s="420">
        <v>37.838469359000001</v>
      </c>
      <c r="D20" s="420">
        <v>28.645758818000001</v>
      </c>
      <c r="E20" s="420">
        <v>47.027879233</v>
      </c>
      <c r="F20" s="1781">
        <v>92.441808628000004</v>
      </c>
      <c r="G20" s="1781">
        <v>127.683159471</v>
      </c>
      <c r="H20" s="1781">
        <v>115.007229092</v>
      </c>
      <c r="I20" s="1781">
        <v>132.234528324</v>
      </c>
      <c r="J20" s="1781">
        <v>110.314929617</v>
      </c>
      <c r="K20" s="1781">
        <v>152.632721113</v>
      </c>
      <c r="L20" s="1777">
        <f>BS!S21</f>
        <v>152.632721113</v>
      </c>
      <c r="M20" s="1777">
        <f>BS!T21</f>
        <v>152.632721113</v>
      </c>
      <c r="N20" s="1777">
        <f>BS!U21</f>
        <v>152.632721113</v>
      </c>
    </row>
    <row r="21" spans="1:14" ht="14.1" customHeight="1">
      <c r="A21" s="96" t="s">
        <v>1980</v>
      </c>
      <c r="B21" s="96" t="s">
        <v>662</v>
      </c>
      <c r="C21" s="420">
        <v>151.85115478200001</v>
      </c>
      <c r="D21" s="420">
        <v>90.232206067000007</v>
      </c>
      <c r="E21" s="420">
        <v>199.512917437</v>
      </c>
      <c r="F21" s="1781">
        <v>75.114948487999996</v>
      </c>
      <c r="G21" s="1781">
        <v>645.33681027900002</v>
      </c>
      <c r="H21" s="1781">
        <v>662.69388891799997</v>
      </c>
      <c r="I21" s="1781">
        <v>711.40919833800001</v>
      </c>
      <c r="J21" s="1781">
        <v>722.51478099899998</v>
      </c>
      <c r="K21" s="1781">
        <v>727.36671128900002</v>
      </c>
      <c r="L21" s="1777">
        <f>BS!S20</f>
        <v>727.36671128900002</v>
      </c>
      <c r="M21" s="1777">
        <f>BS!T20</f>
        <v>727.36671128900002</v>
      </c>
      <c r="N21" s="1777">
        <f>BS!U20</f>
        <v>727.36671128900002</v>
      </c>
    </row>
    <row r="22" spans="1:14" ht="14.1" customHeight="1">
      <c r="A22" s="96" t="s">
        <v>1981</v>
      </c>
      <c r="B22" s="96" t="s">
        <v>1982</v>
      </c>
      <c r="C22" s="420">
        <v>29.417932164</v>
      </c>
      <c r="D22" s="420">
        <v>103.603253013</v>
      </c>
      <c r="E22" s="420">
        <v>100.477001457</v>
      </c>
      <c r="F22" s="1781">
        <v>88.255203152999997</v>
      </c>
      <c r="G22" s="1781">
        <v>236.83682150199999</v>
      </c>
      <c r="H22" s="1781">
        <v>209.766284434</v>
      </c>
      <c r="I22" s="1781">
        <v>170.870763041</v>
      </c>
      <c r="J22" s="1781">
        <v>144.54343708100001</v>
      </c>
      <c r="K22" s="1781">
        <v>118.216111121</v>
      </c>
      <c r="L22" s="1777">
        <f>BS!S23</f>
        <v>118.216111121</v>
      </c>
      <c r="M22" s="1777">
        <f>BS!T23</f>
        <v>118.216111121</v>
      </c>
      <c r="N22" s="1777">
        <f>BS!U23</f>
        <v>118.216111121</v>
      </c>
    </row>
    <row r="23" spans="1:14" ht="14.1" customHeight="1">
      <c r="A23" s="96" t="s">
        <v>1983</v>
      </c>
      <c r="B23" s="96" t="s">
        <v>1984</v>
      </c>
      <c r="C23" s="420">
        <v>580.05303769800003</v>
      </c>
      <c r="D23" s="420">
        <v>962.08321136699999</v>
      </c>
      <c r="E23" s="420">
        <v>1176.366004321</v>
      </c>
      <c r="F23" s="1781">
        <v>1184.8182532420001</v>
      </c>
      <c r="G23" s="1781">
        <v>106.5</v>
      </c>
      <c r="H23" s="1781">
        <v>353.36068939500001</v>
      </c>
      <c r="I23" s="1781">
        <v>506.49387001000002</v>
      </c>
      <c r="J23" s="1781">
        <v>394.22636020200002</v>
      </c>
      <c r="K23" s="1781">
        <v>442.90235756999999</v>
      </c>
      <c r="L23" s="1777">
        <f>BS!S22</f>
        <v>442.90235756999999</v>
      </c>
      <c r="M23" s="1777">
        <f>BS!T22</f>
        <v>442.90235756999999</v>
      </c>
      <c r="N23" s="1777">
        <f>BS!U22</f>
        <v>442.90235756999999</v>
      </c>
    </row>
    <row r="24" spans="1:14" ht="14.1" customHeight="1">
      <c r="A24" s="96" t="s">
        <v>1985</v>
      </c>
      <c r="B24" s="96" t="s">
        <v>1986</v>
      </c>
      <c r="C24" s="420">
        <v>97.746676088000001</v>
      </c>
      <c r="D24" s="420">
        <v>175.70696317400001</v>
      </c>
      <c r="E24" s="420">
        <v>313.77337777100001</v>
      </c>
      <c r="F24" s="1781">
        <v>1012.072549106</v>
      </c>
      <c r="G24" s="1781">
        <v>2116.9405794190002</v>
      </c>
      <c r="H24" s="1781">
        <v>1231.5991993360001</v>
      </c>
      <c r="I24" s="1781">
        <v>1034.8571268830001</v>
      </c>
      <c r="J24" s="1781">
        <v>812.87569503500004</v>
      </c>
      <c r="K24" s="1781">
        <v>1238.7050895740001</v>
      </c>
      <c r="L24" s="1777">
        <f>BS!S24</f>
        <v>1238.7050895740001</v>
      </c>
      <c r="M24" s="1777">
        <f>BS!T24</f>
        <v>1238.7050895740001</v>
      </c>
      <c r="N24" s="1777">
        <f>BS!U24</f>
        <v>1238.7050895740001</v>
      </c>
    </row>
    <row r="25" spans="1:14" ht="14.1" customHeight="1">
      <c r="A25" s="96" t="s">
        <v>1987</v>
      </c>
      <c r="B25" s="96" t="s">
        <v>1988</v>
      </c>
      <c r="C25" s="420">
        <v>5562.791174256</v>
      </c>
      <c r="D25" s="420">
        <v>10264.402566111999</v>
      </c>
      <c r="E25" s="420">
        <v>13728.714740541</v>
      </c>
      <c r="F25" s="1781">
        <v>19880.517214813</v>
      </c>
      <c r="G25" s="1781">
        <v>23311.433045214999</v>
      </c>
      <c r="H25" s="1781">
        <v>28254.061055415001</v>
      </c>
      <c r="I25" s="1781">
        <v>30320.666425408999</v>
      </c>
      <c r="J25" s="1781">
        <v>28786.440854316999</v>
      </c>
      <c r="K25" s="1781">
        <v>29136.913251131999</v>
      </c>
      <c r="L25" s="1777">
        <f>L17+L11</f>
        <v>32374.326131966533</v>
      </c>
      <c r="M25" s="1777">
        <f t="shared" ref="M25:N25" si="2">M17+M11</f>
        <v>42621.569648944474</v>
      </c>
      <c r="N25" s="1777">
        <f t="shared" si="2"/>
        <v>47060.935512585755</v>
      </c>
    </row>
    <row r="26" spans="1:14" ht="14.1" customHeight="1">
      <c r="A26" s="96" t="s">
        <v>1989</v>
      </c>
      <c r="B26" s="96" t="s">
        <v>1990</v>
      </c>
      <c r="C26" s="420">
        <v>2025.4361011620001</v>
      </c>
      <c r="D26" s="420">
        <v>5610.5573885470003</v>
      </c>
      <c r="E26" s="420">
        <v>7529.6206545579998</v>
      </c>
      <c r="F26" s="1781">
        <v>10652.695846729001</v>
      </c>
      <c r="G26" s="1781">
        <v>14227.392345541</v>
      </c>
      <c r="H26" s="1781">
        <v>14872.585915021</v>
      </c>
      <c r="I26" s="1781">
        <v>16235.734774957</v>
      </c>
      <c r="J26" s="1781">
        <v>14600.072946676</v>
      </c>
      <c r="K26" s="1781">
        <v>13933.835250087999</v>
      </c>
      <c r="L26" s="1777">
        <f>L27+L32</f>
        <v>14598.396832391833</v>
      </c>
      <c r="M26" s="1777">
        <f t="shared" ref="M26:N26" si="3">M27+M32</f>
        <v>23698.434036767019</v>
      </c>
      <c r="N26" s="1777">
        <f t="shared" si="3"/>
        <v>22933.224965807818</v>
      </c>
    </row>
    <row r="27" spans="1:14" ht="14.1" customHeight="1">
      <c r="A27" s="96" t="s">
        <v>1991</v>
      </c>
      <c r="B27" s="96" t="s">
        <v>1992</v>
      </c>
      <c r="C27" s="420">
        <v>1527.604858832</v>
      </c>
      <c r="D27" s="420">
        <v>3726.6090854909999</v>
      </c>
      <c r="E27" s="420">
        <v>5117.6308262760003</v>
      </c>
      <c r="F27" s="1781">
        <v>7276.58344708</v>
      </c>
      <c r="G27" s="1781">
        <v>10318.520823983999</v>
      </c>
      <c r="H27" s="1781">
        <v>13256.722091813001</v>
      </c>
      <c r="I27" s="1781">
        <v>12254.999101486999</v>
      </c>
      <c r="J27" s="1781">
        <v>11617.574716081999</v>
      </c>
      <c r="K27" s="1781">
        <v>10348.050568028</v>
      </c>
      <c r="L27" s="1777">
        <f>SUM(L28:L31)</f>
        <v>11960.490351586832</v>
      </c>
      <c r="M27" s="1777">
        <f t="shared" ref="M27:N27" si="4">SUM(M28:M31)</f>
        <v>21060.52755596202</v>
      </c>
      <c r="N27" s="1777">
        <f t="shared" si="4"/>
        <v>20295.318485002819</v>
      </c>
    </row>
    <row r="28" spans="1:14" ht="14.1" customHeight="1">
      <c r="A28" s="96" t="s">
        <v>1993</v>
      </c>
      <c r="B28" s="96" t="s">
        <v>1994</v>
      </c>
      <c r="C28" s="420">
        <v>160.82666017099999</v>
      </c>
      <c r="D28" s="420">
        <v>315.68985719400001</v>
      </c>
      <c r="E28" s="420">
        <v>580.97384286500005</v>
      </c>
      <c r="F28" s="1781">
        <v>1186.5137338940001</v>
      </c>
      <c r="G28" s="1781">
        <v>604.01403052299997</v>
      </c>
      <c r="H28" s="1781">
        <v>848.96967495599995</v>
      </c>
      <c r="I28" s="1781">
        <v>1149.3594824500001</v>
      </c>
      <c r="J28" s="1781">
        <v>767.20483354600003</v>
      </c>
      <c r="K28" s="1781">
        <v>625.670233596</v>
      </c>
      <c r="L28" s="1777">
        <f>BS!S28</f>
        <v>1554.4391254338327</v>
      </c>
      <c r="M28" s="1777">
        <f>BS!T28</f>
        <v>1903.0052548090209</v>
      </c>
      <c r="N28" s="1777">
        <f>BS!U28</f>
        <v>2616.5858720938168</v>
      </c>
    </row>
    <row r="29" spans="1:14" ht="14.1" customHeight="1">
      <c r="A29" s="96" t="s">
        <v>1995</v>
      </c>
      <c r="B29" s="96" t="s">
        <v>1996</v>
      </c>
      <c r="C29" s="420">
        <v>440.98335732300001</v>
      </c>
      <c r="D29" s="420">
        <v>1408.4873947369999</v>
      </c>
      <c r="E29" s="420">
        <v>1048.3442675429999</v>
      </c>
      <c r="F29" s="1781">
        <v>943.84253429199998</v>
      </c>
      <c r="G29" s="1781">
        <v>2968.982334322</v>
      </c>
      <c r="H29" s="1781">
        <v>2242.6083924260001</v>
      </c>
      <c r="I29" s="1781">
        <v>2550.280886819</v>
      </c>
      <c r="J29" s="1781">
        <v>1866.1541563830001</v>
      </c>
      <c r="K29" s="1781">
        <v>1209.809604476</v>
      </c>
      <c r="L29" s="1777">
        <f>BS!S29</f>
        <v>1671.8355000000001</v>
      </c>
      <c r="M29" s="1777">
        <f>BS!T29</f>
        <v>10423.306575000001</v>
      </c>
      <c r="N29" s="1777">
        <f>BS!U29</f>
        <v>8944.5168867560024</v>
      </c>
    </row>
    <row r="30" spans="1:14" ht="14.1" customHeight="1">
      <c r="A30" s="96" t="s">
        <v>1997</v>
      </c>
      <c r="B30" s="96" t="s">
        <v>1998</v>
      </c>
      <c r="C30" s="420">
        <v>189.927067327</v>
      </c>
      <c r="D30" s="420">
        <v>658.18102245600005</v>
      </c>
      <c r="E30" s="420">
        <v>471.42507623500001</v>
      </c>
      <c r="F30" s="1781">
        <v>1063.200299649</v>
      </c>
      <c r="G30" s="1781">
        <v>2068.9482480010001</v>
      </c>
      <c r="H30" s="1781">
        <v>2962.8058815170002</v>
      </c>
      <c r="I30" s="1781">
        <v>2022.8844031900001</v>
      </c>
      <c r="J30" s="1781">
        <v>2590.7560194450002</v>
      </c>
      <c r="K30" s="1781">
        <v>3159.3673855940001</v>
      </c>
      <c r="L30" s="1777">
        <f>BS!S31</f>
        <v>2340.7560194450002</v>
      </c>
      <c r="M30" s="1777">
        <f>BS!T31</f>
        <v>2340.7560194450002</v>
      </c>
      <c r="N30" s="1777">
        <f>BS!U31</f>
        <v>2340.7560194450002</v>
      </c>
    </row>
    <row r="31" spans="1:14" ht="14.1" customHeight="1">
      <c r="A31" s="96" t="s">
        <v>1999</v>
      </c>
      <c r="B31" s="96" t="s">
        <v>2000</v>
      </c>
      <c r="C31" s="420">
        <v>735.86777401100005</v>
      </c>
      <c r="D31" s="420">
        <v>1344.2508111039999</v>
      </c>
      <c r="E31" s="420">
        <v>3016.8876396330002</v>
      </c>
      <c r="F31" s="1781">
        <v>4083.0268792450001</v>
      </c>
      <c r="G31" s="1781">
        <v>4676.576211138</v>
      </c>
      <c r="H31" s="1781">
        <v>7202.3381429139999</v>
      </c>
      <c r="I31" s="1781">
        <v>6532.4743290280003</v>
      </c>
      <c r="J31" s="1781">
        <v>6393.4597067080003</v>
      </c>
      <c r="K31" s="1781">
        <v>5353.2033443620003</v>
      </c>
      <c r="L31" s="1777">
        <f>BS!S30</f>
        <v>6393.4597067080003</v>
      </c>
      <c r="M31" s="1777">
        <f>BS!T30</f>
        <v>6393.4597067080003</v>
      </c>
      <c r="N31" s="1777">
        <f>BS!U30</f>
        <v>6393.4597067080003</v>
      </c>
    </row>
    <row r="32" spans="1:14" ht="14.1" customHeight="1">
      <c r="A32" s="96" t="s">
        <v>2001</v>
      </c>
      <c r="B32" s="96" t="s">
        <v>2002</v>
      </c>
      <c r="C32" s="420">
        <v>497.83124233000001</v>
      </c>
      <c r="D32" s="420">
        <v>1883.948303056</v>
      </c>
      <c r="E32" s="420">
        <v>2411.989828282</v>
      </c>
      <c r="F32" s="1781">
        <v>3376.1123996490001</v>
      </c>
      <c r="G32" s="1781">
        <v>3908.8715215570001</v>
      </c>
      <c r="H32" s="1781">
        <v>1615.863823208</v>
      </c>
      <c r="I32" s="1781">
        <v>3980.7356734700002</v>
      </c>
      <c r="J32" s="1781">
        <v>2982.4982305939998</v>
      </c>
      <c r="K32" s="1781">
        <v>3585.7846820599998</v>
      </c>
      <c r="L32" s="1777">
        <f>SUM(L33:L34)</f>
        <v>2637.9064808050002</v>
      </c>
      <c r="M32" s="1777">
        <f t="shared" ref="M32:N32" si="5">SUM(M33:M34)</f>
        <v>2637.9064808050002</v>
      </c>
      <c r="N32" s="1777">
        <f t="shared" si="5"/>
        <v>2637.9064808050002</v>
      </c>
    </row>
    <row r="33" spans="1:14" ht="14.1" customHeight="1">
      <c r="A33" s="96" t="s">
        <v>2003</v>
      </c>
      <c r="B33" s="96" t="s">
        <v>2004</v>
      </c>
      <c r="C33" s="420">
        <v>494.13536065400001</v>
      </c>
      <c r="D33" s="420">
        <v>1871.2236315120001</v>
      </c>
      <c r="E33" s="420">
        <v>2394.3954624910002</v>
      </c>
      <c r="F33" s="1781">
        <v>3336.5307071819998</v>
      </c>
      <c r="G33" s="1781">
        <v>3876.3681805030001</v>
      </c>
      <c r="H33" s="1781">
        <v>1517.1049295600001</v>
      </c>
      <c r="I33" s="1781">
        <v>3748.4801045160002</v>
      </c>
      <c r="J33" s="1781">
        <v>2698.543683373</v>
      </c>
      <c r="K33" s="1781">
        <v>3396.421884628</v>
      </c>
      <c r="L33" s="1777">
        <f>BS!S34</f>
        <v>2448.543683373</v>
      </c>
      <c r="M33" s="1777">
        <f>BS!T34</f>
        <v>2448.543683373</v>
      </c>
      <c r="N33" s="1777">
        <f>BS!U34</f>
        <v>2448.543683373</v>
      </c>
    </row>
    <row r="34" spans="1:14" ht="14.1" customHeight="1">
      <c r="A34" s="96" t="s">
        <v>2005</v>
      </c>
      <c r="B34" s="96" t="s">
        <v>2006</v>
      </c>
      <c r="C34" s="420">
        <v>3.6958816759999999</v>
      </c>
      <c r="D34" s="420">
        <v>12.724671544</v>
      </c>
      <c r="E34" s="420">
        <v>17.594365791000001</v>
      </c>
      <c r="F34" s="1781">
        <v>39.581692467000003</v>
      </c>
      <c r="G34" s="1781">
        <v>32.503341054000003</v>
      </c>
      <c r="H34" s="1781">
        <v>98.758893647999997</v>
      </c>
      <c r="I34" s="1781">
        <v>232.25556895400001</v>
      </c>
      <c r="J34" s="1781">
        <v>283.95454722099998</v>
      </c>
      <c r="K34" s="1781">
        <v>189.36279743200001</v>
      </c>
      <c r="L34" s="1777">
        <f>BS!S35</f>
        <v>189.36279743200001</v>
      </c>
      <c r="M34" s="1777">
        <f>BS!T35</f>
        <v>189.36279743200001</v>
      </c>
      <c r="N34" s="1777">
        <f>BS!U35</f>
        <v>189.36279743200001</v>
      </c>
    </row>
    <row r="35" spans="1:14" ht="14.1" customHeight="1">
      <c r="A35" s="96" t="s">
        <v>2007</v>
      </c>
      <c r="B35" s="96" t="s">
        <v>2008</v>
      </c>
      <c r="C35" s="420">
        <v>3537.3550730940001</v>
      </c>
      <c r="D35" s="420">
        <v>4653.8451775650001</v>
      </c>
      <c r="E35" s="420">
        <v>6199.0940859829998</v>
      </c>
      <c r="F35" s="1781">
        <v>9227.8213680839999</v>
      </c>
      <c r="G35" s="1781">
        <v>9084.0406996740003</v>
      </c>
      <c r="H35" s="1781">
        <v>13381.475140394001</v>
      </c>
      <c r="I35" s="1781">
        <v>14084.931650451999</v>
      </c>
      <c r="J35" s="1781">
        <v>14186.367907641001</v>
      </c>
      <c r="K35" s="1781">
        <v>15203.078001043999</v>
      </c>
      <c r="L35" s="1777">
        <f>SUM(L36:L41)</f>
        <v>16654.26317554964</v>
      </c>
      <c r="M35" s="1777">
        <f t="shared" ref="M35:N35" si="6">SUM(M36:M41)</f>
        <v>17801.46948815239</v>
      </c>
      <c r="N35" s="1777">
        <f t="shared" si="6"/>
        <v>23221.17293763188</v>
      </c>
    </row>
    <row r="36" spans="1:14" ht="14.1" customHeight="1">
      <c r="A36" s="96" t="s">
        <v>2009</v>
      </c>
      <c r="B36" s="96" t="s">
        <v>2010</v>
      </c>
      <c r="C36" s="420">
        <v>2530.4906799999999</v>
      </c>
      <c r="D36" s="420">
        <v>3031.92686</v>
      </c>
      <c r="E36" s="420">
        <v>3500.7141200000001</v>
      </c>
      <c r="F36" s="1781">
        <v>5200.3466699999999</v>
      </c>
      <c r="G36" s="1781">
        <v>5200.3466699999999</v>
      </c>
      <c r="H36" s="1781">
        <v>5977.7304800000002</v>
      </c>
      <c r="I36" s="1781">
        <v>6117.7900200000004</v>
      </c>
      <c r="J36" s="1781">
        <v>6117.7900200000004</v>
      </c>
      <c r="K36" s="1781">
        <v>7224.5092100000002</v>
      </c>
      <c r="L36" s="1777">
        <f>BS!S40</f>
        <v>7134.5092100000002</v>
      </c>
      <c r="M36" s="1777">
        <f>BS!T40</f>
        <v>7134.5092100000002</v>
      </c>
      <c r="N36" s="1777">
        <f>BS!U40</f>
        <v>7134.5092100000002</v>
      </c>
    </row>
    <row r="37" spans="1:14" ht="14.1" customHeight="1">
      <c r="A37" s="96" t="s">
        <v>2011</v>
      </c>
      <c r="B37" s="96" t="s">
        <v>2012</v>
      </c>
      <c r="C37" s="420">
        <v>10.867980806</v>
      </c>
      <c r="D37" s="420">
        <v>10.867980806</v>
      </c>
      <c r="E37" s="420">
        <v>10.867980806</v>
      </c>
      <c r="F37" s="1781">
        <v>10.677980806000001</v>
      </c>
      <c r="G37" s="1781">
        <v>10.677980806000001</v>
      </c>
      <c r="H37" s="1781">
        <v>10.677980806000001</v>
      </c>
      <c r="I37" s="1781">
        <v>80.398440805999996</v>
      </c>
      <c r="J37" s="1781">
        <v>80.398440805999996</v>
      </c>
      <c r="K37" s="1781">
        <v>283.15333880600002</v>
      </c>
      <c r="L37" s="1777">
        <f>BS!S39</f>
        <v>283.742278806</v>
      </c>
      <c r="M37" s="1777">
        <f>BS!T39</f>
        <v>283.742278806</v>
      </c>
      <c r="N37" s="1777">
        <f>BS!U39</f>
        <v>283.742278806</v>
      </c>
    </row>
    <row r="38" spans="1:14" ht="14.1" customHeight="1">
      <c r="A38" s="96" t="s">
        <v>2013</v>
      </c>
      <c r="B38" s="96" t="s">
        <v>2014</v>
      </c>
      <c r="C38" s="420">
        <v>-0.57999999999999996</v>
      </c>
      <c r="D38" s="420">
        <v>-2.5005600000000001</v>
      </c>
      <c r="E38" s="420">
        <v>-2.5005600000000001</v>
      </c>
      <c r="F38" s="1781">
        <v>-2.5005600000000001</v>
      </c>
      <c r="G38" s="1781">
        <v>-2.5005600000000001</v>
      </c>
      <c r="H38" s="1781">
        <v>-2.5005600000000001</v>
      </c>
      <c r="I38" s="1781">
        <v>-2.5005600000000001</v>
      </c>
      <c r="J38" s="1781">
        <v>-2.5005600000000001</v>
      </c>
      <c r="K38" s="1781">
        <v>-2.5005600000000001</v>
      </c>
      <c r="L38" s="1777"/>
    </row>
    <row r="39" spans="1:14" ht="14.1" customHeight="1">
      <c r="A39" s="96" t="s">
        <v>2015</v>
      </c>
      <c r="B39" s="96" t="s">
        <v>2016</v>
      </c>
      <c r="C39" s="420">
        <v>27.151657158999999</v>
      </c>
      <c r="D39" s="420">
        <v>27.527428668999999</v>
      </c>
      <c r="E39" s="420">
        <v>35.018748856999999</v>
      </c>
      <c r="F39" s="1781">
        <v>64.635369338999993</v>
      </c>
      <c r="G39" s="1781">
        <v>104.296937657</v>
      </c>
      <c r="H39" s="1781">
        <v>114.496937657</v>
      </c>
      <c r="I39" s="1781">
        <v>741.15312325100001</v>
      </c>
      <c r="J39" s="1781">
        <v>1471.2454233870001</v>
      </c>
      <c r="K39" s="1781">
        <v>1474.6850891710001</v>
      </c>
      <c r="L39" s="1777">
        <f>BS!S43</f>
        <v>1468.7448633870004</v>
      </c>
      <c r="M39" s="1777">
        <f>BS!T43</f>
        <v>1468.7448633870004</v>
      </c>
      <c r="N39" s="1777">
        <f>BS!U43</f>
        <v>1468.7448633870004</v>
      </c>
    </row>
    <row r="40" spans="1:14" ht="14.1" customHeight="1">
      <c r="A40" s="96" t="s">
        <v>2017</v>
      </c>
      <c r="B40" s="96" t="s">
        <v>2018</v>
      </c>
      <c r="C40" s="420">
        <v>676.74725136899997</v>
      </c>
      <c r="D40" s="420">
        <v>745.71643089500003</v>
      </c>
      <c r="E40" s="420">
        <v>1455.564086735</v>
      </c>
      <c r="F40" s="1781">
        <v>1715.781731515</v>
      </c>
      <c r="G40" s="1781">
        <v>841.36210771900005</v>
      </c>
      <c r="H40" s="1781">
        <v>2669.0773931939998</v>
      </c>
      <c r="I40" s="1781">
        <v>2308.311063143</v>
      </c>
      <c r="J40" s="1781">
        <v>1736.2253629899999</v>
      </c>
      <c r="K40" s="1781">
        <v>1483.8982001280001</v>
      </c>
      <c r="L40" s="1777">
        <f>BS!S41</f>
        <v>2568.1752899020594</v>
      </c>
      <c r="M40" s="1777">
        <f>BS!T41</f>
        <v>3458.6875390516152</v>
      </c>
      <c r="N40" s="1777">
        <f>BS!U41</f>
        <v>8570.8662403498165</v>
      </c>
    </row>
    <row r="41" spans="1:14" ht="14.1" customHeight="1">
      <c r="A41" s="96" t="s">
        <v>2019</v>
      </c>
      <c r="B41" s="96" t="s">
        <v>2020</v>
      </c>
      <c r="C41" s="420">
        <v>292.67750375999998</v>
      </c>
      <c r="D41" s="420">
        <v>840.30703719500002</v>
      </c>
      <c r="E41" s="420">
        <v>1199.429709585</v>
      </c>
      <c r="F41" s="1781">
        <v>2238.8801764240002</v>
      </c>
      <c r="G41" s="1781">
        <v>2929.8575634919998</v>
      </c>
      <c r="H41" s="1781">
        <v>4611.9929087370001</v>
      </c>
      <c r="I41" s="1781">
        <v>4839.7795632520001</v>
      </c>
      <c r="J41" s="1781">
        <v>4783.2092204580003</v>
      </c>
      <c r="K41" s="1781">
        <v>4739.3327229389997</v>
      </c>
      <c r="L41" s="1777">
        <f>BS!S42</f>
        <v>5199.0915334545798</v>
      </c>
      <c r="M41" s="1777">
        <f>BS!T42</f>
        <v>5455.7855969077764</v>
      </c>
      <c r="N41" s="1777">
        <f>BS!U42</f>
        <v>5763.3103450890621</v>
      </c>
    </row>
    <row r="42" spans="1:14" ht="14.1" customHeight="1">
      <c r="A42" s="96" t="s">
        <v>2021</v>
      </c>
      <c r="B42" s="96" t="s">
        <v>2022</v>
      </c>
      <c r="C42" s="420">
        <v>5562.791174256</v>
      </c>
      <c r="D42" s="420">
        <v>10264.402566111999</v>
      </c>
      <c r="E42" s="420">
        <v>13728.714740541</v>
      </c>
      <c r="F42" s="1781">
        <v>19880.517214813</v>
      </c>
      <c r="G42" s="1781">
        <v>23311.433045214999</v>
      </c>
      <c r="H42" s="1781">
        <v>28254.061055415001</v>
      </c>
      <c r="I42" s="1781">
        <v>30320.666425408999</v>
      </c>
      <c r="J42" s="1781">
        <v>28786.440854316999</v>
      </c>
      <c r="K42" s="1781">
        <v>29136.913251131999</v>
      </c>
      <c r="L42" s="1777">
        <f>L35+L26</f>
        <v>31252.660007941471</v>
      </c>
      <c r="M42" s="1777">
        <f t="shared" ref="M42:N42" si="7">M35+M26</f>
        <v>41499.903524919413</v>
      </c>
      <c r="N42" s="1777">
        <f t="shared" si="7"/>
        <v>46154.397903439698</v>
      </c>
    </row>
    <row r="43" spans="1:14" ht="14.1" customHeight="1">
      <c r="J43" s="420"/>
      <c r="K43" s="420"/>
      <c r="L43" s="420"/>
    </row>
    <row r="44" spans="1:14" s="1778" customFormat="1" ht="14.1" customHeight="1">
      <c r="A44" s="1778" t="s">
        <v>1602</v>
      </c>
      <c r="B44" s="1778" t="s">
        <v>1949</v>
      </c>
      <c r="C44" s="1778" t="s">
        <v>2383</v>
      </c>
      <c r="D44" s="1778" t="s">
        <v>2384</v>
      </c>
      <c r="E44" s="1778" t="s">
        <v>2385</v>
      </c>
      <c r="F44" s="1778" t="s">
        <v>2386</v>
      </c>
      <c r="G44" s="1778" t="s">
        <v>2395</v>
      </c>
      <c r="H44" s="1778" t="s">
        <v>2407</v>
      </c>
      <c r="I44" s="1778" t="s">
        <v>2416</v>
      </c>
      <c r="J44" s="1778" t="s">
        <v>2529</v>
      </c>
      <c r="K44" s="1778" t="s">
        <v>2551</v>
      </c>
      <c r="L44" s="1778" t="s">
        <v>2533</v>
      </c>
      <c r="M44" s="1778" t="s">
        <v>2555</v>
      </c>
      <c r="N44" s="1778" t="s">
        <v>2564</v>
      </c>
    </row>
    <row r="45" spans="1:14" ht="14.1" customHeight="1">
      <c r="A45" s="96" t="s">
        <v>2023</v>
      </c>
      <c r="B45" s="96" t="s">
        <v>2024</v>
      </c>
      <c r="C45" s="420">
        <v>2506.5168574600002</v>
      </c>
      <c r="D45" s="420">
        <v>2879.2413899469998</v>
      </c>
      <c r="E45" s="420">
        <v>4645.3185625320002</v>
      </c>
      <c r="F45" s="1781">
        <v>5813.5777320179996</v>
      </c>
      <c r="G45" s="1781">
        <v>2890.653883727</v>
      </c>
      <c r="H45" s="1781">
        <v>10089.384737838</v>
      </c>
      <c r="I45" s="1781">
        <v>5511.7151521940004</v>
      </c>
      <c r="J45" s="1781">
        <v>3724.8259443420002</v>
      </c>
      <c r="K45" s="1781">
        <v>4733.1931724939996</v>
      </c>
      <c r="L45" s="1777">
        <f>IS!S7</f>
        <v>7111.5760816000002</v>
      </c>
      <c r="M45" s="1777">
        <f>IS!T7</f>
        <v>9090.8002888400006</v>
      </c>
      <c r="N45" s="1777">
        <f>IS!U7</f>
        <v>19117.376260759997</v>
      </c>
    </row>
    <row r="46" spans="1:14" ht="14.1" customHeight="1">
      <c r="A46" s="96" t="s">
        <v>2025</v>
      </c>
      <c r="B46" s="96" t="s">
        <v>432</v>
      </c>
      <c r="C46" s="420">
        <v>-1454.8795920350001</v>
      </c>
      <c r="D46" s="420">
        <v>-1149.440021123</v>
      </c>
      <c r="E46" s="420">
        <v>-2030.54437859</v>
      </c>
      <c r="F46" s="1781">
        <v>-2729.975508597</v>
      </c>
      <c r="G46" s="1781">
        <v>-1016.048215123</v>
      </c>
      <c r="H46" s="1781">
        <v>-4491.591910436</v>
      </c>
      <c r="I46" s="1781">
        <v>-2541.6871609029999</v>
      </c>
      <c r="J46" s="1781">
        <v>-2014.4440915319999</v>
      </c>
      <c r="K46" s="1781">
        <v>-2448.364486808</v>
      </c>
      <c r="L46" s="1777">
        <f>-IS!S8</f>
        <v>-4202.7428206174</v>
      </c>
      <c r="M46" s="1777">
        <f>-IS!T8</f>
        <v>-5145.1623555947608</v>
      </c>
      <c r="N46" s="1777">
        <f>-IS!U8</f>
        <v>-7074.4729134388381</v>
      </c>
    </row>
    <row r="47" spans="1:14" ht="14.1" customHeight="1">
      <c r="A47" s="96" t="s">
        <v>1336</v>
      </c>
      <c r="B47" s="96" t="s">
        <v>2026</v>
      </c>
      <c r="C47" s="420">
        <v>1051.6372654249999</v>
      </c>
      <c r="D47" s="420">
        <v>1729.8013688240001</v>
      </c>
      <c r="E47" s="420">
        <v>2614.774183942</v>
      </c>
      <c r="F47" s="1781">
        <v>3083.602223421</v>
      </c>
      <c r="G47" s="1781">
        <v>1874.6056686039999</v>
      </c>
      <c r="H47" s="1781">
        <v>5597.7928274019996</v>
      </c>
      <c r="I47" s="1781">
        <v>2970.027991291</v>
      </c>
      <c r="J47" s="1781">
        <v>1710.3818528100001</v>
      </c>
      <c r="K47" s="1781">
        <v>2284.828685686</v>
      </c>
      <c r="L47" s="1777">
        <f>SUM(L45:L46)</f>
        <v>2908.8332609826002</v>
      </c>
      <c r="M47" s="1777">
        <f>SUM(M45:M46)</f>
        <v>3945.6379332452398</v>
      </c>
      <c r="N47" s="1777">
        <f>SUM(N45:N46)</f>
        <v>12042.903347321158</v>
      </c>
    </row>
    <row r="48" spans="1:14" ht="14.1" customHeight="1">
      <c r="A48" s="96" t="s">
        <v>2027</v>
      </c>
      <c r="B48" s="96" t="s">
        <v>2028</v>
      </c>
      <c r="C48" s="420">
        <v>-235.75285378999999</v>
      </c>
      <c r="D48" s="420">
        <v>-294.96562050099999</v>
      </c>
      <c r="E48" s="420">
        <v>-433.80479667600002</v>
      </c>
      <c r="F48" s="1781">
        <v>-483.12630856099997</v>
      </c>
      <c r="G48" s="1781">
        <v>-488.535848176</v>
      </c>
      <c r="H48" s="1781">
        <v>-1887.4831774469999</v>
      </c>
      <c r="I48" s="1781">
        <v>-1056.802243719</v>
      </c>
      <c r="J48" s="1781">
        <v>-585.67508246099999</v>
      </c>
      <c r="K48" s="1781">
        <v>-730.62360625899998</v>
      </c>
      <c r="L48" s="1777">
        <f>-IS!S11</f>
        <v>-1777.8940204</v>
      </c>
      <c r="M48" s="1777">
        <f>-IS!T11</f>
        <v>-2272.7000722100001</v>
      </c>
      <c r="N48" s="1777">
        <f>-IS!U11</f>
        <v>-4779.3440651899991</v>
      </c>
    </row>
    <row r="49" spans="1:14" ht="14.1" customHeight="1">
      <c r="A49" s="96" t="s">
        <v>2029</v>
      </c>
      <c r="B49" s="96" t="s">
        <v>2030</v>
      </c>
      <c r="C49" s="420">
        <v>-172.79911561399999</v>
      </c>
      <c r="D49" s="420">
        <v>-248.55771059</v>
      </c>
      <c r="E49" s="420">
        <v>-345.92763499900002</v>
      </c>
      <c r="F49" s="1781">
        <v>-501.46401766899999</v>
      </c>
      <c r="G49" s="1781">
        <v>-594.04606024099996</v>
      </c>
      <c r="H49" s="1781">
        <v>-997.632206311</v>
      </c>
      <c r="I49" s="1781">
        <v>-1083.0026783329999</v>
      </c>
      <c r="J49" s="1781">
        <v>-390.86015365999998</v>
      </c>
      <c r="K49" s="1781">
        <v>-401.67384463500002</v>
      </c>
      <c r="L49" s="1777"/>
      <c r="M49" s="1777"/>
      <c r="N49" s="1777"/>
    </row>
    <row r="50" spans="1:14" ht="14.1" customHeight="1">
      <c r="A50" s="96" t="s">
        <v>288</v>
      </c>
      <c r="B50" s="96" t="s">
        <v>288</v>
      </c>
      <c r="C50" s="420">
        <v>643.08529602099998</v>
      </c>
      <c r="D50" s="420">
        <v>1186.278037733</v>
      </c>
      <c r="E50" s="420">
        <v>1835.041752267</v>
      </c>
      <c r="F50" s="1781">
        <v>2099.0118971910001</v>
      </c>
      <c r="G50" s="1781">
        <v>792.02376018699999</v>
      </c>
      <c r="H50" s="1781">
        <v>2712.677443644</v>
      </c>
      <c r="I50" s="1781">
        <v>830.22306923899998</v>
      </c>
      <c r="J50" s="1781">
        <v>733.84661668900003</v>
      </c>
      <c r="K50" s="1781">
        <v>1152.5312347920001</v>
      </c>
      <c r="L50" s="1777">
        <f>SUM(L47:L49)</f>
        <v>1130.9392405826002</v>
      </c>
      <c r="M50" s="1777">
        <f>SUM(M47:M49)</f>
        <v>1672.9378610352396</v>
      </c>
      <c r="N50" s="1777">
        <f>SUM(N47:N49)</f>
        <v>7263.5592821311593</v>
      </c>
    </row>
    <row r="51" spans="1:14" ht="14.1" customHeight="1">
      <c r="A51" s="96" t="s">
        <v>1129</v>
      </c>
      <c r="B51" s="96" t="s">
        <v>2031</v>
      </c>
      <c r="C51" s="420">
        <v>104.65974561199999</v>
      </c>
      <c r="D51" s="420">
        <v>66.074831665999994</v>
      </c>
      <c r="E51" s="420">
        <v>206.73131832600001</v>
      </c>
      <c r="F51" s="1781">
        <v>270.472044756</v>
      </c>
      <c r="G51" s="1781">
        <v>72.635022559000006</v>
      </c>
      <c r="H51" s="1781">
        <v>352.72661650600003</v>
      </c>
      <c r="I51" s="1781">
        <v>464.36545428900001</v>
      </c>
      <c r="J51" s="1781">
        <v>409.15064701699998</v>
      </c>
      <c r="K51" s="1781">
        <v>47.770698279000001</v>
      </c>
      <c r="L51" s="1777">
        <f>-IS!S20</f>
        <v>350</v>
      </c>
      <c r="M51" s="1777">
        <f>-IS!T20</f>
        <v>250</v>
      </c>
      <c r="N51" s="1777">
        <f>-IS!U20</f>
        <v>0</v>
      </c>
    </row>
    <row r="52" spans="1:14" ht="14.1" customHeight="1">
      <c r="A52" s="96" t="s">
        <v>1330</v>
      </c>
      <c r="B52" s="96" t="s">
        <v>2032</v>
      </c>
      <c r="C52" s="420">
        <v>-32.702590721999997</v>
      </c>
      <c r="D52" s="420">
        <v>-62.664889037000002</v>
      </c>
      <c r="E52" s="420">
        <v>-190.75452392</v>
      </c>
      <c r="F52" s="1781">
        <v>-209.03102946499999</v>
      </c>
      <c r="G52" s="1781">
        <v>-858.28350262200001</v>
      </c>
      <c r="H52" s="1781">
        <v>-543.61162560499997</v>
      </c>
      <c r="I52" s="1781">
        <v>-521.09034261900001</v>
      </c>
      <c r="J52" s="1781">
        <v>-593.25298500500003</v>
      </c>
      <c r="K52" s="1781">
        <v>-470.09454522499999</v>
      </c>
      <c r="L52" s="1777">
        <f>-IS!S18</f>
        <v>-478.92997028180002</v>
      </c>
      <c r="M52" s="1777">
        <f>-IS!T18</f>
        <v>-478.92997028180002</v>
      </c>
      <c r="N52" s="1777">
        <f>-IS!U18</f>
        <v>-478.92997028180002</v>
      </c>
    </row>
    <row r="53" spans="1:14" ht="14.1" customHeight="1">
      <c r="A53" s="96" t="s">
        <v>2033</v>
      </c>
      <c r="B53" s="96" t="s">
        <v>2034</v>
      </c>
      <c r="C53" s="420">
        <v>-31.960525659000002</v>
      </c>
      <c r="D53" s="420">
        <v>-60.951429011000002</v>
      </c>
      <c r="E53" s="420">
        <v>-162.51534718299999</v>
      </c>
      <c r="F53" s="1781">
        <v>-198.518758945</v>
      </c>
      <c r="G53" s="1781">
        <v>-308.76624417900001</v>
      </c>
      <c r="H53" s="1781">
        <v>-467.96719574000002</v>
      </c>
      <c r="I53" s="1781">
        <v>-462.17178055599999</v>
      </c>
      <c r="J53" s="1781">
        <v>-536.71423484299999</v>
      </c>
      <c r="K53" s="1781">
        <v>-420.30007216600001</v>
      </c>
      <c r="L53" s="1777">
        <f>L52</f>
        <v>-478.92997028180002</v>
      </c>
      <c r="M53" s="1777">
        <f>M52</f>
        <v>-478.92997028180002</v>
      </c>
      <c r="N53" s="1777">
        <f>N52</f>
        <v>-478.92997028180002</v>
      </c>
    </row>
    <row r="54" spans="1:14" ht="14.1" customHeight="1">
      <c r="A54" s="96" t="s">
        <v>2035</v>
      </c>
      <c r="B54" s="96" t="s">
        <v>2036</v>
      </c>
      <c r="C54" s="420">
        <v>34.153020753</v>
      </c>
      <c r="D54" s="420">
        <v>17.620707588999998</v>
      </c>
      <c r="E54" s="420">
        <v>-5.5010388800000003</v>
      </c>
      <c r="F54" s="1781">
        <v>78.724345252000006</v>
      </c>
      <c r="G54" s="1781">
        <v>31.099316462000001</v>
      </c>
      <c r="H54" s="1781">
        <v>-6.0981526739999996</v>
      </c>
      <c r="I54" s="1781">
        <v>-7.3152112779999996</v>
      </c>
      <c r="J54" s="1781">
        <v>15.790920926</v>
      </c>
      <c r="K54" s="1781">
        <v>35.904082899000002</v>
      </c>
      <c r="L54" s="1777">
        <f>-IS!S22</f>
        <v>-10</v>
      </c>
      <c r="M54" s="1777">
        <f>-IS!T22</f>
        <v>-10</v>
      </c>
      <c r="N54" s="1777">
        <f>-IS!U22</f>
        <v>-10</v>
      </c>
    </row>
    <row r="55" spans="1:14" ht="14.1" customHeight="1">
      <c r="A55" s="96" t="s">
        <v>2037</v>
      </c>
      <c r="B55" s="96" t="s">
        <v>2038</v>
      </c>
      <c r="C55" s="420">
        <v>72.042670039000001</v>
      </c>
      <c r="D55" s="420">
        <v>128.01140768499999</v>
      </c>
      <c r="E55" s="420">
        <v>256.26698426500002</v>
      </c>
      <c r="F55" s="1781">
        <v>149.33650224100001</v>
      </c>
      <c r="G55" s="1781">
        <v>-10.584315801000001</v>
      </c>
      <c r="H55" s="1781">
        <v>0.32503644399999998</v>
      </c>
      <c r="I55" s="1781">
        <v>1.6347306340000001</v>
      </c>
      <c r="J55" s="1781">
        <v>-112.38212181999999</v>
      </c>
      <c r="K55" s="1781">
        <v>-38.421103226</v>
      </c>
      <c r="L55" s="1777">
        <f>-IS!S21</f>
        <v>0</v>
      </c>
      <c r="M55" s="1777">
        <f>-IS!T21</f>
        <v>0</v>
      </c>
      <c r="N55" s="1777">
        <f>-IS!U21</f>
        <v>0</v>
      </c>
    </row>
    <row r="56" spans="1:14" ht="14.1" customHeight="1">
      <c r="A56" s="96" t="s">
        <v>845</v>
      </c>
      <c r="B56" s="96" t="s">
        <v>822</v>
      </c>
      <c r="C56" s="420">
        <v>821.238141703</v>
      </c>
      <c r="D56" s="420">
        <v>1335.3200956359999</v>
      </c>
      <c r="E56" s="420">
        <v>2101.7844920580001</v>
      </c>
      <c r="F56" s="1781">
        <v>2388.5137599750001</v>
      </c>
      <c r="G56" s="1781">
        <v>26.890280785000002</v>
      </c>
      <c r="H56" s="1781">
        <v>2516.019318315</v>
      </c>
      <c r="I56" s="1781">
        <v>767.81770026499998</v>
      </c>
      <c r="J56" s="1781">
        <v>453.15307780699999</v>
      </c>
      <c r="K56" s="1781">
        <v>727.69036751900001</v>
      </c>
      <c r="L56" s="1777">
        <f>IS!S23</f>
        <v>992.00927030080015</v>
      </c>
      <c r="M56" s="1777">
        <f>IS!T23</f>
        <v>1434.0078907534401</v>
      </c>
      <c r="N56" s="1777">
        <f>IS!U23</f>
        <v>6774.6293118493595</v>
      </c>
    </row>
    <row r="57" spans="1:14" ht="14.1" customHeight="1">
      <c r="A57" s="96" t="s">
        <v>290</v>
      </c>
      <c r="B57" s="96" t="s">
        <v>290</v>
      </c>
      <c r="C57" s="420">
        <v>-156.814830535</v>
      </c>
      <c r="D57" s="420">
        <v>-249.89984328099999</v>
      </c>
      <c r="E57" s="420">
        <v>-378.98974951100001</v>
      </c>
      <c r="F57" s="1781">
        <v>-502.29510265300001</v>
      </c>
      <c r="G57" s="1781">
        <v>-200.95995692</v>
      </c>
      <c r="H57" s="1781">
        <v>-920.96301298000003</v>
      </c>
      <c r="I57" s="1781">
        <v>-234.11103215700001</v>
      </c>
      <c r="J57" s="1781">
        <v>-302.91303920899998</v>
      </c>
      <c r="K57" s="1781">
        <v>-273.46554385100001</v>
      </c>
      <c r="L57" s="1777">
        <f>-IS!S25</f>
        <v>-198.40185406016005</v>
      </c>
      <c r="M57" s="1777">
        <f>-IS!T25</f>
        <v>-286.80157815068804</v>
      </c>
      <c r="N57" s="1777">
        <f>-IS!U25</f>
        <v>-1354.925862369872</v>
      </c>
    </row>
    <row r="58" spans="1:14" ht="14.1" customHeight="1">
      <c r="A58" s="96" t="s">
        <v>36</v>
      </c>
      <c r="B58" s="96" t="s">
        <v>661</v>
      </c>
      <c r="C58" s="420">
        <v>664.42331116800005</v>
      </c>
      <c r="D58" s="420">
        <v>1085.420252355</v>
      </c>
      <c r="E58" s="420">
        <v>1722.7947425469999</v>
      </c>
      <c r="F58" s="1781">
        <v>1886.2186573219999</v>
      </c>
      <c r="G58" s="1781">
        <v>-174.06967613500001</v>
      </c>
      <c r="H58" s="1781">
        <v>1595.0563053349999</v>
      </c>
      <c r="I58" s="1781">
        <v>533.70666810800003</v>
      </c>
      <c r="J58" s="1781">
        <v>150.24003859800001</v>
      </c>
      <c r="K58" s="1781">
        <v>454.224823668</v>
      </c>
      <c r="L58" s="1777">
        <f>SUM(L56:L57)</f>
        <v>793.60741624064008</v>
      </c>
      <c r="M58" s="1777">
        <f>SUM(M56:M57)</f>
        <v>1147.206312602752</v>
      </c>
      <c r="N58" s="1777">
        <f>SUM(N56:N57)</f>
        <v>5419.703449479488</v>
      </c>
    </row>
    <row r="59" spans="1:14" ht="14.1" customHeight="1">
      <c r="A59" s="96" t="s">
        <v>2039</v>
      </c>
      <c r="B59" s="96" t="s">
        <v>2040</v>
      </c>
      <c r="C59" s="420">
        <v>127.219780118</v>
      </c>
      <c r="D59" s="420">
        <v>334.529506846</v>
      </c>
      <c r="E59" s="420">
        <v>544.36775728400005</v>
      </c>
      <c r="F59" s="1781">
        <v>669.70390139999995</v>
      </c>
      <c r="G59" s="1781">
        <v>321.67571608899999</v>
      </c>
      <c r="H59" s="1781">
        <v>437.79597700400001</v>
      </c>
      <c r="I59" s="1781">
        <v>318.83747788199997</v>
      </c>
      <c r="J59" s="1781">
        <v>-21.743250632999999</v>
      </c>
      <c r="K59" s="1781">
        <v>201.66249543199999</v>
      </c>
      <c r="L59" s="1777">
        <f>IS!S28</f>
        <v>214.2198175645801</v>
      </c>
      <c r="M59" s="1777">
        <f>IS!T28</f>
        <v>256.69406345319624</v>
      </c>
      <c r="N59" s="1777">
        <f>IS!U28</f>
        <v>307.52474818128559</v>
      </c>
    </row>
    <row r="60" spans="1:14" ht="14.1" customHeight="1">
      <c r="A60" s="96" t="s">
        <v>2041</v>
      </c>
      <c r="B60" s="96" t="s">
        <v>1619</v>
      </c>
      <c r="C60" s="420">
        <v>537.20353105000004</v>
      </c>
      <c r="D60" s="420">
        <v>750.890745509</v>
      </c>
      <c r="E60" s="420">
        <v>1178.426985263</v>
      </c>
      <c r="F60" s="1781">
        <v>1216.5147559219999</v>
      </c>
      <c r="G60" s="1781">
        <v>-495.745392224</v>
      </c>
      <c r="H60" s="1781">
        <v>1157.260328331</v>
      </c>
      <c r="I60" s="1781">
        <v>214.869190226</v>
      </c>
      <c r="J60" s="1781">
        <v>171.98328923099999</v>
      </c>
      <c r="K60" s="1781">
        <v>252.56232823600001</v>
      </c>
      <c r="L60" s="1777">
        <f>L58-L59</f>
        <v>579.38759867605995</v>
      </c>
      <c r="M60" s="1777">
        <f>M58-M59</f>
        <v>890.51224914955571</v>
      </c>
      <c r="N60" s="1777">
        <f>N58-N59</f>
        <v>5112.1787012982022</v>
      </c>
    </row>
    <row r="61" spans="1:14" ht="14.1" customHeight="1">
      <c r="A61" s="96" t="s">
        <v>2042</v>
      </c>
      <c r="B61" s="96" t="s">
        <v>2043</v>
      </c>
      <c r="C61" s="420">
        <v>-26.85</v>
      </c>
      <c r="D61" s="420">
        <v>-37.5</v>
      </c>
      <c r="E61" s="420">
        <v>-58.95</v>
      </c>
      <c r="F61" s="1781">
        <v>-61</v>
      </c>
      <c r="G61" s="1781">
        <v>13.9117948146</v>
      </c>
      <c r="H61" s="1781">
        <v>-60.807670690599998</v>
      </c>
      <c r="I61" s="1781">
        <v>-7.3596000000000004</v>
      </c>
      <c r="J61" s="1781">
        <v>-9.9825448137000006</v>
      </c>
      <c r="K61" s="1781">
        <v>-9.9904530645000005</v>
      </c>
      <c r="L61" s="420" t="e">
        <f ca="1">-Equity!S38</f>
        <v>#NUM!</v>
      </c>
      <c r="M61" s="420" t="e">
        <f ca="1">-Equity!T38</f>
        <v>#NUM!</v>
      </c>
      <c r="N61" s="420" t="e">
        <f ca="1">-Equity!U38</f>
        <v>#NUM!</v>
      </c>
    </row>
    <row r="62" spans="1:14" ht="14.1" customHeight="1">
      <c r="A62" s="96" t="s">
        <v>2044</v>
      </c>
      <c r="B62" s="96" t="s">
        <v>2045</v>
      </c>
      <c r="C62" s="420">
        <v>510.35353105000002</v>
      </c>
      <c r="D62" s="420">
        <v>713.390745509</v>
      </c>
      <c r="E62" s="420">
        <v>1119.476985263</v>
      </c>
      <c r="F62" s="1781">
        <v>1155.5147559219999</v>
      </c>
      <c r="G62" s="1781">
        <v>-481.8335974094</v>
      </c>
      <c r="H62" s="1781">
        <v>1096.4526576404</v>
      </c>
      <c r="I62" s="1781">
        <v>207.509590226</v>
      </c>
      <c r="J62" s="1781">
        <v>162.00074441730001</v>
      </c>
      <c r="K62" s="1781">
        <v>242.57187517150001</v>
      </c>
      <c r="L62" s="1777" t="e">
        <f ca="1">L60+L61</f>
        <v>#NUM!</v>
      </c>
      <c r="M62" s="1777" t="e">
        <f ca="1">M60+M61</f>
        <v>#NUM!</v>
      </c>
      <c r="N62" s="1777" t="e">
        <f ca="1">N60+N61</f>
        <v>#NUM!</v>
      </c>
    </row>
    <row r="63" spans="1:14" ht="14.1" customHeight="1">
      <c r="A63" s="2106" t="s">
        <v>2046</v>
      </c>
      <c r="B63" s="2106" t="s">
        <v>2047</v>
      </c>
      <c r="C63" s="2107">
        <f>Equity!J32</f>
        <v>495.65</v>
      </c>
      <c r="D63" s="2107">
        <f>Equity!K32</f>
        <v>501</v>
      </c>
      <c r="E63" s="2107">
        <f>Equity!L32</f>
        <v>512</v>
      </c>
      <c r="F63" s="2107">
        <f>Equity!M33</f>
        <v>598</v>
      </c>
      <c r="G63" s="2107">
        <f>Equity!N33</f>
        <v>596</v>
      </c>
      <c r="H63" s="2107">
        <f>Equity!O33</f>
        <v>596.02556200000004</v>
      </c>
      <c r="I63" s="2107">
        <f>Equity!P33</f>
        <v>603.02853900000002</v>
      </c>
      <c r="J63" s="2107">
        <f>Equity!Q33</f>
        <v>610.03151600000001</v>
      </c>
      <c r="K63" s="2107">
        <f>Equity!R33</f>
        <v>660.86747549999995</v>
      </c>
      <c r="L63" s="2107">
        <f>Equity!S33</f>
        <v>711.70343500000001</v>
      </c>
      <c r="M63" s="2107">
        <f>Equity!T33</f>
        <v>711.70343500000001</v>
      </c>
      <c r="N63" s="2107">
        <f>Equity!U33</f>
        <v>711.70343500000001</v>
      </c>
    </row>
    <row r="64" spans="1:14" ht="14.1" customHeight="1">
      <c r="A64" s="96" t="s">
        <v>2048</v>
      </c>
      <c r="B64" s="96" t="s">
        <v>523</v>
      </c>
      <c r="C64" s="420">
        <v>934.4597</v>
      </c>
      <c r="D64" s="420">
        <v>1294.2836</v>
      </c>
      <c r="E64" s="420">
        <v>1987.5116</v>
      </c>
      <c r="F64" s="1781">
        <v>1756.0679</v>
      </c>
      <c r="G64" s="1781">
        <v>-734.37149999999997</v>
      </c>
      <c r="H64" s="1781">
        <v>1671.1369999999999</v>
      </c>
      <c r="I64" s="1781">
        <v>309.01029999999997</v>
      </c>
      <c r="J64" s="1781">
        <v>218.3749</v>
      </c>
      <c r="K64" s="1781">
        <v>322.90039999999999</v>
      </c>
      <c r="L64" s="1777" t="e">
        <f ca="1">L62/L63*1000</f>
        <v>#NUM!</v>
      </c>
      <c r="M64" s="1777" t="e">
        <f ca="1">M62/M63*1000</f>
        <v>#NUM!</v>
      </c>
      <c r="N64" s="1777" t="e">
        <f ca="1">N62/N63*1000</f>
        <v>#NUM!</v>
      </c>
    </row>
    <row r="66" spans="1:14" s="1778" customFormat="1" ht="14.1" customHeight="1">
      <c r="A66" s="1778" t="s">
        <v>2049</v>
      </c>
      <c r="B66" s="1778" t="s">
        <v>1949</v>
      </c>
      <c r="C66" s="1778" t="s">
        <v>2383</v>
      </c>
      <c r="D66" s="1778" t="s">
        <v>2384</v>
      </c>
      <c r="E66" s="1778" t="s">
        <v>2385</v>
      </c>
      <c r="F66" s="1778" t="s">
        <v>2386</v>
      </c>
      <c r="G66" s="1778" t="s">
        <v>2395</v>
      </c>
      <c r="H66" s="1778" t="s">
        <v>2407</v>
      </c>
      <c r="I66" s="1778" t="s">
        <v>2416</v>
      </c>
      <c r="J66" s="1778" t="s">
        <v>2529</v>
      </c>
      <c r="K66" s="1778" t="s">
        <v>2551</v>
      </c>
      <c r="L66" s="1778" t="s">
        <v>2533</v>
      </c>
      <c r="M66" s="1778" t="s">
        <v>2556</v>
      </c>
    </row>
    <row r="67" spans="1:14" ht="14.1" customHeight="1">
      <c r="A67" s="96" t="s">
        <v>845</v>
      </c>
      <c r="B67" s="96" t="s">
        <v>2218</v>
      </c>
      <c r="C67" s="420">
        <v>821.238141703</v>
      </c>
      <c r="D67" s="420">
        <v>1335.3200956359999</v>
      </c>
      <c r="E67" s="420">
        <v>2101.7844920580001</v>
      </c>
      <c r="F67" s="1781">
        <v>2388.5137599750001</v>
      </c>
      <c r="G67" s="1781">
        <v>26.890280785000002</v>
      </c>
      <c r="H67" s="1781">
        <v>2516.019318315</v>
      </c>
      <c r="I67" s="1781">
        <v>767.81770026499998</v>
      </c>
      <c r="J67" s="1781">
        <v>453.15307780699999</v>
      </c>
      <c r="K67" s="1781">
        <v>727.69036751900001</v>
      </c>
    </row>
    <row r="68" spans="1:14" ht="14.1" customHeight="1">
      <c r="A68" s="96" t="s">
        <v>2050</v>
      </c>
      <c r="B68" s="96" t="s">
        <v>2051</v>
      </c>
      <c r="C68" s="420">
        <v>8.2086811530000006</v>
      </c>
      <c r="D68" s="420">
        <v>15.340615102999999</v>
      </c>
      <c r="E68" s="420">
        <v>24.427015127000001</v>
      </c>
      <c r="F68" s="1781">
        <v>38.992516975000001</v>
      </c>
      <c r="G68" s="1781">
        <v>56.505292505</v>
      </c>
      <c r="H68" s="1781">
        <v>69.449408602999995</v>
      </c>
      <c r="I68" s="1781">
        <v>85.661079356000002</v>
      </c>
      <c r="J68" s="1781">
        <v>81.825108389999997</v>
      </c>
      <c r="K68" s="1781">
        <v>58.297921062999997</v>
      </c>
    </row>
    <row r="69" spans="1:14" ht="14.1" customHeight="1">
      <c r="A69" s="96" t="s">
        <v>2052</v>
      </c>
      <c r="B69" s="96" t="s">
        <v>2053</v>
      </c>
      <c r="C69" s="420">
        <v>-148.980439453</v>
      </c>
      <c r="D69" s="420">
        <v>-109.190001696</v>
      </c>
      <c r="E69" s="420">
        <v>-257.09560621499998</v>
      </c>
      <c r="F69" s="1781">
        <v>8.9909448259999998</v>
      </c>
      <c r="G69" s="1781">
        <v>880.13900594699999</v>
      </c>
      <c r="H69" s="1781">
        <v>466.97136433100002</v>
      </c>
      <c r="I69" s="1781">
        <v>372.48021469399998</v>
      </c>
      <c r="J69" s="1781">
        <v>275.18408955899997</v>
      </c>
      <c r="K69" s="1781">
        <v>447.95225030400002</v>
      </c>
    </row>
    <row r="70" spans="1:14" ht="14.1" customHeight="1">
      <c r="A70" s="96" t="s">
        <v>1374</v>
      </c>
      <c r="B70" s="96" t="s">
        <v>2054</v>
      </c>
      <c r="C70" s="420">
        <v>-971.50476741299997</v>
      </c>
      <c r="D70" s="420">
        <v>-1942.6360939409999</v>
      </c>
      <c r="E70" s="420">
        <v>-2238.9469936400001</v>
      </c>
      <c r="F70" s="1781">
        <v>-3480.9308712460002</v>
      </c>
      <c r="G70" s="1781">
        <v>-966.72551046700005</v>
      </c>
      <c r="H70" s="1781">
        <v>-856.38377728199998</v>
      </c>
      <c r="I70" s="1781">
        <v>-4064.8171705919999</v>
      </c>
      <c r="J70" s="1781">
        <v>-920.62112207200005</v>
      </c>
      <c r="K70" s="1781">
        <v>-1704.3587985889999</v>
      </c>
    </row>
    <row r="71" spans="1:14" ht="14.1" customHeight="1">
      <c r="A71" s="96" t="s">
        <v>2055</v>
      </c>
      <c r="B71" s="96" t="s">
        <v>2056</v>
      </c>
      <c r="C71" s="420">
        <v>-176.22100392999999</v>
      </c>
      <c r="D71" s="420">
        <v>-352.94442381800002</v>
      </c>
      <c r="E71" s="420">
        <v>-561.923090624</v>
      </c>
      <c r="F71" s="1781">
        <v>-601.33848972199996</v>
      </c>
      <c r="G71" s="1781">
        <v>-777.04020117899995</v>
      </c>
      <c r="H71" s="1781">
        <v>-971.09328319799999</v>
      </c>
      <c r="I71" s="1781">
        <v>-1065.1562001469999</v>
      </c>
      <c r="J71" s="1781">
        <v>-739.52354532699997</v>
      </c>
      <c r="K71" s="1781">
        <v>-851.37285930500002</v>
      </c>
    </row>
    <row r="72" spans="1:14" ht="14.1" customHeight="1">
      <c r="A72" s="96" t="s">
        <v>2057</v>
      </c>
      <c r="B72" s="96" t="s">
        <v>2058</v>
      </c>
      <c r="C72" s="420">
        <v>-467.25938794000001</v>
      </c>
      <c r="D72" s="420">
        <v>-1054.1098087160001</v>
      </c>
      <c r="E72" s="420">
        <v>-931.75418329399997</v>
      </c>
      <c r="F72" s="1781">
        <v>-1645.7721391919999</v>
      </c>
      <c r="G72" s="1781">
        <v>-780.231132409</v>
      </c>
      <c r="H72" s="1781">
        <v>1224.9630307689999</v>
      </c>
      <c r="I72" s="1781">
        <v>-3904.0143764240001</v>
      </c>
      <c r="J72" s="1781">
        <v>-849.98239164300003</v>
      </c>
      <c r="K72" s="1781">
        <v>-1321.7911190079999</v>
      </c>
      <c r="L72" s="1777">
        <f>CF!S15</f>
        <v>-2395.6212582172493</v>
      </c>
      <c r="M72" s="1777">
        <f>CF!T15</f>
        <v>20573.405422205338</v>
      </c>
      <c r="N72" s="1777"/>
    </row>
    <row r="73" spans="1:14" ht="14.1" customHeight="1">
      <c r="A73" s="96" t="s">
        <v>587</v>
      </c>
      <c r="B73" s="96" t="s">
        <v>588</v>
      </c>
      <c r="C73" s="420">
        <v>-25.876041058999999</v>
      </c>
      <c r="D73" s="420">
        <v>-91.695993883</v>
      </c>
      <c r="E73" s="420">
        <v>-134.78429826600001</v>
      </c>
      <c r="F73" s="1781">
        <v>-227.91158074399999</v>
      </c>
      <c r="G73" s="1781">
        <v>-87.342394044000002</v>
      </c>
      <c r="H73" s="1781">
        <v>-34.938421482999999</v>
      </c>
      <c r="I73" s="1781">
        <v>-142.36191620700001</v>
      </c>
      <c r="J73" s="1781">
        <v>-109.486702502</v>
      </c>
      <c r="K73" s="1781">
        <v>-54.452284012</v>
      </c>
      <c r="L73" s="1777"/>
      <c r="M73" s="1777"/>
      <c r="N73" s="1777"/>
    </row>
    <row r="74" spans="1:14" ht="14.1" customHeight="1">
      <c r="A74" s="96" t="s">
        <v>2059</v>
      </c>
      <c r="B74" s="96" t="s">
        <v>2060</v>
      </c>
      <c r="C74" s="420">
        <v>2</v>
      </c>
      <c r="D74" s="420">
        <v>-380.084434364</v>
      </c>
      <c r="E74" s="420">
        <v>197.48729398</v>
      </c>
      <c r="F74" s="1781">
        <v>-941.84330030000001</v>
      </c>
      <c r="G74" s="1781">
        <v>272.72152189899998</v>
      </c>
      <c r="H74" s="1781">
        <v>-199.80267490700001</v>
      </c>
      <c r="I74" s="1781">
        <v>-170.11439197300001</v>
      </c>
      <c r="J74" s="1781">
        <v>-413.74667655100001</v>
      </c>
      <c r="K74" s="1781">
        <v>527.19751714899996</v>
      </c>
      <c r="L74" s="1777"/>
      <c r="M74" s="1777"/>
      <c r="N74" s="1777"/>
    </row>
    <row r="75" spans="1:14" ht="14.1" customHeight="1">
      <c r="A75" s="96" t="s">
        <v>2061</v>
      </c>
      <c r="B75" s="96" t="s">
        <v>2062</v>
      </c>
      <c r="C75" s="420">
        <v>-42.037202774000001</v>
      </c>
      <c r="D75" s="420">
        <v>-652.80968937099999</v>
      </c>
      <c r="E75" s="420">
        <v>-115.285547794</v>
      </c>
      <c r="F75" s="1781">
        <v>-274.13803853799999</v>
      </c>
      <c r="G75" s="1781">
        <v>-601.14821875300004</v>
      </c>
      <c r="H75" s="1781">
        <v>121.952515369</v>
      </c>
      <c r="I75" s="1781">
        <v>481.4547943</v>
      </c>
      <c r="J75" s="1781">
        <v>762.878136348</v>
      </c>
      <c r="K75" s="1781">
        <v>-738.61698651100005</v>
      </c>
      <c r="L75" s="1777"/>
      <c r="M75" s="1777"/>
      <c r="N75" s="1777"/>
    </row>
    <row r="76" spans="1:14" ht="14.1" customHeight="1">
      <c r="A76" s="96" t="s">
        <v>2063</v>
      </c>
      <c r="B76" s="96" t="s">
        <v>2064</v>
      </c>
      <c r="C76" s="420">
        <v>26.265056795</v>
      </c>
      <c r="D76" s="420">
        <v>77.791166472</v>
      </c>
      <c r="E76" s="420">
        <v>52.461008106999998</v>
      </c>
      <c r="F76" s="1781">
        <v>30.962918887000001</v>
      </c>
      <c r="G76" s="1781">
        <v>81.676995853999998</v>
      </c>
      <c r="H76" s="1781">
        <v>122.68814437499999</v>
      </c>
      <c r="I76" s="1781">
        <v>68.159152304000003</v>
      </c>
      <c r="J76" s="1781">
        <v>28.784984716</v>
      </c>
      <c r="K76" s="1781">
        <v>84.926211213000002</v>
      </c>
      <c r="L76" s="1777"/>
      <c r="M76" s="1777"/>
      <c r="N76" s="1777"/>
    </row>
    <row r="77" spans="1:14" ht="14.1" customHeight="1">
      <c r="A77" s="96" t="s">
        <v>2065</v>
      </c>
      <c r="B77" s="96" t="s">
        <v>2066</v>
      </c>
      <c r="C77" s="420">
        <v>-39.648187038000003</v>
      </c>
      <c r="D77" s="420">
        <v>-1046.798951146</v>
      </c>
      <c r="E77" s="420">
        <v>-0.121543973</v>
      </c>
      <c r="F77" s="1781">
        <v>-1412.930000695</v>
      </c>
      <c r="G77" s="1781">
        <v>-334.09209504400002</v>
      </c>
      <c r="H77" s="1781">
        <v>9.8995633539999996</v>
      </c>
      <c r="I77" s="1781">
        <v>237.13763842399999</v>
      </c>
      <c r="J77" s="1781">
        <v>268.42974201099997</v>
      </c>
      <c r="K77" s="1781">
        <v>-180.94554216099999</v>
      </c>
      <c r="L77" s="1777">
        <f>CF!S23</f>
        <v>1</v>
      </c>
      <c r="M77" s="1777">
        <f>CF!T23</f>
        <v>1</v>
      </c>
      <c r="N77" s="1777"/>
    </row>
    <row r="78" spans="1:14" ht="14.1" customHeight="1">
      <c r="A78" s="96" t="s">
        <v>2067</v>
      </c>
      <c r="B78" s="96" t="s">
        <v>2068</v>
      </c>
      <c r="C78" s="420">
        <v>-47.038147275</v>
      </c>
      <c r="D78" s="420">
        <v>-299.618092816</v>
      </c>
      <c r="E78" s="420">
        <v>-475.9529837</v>
      </c>
      <c r="F78" s="1781">
        <v>-479.42185006</v>
      </c>
      <c r="G78" s="1781">
        <v>-430.954616262</v>
      </c>
      <c r="H78" s="1781">
        <v>-299.58489980500002</v>
      </c>
      <c r="I78" s="1781">
        <v>-337.58029176000002</v>
      </c>
      <c r="J78" s="1781">
        <v>-76.013361343</v>
      </c>
      <c r="K78" s="1781">
        <v>-10.352029493</v>
      </c>
      <c r="L78" s="1777"/>
      <c r="M78" s="1777"/>
      <c r="N78" s="1777"/>
    </row>
    <row r="79" spans="1:14" ht="14.1" customHeight="1">
      <c r="A79" s="96" t="s">
        <v>2069</v>
      </c>
      <c r="B79" s="96" t="s">
        <v>2070</v>
      </c>
      <c r="C79" s="420">
        <v>245.448519194</v>
      </c>
      <c r="D79" s="420">
        <v>1866.5842714410001</v>
      </c>
      <c r="E79" s="420">
        <v>337.38707406999998</v>
      </c>
      <c r="F79" s="1781">
        <v>1536.6193291059999</v>
      </c>
      <c r="G79" s="1781">
        <v>1523.131623017</v>
      </c>
      <c r="H79" s="1781">
        <v>-1459.502068581</v>
      </c>
      <c r="I79" s="1781">
        <v>1768.8733952969999</v>
      </c>
      <c r="J79" s="1781">
        <v>-14.334744369999999</v>
      </c>
      <c r="K79" s="1781">
        <v>1260.175310956</v>
      </c>
      <c r="L79" s="1777"/>
      <c r="M79" s="1777"/>
      <c r="N79" s="1777"/>
    </row>
    <row r="80" spans="1:14" ht="14.1" customHeight="1">
      <c r="A80" s="96" t="s">
        <v>2071</v>
      </c>
      <c r="B80" s="96" t="s">
        <v>2072</v>
      </c>
      <c r="C80" s="420">
        <v>1217.1910191300001</v>
      </c>
      <c r="D80" s="420">
        <v>403.16300000000001</v>
      </c>
      <c r="E80" s="420">
        <v>541.57563700000003</v>
      </c>
      <c r="F80" s="1781">
        <v>1636.225952</v>
      </c>
      <c r="G80" s="1781">
        <v>1008.484545475</v>
      </c>
      <c r="H80" s="1781">
        <v>1482.270245377</v>
      </c>
      <c r="I80" s="1781">
        <v>416.88566512099999</v>
      </c>
      <c r="J80" s="1781">
        <v>28.990500001000001</v>
      </c>
      <c r="K80" s="1781">
        <v>1225.924088</v>
      </c>
      <c r="L80" s="1777"/>
      <c r="M80" s="1777"/>
      <c r="N80" s="1777"/>
    </row>
    <row r="81" spans="1:14" ht="14.1" customHeight="1">
      <c r="A81" s="96" t="s">
        <v>2073</v>
      </c>
      <c r="B81" s="96" t="s">
        <v>2074</v>
      </c>
      <c r="C81" s="420">
        <v>0</v>
      </c>
      <c r="D81" s="420">
        <v>0</v>
      </c>
      <c r="E81" s="420">
        <v>0</v>
      </c>
      <c r="F81" s="1781">
        <v>0</v>
      </c>
      <c r="G81" s="1781">
        <v>0</v>
      </c>
      <c r="H81" s="1781">
        <v>0</v>
      </c>
      <c r="I81" s="1781">
        <v>0</v>
      </c>
      <c r="J81" s="1781">
        <v>0</v>
      </c>
      <c r="K81" s="1781">
        <v>0</v>
      </c>
      <c r="L81" s="1777"/>
      <c r="M81" s="1777"/>
      <c r="N81" s="1777"/>
    </row>
    <row r="82" spans="1:14" ht="14.1" customHeight="1">
      <c r="A82" s="96" t="s">
        <v>2075</v>
      </c>
      <c r="B82" s="96" t="s">
        <v>2076</v>
      </c>
      <c r="C82" s="420">
        <v>1415.6013910490001</v>
      </c>
      <c r="D82" s="420">
        <v>1970.1291786249999</v>
      </c>
      <c r="E82" s="420">
        <v>403.00972737000001</v>
      </c>
      <c r="F82" s="1781">
        <v>2693.4234310460001</v>
      </c>
      <c r="G82" s="1781">
        <v>2100.6615522299999</v>
      </c>
      <c r="H82" s="1781">
        <v>-276.81672300899999</v>
      </c>
      <c r="I82" s="1781">
        <v>1848.1787686580001</v>
      </c>
      <c r="J82" s="1781">
        <v>-61.357605712000002</v>
      </c>
      <c r="K82" s="1781">
        <v>2475.7473694629998</v>
      </c>
      <c r="L82" s="1777">
        <f>CF!S32</f>
        <v>0</v>
      </c>
      <c r="M82" s="1777">
        <f>CF!T32</f>
        <v>0</v>
      </c>
      <c r="N82" s="1777"/>
    </row>
    <row r="83" spans="1:14" ht="14.1" customHeight="1">
      <c r="A83" s="96" t="s">
        <v>2077</v>
      </c>
      <c r="B83" s="96" t="s">
        <v>2078</v>
      </c>
      <c r="C83" s="420">
        <v>908.69381607100001</v>
      </c>
      <c r="D83" s="420">
        <v>-130.779581237</v>
      </c>
      <c r="E83" s="420">
        <v>-528.86599989700005</v>
      </c>
      <c r="F83" s="1781">
        <v>-365.27870884100003</v>
      </c>
      <c r="G83" s="1781">
        <v>986.33832477700003</v>
      </c>
      <c r="H83" s="1781">
        <v>958.04587111399997</v>
      </c>
      <c r="I83" s="1781">
        <v>-1818.6979693420001</v>
      </c>
      <c r="J83" s="1781">
        <v>-642.91025534400001</v>
      </c>
      <c r="K83" s="1781">
        <v>973.01070829399998</v>
      </c>
      <c r="L83" s="1777">
        <f>L82+L77+L72</f>
        <v>-2394.6212582172493</v>
      </c>
      <c r="M83" s="1777">
        <f>M82+M77+M72</f>
        <v>20574.405422205338</v>
      </c>
      <c r="N83" s="1777"/>
    </row>
    <row r="85" spans="1:14" s="1778" customFormat="1" ht="14.1" customHeight="1">
      <c r="A85" s="1778" t="s">
        <v>2079</v>
      </c>
      <c r="B85" s="1778" t="s">
        <v>1949</v>
      </c>
      <c r="C85" s="1778" t="s">
        <v>2383</v>
      </c>
      <c r="D85" s="1778" t="s">
        <v>2384</v>
      </c>
      <c r="E85" s="1778" t="s">
        <v>2385</v>
      </c>
      <c r="F85" s="1778" t="s">
        <v>2386</v>
      </c>
      <c r="G85" s="1778" t="s">
        <v>2395</v>
      </c>
      <c r="H85" s="1778" t="s">
        <v>2407</v>
      </c>
      <c r="I85" s="1778" t="s">
        <v>2416</v>
      </c>
      <c r="J85" s="1778" t="s">
        <v>2529</v>
      </c>
      <c r="K85" s="1778" t="s">
        <v>2551</v>
      </c>
      <c r="L85" s="1778" t="s">
        <v>2533</v>
      </c>
    </row>
    <row r="86" spans="1:14" ht="14.1" customHeight="1">
      <c r="A86" s="96" t="s">
        <v>2080</v>
      </c>
      <c r="B86" s="96" t="s">
        <v>1831</v>
      </c>
      <c r="C86" s="420">
        <v>2320.91139204</v>
      </c>
      <c r="D86" s="420">
        <v>7984.6647501139996</v>
      </c>
      <c r="E86" s="420">
        <v>10849.928217758999</v>
      </c>
      <c r="F86" s="1781">
        <v>13076.456027159</v>
      </c>
      <c r="G86" s="1781">
        <v>15156.539510937</v>
      </c>
      <c r="H86" s="1781">
        <v>26929.193307984999</v>
      </c>
      <c r="I86" s="1781">
        <v>17288.901123300999</v>
      </c>
      <c r="J86" s="1781">
        <v>23470.727117884999</v>
      </c>
      <c r="K86" s="1781">
        <v>21211.145615375</v>
      </c>
    </row>
    <row r="87" spans="1:14" ht="14.1" customHeight="1">
      <c r="A87" s="96" t="s">
        <v>2081</v>
      </c>
      <c r="B87" s="96" t="s">
        <v>2082</v>
      </c>
      <c r="C87" s="420">
        <v>0</v>
      </c>
      <c r="D87" s="420">
        <v>0</v>
      </c>
      <c r="E87" s="420">
        <v>0</v>
      </c>
      <c r="F87" s="1781">
        <v>0</v>
      </c>
      <c r="G87" s="1781">
        <v>0</v>
      </c>
      <c r="H87" s="1781">
        <v>0</v>
      </c>
      <c r="I87" s="1781">
        <v>0</v>
      </c>
      <c r="J87" s="1781">
        <v>0</v>
      </c>
      <c r="K87" s="1781">
        <v>0</v>
      </c>
    </row>
    <row r="88" spans="1:14" ht="14.1" customHeight="1">
      <c r="A88" s="96" t="s">
        <v>2083</v>
      </c>
      <c r="B88" s="96" t="s">
        <v>2084</v>
      </c>
      <c r="C88" s="420">
        <v>-855.55409999999995</v>
      </c>
      <c r="D88" s="420">
        <v>-1912.4401</v>
      </c>
      <c r="E88" s="420">
        <v>-1654.2299</v>
      </c>
      <c r="F88" s="1781">
        <v>-2501.1255999999998</v>
      </c>
      <c r="G88" s="1781">
        <v>-1189.1647</v>
      </c>
      <c r="H88" s="1781">
        <v>1867.0036</v>
      </c>
      <c r="I88" s="1781">
        <v>-5813.6139999999996</v>
      </c>
      <c r="J88" s="1781">
        <v>-1145.7652</v>
      </c>
      <c r="K88" s="1781">
        <v>-1759.5070000000001</v>
      </c>
    </row>
    <row r="89" spans="1:14" ht="14.1" customHeight="1">
      <c r="A89" s="96" t="s">
        <v>2085</v>
      </c>
      <c r="B89" s="96" t="s">
        <v>2086</v>
      </c>
      <c r="C89" s="420">
        <v>3162.3883500000002</v>
      </c>
      <c r="D89" s="420">
        <v>6528.4136765000003</v>
      </c>
      <c r="E89" s="420">
        <v>8325.7482727999995</v>
      </c>
      <c r="F89" s="1781">
        <v>7536.8768595000001</v>
      </c>
      <c r="G89" s="1781">
        <v>8266.6805369499998</v>
      </c>
      <c r="H89" s="1781">
        <v>20860.894670000001</v>
      </c>
      <c r="I89" s="1781">
        <v>7777.9018290000004</v>
      </c>
      <c r="J89" s="1781">
        <v>13771.461467249999</v>
      </c>
      <c r="K89" s="1781">
        <v>11242.973586</v>
      </c>
    </row>
    <row r="90" spans="1:14" ht="14.1" customHeight="1">
      <c r="A90" s="2106" t="s">
        <v>4</v>
      </c>
      <c r="B90" s="2106" t="s">
        <v>4</v>
      </c>
      <c r="C90" s="2107">
        <v>651.29397717400002</v>
      </c>
      <c r="D90" s="2107">
        <v>1201.6186528359999</v>
      </c>
      <c r="E90" s="2107">
        <v>1859.468767394</v>
      </c>
      <c r="F90" s="2107"/>
      <c r="G90" s="2107"/>
      <c r="H90" s="2107"/>
      <c r="I90" s="2106"/>
      <c r="J90" s="2106"/>
      <c r="K90" s="2106"/>
      <c r="L90" s="2106"/>
      <c r="M90" s="2106"/>
      <c r="N90" s="2106"/>
    </row>
    <row r="91" spans="1:14" ht="14.1" customHeight="1">
      <c r="A91" s="2106" t="s">
        <v>2087</v>
      </c>
      <c r="B91" s="2106" t="s">
        <v>2088</v>
      </c>
      <c r="C91" s="2107">
        <v>684.06242798100004</v>
      </c>
      <c r="D91" s="2107">
        <v>2529.4046539679998</v>
      </c>
      <c r="E91" s="2107">
        <v>2865.820538726</v>
      </c>
      <c r="F91" s="2107">
        <v>4399.7310068309998</v>
      </c>
      <c r="G91" s="2107"/>
      <c r="H91" s="2107"/>
      <c r="I91" s="2106"/>
      <c r="J91" s="2106"/>
      <c r="K91" s="2106"/>
      <c r="L91" s="2106"/>
      <c r="M91" s="2106"/>
      <c r="N91" s="2106"/>
    </row>
    <row r="92" spans="1:14" ht="14.1" customHeight="1">
      <c r="A92" s="96" t="s">
        <v>2089</v>
      </c>
      <c r="B92" s="96" t="s">
        <v>2090</v>
      </c>
      <c r="C92" s="420">
        <v>-493.135428999</v>
      </c>
      <c r="D92" s="420">
        <v>-1145.8058025989999</v>
      </c>
      <c r="E92" s="420">
        <v>-1066.53848156</v>
      </c>
      <c r="F92" s="1781">
        <v>-1873.683719936</v>
      </c>
      <c r="G92" s="1781">
        <v>-867.573526453</v>
      </c>
      <c r="H92" s="1781">
        <v>1190.024609286</v>
      </c>
      <c r="I92" s="1781">
        <v>-4046.3762926310001</v>
      </c>
      <c r="J92" s="1781">
        <v>-959.46909414499999</v>
      </c>
      <c r="K92" s="1781">
        <v>-1376.24340302</v>
      </c>
    </row>
    <row r="93" spans="1:14" ht="14.1" customHeight="1">
      <c r="A93" s="96" t="s">
        <v>2091</v>
      </c>
      <c r="B93" s="96" t="s">
        <v>2092</v>
      </c>
      <c r="C93" s="420">
        <v>4221.4175010749996</v>
      </c>
      <c r="D93" s="420">
        <v>7183.2498315330004</v>
      </c>
      <c r="E93" s="420">
        <v>9064.9146247089993</v>
      </c>
      <c r="F93" s="1781">
        <v>13627.552374915</v>
      </c>
      <c r="G93" s="1781">
        <v>15029.357128178</v>
      </c>
      <c r="H93" s="1781">
        <v>17861.385951470998</v>
      </c>
      <c r="I93" s="1781">
        <v>19856.296158157998</v>
      </c>
      <c r="J93" s="1781">
        <v>19475.667610459001</v>
      </c>
      <c r="K93" s="1781">
        <v>21758.867271266001</v>
      </c>
    </row>
    <row r="94" spans="1:14" ht="14.1" customHeight="1">
      <c r="A94" s="96" t="s">
        <v>2093</v>
      </c>
      <c r="B94" s="96" t="s">
        <v>2094</v>
      </c>
      <c r="F94" s="1781"/>
      <c r="G94" s="1781"/>
      <c r="H94" s="1781"/>
      <c r="I94" s="2173"/>
      <c r="J94" s="2173"/>
      <c r="K94" s="2173"/>
    </row>
    <row r="95" spans="1:14" ht="14.1" customHeight="1">
      <c r="A95" s="96" t="s">
        <v>1446</v>
      </c>
      <c r="B95" s="96" t="s">
        <v>2095</v>
      </c>
      <c r="C95" s="1779">
        <v>0.19089999999999999</v>
      </c>
      <c r="D95" s="1779">
        <v>0.18709999999999999</v>
      </c>
      <c r="E95" s="1779">
        <v>0.18029999999999999</v>
      </c>
      <c r="F95" s="2105">
        <v>0.21029999999999999</v>
      </c>
      <c r="G95" s="2105">
        <v>7.4733000000000001</v>
      </c>
      <c r="H95" s="2105">
        <v>0.36599999999999999</v>
      </c>
      <c r="I95" s="2105">
        <v>0.3049</v>
      </c>
      <c r="J95" s="2105">
        <v>0.66849999999999998</v>
      </c>
      <c r="K95" s="2105">
        <v>0.37580000000000002</v>
      </c>
    </row>
    <row r="96" spans="1:14" ht="14.1" customHeight="1">
      <c r="A96" s="2106" t="s">
        <v>2096</v>
      </c>
      <c r="B96" s="2106" t="s">
        <v>2097</v>
      </c>
      <c r="C96" s="2107">
        <v>523.95699999999999</v>
      </c>
      <c r="D96" s="2107">
        <v>528.78899999999999</v>
      </c>
      <c r="E96" s="2107">
        <v>540.36900000000003</v>
      </c>
      <c r="F96" s="2107">
        <v>631.27599999999995</v>
      </c>
      <c r="G96" s="2107">
        <v>629.45699999999999</v>
      </c>
      <c r="H96" s="2107">
        <v>629.452</v>
      </c>
      <c r="I96" s="2107">
        <v>644.24300000000005</v>
      </c>
      <c r="J96" s="2107">
        <v>711.70299999999997</v>
      </c>
      <c r="K96" s="2106"/>
      <c r="L96" s="2106"/>
      <c r="M96" s="2106"/>
      <c r="N96" s="2106"/>
    </row>
    <row r="98" spans="1:14" s="1778" customFormat="1" ht="14.1" customHeight="1">
      <c r="A98" s="2174" t="s">
        <v>2098</v>
      </c>
      <c r="B98" s="2174" t="s">
        <v>1949</v>
      </c>
      <c r="C98" s="2174" t="s">
        <v>2383</v>
      </c>
      <c r="D98" s="2174" t="s">
        <v>2384</v>
      </c>
      <c r="E98" s="2174" t="s">
        <v>2385</v>
      </c>
      <c r="F98" s="2174" t="s">
        <v>2386</v>
      </c>
      <c r="G98" s="2174" t="s">
        <v>2395</v>
      </c>
      <c r="H98" s="2174" t="s">
        <v>2407</v>
      </c>
      <c r="I98" s="2174" t="s">
        <v>2241</v>
      </c>
      <c r="J98" s="2174"/>
      <c r="K98" s="2174"/>
      <c r="L98" s="2174"/>
      <c r="M98" s="2174"/>
      <c r="N98" s="2174"/>
    </row>
    <row r="99" spans="1:14" ht="14.1" customHeight="1">
      <c r="A99" s="2106" t="s">
        <v>2099</v>
      </c>
      <c r="B99" s="2106" t="s">
        <v>2099</v>
      </c>
      <c r="C99" s="2107"/>
      <c r="D99" s="2107"/>
      <c r="E99" s="2107"/>
      <c r="F99" s="2107"/>
      <c r="G99" s="2107"/>
      <c r="H99" s="2107"/>
      <c r="I99" s="2106"/>
      <c r="J99" s="2106"/>
      <c r="K99" s="2106"/>
      <c r="L99" s="2106"/>
      <c r="M99" s="2106"/>
      <c r="N99" s="2106"/>
    </row>
    <row r="100" spans="1:14" ht="14.1" customHeight="1">
      <c r="A100" s="2106" t="s">
        <v>661</v>
      </c>
      <c r="B100" s="2106" t="s">
        <v>2100</v>
      </c>
      <c r="C100" s="2107"/>
      <c r="D100" s="2107"/>
      <c r="E100" s="2107"/>
      <c r="F100" s="2107"/>
      <c r="G100" s="2107"/>
      <c r="H100" s="2107"/>
      <c r="I100" s="2106"/>
      <c r="J100" s="2106"/>
      <c r="K100" s="2106"/>
      <c r="L100" s="2106"/>
      <c r="M100" s="2106"/>
      <c r="N100" s="2106"/>
    </row>
    <row r="101" spans="1:14" ht="14.1" customHeight="1">
      <c r="A101" s="2106" t="s">
        <v>251</v>
      </c>
      <c r="B101" s="2106" t="s">
        <v>2101</v>
      </c>
      <c r="C101" s="2107"/>
      <c r="D101" s="2107"/>
      <c r="E101" s="2107"/>
      <c r="F101" s="2107"/>
      <c r="G101" s="2107"/>
      <c r="H101" s="2107"/>
      <c r="I101" s="2106"/>
      <c r="J101" s="2106"/>
      <c r="K101" s="2106"/>
      <c r="L101" s="2106"/>
      <c r="M101" s="2106"/>
      <c r="N101" s="2106"/>
    </row>
    <row r="102" spans="1:14" ht="14.1" customHeight="1">
      <c r="A102" s="2106" t="s">
        <v>1907</v>
      </c>
      <c r="B102" s="2106" t="s">
        <v>1907</v>
      </c>
      <c r="C102" s="2107"/>
      <c r="D102" s="2107"/>
      <c r="E102" s="2107"/>
      <c r="F102" s="2107"/>
      <c r="G102" s="2107"/>
      <c r="H102" s="2107"/>
      <c r="I102" s="2106"/>
      <c r="J102" s="2106"/>
      <c r="K102" s="2106"/>
      <c r="L102" s="2106"/>
      <c r="M102" s="2106"/>
      <c r="N102" s="2106"/>
    </row>
    <row r="103" spans="1:14" ht="14.1" customHeight="1">
      <c r="A103" s="2106" t="s">
        <v>661</v>
      </c>
      <c r="B103" s="2106" t="s">
        <v>2102</v>
      </c>
      <c r="C103" s="2107"/>
      <c r="D103" s="2107"/>
      <c r="E103" s="2107"/>
      <c r="F103" s="2107"/>
      <c r="G103" s="2107"/>
      <c r="H103" s="2107"/>
      <c r="I103" s="2175">
        <v>1748</v>
      </c>
      <c r="J103" s="2107"/>
      <c r="K103" s="2106"/>
      <c r="L103" s="2106"/>
      <c r="M103" s="2106"/>
      <c r="N103" s="2106"/>
    </row>
    <row r="104" spans="1:14" ht="14.1" customHeight="1">
      <c r="A104" s="2106" t="s">
        <v>251</v>
      </c>
      <c r="B104" s="2106" t="s">
        <v>2103</v>
      </c>
      <c r="C104" s="2107"/>
      <c r="D104" s="2107"/>
      <c r="E104" s="2107"/>
      <c r="F104" s="2107"/>
      <c r="G104" s="2107"/>
      <c r="H104" s="2107"/>
      <c r="I104" s="2106"/>
      <c r="J104" s="2106"/>
      <c r="K104" s="2106"/>
      <c r="L104" s="2106"/>
      <c r="M104" s="2106"/>
      <c r="N104" s="2106"/>
    </row>
    <row r="105" spans="1:14" ht="14.1" customHeight="1">
      <c r="A105" s="2106" t="s">
        <v>1906</v>
      </c>
      <c r="B105" s="2106" t="s">
        <v>1906</v>
      </c>
      <c r="C105" s="2107"/>
      <c r="D105" s="2107"/>
      <c r="E105" s="2107"/>
      <c r="F105" s="2107"/>
      <c r="G105" s="2107"/>
      <c r="H105" s="2107"/>
      <c r="I105" s="2106"/>
      <c r="J105" s="2106"/>
      <c r="K105" s="2106"/>
      <c r="L105" s="2106"/>
      <c r="M105" s="2106"/>
      <c r="N105" s="2106"/>
    </row>
    <row r="106" spans="1:14" ht="14.1" customHeight="1">
      <c r="A106" s="2106" t="s">
        <v>661</v>
      </c>
      <c r="B106" s="2106" t="s">
        <v>2104</v>
      </c>
      <c r="C106" s="2107"/>
      <c r="D106" s="2107"/>
      <c r="E106" s="2107"/>
      <c r="F106" s="2107"/>
      <c r="G106" s="2107"/>
      <c r="H106" s="2107"/>
      <c r="I106" s="2175">
        <v>1396</v>
      </c>
      <c r="J106" s="2106"/>
      <c r="K106" s="2106"/>
      <c r="L106" s="2106"/>
      <c r="M106" s="2106"/>
      <c r="N106" s="2106"/>
    </row>
    <row r="107" spans="1:14" ht="14.1" customHeight="1">
      <c r="A107" s="2106" t="s">
        <v>251</v>
      </c>
      <c r="B107" s="2106" t="s">
        <v>2105</v>
      </c>
      <c r="C107" s="2107"/>
      <c r="D107" s="2107"/>
      <c r="E107" s="2107"/>
      <c r="F107" s="2107"/>
      <c r="G107" s="2107"/>
      <c r="H107" s="2107"/>
      <c r="I107" s="2106"/>
      <c r="J107" s="2106"/>
      <c r="K107" s="2106"/>
      <c r="L107" s="2106"/>
      <c r="M107" s="2106"/>
      <c r="N107" s="2106"/>
    </row>
    <row r="108" spans="1:14" ht="14.1" customHeight="1">
      <c r="A108" s="2106" t="s">
        <v>2106</v>
      </c>
      <c r="B108" s="2106" t="s">
        <v>2106</v>
      </c>
      <c r="C108" s="2107"/>
      <c r="D108" s="2107"/>
      <c r="E108" s="2107"/>
      <c r="F108" s="2107"/>
      <c r="G108" s="2107"/>
      <c r="H108" s="2107"/>
      <c r="I108" s="2106"/>
      <c r="J108" s="2106"/>
      <c r="K108" s="2106"/>
      <c r="L108" s="2106"/>
      <c r="M108" s="2106"/>
      <c r="N108" s="2106"/>
    </row>
    <row r="109" spans="1:14" ht="14.1" customHeight="1">
      <c r="A109" s="2106" t="s">
        <v>2107</v>
      </c>
      <c r="B109" s="2106" t="s">
        <v>2107</v>
      </c>
      <c r="C109" s="2107"/>
      <c r="D109" s="2107"/>
      <c r="E109" s="2107"/>
      <c r="F109" s="2107"/>
      <c r="G109" s="2107"/>
      <c r="H109" s="2107"/>
      <c r="I109" s="2106"/>
      <c r="J109" s="2106"/>
      <c r="K109" s="2106"/>
      <c r="L109" s="2106"/>
      <c r="M109" s="2106"/>
      <c r="N109" s="2106"/>
    </row>
    <row r="110" spans="1:14" ht="14.1" customHeight="1">
      <c r="A110" s="2106" t="s">
        <v>2108</v>
      </c>
      <c r="B110" s="2106" t="s">
        <v>2108</v>
      </c>
      <c r="C110" s="2107"/>
      <c r="D110" s="2107"/>
      <c r="E110" s="2107"/>
      <c r="F110" s="2107"/>
      <c r="G110" s="2107"/>
      <c r="H110" s="2107"/>
      <c r="I110" s="2106"/>
      <c r="J110" s="2106"/>
      <c r="K110" s="2106"/>
      <c r="L110" s="2106"/>
      <c r="M110" s="2106"/>
      <c r="N110" s="2106"/>
    </row>
  </sheetData>
  <pageMargins left="0.7" right="0.7" top="0.75" bottom="0.75" header="0.3" footer="0.3"/>
  <pageSetup orientation="portrait" r:id="rId1"/>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72C9-EDF3-4F9C-96F7-04FC87F74280}">
  <dimension ref="A1:AL99"/>
  <sheetViews>
    <sheetView workbookViewId="0">
      <pane xSplit="2" ySplit="3" topLeftCell="W4" activePane="bottomRight" state="frozen"/>
      <selection pane="topRight" activeCell="C1" sqref="C1"/>
      <selection pane="bottomLeft" activeCell="A4" sqref="A4"/>
      <selection pane="bottomRight" activeCell="AQ17" sqref="AQ17"/>
    </sheetView>
  </sheetViews>
  <sheetFormatPr defaultColWidth="8.85546875" defaultRowHeight="14.1" customHeight="1"/>
  <cols>
    <col min="1" max="1" width="29.42578125" style="96" bestFit="1" customWidth="1"/>
    <col min="2" max="2" width="20.7109375" style="96" bestFit="1" customWidth="1"/>
    <col min="3" max="30" width="8.85546875" style="420"/>
    <col min="31" max="16384" width="8.85546875" style="96"/>
  </cols>
  <sheetData>
    <row r="1" spans="1:38" ht="14.1" customHeight="1">
      <c r="A1" s="96" t="s">
        <v>1950</v>
      </c>
      <c r="B1" s="96" t="s">
        <v>488</v>
      </c>
      <c r="C1" s="420" t="s">
        <v>653</v>
      </c>
    </row>
    <row r="3" spans="1:38" s="1778" customFormat="1" ht="14.1" customHeight="1">
      <c r="A3" s="1778" t="s">
        <v>1602</v>
      </c>
      <c r="B3" s="1778" t="s">
        <v>1949</v>
      </c>
      <c r="C3" s="1778" t="s">
        <v>2489</v>
      </c>
      <c r="D3" s="1778" t="s">
        <v>2490</v>
      </c>
      <c r="E3" s="1778" t="s">
        <v>2491</v>
      </c>
      <c r="F3" s="1778" t="s">
        <v>2492</v>
      </c>
      <c r="G3" s="1778" t="s">
        <v>2493</v>
      </c>
      <c r="H3" s="1778" t="s">
        <v>2494</v>
      </c>
      <c r="I3" s="1778" t="s">
        <v>2495</v>
      </c>
      <c r="J3" s="1778" t="s">
        <v>2496</v>
      </c>
      <c r="K3" s="1778" t="s">
        <v>2497</v>
      </c>
      <c r="L3" s="1778" t="s">
        <v>2498</v>
      </c>
      <c r="M3" s="1778" t="s">
        <v>2499</v>
      </c>
      <c r="N3" s="1778" t="s">
        <v>2500</v>
      </c>
      <c r="O3" s="1778" t="s">
        <v>2501</v>
      </c>
      <c r="P3" s="1778" t="s">
        <v>2502</v>
      </c>
      <c r="Q3" s="1778" t="s">
        <v>2503</v>
      </c>
      <c r="R3" s="1778" t="s">
        <v>2504</v>
      </c>
      <c r="S3" s="1778" t="s">
        <v>2505</v>
      </c>
      <c r="T3" s="1778" t="s">
        <v>2506</v>
      </c>
      <c r="U3" s="1778" t="s">
        <v>2507</v>
      </c>
      <c r="V3" s="1778" t="s">
        <v>2508</v>
      </c>
      <c r="W3" s="1778" t="s">
        <v>2509</v>
      </c>
      <c r="X3" s="1778" t="s">
        <v>2510</v>
      </c>
      <c r="Y3" s="1778" t="s">
        <v>2511</v>
      </c>
      <c r="Z3" s="1778" t="s">
        <v>2512</v>
      </c>
      <c r="AA3" s="1778" t="s">
        <v>2513</v>
      </c>
      <c r="AB3" s="1778" t="s">
        <v>2514</v>
      </c>
      <c r="AC3" s="1778" t="s">
        <v>2515</v>
      </c>
      <c r="AD3" s="1778" t="s">
        <v>2516</v>
      </c>
      <c r="AE3" s="1778" t="s">
        <v>2517</v>
      </c>
      <c r="AF3" s="1778" t="s">
        <v>2518</v>
      </c>
      <c r="AG3" s="1778" t="s">
        <v>2530</v>
      </c>
      <c r="AH3" s="1778" t="s">
        <v>2531</v>
      </c>
      <c r="AI3" s="1778" t="s">
        <v>2534</v>
      </c>
      <c r="AJ3" s="1778" t="s">
        <v>2552</v>
      </c>
      <c r="AK3" s="1778" t="s">
        <v>2553</v>
      </c>
      <c r="AL3" s="1778" t="s">
        <v>2554</v>
      </c>
    </row>
    <row r="4" spans="1:38" ht="14.1" customHeight="1">
      <c r="A4" s="96" t="s">
        <v>2417</v>
      </c>
      <c r="B4" s="96" t="s">
        <v>2024</v>
      </c>
      <c r="C4" s="420">
        <v>315.08643361499998</v>
      </c>
      <c r="D4" s="420">
        <v>771.818238307</v>
      </c>
      <c r="E4" s="420">
        <v>233.98551066300001</v>
      </c>
      <c r="F4" s="420">
        <v>1185.6266748749999</v>
      </c>
      <c r="G4" s="420">
        <v>586.27962480899998</v>
      </c>
      <c r="H4" s="420">
        <v>293.03252974200001</v>
      </c>
      <c r="I4" s="420">
        <v>796.95652991099996</v>
      </c>
      <c r="J4" s="420">
        <v>1202.972705485</v>
      </c>
      <c r="K4" s="420">
        <v>1183.6217127469999</v>
      </c>
      <c r="L4" s="420">
        <v>763.77767966099998</v>
      </c>
      <c r="M4" s="420">
        <v>1289.2268101510001</v>
      </c>
      <c r="N4" s="420">
        <v>1408.6926718090001</v>
      </c>
      <c r="O4" s="420">
        <v>1498.290370125</v>
      </c>
      <c r="P4" s="420">
        <v>842.41313952999997</v>
      </c>
      <c r="Q4" s="420">
        <v>1457.127466661</v>
      </c>
      <c r="R4" s="420">
        <v>2015.746755702</v>
      </c>
      <c r="S4" s="420">
        <v>601.74250932799998</v>
      </c>
      <c r="T4" s="420">
        <v>478.08451338200001</v>
      </c>
      <c r="U4" s="420">
        <v>796.96393443700003</v>
      </c>
      <c r="V4" s="420">
        <v>1013.862926581</v>
      </c>
      <c r="W4" s="420">
        <v>2953.6856340089998</v>
      </c>
      <c r="X4" s="420">
        <v>3563.1558684659999</v>
      </c>
      <c r="Y4" s="420">
        <v>1302.6207153749999</v>
      </c>
      <c r="Z4" s="420">
        <v>2263.5560644299999</v>
      </c>
      <c r="AA4" s="420">
        <v>1792.196132625</v>
      </c>
      <c r="AB4" s="420">
        <v>1549.8063644609999</v>
      </c>
      <c r="AC4" s="420">
        <v>1255.054866937</v>
      </c>
      <c r="AD4" s="420">
        <v>984.36510401700002</v>
      </c>
      <c r="AE4" s="420">
        <v>378.09306504599999</v>
      </c>
      <c r="AF4" s="420">
        <v>713.82165285099995</v>
      </c>
      <c r="AG4" s="420">
        <v>1213.881428313</v>
      </c>
      <c r="AH4" s="420">
        <v>1400.1624067590001</v>
      </c>
      <c r="AI4" s="420">
        <v>1064.6824549190001</v>
      </c>
      <c r="AJ4" s="420">
        <v>1125.93619076</v>
      </c>
      <c r="AK4" s="420">
        <v>1013.079922357</v>
      </c>
      <c r="AL4" s="420">
        <v>1529.4946044579999</v>
      </c>
    </row>
    <row r="5" spans="1:38" ht="14.1" customHeight="1">
      <c r="A5" s="96" t="s">
        <v>2025</v>
      </c>
      <c r="B5" s="96" t="s">
        <v>432</v>
      </c>
      <c r="C5" s="420">
        <v>-214.80860743</v>
      </c>
      <c r="D5" s="420">
        <v>-527.12664516300003</v>
      </c>
      <c r="E5" s="420">
        <v>-136.16931829000001</v>
      </c>
      <c r="F5" s="420">
        <v>-576.77502115200002</v>
      </c>
      <c r="G5" s="420">
        <v>-295.89650969600001</v>
      </c>
      <c r="H5" s="420">
        <v>-98.887904921000001</v>
      </c>
      <c r="I5" s="420">
        <v>-235.53285682699999</v>
      </c>
      <c r="J5" s="420">
        <v>-519.12274967899998</v>
      </c>
      <c r="K5" s="420">
        <v>-681.33301113000005</v>
      </c>
      <c r="L5" s="420">
        <v>-229.90056261199999</v>
      </c>
      <c r="M5" s="420">
        <v>-729.89509860099997</v>
      </c>
      <c r="N5" s="420">
        <v>-389.11941673600001</v>
      </c>
      <c r="O5" s="420">
        <v>-797.55959127000006</v>
      </c>
      <c r="P5" s="420">
        <v>-366.42173982399999</v>
      </c>
      <c r="Q5" s="420">
        <v>-501.41024673200002</v>
      </c>
      <c r="R5" s="420">
        <v>-1064.583930771</v>
      </c>
      <c r="S5" s="420">
        <v>-237.79351167300001</v>
      </c>
      <c r="T5" s="420">
        <v>-120.921527321</v>
      </c>
      <c r="U5" s="420">
        <v>-161.24044578100001</v>
      </c>
      <c r="V5" s="420">
        <v>-496.09273034799998</v>
      </c>
      <c r="W5" s="420">
        <v>-1217.294276694</v>
      </c>
      <c r="X5" s="420">
        <v>-1607.6184351679999</v>
      </c>
      <c r="Y5" s="420">
        <v>-520.10303109799997</v>
      </c>
      <c r="Z5" s="420">
        <v>-1146.576167488</v>
      </c>
      <c r="AA5" s="420">
        <v>-755.67319282400001</v>
      </c>
      <c r="AB5" s="420">
        <v>-756.85408287999996</v>
      </c>
      <c r="AC5" s="420">
        <v>-573.63353612100002</v>
      </c>
      <c r="AD5" s="420">
        <v>-550.60288330499998</v>
      </c>
      <c r="AE5" s="420">
        <v>-211.71502057000001</v>
      </c>
      <c r="AF5" s="420">
        <v>-423.71791328</v>
      </c>
      <c r="AG5" s="420">
        <v>-620.27641937199996</v>
      </c>
      <c r="AH5" s="420">
        <v>-757.407350931</v>
      </c>
      <c r="AI5" s="420">
        <v>-592.20126019199995</v>
      </c>
      <c r="AJ5" s="420">
        <v>-587.25232758899995</v>
      </c>
      <c r="AK5" s="420">
        <v>-508.02519071099999</v>
      </c>
      <c r="AL5" s="420">
        <v>-760.88570831599998</v>
      </c>
    </row>
    <row r="6" spans="1:38" ht="14.1" customHeight="1">
      <c r="A6" s="96" t="s">
        <v>1336</v>
      </c>
      <c r="B6" s="96" t="s">
        <v>2026</v>
      </c>
      <c r="C6" s="420">
        <v>100.277826185</v>
      </c>
      <c r="D6" s="420">
        <v>244.691593144</v>
      </c>
      <c r="E6" s="420">
        <v>97.816192373000007</v>
      </c>
      <c r="F6" s="420">
        <v>608.85165372300003</v>
      </c>
      <c r="G6" s="420">
        <v>290.38311511299997</v>
      </c>
      <c r="H6" s="420">
        <v>194.14462482100001</v>
      </c>
      <c r="I6" s="420">
        <v>561.42367308400003</v>
      </c>
      <c r="J6" s="420">
        <v>683.84995580600003</v>
      </c>
      <c r="K6" s="420">
        <v>502.28870161700002</v>
      </c>
      <c r="L6" s="420">
        <v>533.87711704900005</v>
      </c>
      <c r="M6" s="420">
        <v>559.33171155000002</v>
      </c>
      <c r="N6" s="420">
        <v>1019.573255073</v>
      </c>
      <c r="O6" s="420">
        <v>700.73077885500004</v>
      </c>
      <c r="P6" s="420">
        <v>475.99139970599998</v>
      </c>
      <c r="Q6" s="420">
        <v>955.71721992899995</v>
      </c>
      <c r="R6" s="420">
        <v>951.16282493100005</v>
      </c>
      <c r="S6" s="420">
        <v>363.94899765500003</v>
      </c>
      <c r="T6" s="420">
        <v>357.16298606100003</v>
      </c>
      <c r="U6" s="420">
        <v>635.72348865599997</v>
      </c>
      <c r="V6" s="420">
        <v>517.77019623299998</v>
      </c>
      <c r="W6" s="420">
        <v>1736.3913573150001</v>
      </c>
      <c r="X6" s="420">
        <v>1955.537433298</v>
      </c>
      <c r="Y6" s="420">
        <v>782.51768427699994</v>
      </c>
      <c r="Z6" s="420">
        <v>1116.9798969420001</v>
      </c>
      <c r="AA6" s="420">
        <v>1036.5229398009999</v>
      </c>
      <c r="AB6" s="420">
        <v>792.95228158099997</v>
      </c>
      <c r="AC6" s="420">
        <v>681.42133081600002</v>
      </c>
      <c r="AD6" s="420">
        <v>433.76222071199999</v>
      </c>
      <c r="AE6" s="420">
        <v>166.37804447600001</v>
      </c>
      <c r="AF6" s="420">
        <v>290.10373957100001</v>
      </c>
      <c r="AG6" s="420">
        <v>593.60500894100005</v>
      </c>
      <c r="AH6" s="420">
        <v>642.75505582799997</v>
      </c>
      <c r="AI6" s="420">
        <v>472.481194727</v>
      </c>
      <c r="AJ6" s="420">
        <v>538.68386317099998</v>
      </c>
      <c r="AK6" s="420">
        <v>505.05473164599999</v>
      </c>
      <c r="AL6" s="420">
        <v>768.60889614200005</v>
      </c>
    </row>
    <row r="7" spans="1:38" ht="14.1" customHeight="1">
      <c r="A7" s="96" t="s">
        <v>2027</v>
      </c>
      <c r="B7" s="96" t="s">
        <v>2028</v>
      </c>
      <c r="C7" s="420">
        <v>-41.421641541</v>
      </c>
      <c r="D7" s="420">
        <v>-56.703019165000001</v>
      </c>
      <c r="E7" s="420">
        <v>-43.324262597999997</v>
      </c>
      <c r="F7" s="420">
        <v>-94.303930485999999</v>
      </c>
      <c r="G7" s="420">
        <v>-57.473283211999998</v>
      </c>
      <c r="H7" s="420">
        <v>-62.615943270000002</v>
      </c>
      <c r="I7" s="420">
        <v>-72.434202330000005</v>
      </c>
      <c r="J7" s="420">
        <v>-102.442191689</v>
      </c>
      <c r="K7" s="420">
        <v>-86.657258161000001</v>
      </c>
      <c r="L7" s="420">
        <v>-92.846561351000005</v>
      </c>
      <c r="M7" s="420">
        <v>-123.877507483</v>
      </c>
      <c r="N7" s="420">
        <v>-130.59178142299999</v>
      </c>
      <c r="O7" s="420">
        <v>-124.321223362</v>
      </c>
      <c r="P7" s="420">
        <v>-109.413516882</v>
      </c>
      <c r="Q7" s="420">
        <v>-120.232861473</v>
      </c>
      <c r="R7" s="420">
        <v>-129.15870684399999</v>
      </c>
      <c r="S7" s="420">
        <v>-84.719174941000006</v>
      </c>
      <c r="T7" s="420">
        <v>-99.977629472999993</v>
      </c>
      <c r="U7" s="420">
        <v>-127.665357851</v>
      </c>
      <c r="V7" s="420">
        <v>-176.17368591100001</v>
      </c>
      <c r="W7" s="420">
        <v>-562.680882881</v>
      </c>
      <c r="X7" s="420">
        <v>-701.12366032800003</v>
      </c>
      <c r="Y7" s="420">
        <v>-289.103166079</v>
      </c>
      <c r="Z7" s="420">
        <v>-328.20901260099998</v>
      </c>
      <c r="AA7" s="420">
        <v>-260.88151800999998</v>
      </c>
      <c r="AB7" s="420">
        <v>-274.56062185100001</v>
      </c>
      <c r="AC7" s="420">
        <v>-272.666250703</v>
      </c>
      <c r="AD7" s="420">
        <v>-248.80915900400001</v>
      </c>
      <c r="AE7" s="420">
        <v>-78.242500428</v>
      </c>
      <c r="AF7" s="420">
        <v>-108.122280484</v>
      </c>
      <c r="AG7" s="420">
        <v>-183.84222758300001</v>
      </c>
      <c r="AH7" s="420">
        <v>-213.08464689300001</v>
      </c>
      <c r="AI7" s="420">
        <v>-144.97525226900001</v>
      </c>
      <c r="AJ7" s="420">
        <v>-211.79150368699999</v>
      </c>
      <c r="AK7" s="420">
        <v>-166.318367169</v>
      </c>
      <c r="AL7" s="420">
        <v>-207.53848313399999</v>
      </c>
    </row>
    <row r="8" spans="1:38" ht="14.1" customHeight="1">
      <c r="A8" s="96" t="s">
        <v>2029</v>
      </c>
      <c r="B8" s="96" t="s">
        <v>2030</v>
      </c>
      <c r="C8" s="420">
        <v>-36.244553066000002</v>
      </c>
      <c r="D8" s="420">
        <v>-38.013098681000002</v>
      </c>
      <c r="E8" s="420">
        <v>-35.896681274999999</v>
      </c>
      <c r="F8" s="420">
        <v>-62.644782591999999</v>
      </c>
      <c r="G8" s="420">
        <v>-46.448404318999998</v>
      </c>
      <c r="H8" s="420">
        <v>-57.292863957000002</v>
      </c>
      <c r="I8" s="420">
        <v>-62.736482746999997</v>
      </c>
      <c r="J8" s="420">
        <v>-82.079959567000003</v>
      </c>
      <c r="K8" s="420">
        <v>-68.401103090999996</v>
      </c>
      <c r="L8" s="420">
        <v>-81.947770610000006</v>
      </c>
      <c r="M8" s="420">
        <v>-81.662341225999995</v>
      </c>
      <c r="N8" s="420">
        <v>-114.20829072399999</v>
      </c>
      <c r="O8" s="420">
        <v>-99.054417040999994</v>
      </c>
      <c r="P8" s="420">
        <v>-119.452277119</v>
      </c>
      <c r="Q8" s="420">
        <v>-128.822029754</v>
      </c>
      <c r="R8" s="420">
        <v>-154.135293754</v>
      </c>
      <c r="S8" s="420">
        <v>-121.058364287</v>
      </c>
      <c r="T8" s="420">
        <v>-88.594598688999994</v>
      </c>
      <c r="U8" s="420">
        <v>-121.874233006</v>
      </c>
      <c r="V8" s="420">
        <v>-214.92695203</v>
      </c>
      <c r="W8" s="420">
        <v>-148.69995187699999</v>
      </c>
      <c r="X8" s="420">
        <v>-189.236534162</v>
      </c>
      <c r="Y8" s="420">
        <v>-143.888432811</v>
      </c>
      <c r="Z8" s="420">
        <v>-515.80728746</v>
      </c>
      <c r="AA8" s="420">
        <v>-172.11723234600001</v>
      </c>
      <c r="AB8" s="420">
        <v>-272.28930438899999</v>
      </c>
      <c r="AC8" s="420">
        <v>-188.05356320300001</v>
      </c>
      <c r="AD8" s="420">
        <v>-449.23126737699999</v>
      </c>
      <c r="AE8" s="420">
        <v>-93.061687374000002</v>
      </c>
      <c r="AF8" s="420">
        <v>-99.897357897000006</v>
      </c>
      <c r="AG8" s="420">
        <v>-80.159899679000006</v>
      </c>
      <c r="AH8" s="420">
        <v>-98.734993528999993</v>
      </c>
      <c r="AI8" s="420">
        <v>-72.787033182000002</v>
      </c>
      <c r="AJ8" s="420">
        <v>-74.230360688000005</v>
      </c>
      <c r="AK8" s="420">
        <v>-104.677044546</v>
      </c>
      <c r="AL8" s="420">
        <v>-149.979406219</v>
      </c>
    </row>
    <row r="9" spans="1:38" ht="14.1" customHeight="1">
      <c r="A9" s="96" t="s">
        <v>288</v>
      </c>
      <c r="B9" s="96" t="s">
        <v>288</v>
      </c>
      <c r="C9" s="420">
        <v>22.611631578000001</v>
      </c>
      <c r="D9" s="420">
        <v>149.97547529799999</v>
      </c>
      <c r="E9" s="420">
        <v>18.5952485</v>
      </c>
      <c r="F9" s="420">
        <v>451.902940645</v>
      </c>
      <c r="G9" s="420">
        <v>186.461427582</v>
      </c>
      <c r="H9" s="420">
        <v>74.235817593999997</v>
      </c>
      <c r="I9" s="420">
        <v>426.252988007</v>
      </c>
      <c r="J9" s="420">
        <v>499.32780455</v>
      </c>
      <c r="K9" s="420">
        <v>347.23034036500002</v>
      </c>
      <c r="L9" s="420">
        <v>359.08278508799998</v>
      </c>
      <c r="M9" s="420">
        <v>353.79186284100001</v>
      </c>
      <c r="N9" s="420">
        <v>774.773182926</v>
      </c>
      <c r="O9" s="420">
        <v>477.35513845200001</v>
      </c>
      <c r="P9" s="420">
        <v>247.125605705</v>
      </c>
      <c r="Q9" s="420">
        <v>706.66232870199997</v>
      </c>
      <c r="R9" s="420">
        <v>667.86882433300002</v>
      </c>
      <c r="S9" s="420">
        <v>158.171458427</v>
      </c>
      <c r="T9" s="420">
        <v>168.59075789900001</v>
      </c>
      <c r="U9" s="420">
        <v>386.18389779900002</v>
      </c>
      <c r="V9" s="420">
        <v>126.669558292</v>
      </c>
      <c r="W9" s="420">
        <v>1025.0105225570001</v>
      </c>
      <c r="X9" s="420">
        <v>1065.1772388080001</v>
      </c>
      <c r="Y9" s="420">
        <v>349.52608538700002</v>
      </c>
      <c r="Z9" s="420">
        <v>272.963596881</v>
      </c>
      <c r="AA9" s="420">
        <v>603.52418944500005</v>
      </c>
      <c r="AB9" s="420">
        <v>246.10235534099999</v>
      </c>
      <c r="AC9" s="420">
        <v>220.70151691000001</v>
      </c>
      <c r="AD9" s="420">
        <v>-264.27820566899999</v>
      </c>
      <c r="AE9" s="420">
        <v>-4.926143326</v>
      </c>
      <c r="AF9" s="420">
        <v>82.084101189999998</v>
      </c>
      <c r="AG9" s="420">
        <v>329.60288167900001</v>
      </c>
      <c r="AH9" s="420">
        <v>330.935415406</v>
      </c>
      <c r="AI9" s="420">
        <v>254.71890927600001</v>
      </c>
      <c r="AJ9" s="420">
        <v>252.66199879600001</v>
      </c>
      <c r="AK9" s="420">
        <v>234.059319931</v>
      </c>
      <c r="AL9" s="420">
        <v>411.09100678900001</v>
      </c>
    </row>
    <row r="10" spans="1:38" ht="14.1" customHeight="1">
      <c r="A10" s="96" t="s">
        <v>1129</v>
      </c>
      <c r="B10" s="96" t="s">
        <v>2031</v>
      </c>
      <c r="C10" s="420">
        <v>7.0969567380000003</v>
      </c>
      <c r="D10" s="420">
        <v>7.4138181980000004</v>
      </c>
      <c r="E10" s="420">
        <v>3.4346299949999999</v>
      </c>
      <c r="F10" s="420">
        <v>86.714340680999996</v>
      </c>
      <c r="G10" s="420">
        <v>15.682881921</v>
      </c>
      <c r="H10" s="420">
        <v>15.092681943000001</v>
      </c>
      <c r="I10" s="420">
        <v>19.769393099999998</v>
      </c>
      <c r="J10" s="420">
        <v>15.529874702000001</v>
      </c>
      <c r="K10" s="420">
        <v>164.99381668800001</v>
      </c>
      <c r="L10" s="420">
        <v>8.5848535399999992</v>
      </c>
      <c r="M10" s="420">
        <v>5.808535827</v>
      </c>
      <c r="N10" s="420">
        <v>27.504720850999998</v>
      </c>
      <c r="O10" s="420">
        <v>11.131347764999999</v>
      </c>
      <c r="P10" s="420">
        <v>227.60049730599999</v>
      </c>
      <c r="Q10" s="420">
        <v>7.2274081509999997</v>
      </c>
      <c r="R10" s="420">
        <v>24.512791534000002</v>
      </c>
      <c r="S10" s="420">
        <v>25.001982855000001</v>
      </c>
      <c r="T10" s="420">
        <v>13.341734592</v>
      </c>
      <c r="U10" s="420">
        <v>10.639120812</v>
      </c>
      <c r="V10" s="420">
        <v>23.652184299999998</v>
      </c>
      <c r="W10" s="420">
        <v>10.76665182</v>
      </c>
      <c r="X10" s="420">
        <v>35.129350033000001</v>
      </c>
      <c r="Y10" s="420">
        <v>47.131747527000002</v>
      </c>
      <c r="Z10" s="420">
        <v>259.69886712599998</v>
      </c>
      <c r="AA10" s="420">
        <v>21.678530546000001</v>
      </c>
      <c r="AB10" s="420">
        <v>196.469780762</v>
      </c>
      <c r="AC10" s="420">
        <v>211.58848121400001</v>
      </c>
      <c r="AD10" s="420">
        <v>34.450119727000001</v>
      </c>
      <c r="AE10" s="420">
        <v>18.485402276999999</v>
      </c>
      <c r="AF10" s="420">
        <v>342.16331318700003</v>
      </c>
      <c r="AG10" s="420">
        <v>7.5999196570000001</v>
      </c>
      <c r="AH10" s="420">
        <v>40.902011895999998</v>
      </c>
      <c r="AI10" s="420">
        <v>8.4211258250000007</v>
      </c>
      <c r="AJ10" s="420">
        <v>4.4981479950000001</v>
      </c>
      <c r="AK10" s="420">
        <v>13.088834394999999</v>
      </c>
      <c r="AL10" s="420">
        <v>21.762590064000001</v>
      </c>
    </row>
    <row r="11" spans="1:38" ht="14.1" customHeight="1">
      <c r="A11" s="96" t="s">
        <v>1330</v>
      </c>
      <c r="B11" s="96" t="s">
        <v>2032</v>
      </c>
      <c r="C11" s="420">
        <v>-8.3175563550000007</v>
      </c>
      <c r="D11" s="420">
        <v>-10.585663256</v>
      </c>
      <c r="E11" s="420">
        <v>-5.6965938400000002</v>
      </c>
      <c r="F11" s="420">
        <v>-8.1027772710000008</v>
      </c>
      <c r="G11" s="420">
        <v>-8.4850242980000008</v>
      </c>
      <c r="H11" s="420">
        <v>-10.243670087</v>
      </c>
      <c r="I11" s="420">
        <v>-18.997274620999999</v>
      </c>
      <c r="J11" s="420">
        <v>-24.938920030999999</v>
      </c>
      <c r="K11" s="420">
        <v>-33.457197542000003</v>
      </c>
      <c r="L11" s="420">
        <v>-38.03759608</v>
      </c>
      <c r="M11" s="420">
        <v>-56.295851249000002</v>
      </c>
      <c r="N11" s="420">
        <v>-63.136518346999999</v>
      </c>
      <c r="O11" s="420">
        <v>-49.515252054999998</v>
      </c>
      <c r="P11" s="420">
        <v>-49.545784060999999</v>
      </c>
      <c r="Q11" s="420">
        <v>-56.172697331999998</v>
      </c>
      <c r="R11" s="420">
        <v>-53.797296017000001</v>
      </c>
      <c r="S11" s="420">
        <v>-51.657546406000002</v>
      </c>
      <c r="T11" s="420">
        <v>-627.23717488299997</v>
      </c>
      <c r="U11" s="420">
        <v>-94.420518607000005</v>
      </c>
      <c r="V11" s="420">
        <v>-84.968262726000006</v>
      </c>
      <c r="W11" s="420">
        <v>-117.96357528599999</v>
      </c>
      <c r="X11" s="420">
        <v>-145.22726355899999</v>
      </c>
      <c r="Y11" s="420">
        <v>-145.91795757899999</v>
      </c>
      <c r="Z11" s="420">
        <v>-134.50282918100001</v>
      </c>
      <c r="AA11" s="420">
        <v>-108.782614385</v>
      </c>
      <c r="AB11" s="420">
        <v>-116.066588064</v>
      </c>
      <c r="AC11" s="420">
        <v>-128.77926059200001</v>
      </c>
      <c r="AD11" s="420">
        <v>-167.486747442</v>
      </c>
      <c r="AE11" s="420">
        <v>-150.817904981</v>
      </c>
      <c r="AF11" s="420">
        <v>-159.58696314100001</v>
      </c>
      <c r="AG11" s="420">
        <v>-151.808768456</v>
      </c>
      <c r="AH11" s="420">
        <v>-131.03934842699999</v>
      </c>
      <c r="AI11" s="420">
        <v>-125.120838398</v>
      </c>
      <c r="AJ11" s="420">
        <v>-107.258485859</v>
      </c>
      <c r="AK11" s="420">
        <v>-104.76071693599999</v>
      </c>
      <c r="AL11" s="420">
        <v>-132.95450403199999</v>
      </c>
    </row>
    <row r="12" spans="1:38" ht="14.1" customHeight="1">
      <c r="A12" s="96" t="s">
        <v>2033</v>
      </c>
      <c r="B12" s="96" t="s">
        <v>2034</v>
      </c>
      <c r="C12" s="420">
        <v>-8.3175563550000007</v>
      </c>
      <c r="D12" s="420">
        <v>-9.0274720859999995</v>
      </c>
      <c r="E12" s="420">
        <v>-5.6965938400000002</v>
      </c>
      <c r="F12" s="420">
        <v>-7.5951613780000002</v>
      </c>
      <c r="G12" s="420">
        <v>-8.4850242980000008</v>
      </c>
      <c r="H12" s="420">
        <v>-10.243524373</v>
      </c>
      <c r="I12" s="420">
        <v>-18.372292536</v>
      </c>
      <c r="J12" s="420">
        <v>-23.850587804</v>
      </c>
      <c r="K12" s="420">
        <v>-32.050663450999998</v>
      </c>
      <c r="L12" s="420">
        <v>-36.439678907999998</v>
      </c>
      <c r="M12" s="420">
        <v>-41.647848799000002</v>
      </c>
      <c r="N12" s="420">
        <v>-52.549795322999998</v>
      </c>
      <c r="O12" s="420">
        <v>-47.268994110999998</v>
      </c>
      <c r="P12" s="420">
        <v>-47.207237732000003</v>
      </c>
      <c r="Q12" s="420">
        <v>-52.888655428</v>
      </c>
      <c r="R12" s="420">
        <v>-51.153871674000001</v>
      </c>
      <c r="S12" s="420">
        <v>-48.379754511000002</v>
      </c>
      <c r="T12" s="420">
        <v>-92.121585026999995</v>
      </c>
      <c r="U12" s="420">
        <v>-91.907038701000005</v>
      </c>
      <c r="V12" s="420">
        <v>-76.357865939999996</v>
      </c>
      <c r="W12" s="420">
        <v>-116.116886712</v>
      </c>
      <c r="X12" s="420">
        <v>-135.89811499000001</v>
      </c>
      <c r="Y12" s="420">
        <v>-142.26213631900001</v>
      </c>
      <c r="Z12" s="420">
        <v>-132.75639753999999</v>
      </c>
      <c r="AA12" s="420">
        <v>-103.291120897</v>
      </c>
      <c r="AB12" s="420">
        <v>-100.78815320299999</v>
      </c>
      <c r="AC12" s="420">
        <v>-116.333993893</v>
      </c>
      <c r="AD12" s="420">
        <v>-163.499762283</v>
      </c>
      <c r="AE12" s="420">
        <v>-140.49102360000001</v>
      </c>
      <c r="AF12" s="420">
        <v>-136.245929905</v>
      </c>
      <c r="AG12" s="420">
        <v>-143.43745265699999</v>
      </c>
      <c r="AH12" s="420">
        <v>-121.26063555</v>
      </c>
      <c r="AI12" s="420">
        <v>-115.30875070800001</v>
      </c>
      <c r="AJ12" s="420">
        <v>-90.731019407000005</v>
      </c>
      <c r="AK12" s="420">
        <v>-94.244527568999999</v>
      </c>
      <c r="AL12" s="420">
        <v>-116.356404336</v>
      </c>
    </row>
    <row r="13" spans="1:38" ht="14.1" customHeight="1">
      <c r="A13" s="96" t="s">
        <v>2035</v>
      </c>
      <c r="B13" s="96" t="s">
        <v>2036</v>
      </c>
      <c r="C13" s="420">
        <v>0.23193819099999999</v>
      </c>
      <c r="D13" s="420">
        <v>-2.5880676280000001</v>
      </c>
      <c r="E13" s="420">
        <v>6.1630451969999998</v>
      </c>
      <c r="F13" s="420">
        <v>30.346104993000001</v>
      </c>
      <c r="G13" s="420">
        <v>7.3180033020000002</v>
      </c>
      <c r="H13" s="420">
        <v>-3.9752570490000001</v>
      </c>
      <c r="I13" s="420">
        <v>5.3502255510000003</v>
      </c>
      <c r="J13" s="420">
        <v>8.9277357849999994</v>
      </c>
      <c r="K13" s="420">
        <v>1.2978072249999999</v>
      </c>
      <c r="L13" s="420">
        <v>6.0936853649999998</v>
      </c>
      <c r="M13" s="420">
        <v>1.5746346309999999</v>
      </c>
      <c r="N13" s="420">
        <v>-14.254292606</v>
      </c>
      <c r="O13" s="420">
        <v>42.718272057</v>
      </c>
      <c r="P13" s="420">
        <v>6.33797063</v>
      </c>
      <c r="Q13" s="420">
        <v>5.2567586369999999</v>
      </c>
      <c r="R13" s="420">
        <v>24.411343928000001</v>
      </c>
      <c r="S13" s="420">
        <v>-8.4797270539999996</v>
      </c>
      <c r="T13" s="420">
        <v>35.264867037000002</v>
      </c>
      <c r="U13" s="420">
        <v>2.9372417710000001</v>
      </c>
      <c r="V13" s="420">
        <v>1.3769347110000001</v>
      </c>
      <c r="W13" s="420">
        <v>6.7370620189999997</v>
      </c>
      <c r="X13" s="420">
        <v>24.198098390999998</v>
      </c>
      <c r="Y13" s="420">
        <v>0.620531889</v>
      </c>
      <c r="Z13" s="420">
        <v>-37.653844972999998</v>
      </c>
      <c r="AA13" s="420">
        <v>18.877671165999999</v>
      </c>
      <c r="AB13" s="420">
        <v>-11.147483118</v>
      </c>
      <c r="AC13" s="420">
        <v>12.022738911999999</v>
      </c>
      <c r="AD13" s="420">
        <v>-27.068138239</v>
      </c>
      <c r="AE13" s="420">
        <v>42.205793991</v>
      </c>
      <c r="AF13" s="420">
        <v>-10.951900582</v>
      </c>
      <c r="AG13" s="420">
        <v>2.4535613289999998</v>
      </c>
      <c r="AH13" s="420">
        <v>-17.340170566000001</v>
      </c>
      <c r="AI13" s="420">
        <v>-4.4202177689999997</v>
      </c>
      <c r="AJ13" s="420">
        <v>29.971886286</v>
      </c>
      <c r="AK13" s="420">
        <v>-11.634223241000001</v>
      </c>
      <c r="AL13" s="420">
        <v>21.986637623</v>
      </c>
    </row>
    <row r="14" spans="1:38" ht="14.1" customHeight="1">
      <c r="A14" s="96" t="s">
        <v>2037</v>
      </c>
      <c r="B14" s="96" t="s">
        <v>2038</v>
      </c>
      <c r="C14" s="420">
        <v>14.157231554999999</v>
      </c>
      <c r="D14" s="420">
        <v>21.426073809999998</v>
      </c>
      <c r="E14" s="420">
        <v>-7.9395305340000002</v>
      </c>
      <c r="F14" s="420">
        <v>44.398895207999999</v>
      </c>
      <c r="G14" s="420">
        <v>30.813777465000001</v>
      </c>
      <c r="H14" s="420">
        <v>22.650868398</v>
      </c>
      <c r="I14" s="420">
        <v>32.248825132999997</v>
      </c>
      <c r="J14" s="420">
        <v>42.297936688999997</v>
      </c>
      <c r="K14" s="420">
        <v>-6.9663693740000001</v>
      </c>
      <c r="L14" s="420">
        <v>4.2690397850000004</v>
      </c>
      <c r="M14" s="420">
        <v>128.22480225300001</v>
      </c>
      <c r="N14" s="420">
        <v>130.72370291199999</v>
      </c>
      <c r="O14" s="420">
        <v>33.915038000000003</v>
      </c>
      <c r="P14" s="420">
        <v>24.018234752000001</v>
      </c>
      <c r="Q14" s="420">
        <v>63.997692530999998</v>
      </c>
      <c r="R14" s="420">
        <v>27.405536957999999</v>
      </c>
      <c r="S14" s="420">
        <v>0.50515743199999996</v>
      </c>
      <c r="T14" s="420">
        <v>-11.089473233</v>
      </c>
      <c r="U14" s="420">
        <v>0</v>
      </c>
      <c r="V14" s="420">
        <v>0</v>
      </c>
      <c r="W14" s="420">
        <v>0</v>
      </c>
      <c r="X14" s="420">
        <v>0</v>
      </c>
      <c r="Y14" s="420">
        <v>0</v>
      </c>
      <c r="Z14" s="420">
        <v>0.32503644399999998</v>
      </c>
      <c r="AA14" s="420">
        <v>0.51951809400000004</v>
      </c>
      <c r="AB14" s="420">
        <v>0.67089078499999999</v>
      </c>
      <c r="AC14" s="420">
        <v>0.45279893199999999</v>
      </c>
      <c r="AD14" s="420">
        <v>-8.4771770000000007E-3</v>
      </c>
      <c r="AE14" s="420">
        <v>-1.334242087</v>
      </c>
      <c r="AF14" s="420">
        <v>-4.4372513580000001</v>
      </c>
      <c r="AG14" s="420">
        <v>-4.7300664020000003</v>
      </c>
      <c r="AH14" s="420">
        <v>-101.880561973</v>
      </c>
      <c r="AI14" s="420">
        <v>-0.99534005400000003</v>
      </c>
      <c r="AJ14" s="420">
        <v>-15.928300172</v>
      </c>
      <c r="AK14" s="420">
        <v>-5.5547157479999996</v>
      </c>
      <c r="AL14" s="420">
        <v>-15.942747252</v>
      </c>
    </row>
    <row r="15" spans="1:38" ht="14.1" customHeight="1">
      <c r="A15" s="96" t="s">
        <v>822</v>
      </c>
      <c r="B15" s="96" t="s">
        <v>822</v>
      </c>
      <c r="C15" s="420">
        <v>35.780201707000003</v>
      </c>
      <c r="D15" s="420">
        <v>165.641636422</v>
      </c>
      <c r="E15" s="420">
        <v>14.556799317999999</v>
      </c>
      <c r="F15" s="420">
        <v>605.25950425600001</v>
      </c>
      <c r="G15" s="420">
        <v>231.79106597200001</v>
      </c>
      <c r="H15" s="420">
        <v>97.760440798999994</v>
      </c>
      <c r="I15" s="420">
        <v>464.62415716999999</v>
      </c>
      <c r="J15" s="420">
        <v>541.14443169499998</v>
      </c>
      <c r="K15" s="420">
        <v>473.09839736200001</v>
      </c>
      <c r="L15" s="420">
        <v>339.99276769800002</v>
      </c>
      <c r="M15" s="420">
        <v>433.103984303</v>
      </c>
      <c r="N15" s="420">
        <v>855.610795736</v>
      </c>
      <c r="O15" s="420">
        <v>515.60454421899999</v>
      </c>
      <c r="P15" s="420">
        <v>455.536524332</v>
      </c>
      <c r="Q15" s="420">
        <v>726.97149068900001</v>
      </c>
      <c r="R15" s="420">
        <v>690.40120073599996</v>
      </c>
      <c r="S15" s="420">
        <v>123.541325254</v>
      </c>
      <c r="T15" s="420">
        <v>-421.12928858800001</v>
      </c>
      <c r="U15" s="420">
        <v>305.33974177499999</v>
      </c>
      <c r="V15" s="420">
        <v>66.730414577000005</v>
      </c>
      <c r="W15" s="420">
        <v>924.55066110999996</v>
      </c>
      <c r="X15" s="420">
        <v>979.27742367300004</v>
      </c>
      <c r="Y15" s="420">
        <v>251.360407224</v>
      </c>
      <c r="Z15" s="420">
        <v>360.83082629699999</v>
      </c>
      <c r="AA15" s="420">
        <v>535.817294866</v>
      </c>
      <c r="AB15" s="420">
        <v>316.02895570599998</v>
      </c>
      <c r="AC15" s="420">
        <v>315.98627537599998</v>
      </c>
      <c r="AD15" s="420">
        <v>-424.39144879999998</v>
      </c>
      <c r="AE15" s="420">
        <v>-96.387094125999994</v>
      </c>
      <c r="AF15" s="420">
        <v>249.271299296</v>
      </c>
      <c r="AG15" s="420">
        <v>183.11752780699999</v>
      </c>
      <c r="AH15" s="420">
        <v>121.57734633600001</v>
      </c>
      <c r="AI15" s="420">
        <v>132.60363888000001</v>
      </c>
      <c r="AJ15" s="420">
        <v>163.94524704599999</v>
      </c>
      <c r="AK15" s="420">
        <v>125.19849840099999</v>
      </c>
      <c r="AL15" s="420">
        <v>305.94298319199999</v>
      </c>
    </row>
    <row r="16" spans="1:38" ht="14.1" customHeight="1">
      <c r="A16" s="96" t="s">
        <v>290</v>
      </c>
      <c r="B16" s="96" t="s">
        <v>290</v>
      </c>
      <c r="C16" s="420">
        <v>-6.577009866</v>
      </c>
      <c r="D16" s="420">
        <v>-29.721060132000002</v>
      </c>
      <c r="E16" s="420">
        <v>-6.0208372719999996</v>
      </c>
      <c r="F16" s="420">
        <v>-114.495923265</v>
      </c>
      <c r="G16" s="420">
        <v>-42.943263422999998</v>
      </c>
      <c r="H16" s="420">
        <v>-16.453765095000001</v>
      </c>
      <c r="I16" s="420">
        <v>-66.277579137000004</v>
      </c>
      <c r="J16" s="420">
        <v>-124.225235626</v>
      </c>
      <c r="K16" s="420">
        <v>-73.942085293999995</v>
      </c>
      <c r="L16" s="420">
        <v>-88.885142557999998</v>
      </c>
      <c r="M16" s="420">
        <v>-63.931794597</v>
      </c>
      <c r="N16" s="420">
        <v>-152.27611320099999</v>
      </c>
      <c r="O16" s="420">
        <v>-96.423551883000002</v>
      </c>
      <c r="P16" s="420">
        <v>-85.309376280999999</v>
      </c>
      <c r="Q16" s="420">
        <v>-162.05768322399999</v>
      </c>
      <c r="R16" s="420">
        <v>-158.504491266</v>
      </c>
      <c r="S16" s="420">
        <v>-29.851562211000001</v>
      </c>
      <c r="T16" s="420">
        <v>-46.598224643000002</v>
      </c>
      <c r="U16" s="420">
        <v>-83.819663934000005</v>
      </c>
      <c r="V16" s="420">
        <v>-40.690506133</v>
      </c>
      <c r="W16" s="420">
        <v>-212.765066582</v>
      </c>
      <c r="X16" s="420">
        <v>-501.74541342800001</v>
      </c>
      <c r="Y16" s="420">
        <v>-91.106174736</v>
      </c>
      <c r="Z16" s="420">
        <v>-115.346358231</v>
      </c>
      <c r="AA16" s="420">
        <v>-127.441301244</v>
      </c>
      <c r="AB16" s="420">
        <v>-53.940634476</v>
      </c>
      <c r="AC16" s="420">
        <v>-57.413356475999997</v>
      </c>
      <c r="AD16" s="420">
        <v>-35.614514106000001</v>
      </c>
      <c r="AE16" s="420">
        <v>-20.875465515999998</v>
      </c>
      <c r="AF16" s="420">
        <v>-92.127737816999996</v>
      </c>
      <c r="AG16" s="420">
        <v>-73.412056391999997</v>
      </c>
      <c r="AH16" s="420">
        <v>-116.607511042</v>
      </c>
      <c r="AI16" s="420">
        <v>-54.968699524999998</v>
      </c>
      <c r="AJ16" s="420">
        <v>-70.284529651</v>
      </c>
      <c r="AK16" s="420">
        <v>-52.086362854999997</v>
      </c>
      <c r="AL16" s="420">
        <v>-96.125951819999997</v>
      </c>
    </row>
    <row r="17" spans="1:38" ht="14.1" customHeight="1">
      <c r="A17" s="96" t="s">
        <v>661</v>
      </c>
      <c r="B17" s="96" t="s">
        <v>661</v>
      </c>
      <c r="C17" s="420">
        <v>29.203191840999999</v>
      </c>
      <c r="D17" s="420">
        <v>135.92057629000001</v>
      </c>
      <c r="E17" s="420">
        <v>8.5359620459999999</v>
      </c>
      <c r="F17" s="420">
        <v>490.76358099100003</v>
      </c>
      <c r="G17" s="420">
        <v>188.84780254899999</v>
      </c>
      <c r="H17" s="420">
        <v>81.306675704</v>
      </c>
      <c r="I17" s="420">
        <v>398.34657803300001</v>
      </c>
      <c r="J17" s="420">
        <v>416.91919606900001</v>
      </c>
      <c r="K17" s="420">
        <v>399.15631206799998</v>
      </c>
      <c r="L17" s="420">
        <v>251.10762514000001</v>
      </c>
      <c r="M17" s="420">
        <v>369.17218970599998</v>
      </c>
      <c r="N17" s="420">
        <v>703.33468253499996</v>
      </c>
      <c r="O17" s="420">
        <v>419.18099233599997</v>
      </c>
      <c r="P17" s="420">
        <v>370.22714805099997</v>
      </c>
      <c r="Q17" s="420">
        <v>564.91380746499999</v>
      </c>
      <c r="R17" s="420">
        <v>531.89670947000002</v>
      </c>
      <c r="S17" s="420">
        <v>93.689763042999999</v>
      </c>
      <c r="T17" s="420">
        <v>-467.72751323099999</v>
      </c>
      <c r="U17" s="420">
        <v>221.52007784099999</v>
      </c>
      <c r="V17" s="420">
        <v>26.039908444000002</v>
      </c>
      <c r="W17" s="420">
        <v>711.78559452800005</v>
      </c>
      <c r="X17" s="420">
        <v>477.53201024499998</v>
      </c>
      <c r="Y17" s="420">
        <v>160.25423248800001</v>
      </c>
      <c r="Z17" s="420">
        <v>245.48446806600001</v>
      </c>
      <c r="AA17" s="420">
        <v>408.37599362200001</v>
      </c>
      <c r="AB17" s="420">
        <v>262.08832123000002</v>
      </c>
      <c r="AC17" s="420">
        <v>258.57291889999999</v>
      </c>
      <c r="AD17" s="420">
        <v>-460.00596290599998</v>
      </c>
      <c r="AE17" s="420">
        <v>-117.262559642</v>
      </c>
      <c r="AF17" s="420">
        <v>157.143561479</v>
      </c>
      <c r="AG17" s="420">
        <v>109.70547141500001</v>
      </c>
      <c r="AH17" s="420">
        <v>4.9698352940000001</v>
      </c>
      <c r="AI17" s="420">
        <v>77.634939355</v>
      </c>
      <c r="AJ17" s="420">
        <v>93.660717395000006</v>
      </c>
      <c r="AK17" s="420">
        <v>73.112135546000005</v>
      </c>
      <c r="AL17" s="420">
        <v>209.817031372</v>
      </c>
    </row>
    <row r="18" spans="1:38" ht="14.1" customHeight="1">
      <c r="A18" s="96" t="s">
        <v>2039</v>
      </c>
      <c r="B18" s="96" t="s">
        <v>2040</v>
      </c>
      <c r="C18" s="420">
        <v>-0.234942277</v>
      </c>
      <c r="D18" s="420">
        <v>16.359853552000001</v>
      </c>
      <c r="E18" s="420">
        <v>13.509693642</v>
      </c>
      <c r="F18" s="420">
        <v>97.585175200999998</v>
      </c>
      <c r="G18" s="420">
        <v>37.260175981000003</v>
      </c>
      <c r="H18" s="420">
        <v>30.000430100999999</v>
      </c>
      <c r="I18" s="420">
        <v>141.72047605200001</v>
      </c>
      <c r="J18" s="420">
        <v>125.548424712</v>
      </c>
      <c r="K18" s="420">
        <v>80.651200082000003</v>
      </c>
      <c r="L18" s="420">
        <v>137.46020029499999</v>
      </c>
      <c r="M18" s="420">
        <v>51.148123144000003</v>
      </c>
      <c r="N18" s="420">
        <v>275.23054967600001</v>
      </c>
      <c r="O18" s="420">
        <v>111.824266329</v>
      </c>
      <c r="P18" s="420">
        <v>121.197276597</v>
      </c>
      <c r="Q18" s="420">
        <v>214.369005786</v>
      </c>
      <c r="R18" s="420">
        <v>222.31335268800001</v>
      </c>
      <c r="S18" s="420">
        <v>26.173230407999998</v>
      </c>
      <c r="T18" s="420">
        <v>87.910030828999993</v>
      </c>
      <c r="U18" s="420">
        <v>121.49397586000001</v>
      </c>
      <c r="V18" s="420">
        <v>69.874699394999993</v>
      </c>
      <c r="W18" s="420">
        <v>180.72030666800001</v>
      </c>
      <c r="X18" s="420">
        <v>178.58369453899999</v>
      </c>
      <c r="Y18" s="420">
        <v>108.287291677</v>
      </c>
      <c r="Z18" s="420">
        <v>-29.79531588</v>
      </c>
      <c r="AA18" s="420">
        <v>138.18235226100001</v>
      </c>
      <c r="AB18" s="420">
        <v>128.97638793600001</v>
      </c>
      <c r="AC18" s="420">
        <v>105.433755651</v>
      </c>
      <c r="AD18" s="420">
        <v>-52.386774832999997</v>
      </c>
      <c r="AE18" s="420">
        <v>-22.250197762999999</v>
      </c>
      <c r="AF18" s="420">
        <v>0.95360621199999995</v>
      </c>
      <c r="AG18" s="420">
        <v>41.651606461</v>
      </c>
      <c r="AH18" s="420">
        <v>-42.147877184999999</v>
      </c>
      <c r="AI18" s="420">
        <v>46.353496954000001</v>
      </c>
      <c r="AJ18" s="420">
        <v>60.739577124999997</v>
      </c>
      <c r="AK18" s="420">
        <v>42.39879724</v>
      </c>
      <c r="AL18" s="420">
        <v>52.170624113000002</v>
      </c>
    </row>
    <row r="19" spans="1:38" ht="14.1" customHeight="1">
      <c r="A19" s="96" t="s">
        <v>1619</v>
      </c>
      <c r="B19" s="96" t="s">
        <v>1619</v>
      </c>
      <c r="C19" s="420">
        <v>29.438134118000001</v>
      </c>
      <c r="D19" s="420">
        <v>119.560722738</v>
      </c>
      <c r="E19" s="420">
        <v>-4.9737315960000004</v>
      </c>
      <c r="F19" s="420">
        <v>393.17840579</v>
      </c>
      <c r="G19" s="420">
        <v>151.58762656799999</v>
      </c>
      <c r="H19" s="420">
        <v>51.306245603000001</v>
      </c>
      <c r="I19" s="420">
        <v>256.62610198099998</v>
      </c>
      <c r="J19" s="420">
        <v>291.37077135700002</v>
      </c>
      <c r="K19" s="420">
        <v>318.50511198599997</v>
      </c>
      <c r="L19" s="420">
        <v>113.647424845</v>
      </c>
      <c r="M19" s="420">
        <v>318.02406656199997</v>
      </c>
      <c r="N19" s="420">
        <v>428.104132859</v>
      </c>
      <c r="O19" s="420">
        <v>307.35672600700002</v>
      </c>
      <c r="P19" s="420">
        <v>249.02987145399999</v>
      </c>
      <c r="Q19" s="420">
        <v>350.54480167899999</v>
      </c>
      <c r="R19" s="420">
        <v>309.58335678200001</v>
      </c>
      <c r="S19" s="420">
        <v>67.516532635000004</v>
      </c>
      <c r="T19" s="420">
        <v>-555.63754405999998</v>
      </c>
      <c r="U19" s="420">
        <v>100.026101981</v>
      </c>
      <c r="V19" s="420">
        <v>-43.834790951000002</v>
      </c>
      <c r="W19" s="420">
        <v>531.06528786000001</v>
      </c>
      <c r="X19" s="420">
        <v>298.94831570600002</v>
      </c>
      <c r="Y19" s="420">
        <v>51.966940811000001</v>
      </c>
      <c r="Z19" s="420">
        <v>275.27978394600001</v>
      </c>
      <c r="AA19" s="420">
        <v>270.193641361</v>
      </c>
      <c r="AB19" s="420">
        <v>133.11193329400001</v>
      </c>
      <c r="AC19" s="420">
        <v>153.13916324900001</v>
      </c>
      <c r="AD19" s="420">
        <v>-407.61918807299998</v>
      </c>
      <c r="AE19" s="420">
        <v>-95.012361878999997</v>
      </c>
      <c r="AF19" s="420">
        <v>156.18995526699999</v>
      </c>
      <c r="AG19" s="420">
        <v>68.053864954000005</v>
      </c>
      <c r="AH19" s="420">
        <v>47.117712478999998</v>
      </c>
      <c r="AI19" s="420">
        <v>31.281442401</v>
      </c>
      <c r="AJ19" s="420">
        <v>32.921140270000002</v>
      </c>
      <c r="AK19" s="420">
        <v>30.713338306000001</v>
      </c>
      <c r="AL19" s="420">
        <v>157.646407259</v>
      </c>
    </row>
    <row r="20" spans="1:38" ht="14.1" customHeight="1">
      <c r="A20" s="96" t="s">
        <v>2042</v>
      </c>
      <c r="B20" s="96" t="s">
        <v>2043</v>
      </c>
    </row>
    <row r="21" spans="1:38" ht="14.1" customHeight="1">
      <c r="A21" s="96" t="s">
        <v>2418</v>
      </c>
      <c r="B21" s="96" t="s">
        <v>2045</v>
      </c>
      <c r="C21" s="420">
        <v>29.438134118000001</v>
      </c>
      <c r="D21" s="420">
        <v>119.560722738</v>
      </c>
      <c r="E21" s="420">
        <v>-4.9737315960000004</v>
      </c>
      <c r="F21" s="420">
        <v>393.17840579</v>
      </c>
      <c r="G21" s="420">
        <v>151.58762656799999</v>
      </c>
      <c r="H21" s="420">
        <v>51.306245603000001</v>
      </c>
      <c r="I21" s="420">
        <v>256.62610198099998</v>
      </c>
      <c r="J21" s="420">
        <v>291.37077135700002</v>
      </c>
      <c r="K21" s="420">
        <v>318.50511198599997</v>
      </c>
      <c r="L21" s="420">
        <v>113.647424845</v>
      </c>
      <c r="M21" s="420">
        <v>318.02406656199997</v>
      </c>
      <c r="N21" s="420">
        <v>428.104132859</v>
      </c>
      <c r="O21" s="420">
        <v>307.35672600700002</v>
      </c>
      <c r="P21" s="420">
        <v>249.02987145399999</v>
      </c>
      <c r="Q21" s="420">
        <v>350.54480167899999</v>
      </c>
      <c r="R21" s="420">
        <v>309.58335678200001</v>
      </c>
      <c r="S21" s="420">
        <v>67.516532635000004</v>
      </c>
      <c r="T21" s="420">
        <v>-555.63754405999998</v>
      </c>
      <c r="U21" s="420">
        <v>100.026101981</v>
      </c>
      <c r="V21" s="420">
        <v>-43.834790951000002</v>
      </c>
      <c r="W21" s="420">
        <v>531.06528786000001</v>
      </c>
      <c r="X21" s="420">
        <v>298.94831570600002</v>
      </c>
      <c r="Y21" s="420">
        <v>51.966940811000001</v>
      </c>
      <c r="Z21" s="420">
        <v>275.27978394600001</v>
      </c>
      <c r="AA21" s="420">
        <v>270.193641361</v>
      </c>
      <c r="AB21" s="420">
        <v>133.11193329400001</v>
      </c>
      <c r="AC21" s="420">
        <v>153.13916324900001</v>
      </c>
      <c r="AD21" s="420">
        <v>-407.61918807299998</v>
      </c>
      <c r="AE21" s="420">
        <v>-95.012361878999997</v>
      </c>
      <c r="AF21" s="420">
        <v>156.18995526699999</v>
      </c>
      <c r="AG21" s="420">
        <v>68.053864954000005</v>
      </c>
      <c r="AH21" s="420">
        <v>47.117712478999998</v>
      </c>
      <c r="AI21" s="420">
        <v>31.281442401</v>
      </c>
      <c r="AJ21" s="420">
        <v>32.921140270000002</v>
      </c>
      <c r="AK21" s="420">
        <v>30.713338306000001</v>
      </c>
      <c r="AL21" s="420">
        <v>157.646407259</v>
      </c>
    </row>
    <row r="22" spans="1:38" ht="14.1" customHeight="1">
      <c r="A22" s="96" t="s">
        <v>2419</v>
      </c>
      <c r="B22" s="96" t="s">
        <v>2097</v>
      </c>
      <c r="C22" s="420">
        <v>328.12178</v>
      </c>
      <c r="D22" s="420">
        <v>328.12178</v>
      </c>
      <c r="E22" s="420">
        <v>328.12178</v>
      </c>
      <c r="F22" s="420">
        <v>546.14827000000002</v>
      </c>
      <c r="G22" s="420">
        <v>546.14827000000002</v>
      </c>
      <c r="H22" s="420">
        <v>545.73065999999994</v>
      </c>
      <c r="I22" s="420">
        <v>545.73063999999999</v>
      </c>
      <c r="J22" s="420">
        <v>551.18579</v>
      </c>
      <c r="K22" s="420">
        <v>551.18579</v>
      </c>
      <c r="L22" s="420">
        <v>551.17965000000004</v>
      </c>
      <c r="M22" s="420">
        <v>563.25557000000003</v>
      </c>
      <c r="N22" s="420">
        <v>563.25557000000003</v>
      </c>
      <c r="O22" s="420">
        <v>563.25557000000003</v>
      </c>
      <c r="P22" s="420">
        <v>563.25557000000003</v>
      </c>
      <c r="Q22" s="420">
        <v>658.01259000000005</v>
      </c>
      <c r="R22" s="420">
        <v>658.01259000000005</v>
      </c>
      <c r="S22" s="420">
        <v>656.76143999999999</v>
      </c>
      <c r="T22" s="420">
        <v>656.76143999999999</v>
      </c>
      <c r="U22" s="420">
        <v>656.11694</v>
      </c>
      <c r="V22" s="420">
        <v>656.11694</v>
      </c>
      <c r="W22" s="420">
        <v>656.11694</v>
      </c>
      <c r="X22" s="420">
        <v>656.11694</v>
      </c>
      <c r="Y22" s="420">
        <v>656.11176999999998</v>
      </c>
      <c r="Z22" s="420">
        <v>656.11176999999998</v>
      </c>
      <c r="AA22" s="420">
        <v>668.77531999999997</v>
      </c>
      <c r="AB22" s="420">
        <v>668.77531999999997</v>
      </c>
      <c r="AC22" s="420">
        <v>668.77531999999997</v>
      </c>
      <c r="AD22" s="420">
        <v>671.52967999999998</v>
      </c>
      <c r="AE22" s="420">
        <v>671.52967999999998</v>
      </c>
      <c r="AF22" s="420">
        <v>671.52967999999998</v>
      </c>
      <c r="AG22" s="420">
        <v>671.52967999999998</v>
      </c>
      <c r="AH22" s="420">
        <v>741.84690000000001</v>
      </c>
      <c r="AI22" s="420">
        <v>751.22808999999995</v>
      </c>
      <c r="AJ22" s="420">
        <v>751.22808999999995</v>
      </c>
      <c r="AK22" s="420">
        <v>751.22808999999995</v>
      </c>
      <c r="AL22" s="420">
        <v>751.22808999999995</v>
      </c>
    </row>
    <row r="23" spans="1:38" ht="14.1" customHeight="1">
      <c r="A23" s="96" t="s">
        <v>2048</v>
      </c>
      <c r="B23" s="96" t="s">
        <v>523</v>
      </c>
      <c r="C23" s="420">
        <v>89.717100000000002</v>
      </c>
      <c r="D23" s="420">
        <v>364.37909999999999</v>
      </c>
      <c r="E23" s="420">
        <v>-15.158200000000001</v>
      </c>
      <c r="F23" s="420">
        <v>719.91150000000005</v>
      </c>
      <c r="G23" s="420">
        <v>277.55759999999998</v>
      </c>
      <c r="H23" s="420">
        <v>94.013900000000007</v>
      </c>
      <c r="I23" s="420">
        <v>470.2432</v>
      </c>
      <c r="J23" s="420">
        <v>528.62530000000004</v>
      </c>
      <c r="K23" s="420">
        <v>577.85440000000006</v>
      </c>
      <c r="L23" s="420">
        <v>206.18940000000001</v>
      </c>
      <c r="M23" s="420">
        <v>564.61770000000001</v>
      </c>
      <c r="N23" s="420">
        <v>760.05309999999997</v>
      </c>
      <c r="O23" s="420">
        <v>545.67899999999997</v>
      </c>
      <c r="P23" s="420">
        <v>442.1259</v>
      </c>
      <c r="Q23" s="420">
        <v>532.73270000000002</v>
      </c>
      <c r="R23" s="420">
        <v>470.48239999999998</v>
      </c>
      <c r="S23" s="420">
        <v>102.8022</v>
      </c>
      <c r="T23" s="420">
        <v>-846.02639999999997</v>
      </c>
      <c r="U23" s="420">
        <v>152.45160000000001</v>
      </c>
      <c r="V23" s="420">
        <v>-66.809399999999997</v>
      </c>
      <c r="W23" s="420">
        <v>809.40650000000005</v>
      </c>
      <c r="X23" s="420">
        <v>455.6327</v>
      </c>
      <c r="Y23" s="420">
        <v>79.204400000000007</v>
      </c>
      <c r="Z23" s="420">
        <v>419.56229999999999</v>
      </c>
      <c r="AA23" s="420">
        <v>404.01260000000002</v>
      </c>
      <c r="AB23" s="420">
        <v>199.03829999999999</v>
      </c>
      <c r="AC23" s="420">
        <v>228.9845</v>
      </c>
      <c r="AD23" s="420">
        <v>-607.00099999999998</v>
      </c>
      <c r="AE23" s="420">
        <v>-141.48650000000001</v>
      </c>
      <c r="AF23" s="420">
        <v>232.5883</v>
      </c>
      <c r="AG23" s="420">
        <v>101.3416</v>
      </c>
      <c r="AH23" s="420">
        <v>63.514099999999999</v>
      </c>
      <c r="AI23" s="420">
        <v>41.6404</v>
      </c>
      <c r="AJ23" s="420">
        <v>43.823099999999997</v>
      </c>
      <c r="AK23" s="420">
        <v>40.8842</v>
      </c>
      <c r="AL23" s="420">
        <v>209.85159999999999</v>
      </c>
    </row>
    <row r="24" spans="1:38" ht="14.1" customHeight="1">
      <c r="A24" s="96" t="s">
        <v>4</v>
      </c>
      <c r="B24" s="96" t="s">
        <v>4</v>
      </c>
      <c r="C24" s="420">
        <v>24.106639019999999</v>
      </c>
      <c r="D24" s="420">
        <v>152.350755064</v>
      </c>
      <c r="E24" s="420">
        <v>20.647999253999998</v>
      </c>
      <c r="F24" s="420">
        <v>454.010773207</v>
      </c>
      <c r="G24" s="420">
        <v>188.88862809400001</v>
      </c>
      <c r="H24" s="420">
        <v>76.913354397000006</v>
      </c>
      <c r="I24" s="420">
        <v>431.21577943400001</v>
      </c>
      <c r="J24" s="420">
        <v>504.80968560500003</v>
      </c>
      <c r="K24" s="420">
        <v>352.83134711299999</v>
      </c>
      <c r="L24" s="420">
        <v>365.07860674199998</v>
      </c>
      <c r="M24" s="420">
        <v>360.679680432</v>
      </c>
      <c r="N24" s="420">
        <v>780.69690586000002</v>
      </c>
      <c r="O24" s="420">
        <v>484.80040951900003</v>
      </c>
      <c r="P24" s="420">
        <v>257.02264700500001</v>
      </c>
      <c r="Q24" s="420">
        <v>717.14003865999996</v>
      </c>
      <c r="R24" s="420">
        <v>672.96219176800003</v>
      </c>
      <c r="S24" s="420">
        <v>170.35163315700001</v>
      </c>
      <c r="T24" s="420">
        <v>180.71299200300001</v>
      </c>
      <c r="U24" s="420">
        <v>398.866088848</v>
      </c>
      <c r="V24" s="420">
        <v>146.24007631000001</v>
      </c>
      <c r="W24" s="420">
        <v>1042.47304252</v>
      </c>
      <c r="X24" s="420">
        <v>1083.6108218479999</v>
      </c>
      <c r="Y24" s="420">
        <v>369.87515180100002</v>
      </c>
      <c r="Z24" s="420">
        <v>295.486110516</v>
      </c>
      <c r="AA24" s="420">
        <v>625.79067100400005</v>
      </c>
      <c r="AB24" s="420">
        <v>267.10663025000002</v>
      </c>
      <c r="AC24" s="420">
        <v>242.916687991</v>
      </c>
      <c r="AD24" s="420">
        <v>-243.031616437</v>
      </c>
      <c r="AE24" s="420">
        <v>15.983960974</v>
      </c>
      <c r="AF24" s="420">
        <v>102.73697002199999</v>
      </c>
      <c r="AG24" s="420">
        <v>351.30583154700003</v>
      </c>
      <c r="AH24" s="420">
        <v>349.49460079599999</v>
      </c>
      <c r="AI24" s="420">
        <v>275.61121133799998</v>
      </c>
      <c r="AJ24" s="420">
        <v>268.97831276199997</v>
      </c>
      <c r="AK24" s="420">
        <v>252.68878931899999</v>
      </c>
      <c r="AL24" s="420">
        <v>413.55084243599998</v>
      </c>
    </row>
    <row r="26" spans="1:38" s="1778" customFormat="1" ht="14.1" customHeight="1">
      <c r="A26" s="1778" t="s">
        <v>1645</v>
      </c>
      <c r="B26" s="1778" t="s">
        <v>1949</v>
      </c>
      <c r="C26" s="1778" t="s">
        <v>2489</v>
      </c>
      <c r="D26" s="1778" t="s">
        <v>2490</v>
      </c>
      <c r="E26" s="1778" t="s">
        <v>2491</v>
      </c>
      <c r="F26" s="1778" t="s">
        <v>2492</v>
      </c>
      <c r="G26" s="1778" t="s">
        <v>2493</v>
      </c>
      <c r="H26" s="1778" t="s">
        <v>2494</v>
      </c>
      <c r="I26" s="1778" t="s">
        <v>2495</v>
      </c>
      <c r="J26" s="1778" t="s">
        <v>2496</v>
      </c>
      <c r="K26" s="1778" t="s">
        <v>2497</v>
      </c>
      <c r="L26" s="1778" t="s">
        <v>2498</v>
      </c>
      <c r="M26" s="1778" t="s">
        <v>2499</v>
      </c>
      <c r="N26" s="1778" t="s">
        <v>2500</v>
      </c>
      <c r="O26" s="1778" t="s">
        <v>2501</v>
      </c>
      <c r="P26" s="1778" t="s">
        <v>2502</v>
      </c>
      <c r="Q26" s="1778" t="s">
        <v>2503</v>
      </c>
      <c r="R26" s="1778" t="s">
        <v>2504</v>
      </c>
      <c r="S26" s="1778" t="s">
        <v>2505</v>
      </c>
      <c r="T26" s="1778" t="s">
        <v>2506</v>
      </c>
      <c r="U26" s="1778" t="s">
        <v>2507</v>
      </c>
      <c r="V26" s="1778" t="s">
        <v>2508</v>
      </c>
      <c r="W26" s="1778" t="s">
        <v>2509</v>
      </c>
      <c r="X26" s="1778" t="s">
        <v>2510</v>
      </c>
      <c r="Y26" s="1778" t="s">
        <v>2511</v>
      </c>
      <c r="Z26" s="1778" t="s">
        <v>2512</v>
      </c>
      <c r="AA26" s="1778" t="s">
        <v>2513</v>
      </c>
      <c r="AB26" s="1778" t="s">
        <v>2514</v>
      </c>
      <c r="AC26" s="1778" t="s">
        <v>2515</v>
      </c>
      <c r="AD26" s="1778" t="s">
        <v>2516</v>
      </c>
      <c r="AE26" s="1778" t="s">
        <v>2517</v>
      </c>
      <c r="AF26" s="1778" t="s">
        <v>2518</v>
      </c>
      <c r="AG26" s="1778" t="s">
        <v>2530</v>
      </c>
      <c r="AH26" s="1778" t="s">
        <v>2531</v>
      </c>
      <c r="AI26" s="1778" t="s">
        <v>2534</v>
      </c>
      <c r="AJ26" s="1778" t="s">
        <v>2552</v>
      </c>
      <c r="AK26" s="1778" t="s">
        <v>2553</v>
      </c>
      <c r="AL26" s="1778" t="s">
        <v>2554</v>
      </c>
    </row>
    <row r="27" spans="1:38" ht="14.1" customHeight="1">
      <c r="A27" s="96" t="s">
        <v>1961</v>
      </c>
      <c r="B27" s="96" t="s">
        <v>1962</v>
      </c>
      <c r="C27" s="420">
        <v>3001.5608815229998</v>
      </c>
      <c r="D27" s="420">
        <v>2521.790298333</v>
      </c>
      <c r="E27" s="420">
        <v>2816.6409538090002</v>
      </c>
      <c r="F27" s="420">
        <v>4627.0265841319997</v>
      </c>
      <c r="G27" s="420">
        <v>5121.8372931169997</v>
      </c>
      <c r="H27" s="420">
        <v>7067.6963995019996</v>
      </c>
      <c r="I27" s="420">
        <v>8183.8100597009998</v>
      </c>
      <c r="J27" s="420">
        <v>8840.1861964599993</v>
      </c>
      <c r="K27" s="420">
        <v>9114.8132794239991</v>
      </c>
      <c r="L27" s="420">
        <v>10478.823419935999</v>
      </c>
      <c r="M27" s="420">
        <v>11359.30596528</v>
      </c>
      <c r="N27" s="420">
        <v>11496.794054618</v>
      </c>
      <c r="O27" s="420">
        <v>12323.254995859001</v>
      </c>
      <c r="P27" s="420">
        <v>13731.175643058999</v>
      </c>
      <c r="Q27" s="420">
        <v>15526.669765171</v>
      </c>
      <c r="R27" s="420">
        <v>17066.173125309</v>
      </c>
      <c r="S27" s="420">
        <v>18272.258615388</v>
      </c>
      <c r="T27" s="420">
        <v>17215.185055719001</v>
      </c>
      <c r="U27" s="420">
        <v>18921.314850186998</v>
      </c>
      <c r="V27" s="420">
        <v>19922.474550398001</v>
      </c>
      <c r="W27" s="420">
        <v>21434.310845199001</v>
      </c>
      <c r="X27" s="420">
        <v>24143.044642746001</v>
      </c>
      <c r="Y27" s="420">
        <v>25165.235200227002</v>
      </c>
      <c r="Z27" s="420">
        <v>25230.038011905999</v>
      </c>
      <c r="AA27" s="420">
        <v>25719.808092725001</v>
      </c>
      <c r="AB27" s="420">
        <v>27257.396986906999</v>
      </c>
      <c r="AC27" s="420">
        <v>28563.248032095002</v>
      </c>
      <c r="AD27" s="420">
        <v>27800.221453552</v>
      </c>
      <c r="AE27" s="420">
        <v>27468.044994121999</v>
      </c>
      <c r="AF27" s="420">
        <v>27520.589269988999</v>
      </c>
      <c r="AG27" s="420">
        <v>27655.97700201</v>
      </c>
      <c r="AH27" s="420">
        <v>26233.965380828002</v>
      </c>
      <c r="AI27" s="420">
        <v>27236.419744693001</v>
      </c>
      <c r="AJ27" s="420">
        <v>26640.136038467001</v>
      </c>
      <c r="AK27" s="420">
        <v>26587.677139447002</v>
      </c>
      <c r="AL27" s="420">
        <v>26087.346135604999</v>
      </c>
    </row>
    <row r="28" spans="1:38" ht="14.1" customHeight="1">
      <c r="A28" s="96" t="s">
        <v>1963</v>
      </c>
      <c r="B28" s="96" t="s">
        <v>1964</v>
      </c>
      <c r="C28" s="420">
        <v>724.90785348500003</v>
      </c>
      <c r="D28" s="420">
        <v>526.42985411500001</v>
      </c>
      <c r="E28" s="420">
        <v>451.75188622299999</v>
      </c>
      <c r="F28" s="420">
        <v>1818.2168897009999</v>
      </c>
      <c r="G28" s="420">
        <v>1594.9014693239999</v>
      </c>
      <c r="H28" s="420">
        <v>2173.4482168929999</v>
      </c>
      <c r="I28" s="420">
        <v>1946.524778216</v>
      </c>
      <c r="J28" s="420">
        <v>1687.4373084639999</v>
      </c>
      <c r="K28" s="420">
        <v>1273.8966228459999</v>
      </c>
      <c r="L28" s="420">
        <v>722.00836457399998</v>
      </c>
      <c r="M28" s="420">
        <v>925.24615275799999</v>
      </c>
      <c r="N28" s="420">
        <v>1158.5900915509999</v>
      </c>
      <c r="O28" s="420">
        <v>1026.434689166</v>
      </c>
      <c r="P28" s="420">
        <v>863.10157856199999</v>
      </c>
      <c r="Q28" s="420">
        <v>1466.616302418</v>
      </c>
      <c r="R28" s="420">
        <v>793.29259972600005</v>
      </c>
      <c r="S28" s="420">
        <v>766.40837102900002</v>
      </c>
      <c r="T28" s="420">
        <v>1266.3368305290001</v>
      </c>
      <c r="U28" s="420">
        <v>1630.6062297010001</v>
      </c>
      <c r="V28" s="420">
        <v>1779.630924503</v>
      </c>
      <c r="W28" s="420">
        <v>2337.2224054339999</v>
      </c>
      <c r="X28" s="420">
        <v>4564.8591142209998</v>
      </c>
      <c r="Y28" s="420">
        <v>4131.0910998119998</v>
      </c>
      <c r="Z28" s="420">
        <v>2737.6767956170002</v>
      </c>
      <c r="AA28" s="420">
        <v>1920.369297623</v>
      </c>
      <c r="AB28" s="420">
        <v>2484.8408146339998</v>
      </c>
      <c r="AC28" s="420">
        <v>1077.0200682130001</v>
      </c>
      <c r="AD28" s="420">
        <v>918.97882627499996</v>
      </c>
      <c r="AE28" s="420">
        <v>615.22796141100002</v>
      </c>
      <c r="AF28" s="420">
        <v>454.89002994700002</v>
      </c>
      <c r="AG28" s="420">
        <v>643.82098998399999</v>
      </c>
      <c r="AH28" s="420">
        <v>276.06857093100001</v>
      </c>
      <c r="AI28" s="420">
        <v>1399.342972465</v>
      </c>
      <c r="AJ28" s="420">
        <v>1069.6532777919999</v>
      </c>
      <c r="AK28" s="420">
        <v>1105.1062771320001</v>
      </c>
      <c r="AL28" s="420">
        <v>1249.0792792249999</v>
      </c>
    </row>
    <row r="29" spans="1:38" ht="14.1" customHeight="1">
      <c r="A29" s="96" t="s">
        <v>1965</v>
      </c>
      <c r="B29" s="96" t="s">
        <v>1966</v>
      </c>
      <c r="C29" s="420">
        <v>0</v>
      </c>
      <c r="D29" s="420">
        <v>0</v>
      </c>
      <c r="E29" s="420">
        <v>0</v>
      </c>
      <c r="F29" s="420">
        <v>0</v>
      </c>
      <c r="G29" s="420">
        <v>0</v>
      </c>
      <c r="H29" s="420">
        <v>4.04</v>
      </c>
      <c r="I29" s="420">
        <v>19.321558360000001</v>
      </c>
      <c r="J29" s="420">
        <v>226.02330908499999</v>
      </c>
      <c r="K29" s="420">
        <v>251.82149078500001</v>
      </c>
      <c r="L29" s="420">
        <v>241.874044785</v>
      </c>
      <c r="M29" s="420">
        <v>241.874044785</v>
      </c>
      <c r="N29" s="420">
        <v>52.479644784999998</v>
      </c>
      <c r="O29" s="420">
        <v>542.75540598199996</v>
      </c>
      <c r="P29" s="420">
        <v>89.056583003</v>
      </c>
      <c r="Q29" s="420">
        <v>262.767724337</v>
      </c>
      <c r="R29" s="420">
        <v>305.73941587000002</v>
      </c>
      <c r="S29" s="420">
        <v>512.19652634600004</v>
      </c>
      <c r="T29" s="420">
        <v>233.09526747199999</v>
      </c>
      <c r="U29" s="420">
        <v>231.25828530199999</v>
      </c>
      <c r="V29" s="420">
        <v>205.68409350600001</v>
      </c>
      <c r="W29" s="420">
        <v>374.99902503800001</v>
      </c>
      <c r="X29" s="420">
        <v>1133.229106</v>
      </c>
      <c r="Y29" s="420">
        <v>822.02517577900005</v>
      </c>
      <c r="Z29" s="420">
        <v>285.92828621199999</v>
      </c>
      <c r="AA29" s="420">
        <v>284.85754175900001</v>
      </c>
      <c r="AB29" s="420">
        <v>153.80339775900001</v>
      </c>
      <c r="AC29" s="420">
        <v>172.50325747900001</v>
      </c>
      <c r="AD29" s="420">
        <v>181.16595038200001</v>
      </c>
      <c r="AE29" s="420">
        <v>141.10638728699999</v>
      </c>
      <c r="AF29" s="420">
        <v>123.377390209</v>
      </c>
      <c r="AG29" s="420">
        <v>144.33462458100001</v>
      </c>
      <c r="AH29" s="420">
        <v>97.174701709999994</v>
      </c>
      <c r="AI29" s="420">
        <v>83.554568509000006</v>
      </c>
      <c r="AJ29" s="420">
        <v>65.004187525999996</v>
      </c>
      <c r="AK29" s="420">
        <v>59.348317846</v>
      </c>
      <c r="AL29" s="420">
        <v>77.870684561000004</v>
      </c>
    </row>
    <row r="30" spans="1:38" ht="14.1" customHeight="1">
      <c r="A30" s="96" t="s">
        <v>1967</v>
      </c>
      <c r="B30" s="96" t="s">
        <v>1968</v>
      </c>
      <c r="C30" s="420">
        <v>1119.2342294109999</v>
      </c>
      <c r="D30" s="420">
        <v>1022.35180006</v>
      </c>
      <c r="E30" s="420">
        <v>1169.8590104499999</v>
      </c>
      <c r="F30" s="420">
        <v>1865.0196754420001</v>
      </c>
      <c r="G30" s="420">
        <v>2616.2408041059998</v>
      </c>
      <c r="H30" s="420">
        <v>3424.3081131479998</v>
      </c>
      <c r="I30" s="420">
        <v>4171.1817283950004</v>
      </c>
      <c r="J30" s="420">
        <v>3440.5722452169998</v>
      </c>
      <c r="K30" s="420">
        <v>4417.2992648150002</v>
      </c>
      <c r="L30" s="420">
        <v>5706.1998032330002</v>
      </c>
      <c r="M30" s="420">
        <v>5789.5046707379997</v>
      </c>
      <c r="N30" s="420">
        <v>5577.2895282850004</v>
      </c>
      <c r="O30" s="420">
        <v>6193.0246035319997</v>
      </c>
      <c r="P30" s="420">
        <v>7963.9649276050004</v>
      </c>
      <c r="Q30" s="420">
        <v>8343.7891643540006</v>
      </c>
      <c r="R30" s="420">
        <v>9023.3344316319999</v>
      </c>
      <c r="S30" s="420">
        <v>8281.6535437799994</v>
      </c>
      <c r="T30" s="420">
        <v>6660.1976831359998</v>
      </c>
      <c r="U30" s="420">
        <v>6977.6541985390004</v>
      </c>
      <c r="V30" s="420">
        <v>7412.720907811</v>
      </c>
      <c r="W30" s="420">
        <v>8325.0729132710003</v>
      </c>
      <c r="X30" s="420">
        <v>8561.1937527009995</v>
      </c>
      <c r="Y30" s="420">
        <v>8829.5779859880004</v>
      </c>
      <c r="Z30" s="420">
        <v>10182.278701153</v>
      </c>
      <c r="AA30" s="420">
        <v>11856.65979564</v>
      </c>
      <c r="AB30" s="420">
        <v>11828.764767277</v>
      </c>
      <c r="AC30" s="420">
        <v>12946.733977403999</v>
      </c>
      <c r="AD30" s="420">
        <v>12169.293989145999</v>
      </c>
      <c r="AE30" s="420">
        <v>11352.999176064999</v>
      </c>
      <c r="AF30" s="420">
        <v>11870.260111636</v>
      </c>
      <c r="AG30" s="420">
        <v>11777.618474157</v>
      </c>
      <c r="AH30" s="420">
        <v>11427.559341054999</v>
      </c>
      <c r="AI30" s="420">
        <v>11419.535098797</v>
      </c>
      <c r="AJ30" s="420">
        <v>11293.306532212</v>
      </c>
      <c r="AK30" s="420">
        <v>11284.310560284999</v>
      </c>
      <c r="AL30" s="420">
        <v>11005.671660358001</v>
      </c>
    </row>
    <row r="31" spans="1:38" ht="14.1" customHeight="1">
      <c r="A31" s="96" t="s">
        <v>1969</v>
      </c>
      <c r="B31" s="96" t="s">
        <v>1492</v>
      </c>
      <c r="C31" s="420">
        <v>1107.978491648</v>
      </c>
      <c r="D31" s="420">
        <v>939.09726718399997</v>
      </c>
      <c r="E31" s="420">
        <v>1153.867030767</v>
      </c>
      <c r="F31" s="420">
        <v>915.502618676</v>
      </c>
      <c r="G31" s="420">
        <v>884.76628072999995</v>
      </c>
      <c r="H31" s="420">
        <v>1394.499947282</v>
      </c>
      <c r="I31" s="420">
        <v>1980.9126965840001</v>
      </c>
      <c r="J31" s="420">
        <v>3400.5832179409999</v>
      </c>
      <c r="K31" s="420">
        <v>3084.081484761</v>
      </c>
      <c r="L31" s="420">
        <v>3697.7667507890001</v>
      </c>
      <c r="M31" s="420">
        <v>4274.0355899389997</v>
      </c>
      <c r="N31" s="420">
        <v>4605.1510868169999</v>
      </c>
      <c r="O31" s="420">
        <v>4319.0621674069998</v>
      </c>
      <c r="P31" s="420">
        <v>4621.5137479739997</v>
      </c>
      <c r="Q31" s="420">
        <v>5310.3589865069998</v>
      </c>
      <c r="R31" s="420">
        <v>6791.4641813839999</v>
      </c>
      <c r="S31" s="420">
        <v>8552.1113329039999</v>
      </c>
      <c r="T31" s="420">
        <v>8844.3179589489991</v>
      </c>
      <c r="U31" s="420">
        <v>9756.2658392789999</v>
      </c>
      <c r="V31" s="420">
        <v>10251.68135067</v>
      </c>
      <c r="W31" s="420">
        <v>10148.666410844</v>
      </c>
      <c r="X31" s="420">
        <v>9639.5467683669995</v>
      </c>
      <c r="Y31" s="420">
        <v>11141.392363519</v>
      </c>
      <c r="Z31" s="420">
        <v>11852.649171358</v>
      </c>
      <c r="AA31" s="420">
        <v>11410.533115954</v>
      </c>
      <c r="AB31" s="420">
        <v>12622.46526902</v>
      </c>
      <c r="AC31" s="420">
        <v>14108.189982759999</v>
      </c>
      <c r="AD31" s="420">
        <v>14238.0513546</v>
      </c>
      <c r="AE31" s="420">
        <v>15113.958878464</v>
      </c>
      <c r="AF31" s="420">
        <v>14788.34436298</v>
      </c>
      <c r="AG31" s="420">
        <v>14788.232343668</v>
      </c>
      <c r="AH31" s="420">
        <v>14139.058524280999</v>
      </c>
      <c r="AI31" s="420">
        <v>14009.790460361</v>
      </c>
      <c r="AJ31" s="420">
        <v>13896.240087287</v>
      </c>
      <c r="AK31" s="420">
        <v>13829.975961734999</v>
      </c>
      <c r="AL31" s="420">
        <v>13440.166071887999</v>
      </c>
    </row>
    <row r="32" spans="1:38" ht="14.1" customHeight="1">
      <c r="A32" s="96" t="s">
        <v>1970</v>
      </c>
      <c r="B32" s="96" t="s">
        <v>1971</v>
      </c>
      <c r="C32" s="420">
        <v>49.440306978999999</v>
      </c>
      <c r="D32" s="420">
        <v>33.911376974</v>
      </c>
      <c r="E32" s="420">
        <v>41.163026369000001</v>
      </c>
      <c r="F32" s="420">
        <v>28.287400312999999</v>
      </c>
      <c r="G32" s="420">
        <v>25.928738957</v>
      </c>
      <c r="H32" s="420">
        <v>71.400122178999993</v>
      </c>
      <c r="I32" s="420">
        <v>65.869298146000006</v>
      </c>
      <c r="J32" s="420">
        <v>85.570115752999996</v>
      </c>
      <c r="K32" s="420">
        <v>87.714416216999993</v>
      </c>
      <c r="L32" s="420">
        <v>110.974456555</v>
      </c>
      <c r="M32" s="420">
        <v>128.64550706</v>
      </c>
      <c r="N32" s="420">
        <v>103.28370318</v>
      </c>
      <c r="O32" s="420">
        <v>241.97812977199999</v>
      </c>
      <c r="P32" s="420">
        <v>193.53880591500001</v>
      </c>
      <c r="Q32" s="420">
        <v>143.13758755500001</v>
      </c>
      <c r="R32" s="420">
        <v>152.342496697</v>
      </c>
      <c r="S32" s="420">
        <v>159.888841329</v>
      </c>
      <c r="T32" s="420">
        <v>211.23731563300001</v>
      </c>
      <c r="U32" s="420">
        <v>325.53029736600001</v>
      </c>
      <c r="V32" s="420">
        <v>272.757273908</v>
      </c>
      <c r="W32" s="420">
        <v>248.350090612</v>
      </c>
      <c r="X32" s="420">
        <v>244.215901457</v>
      </c>
      <c r="Y32" s="420">
        <v>241.14857512899999</v>
      </c>
      <c r="Z32" s="420">
        <v>171.505057566</v>
      </c>
      <c r="AA32" s="420">
        <v>247.38834174900001</v>
      </c>
      <c r="AB32" s="420">
        <v>167.52273821700001</v>
      </c>
      <c r="AC32" s="420">
        <v>258.80074623899998</v>
      </c>
      <c r="AD32" s="420">
        <v>292.73133314900002</v>
      </c>
      <c r="AE32" s="420">
        <v>244.752590895</v>
      </c>
      <c r="AF32" s="420">
        <v>283.71737521699998</v>
      </c>
      <c r="AG32" s="420">
        <v>301.97056961999999</v>
      </c>
      <c r="AH32" s="420">
        <v>294.10424285099998</v>
      </c>
      <c r="AI32" s="420">
        <v>324.19664456100003</v>
      </c>
      <c r="AJ32" s="420">
        <v>315.93195365000003</v>
      </c>
      <c r="AK32" s="420">
        <v>308.93602244900001</v>
      </c>
      <c r="AL32" s="420">
        <v>314.55843957299999</v>
      </c>
    </row>
    <row r="33" spans="1:38" ht="14.1" customHeight="1">
      <c r="A33" s="96" t="s">
        <v>1972</v>
      </c>
      <c r="B33" s="96" t="s">
        <v>1973</v>
      </c>
      <c r="C33" s="420">
        <v>717.71318299799998</v>
      </c>
      <c r="D33" s="420">
        <v>751.41921971600004</v>
      </c>
      <c r="E33" s="420">
        <v>756.49434175099998</v>
      </c>
      <c r="F33" s="420">
        <v>935.76459012400005</v>
      </c>
      <c r="G33" s="420">
        <v>1005.59012233</v>
      </c>
      <c r="H33" s="420">
        <v>1143.8685625539999</v>
      </c>
      <c r="I33" s="420">
        <v>1433.48597453</v>
      </c>
      <c r="J33" s="420">
        <v>1424.2163696519999</v>
      </c>
      <c r="K33" s="420">
        <v>1636.607124723</v>
      </c>
      <c r="L33" s="420">
        <v>1938.659028111</v>
      </c>
      <c r="M33" s="420">
        <v>2078.149121724</v>
      </c>
      <c r="N33" s="420">
        <v>2277.9630028729998</v>
      </c>
      <c r="O33" s="420">
        <v>2025.3358963129999</v>
      </c>
      <c r="P33" s="420">
        <v>2217.386852268</v>
      </c>
      <c r="Q33" s="420">
        <v>2473.1475215750002</v>
      </c>
      <c r="R33" s="420">
        <v>2814.3440895039998</v>
      </c>
      <c r="S33" s="420">
        <v>2982.3973031350001</v>
      </c>
      <c r="T33" s="420">
        <v>3263.47172679</v>
      </c>
      <c r="U33" s="420">
        <v>3305.559514773</v>
      </c>
      <c r="V33" s="420">
        <v>3588.3911998429999</v>
      </c>
      <c r="W33" s="420">
        <v>4240.2895397410002</v>
      </c>
      <c r="X33" s="420">
        <v>3606.24297798</v>
      </c>
      <c r="Y33" s="420">
        <v>3402.5378336200001</v>
      </c>
      <c r="Z33" s="420">
        <v>3024.0230435090002</v>
      </c>
      <c r="AA33" s="420">
        <v>3151.6022398149998</v>
      </c>
      <c r="AB33" s="420">
        <v>3151.0127408859998</v>
      </c>
      <c r="AC33" s="420">
        <v>2738.113256349</v>
      </c>
      <c r="AD33" s="420">
        <v>2971.1942294999999</v>
      </c>
      <c r="AE33" s="420">
        <v>3011.6014456349999</v>
      </c>
      <c r="AF33" s="420">
        <v>2976.9305741580001</v>
      </c>
      <c r="AG33" s="420">
        <v>2842.7635838719998</v>
      </c>
      <c r="AH33" s="420">
        <v>2561.0862275999998</v>
      </c>
      <c r="AI33" s="420">
        <v>2411.1613870400001</v>
      </c>
      <c r="AJ33" s="420">
        <v>2315.0474752740001</v>
      </c>
      <c r="AK33" s="420">
        <v>2263.2789037699999</v>
      </c>
      <c r="AL33" s="420">
        <v>3049.5671155270002</v>
      </c>
    </row>
    <row r="34" spans="1:38" ht="14.1" customHeight="1">
      <c r="A34" s="96" t="s">
        <v>1974</v>
      </c>
      <c r="B34" s="96" t="s">
        <v>1975</v>
      </c>
      <c r="C34" s="420">
        <v>19.4546457</v>
      </c>
      <c r="D34" s="420">
        <v>17.862974974</v>
      </c>
      <c r="E34" s="420">
        <v>18.032020004</v>
      </c>
      <c r="F34" s="420">
        <v>20.886919549999998</v>
      </c>
      <c r="G34" s="420">
        <v>21.250189171999999</v>
      </c>
      <c r="H34" s="420">
        <v>27.016250028999998</v>
      </c>
      <c r="I34" s="420">
        <v>37.197036099999998</v>
      </c>
      <c r="J34" s="420">
        <v>42.143941339000001</v>
      </c>
      <c r="K34" s="420">
        <v>41.594057335999999</v>
      </c>
      <c r="L34" s="420">
        <v>49.060812728999998</v>
      </c>
      <c r="M34" s="420">
        <v>51.324618880000003</v>
      </c>
      <c r="N34" s="420">
        <v>53.539168844000002</v>
      </c>
      <c r="O34" s="420">
        <v>63.754224346999997</v>
      </c>
      <c r="P34" s="420">
        <v>71.427552116000001</v>
      </c>
      <c r="Q34" s="420">
        <v>74.160588188000006</v>
      </c>
      <c r="R34" s="420">
        <v>330.16375069499998</v>
      </c>
      <c r="S34" s="420">
        <v>329.044318729</v>
      </c>
      <c r="T34" s="420">
        <v>323.66425559599998</v>
      </c>
      <c r="U34" s="420">
        <v>322.87820011700001</v>
      </c>
      <c r="V34" s="420">
        <v>325.19953644200001</v>
      </c>
      <c r="W34" s="420">
        <v>319.75189338500002</v>
      </c>
      <c r="X34" s="420">
        <v>329.31339053599999</v>
      </c>
      <c r="Y34" s="420">
        <v>358.091006322</v>
      </c>
      <c r="Z34" s="420">
        <v>357.91752014299999</v>
      </c>
      <c r="AA34" s="420">
        <v>322.06284151199998</v>
      </c>
      <c r="AB34" s="420">
        <v>319.09472260699999</v>
      </c>
      <c r="AC34" s="420">
        <v>316.450538763</v>
      </c>
      <c r="AD34" s="420">
        <v>328.39567550100003</v>
      </c>
      <c r="AE34" s="420">
        <v>319.78755158500002</v>
      </c>
      <c r="AF34" s="420">
        <v>312.04625164100003</v>
      </c>
      <c r="AG34" s="420">
        <v>325.40249962799999</v>
      </c>
      <c r="AH34" s="420">
        <v>310.29978188299998</v>
      </c>
      <c r="AI34" s="420">
        <v>310.17335462300002</v>
      </c>
      <c r="AJ34" s="420">
        <v>302.71803987999999</v>
      </c>
      <c r="AK34" s="420">
        <v>291.92949211600001</v>
      </c>
      <c r="AL34" s="420">
        <v>298.73046843899999</v>
      </c>
    </row>
    <row r="35" spans="1:38" ht="14.1" customHeight="1">
      <c r="A35" s="96" t="s">
        <v>1976</v>
      </c>
      <c r="B35" s="96" t="s">
        <v>1977</v>
      </c>
      <c r="C35" s="420">
        <v>2.9976926490000002</v>
      </c>
      <c r="D35" s="420">
        <v>16.533225063</v>
      </c>
      <c r="E35" s="420">
        <v>16.559651154000001</v>
      </c>
      <c r="F35" s="420">
        <v>17.970400482999999</v>
      </c>
      <c r="G35" s="420">
        <v>19.526402477000001</v>
      </c>
      <c r="H35" s="420">
        <v>20.067471300000001</v>
      </c>
      <c r="I35" s="420">
        <v>21.375954650000001</v>
      </c>
      <c r="J35" s="420">
        <v>21.801035874</v>
      </c>
      <c r="K35" s="420">
        <v>22.302290401</v>
      </c>
      <c r="L35" s="420">
        <v>19.213159015999999</v>
      </c>
      <c r="M35" s="420">
        <v>21.440020302000001</v>
      </c>
      <c r="N35" s="420">
        <v>22.244066965999998</v>
      </c>
      <c r="O35" s="420">
        <v>21.990145727000002</v>
      </c>
      <c r="P35" s="420">
        <v>22.290570031000001</v>
      </c>
      <c r="Q35" s="420">
        <v>25.446544592999999</v>
      </c>
      <c r="R35" s="420">
        <v>31.477576192000001</v>
      </c>
      <c r="S35" s="420">
        <v>30.430340627</v>
      </c>
      <c r="T35" s="420">
        <v>29.217708879</v>
      </c>
      <c r="U35" s="420">
        <v>28.759979901000001</v>
      </c>
      <c r="V35" s="420">
        <v>29.894292731</v>
      </c>
      <c r="W35" s="420">
        <v>29.119048541000002</v>
      </c>
      <c r="X35" s="420">
        <v>47.718240063000003</v>
      </c>
      <c r="Y35" s="420">
        <v>71.534035454000005</v>
      </c>
      <c r="Z35" s="420">
        <v>68.675237828999997</v>
      </c>
      <c r="AA35" s="420">
        <v>66.704470306999994</v>
      </c>
      <c r="AB35" s="420">
        <v>64.169875231999995</v>
      </c>
      <c r="AC35" s="420">
        <v>60.730138598000003</v>
      </c>
      <c r="AD35" s="420">
        <v>65.474672076000004</v>
      </c>
      <c r="AE35" s="420">
        <v>62.529822136</v>
      </c>
      <c r="AF35" s="420">
        <v>68.451244291999998</v>
      </c>
      <c r="AG35" s="420">
        <v>65.17423454</v>
      </c>
      <c r="AH35" s="420">
        <v>61.908732995999998</v>
      </c>
      <c r="AI35" s="420">
        <v>58.705433487999997</v>
      </c>
      <c r="AJ35" s="420">
        <v>55.790691576999997</v>
      </c>
      <c r="AK35" s="420">
        <v>72.701284348000002</v>
      </c>
      <c r="AL35" s="420">
        <v>71.013656420999993</v>
      </c>
    </row>
    <row r="36" spans="1:38" ht="14.1" customHeight="1">
      <c r="A36" s="96" t="s">
        <v>1978</v>
      </c>
      <c r="B36" s="96" t="s">
        <v>1979</v>
      </c>
      <c r="C36" s="420">
        <v>20.943758033999998</v>
      </c>
      <c r="D36" s="420">
        <v>20.904508953000001</v>
      </c>
      <c r="E36" s="420">
        <v>20.865259871999999</v>
      </c>
      <c r="F36" s="420">
        <v>37.838469359000001</v>
      </c>
      <c r="G36" s="420">
        <v>37.649075195000002</v>
      </c>
      <c r="H36" s="420">
        <v>24.371321386999998</v>
      </c>
      <c r="I36" s="420">
        <v>24.181927222999999</v>
      </c>
      <c r="J36" s="420">
        <v>28.645758818000001</v>
      </c>
      <c r="K36" s="420">
        <v>35.224519991999998</v>
      </c>
      <c r="L36" s="420">
        <v>39.965771951000001</v>
      </c>
      <c r="M36" s="420">
        <v>39.707673861000004</v>
      </c>
      <c r="N36" s="420">
        <v>47.027879233</v>
      </c>
      <c r="O36" s="420">
        <v>80.018218615999999</v>
      </c>
      <c r="P36" s="420">
        <v>284.42214287600001</v>
      </c>
      <c r="Q36" s="420">
        <v>281.06741789199998</v>
      </c>
      <c r="R36" s="420">
        <v>92.441808628000004</v>
      </c>
      <c r="S36" s="420">
        <v>98.189651947000002</v>
      </c>
      <c r="T36" s="420">
        <v>112.508718043</v>
      </c>
      <c r="U36" s="420">
        <v>109.569046423</v>
      </c>
      <c r="V36" s="420">
        <v>127.683159471</v>
      </c>
      <c r="W36" s="420">
        <v>126.18320473999999</v>
      </c>
      <c r="X36" s="420">
        <v>123.43330252299999</v>
      </c>
      <c r="Y36" s="420">
        <v>120.57019643300001</v>
      </c>
      <c r="Z36" s="420">
        <v>115.007229092</v>
      </c>
      <c r="AA36" s="420">
        <v>140.88091567399999</v>
      </c>
      <c r="AB36" s="420">
        <v>134.14625264399999</v>
      </c>
      <c r="AC36" s="420">
        <v>129.19920715999999</v>
      </c>
      <c r="AD36" s="420">
        <v>132.234528324</v>
      </c>
      <c r="AE36" s="420">
        <v>144.01798427</v>
      </c>
      <c r="AF36" s="420">
        <v>149.44186952999999</v>
      </c>
      <c r="AG36" s="420">
        <v>135.42839914699999</v>
      </c>
      <c r="AH36" s="420">
        <v>110.314929617</v>
      </c>
      <c r="AI36" s="420">
        <v>106.45221426099999</v>
      </c>
      <c r="AJ36" s="420">
        <v>100.71398891</v>
      </c>
      <c r="AK36" s="420">
        <v>103.01039401</v>
      </c>
      <c r="AL36" s="420">
        <v>152.632721113</v>
      </c>
    </row>
    <row r="37" spans="1:38" ht="14.1" customHeight="1">
      <c r="A37" s="96" t="s">
        <v>1980</v>
      </c>
      <c r="B37" s="96" t="s">
        <v>662</v>
      </c>
      <c r="C37" s="420">
        <v>31.937757192999999</v>
      </c>
      <c r="D37" s="420">
        <v>35.596943033000002</v>
      </c>
      <c r="E37" s="420">
        <v>36.890121860000001</v>
      </c>
      <c r="F37" s="420">
        <v>151.85115478200001</v>
      </c>
      <c r="G37" s="420">
        <v>45.339323393000001</v>
      </c>
      <c r="H37" s="420">
        <v>47.398355993999999</v>
      </c>
      <c r="I37" s="420">
        <v>77.227754290999997</v>
      </c>
      <c r="J37" s="420">
        <v>90.232206067000007</v>
      </c>
      <c r="K37" s="420">
        <v>204.518420416</v>
      </c>
      <c r="L37" s="420">
        <v>427.38660713500002</v>
      </c>
      <c r="M37" s="420">
        <v>466.954549697</v>
      </c>
      <c r="N37" s="420">
        <v>504.34169934599998</v>
      </c>
      <c r="O37" s="420">
        <v>234.814024867</v>
      </c>
      <c r="P37" s="420">
        <v>101.98493824400001</v>
      </c>
      <c r="Q37" s="420">
        <v>113.016078204</v>
      </c>
      <c r="R37" s="420">
        <v>75.114948487999996</v>
      </c>
      <c r="S37" s="420">
        <v>74.773102101999996</v>
      </c>
      <c r="T37" s="420">
        <v>71.979161364999996</v>
      </c>
      <c r="U37" s="420">
        <v>645.77730308399998</v>
      </c>
      <c r="V37" s="420">
        <v>645.33681027900002</v>
      </c>
      <c r="W37" s="420">
        <v>651.89653848499995</v>
      </c>
      <c r="X37" s="420">
        <v>658.52494635400001</v>
      </c>
      <c r="Y37" s="420">
        <v>645.61092310699996</v>
      </c>
      <c r="Z37" s="420">
        <v>665.22058891799998</v>
      </c>
      <c r="AA37" s="420">
        <v>693.95024617599995</v>
      </c>
      <c r="AB37" s="420">
        <v>730.06992513700004</v>
      </c>
      <c r="AC37" s="420">
        <v>713.26735804999998</v>
      </c>
      <c r="AD37" s="420">
        <v>711.40919833800001</v>
      </c>
      <c r="AE37" s="420">
        <v>728.78994878399999</v>
      </c>
      <c r="AF37" s="420">
        <v>739.93385519599997</v>
      </c>
      <c r="AG37" s="420">
        <v>745.29146580700001</v>
      </c>
      <c r="AH37" s="420">
        <v>722.51478099899998</v>
      </c>
      <c r="AI37" s="420">
        <v>716.02851489299997</v>
      </c>
      <c r="AJ37" s="420">
        <v>733.00432096400004</v>
      </c>
      <c r="AK37" s="420">
        <v>715.50405244599995</v>
      </c>
      <c r="AL37" s="420">
        <v>727.36671128900002</v>
      </c>
    </row>
    <row r="38" spans="1:38" ht="14.1" customHeight="1">
      <c r="A38" s="96" t="s">
        <v>1981</v>
      </c>
      <c r="B38" s="96" t="s">
        <v>1982</v>
      </c>
      <c r="C38" s="420">
        <v>26.773073063999998</v>
      </c>
      <c r="D38" s="420">
        <v>31.055917846</v>
      </c>
      <c r="E38" s="420">
        <v>30.245531234000001</v>
      </c>
      <c r="F38" s="420">
        <v>29.417932164</v>
      </c>
      <c r="G38" s="420">
        <v>28.608252295</v>
      </c>
      <c r="H38" s="420">
        <v>109.29756224099999</v>
      </c>
      <c r="I38" s="420">
        <v>106.450407627</v>
      </c>
      <c r="J38" s="420">
        <v>103.603253013</v>
      </c>
      <c r="K38" s="420">
        <v>100.756098399</v>
      </c>
      <c r="L38" s="420">
        <v>97.908943784000002</v>
      </c>
      <c r="M38" s="420">
        <v>95.061789172000005</v>
      </c>
      <c r="N38" s="420">
        <v>100.546433112</v>
      </c>
      <c r="O38" s="420">
        <v>97.421551880999999</v>
      </c>
      <c r="P38" s="420">
        <v>94.366102304999998</v>
      </c>
      <c r="Q38" s="420">
        <v>91.310652728999997</v>
      </c>
      <c r="R38" s="420">
        <v>88.255203152999997</v>
      </c>
      <c r="S38" s="420">
        <v>85.199753576999996</v>
      </c>
      <c r="T38" s="420">
        <v>82.144304000999995</v>
      </c>
      <c r="U38" s="420">
        <v>281.155356961</v>
      </c>
      <c r="V38" s="420">
        <v>236.83682150199999</v>
      </c>
      <c r="W38" s="420">
        <v>229.58458834300001</v>
      </c>
      <c r="X38" s="420">
        <v>224.46683224399999</v>
      </c>
      <c r="Y38" s="420">
        <v>217.214599085</v>
      </c>
      <c r="Z38" s="420">
        <v>209.76628443499999</v>
      </c>
      <c r="AA38" s="420">
        <v>202.461771328</v>
      </c>
      <c r="AB38" s="420">
        <v>193.48374595499999</v>
      </c>
      <c r="AC38" s="420">
        <v>177.452594549</v>
      </c>
      <c r="AD38" s="420">
        <v>170.87076305900001</v>
      </c>
      <c r="AE38" s="420">
        <v>164.28893155099999</v>
      </c>
      <c r="AF38" s="420">
        <v>157.70710006100001</v>
      </c>
      <c r="AG38" s="420">
        <v>151.12526857099999</v>
      </c>
      <c r="AH38" s="420">
        <v>144.54343708100001</v>
      </c>
      <c r="AI38" s="420">
        <v>137.96160559099999</v>
      </c>
      <c r="AJ38" s="420">
        <v>131.37977410100001</v>
      </c>
      <c r="AK38" s="420">
        <v>124.797942611</v>
      </c>
      <c r="AL38" s="420">
        <v>118.216111121</v>
      </c>
    </row>
    <row r="39" spans="1:38" ht="14.1" customHeight="1">
      <c r="A39" s="96" t="s">
        <v>1983</v>
      </c>
      <c r="B39" s="96" t="s">
        <v>1984</v>
      </c>
      <c r="C39" s="420">
        <v>524.83797285599996</v>
      </c>
      <c r="D39" s="420">
        <v>544.73624666600006</v>
      </c>
      <c r="E39" s="420">
        <v>536.79671613200003</v>
      </c>
      <c r="F39" s="420">
        <v>580.05303769800003</v>
      </c>
      <c r="G39" s="420">
        <v>739.51481516299998</v>
      </c>
      <c r="H39" s="420">
        <v>634.16568356100004</v>
      </c>
      <c r="I39" s="420">
        <v>974.41450869400001</v>
      </c>
      <c r="J39" s="420">
        <v>962.08321136699999</v>
      </c>
      <c r="K39" s="420">
        <v>955.11684199299998</v>
      </c>
      <c r="L39" s="420">
        <v>959.385881778</v>
      </c>
      <c r="M39" s="420">
        <v>1087.6106840309999</v>
      </c>
      <c r="N39" s="420">
        <v>1176.3501956319999</v>
      </c>
      <c r="O39" s="420">
        <v>1210.2810423210001</v>
      </c>
      <c r="P39" s="420">
        <v>1285.299277073</v>
      </c>
      <c r="Q39" s="420">
        <v>1355.296969604</v>
      </c>
      <c r="R39" s="420">
        <v>1184.8182532420001</v>
      </c>
      <c r="S39" s="420">
        <v>1176.266242444</v>
      </c>
      <c r="T39" s="420">
        <v>1137.7555067769999</v>
      </c>
      <c r="U39" s="420">
        <v>106.54119825799999</v>
      </c>
      <c r="V39" s="420">
        <v>106.5</v>
      </c>
      <c r="W39" s="420">
        <v>106.5</v>
      </c>
      <c r="X39" s="420">
        <v>106.5</v>
      </c>
      <c r="Y39" s="420">
        <v>106.5</v>
      </c>
      <c r="Z39" s="420">
        <v>353.36068939500001</v>
      </c>
      <c r="AA39" s="420">
        <v>505.97420748899998</v>
      </c>
      <c r="AB39" s="420">
        <v>397.24866296200003</v>
      </c>
      <c r="AC39" s="420">
        <v>334.59785505399998</v>
      </c>
      <c r="AD39" s="420">
        <v>506.28179372400001</v>
      </c>
      <c r="AE39" s="420">
        <v>505.15962792300002</v>
      </c>
      <c r="AF39" s="420">
        <v>500.80797656499999</v>
      </c>
      <c r="AG39" s="420">
        <v>496.07791016300001</v>
      </c>
      <c r="AH39" s="420">
        <v>394.22636020200002</v>
      </c>
      <c r="AI39" s="420">
        <v>401.131020148</v>
      </c>
      <c r="AJ39" s="420">
        <v>455.08521997600002</v>
      </c>
      <c r="AK39" s="420">
        <v>449.78050422799998</v>
      </c>
      <c r="AL39" s="420">
        <v>442.90235756999999</v>
      </c>
    </row>
    <row r="40" spans="1:38" ht="14.1" customHeight="1">
      <c r="A40" s="96" t="s">
        <v>1985</v>
      </c>
      <c r="B40" s="96" t="s">
        <v>1986</v>
      </c>
      <c r="C40" s="420">
        <v>90.768283502000003</v>
      </c>
      <c r="D40" s="420">
        <v>84.729403180999995</v>
      </c>
      <c r="E40" s="420">
        <v>97.105041494999995</v>
      </c>
      <c r="F40" s="420">
        <v>97.746676088000001</v>
      </c>
      <c r="G40" s="420">
        <v>113.702064635</v>
      </c>
      <c r="H40" s="420">
        <v>281.55191804200001</v>
      </c>
      <c r="I40" s="420">
        <v>192.63838594500001</v>
      </c>
      <c r="J40" s="420">
        <v>175.70696317400001</v>
      </c>
      <c r="K40" s="420">
        <v>277.09489618600003</v>
      </c>
      <c r="L40" s="420">
        <v>345.737851718</v>
      </c>
      <c r="M40" s="420">
        <v>316.04978578100003</v>
      </c>
      <c r="N40" s="420">
        <v>373.91355973999998</v>
      </c>
      <c r="O40" s="420">
        <v>317.056688554</v>
      </c>
      <c r="P40" s="420">
        <v>357.59626962300001</v>
      </c>
      <c r="Q40" s="420">
        <v>532.84927036500005</v>
      </c>
      <c r="R40" s="420">
        <v>1012.072549106</v>
      </c>
      <c r="S40" s="420">
        <v>1188.4938937090001</v>
      </c>
      <c r="T40" s="420">
        <v>1506.202072129</v>
      </c>
      <c r="U40" s="420">
        <v>1810.8784300289999</v>
      </c>
      <c r="V40" s="420">
        <v>2116.9405794180002</v>
      </c>
      <c r="W40" s="420">
        <v>2777.254266247</v>
      </c>
      <c r="X40" s="420">
        <v>2116.28626626</v>
      </c>
      <c r="Y40" s="420">
        <v>1883.0170732189999</v>
      </c>
      <c r="Z40" s="420">
        <v>1254.075493697</v>
      </c>
      <c r="AA40" s="420">
        <v>1219.5677873290001</v>
      </c>
      <c r="AB40" s="420">
        <v>1312.7995563490001</v>
      </c>
      <c r="AC40" s="420">
        <v>1006.415564175</v>
      </c>
      <c r="AD40" s="420">
        <v>1056.5275984780001</v>
      </c>
      <c r="AE40" s="420">
        <v>1087.0275793860001</v>
      </c>
      <c r="AF40" s="420">
        <v>1048.542276873</v>
      </c>
      <c r="AG40" s="420">
        <v>924.26380601599999</v>
      </c>
      <c r="AH40" s="420">
        <v>817.27820482200002</v>
      </c>
      <c r="AI40" s="420">
        <v>680.70924403599997</v>
      </c>
      <c r="AJ40" s="420">
        <v>536.35543986599998</v>
      </c>
      <c r="AK40" s="420">
        <v>505.55523401099998</v>
      </c>
      <c r="AL40" s="420">
        <v>1238.7050895740001</v>
      </c>
    </row>
    <row r="41" spans="1:38" ht="14.1" customHeight="1">
      <c r="A41" s="96" t="s">
        <v>1987</v>
      </c>
      <c r="B41" s="96" t="s">
        <v>1988</v>
      </c>
      <c r="C41" s="420">
        <v>3719.2740645210001</v>
      </c>
      <c r="D41" s="420">
        <v>3273.2095180490001</v>
      </c>
      <c r="E41" s="420">
        <v>3573.13529556</v>
      </c>
      <c r="F41" s="420">
        <v>5562.791174256</v>
      </c>
      <c r="G41" s="420">
        <v>6127.4274154470004</v>
      </c>
      <c r="H41" s="420">
        <v>8211.5649620559998</v>
      </c>
      <c r="I41" s="420">
        <v>9617.2960342309998</v>
      </c>
      <c r="J41" s="420">
        <v>10264.402566111999</v>
      </c>
      <c r="K41" s="420">
        <v>10751.420404147</v>
      </c>
      <c r="L41" s="420">
        <v>12417.482448047</v>
      </c>
      <c r="M41" s="420">
        <v>13437.455087004</v>
      </c>
      <c r="N41" s="420">
        <v>13774.757057491001</v>
      </c>
      <c r="O41" s="420">
        <v>14348.590892172</v>
      </c>
      <c r="P41" s="420">
        <v>15948.562495327</v>
      </c>
      <c r="Q41" s="420">
        <v>17999.817286746002</v>
      </c>
      <c r="R41" s="420">
        <v>19880.517214813</v>
      </c>
      <c r="S41" s="420">
        <v>21254.655918523</v>
      </c>
      <c r="T41" s="420">
        <v>20478.656782508999</v>
      </c>
      <c r="U41" s="420">
        <v>22226.87436496</v>
      </c>
      <c r="V41" s="420">
        <v>23510.865750240999</v>
      </c>
      <c r="W41" s="420">
        <v>25674.60038494</v>
      </c>
      <c r="X41" s="420">
        <v>27749.287620726001</v>
      </c>
      <c r="Y41" s="420">
        <v>28567.773033846999</v>
      </c>
      <c r="Z41" s="420">
        <v>28254.061055415001</v>
      </c>
      <c r="AA41" s="420">
        <v>28871.410332539999</v>
      </c>
      <c r="AB41" s="420">
        <v>30408.409727793001</v>
      </c>
      <c r="AC41" s="420">
        <v>31301.361288444001</v>
      </c>
      <c r="AD41" s="420">
        <v>30771.415683052001</v>
      </c>
      <c r="AE41" s="420">
        <v>30479.646439757002</v>
      </c>
      <c r="AF41" s="420">
        <v>30497.519844146998</v>
      </c>
      <c r="AG41" s="420">
        <v>30498.740585881998</v>
      </c>
      <c r="AH41" s="420">
        <v>28795.051608427999</v>
      </c>
      <c r="AI41" s="420">
        <v>29647.581131733001</v>
      </c>
      <c r="AJ41" s="420">
        <v>28955.183513741002</v>
      </c>
      <c r="AK41" s="420">
        <v>28850.956043217</v>
      </c>
      <c r="AL41" s="420">
        <v>29136.913251131999</v>
      </c>
    </row>
    <row r="42" spans="1:38" ht="14.1" customHeight="1">
      <c r="A42" s="96" t="s">
        <v>1989</v>
      </c>
      <c r="B42" s="96" t="s">
        <v>1990</v>
      </c>
      <c r="C42" s="420">
        <v>2010.152777796</v>
      </c>
      <c r="D42" s="420">
        <v>1419.5836837080001</v>
      </c>
      <c r="E42" s="420">
        <v>1699.7031851710001</v>
      </c>
      <c r="F42" s="420">
        <v>2025.4361011620001</v>
      </c>
      <c r="G42" s="420">
        <v>2512.7940935060001</v>
      </c>
      <c r="H42" s="420">
        <v>4300.5404936679997</v>
      </c>
      <c r="I42" s="420">
        <v>5357.8650858990004</v>
      </c>
      <c r="J42" s="420">
        <v>5610.5573885470003</v>
      </c>
      <c r="K42" s="420">
        <v>5953.1768247689997</v>
      </c>
      <c r="L42" s="420">
        <v>7200.5599348940004</v>
      </c>
      <c r="M42" s="420">
        <v>7834.7936689300004</v>
      </c>
      <c r="N42" s="420">
        <v>7542.3698737599998</v>
      </c>
      <c r="O42" s="420">
        <v>7729.0256871339998</v>
      </c>
      <c r="P42" s="420">
        <v>8658.5216894229998</v>
      </c>
      <c r="Q42" s="420">
        <v>10183.548717899001</v>
      </c>
      <c r="R42" s="420">
        <v>10652.695846729001</v>
      </c>
      <c r="S42" s="420">
        <v>12244.705040781</v>
      </c>
      <c r="T42" s="420">
        <v>11829.722935608001</v>
      </c>
      <c r="U42" s="420">
        <v>13143.520963859</v>
      </c>
      <c r="V42" s="420">
        <v>14379.233138338001</v>
      </c>
      <c r="W42" s="420">
        <v>15995.055936262999</v>
      </c>
      <c r="X42" s="420">
        <v>14752.298799499</v>
      </c>
      <c r="Y42" s="420">
        <v>15464.458907300001</v>
      </c>
      <c r="Z42" s="420">
        <v>14872.585915029</v>
      </c>
      <c r="AA42" s="420">
        <v>14900.632052363</v>
      </c>
      <c r="AB42" s="420">
        <v>16102.402698796999</v>
      </c>
      <c r="AC42" s="420">
        <v>16724.542361932999</v>
      </c>
      <c r="AD42" s="420">
        <v>16751.282590195999</v>
      </c>
      <c r="AE42" s="420">
        <v>16472.280509256001</v>
      </c>
      <c r="AF42" s="420">
        <v>16371.744971984999</v>
      </c>
      <c r="AG42" s="420">
        <v>16222.682423697001</v>
      </c>
      <c r="AH42" s="420">
        <v>14604.394329707</v>
      </c>
      <c r="AI42" s="420">
        <v>14164.590103102</v>
      </c>
      <c r="AJ42" s="420">
        <v>13392.673852606</v>
      </c>
      <c r="AK42" s="420">
        <v>13216.166640136</v>
      </c>
      <c r="AL42" s="420">
        <v>13933.835250087999</v>
      </c>
    </row>
    <row r="43" spans="1:38" ht="14.1" customHeight="1">
      <c r="A43" s="96" t="s">
        <v>1991</v>
      </c>
      <c r="B43" s="96" t="s">
        <v>1992</v>
      </c>
      <c r="C43" s="420">
        <v>1745.903916322</v>
      </c>
      <c r="D43" s="420">
        <v>1249.5285239980001</v>
      </c>
      <c r="E43" s="420">
        <v>1513.031785854</v>
      </c>
      <c r="F43" s="420">
        <v>1527.604858832</v>
      </c>
      <c r="G43" s="420">
        <v>2045.2289893459999</v>
      </c>
      <c r="H43" s="420">
        <v>3130.0309123259999</v>
      </c>
      <c r="I43" s="420">
        <v>3510.85290179</v>
      </c>
      <c r="J43" s="420">
        <v>3726.6090854909999</v>
      </c>
      <c r="K43" s="420">
        <v>4110.4626467859998</v>
      </c>
      <c r="L43" s="420">
        <v>5396.7345944360004</v>
      </c>
      <c r="M43" s="420">
        <v>5613.6708649350003</v>
      </c>
      <c r="N43" s="420">
        <v>4918.7031879750002</v>
      </c>
      <c r="O43" s="420">
        <v>5611.6423809079997</v>
      </c>
      <c r="P43" s="420">
        <v>6425.0374003859997</v>
      </c>
      <c r="Q43" s="420">
        <v>7726.6926050740003</v>
      </c>
      <c r="R43" s="420">
        <v>7276.58344708</v>
      </c>
      <c r="S43" s="420">
        <v>7779.4011988680004</v>
      </c>
      <c r="T43" s="420">
        <v>6797.508695642</v>
      </c>
      <c r="U43" s="420">
        <v>8397.287084861</v>
      </c>
      <c r="V43" s="420">
        <v>10379.207516781</v>
      </c>
      <c r="W43" s="420">
        <v>11068.927492769</v>
      </c>
      <c r="X43" s="420">
        <v>10840.255307531001</v>
      </c>
      <c r="Y43" s="420">
        <v>13435.995190431</v>
      </c>
      <c r="Z43" s="420">
        <v>13257.028212469</v>
      </c>
      <c r="AA43" s="420">
        <v>13805.48521848</v>
      </c>
      <c r="AB43" s="420">
        <v>13272.218878541</v>
      </c>
      <c r="AC43" s="420">
        <v>13623.213681771</v>
      </c>
      <c r="AD43" s="420">
        <v>12770.574864626</v>
      </c>
      <c r="AE43" s="420">
        <v>12461.183813689</v>
      </c>
      <c r="AF43" s="420">
        <v>13117.82807007</v>
      </c>
      <c r="AG43" s="420">
        <v>12862.537231214999</v>
      </c>
      <c r="AH43" s="420">
        <v>11627.920417453999</v>
      </c>
      <c r="AI43" s="420">
        <v>11231.172787906</v>
      </c>
      <c r="AJ43" s="420">
        <v>10766.740300904999</v>
      </c>
      <c r="AK43" s="420">
        <v>10268.93173805</v>
      </c>
      <c r="AL43" s="420">
        <v>10348.050568028</v>
      </c>
    </row>
    <row r="44" spans="1:38" ht="14.1" customHeight="1">
      <c r="A44" s="96" t="s">
        <v>1993</v>
      </c>
      <c r="B44" s="96" t="s">
        <v>1994</v>
      </c>
      <c r="C44" s="420">
        <v>153.561342642</v>
      </c>
      <c r="D44" s="420">
        <v>150.43220836899999</v>
      </c>
      <c r="E44" s="420">
        <v>152.937892218</v>
      </c>
      <c r="F44" s="420">
        <v>160.82666017099999</v>
      </c>
      <c r="G44" s="420">
        <v>131.98735608600001</v>
      </c>
      <c r="H44" s="420">
        <v>150.248767152</v>
      </c>
      <c r="I44" s="420">
        <v>172.20123275099999</v>
      </c>
      <c r="J44" s="420">
        <v>315.68985719400001</v>
      </c>
      <c r="K44" s="420">
        <v>390.66132400100003</v>
      </c>
      <c r="L44" s="420">
        <v>337.95248860599997</v>
      </c>
      <c r="M44" s="420">
        <v>460.49327735600002</v>
      </c>
      <c r="N44" s="420">
        <v>581.825198032</v>
      </c>
      <c r="O44" s="420">
        <v>639.23747892899996</v>
      </c>
      <c r="P44" s="420">
        <v>456.47424470700003</v>
      </c>
      <c r="Q44" s="420">
        <v>495.624984509</v>
      </c>
      <c r="R44" s="420">
        <v>1186.5137338940001</v>
      </c>
      <c r="S44" s="420">
        <v>765.99558446100002</v>
      </c>
      <c r="T44" s="420">
        <v>823.49880746600002</v>
      </c>
      <c r="U44" s="420">
        <v>551.18146747100002</v>
      </c>
      <c r="V44" s="420">
        <v>604.01403052199998</v>
      </c>
      <c r="W44" s="420">
        <v>597.32236096199995</v>
      </c>
      <c r="X44" s="420">
        <v>672.09577323200006</v>
      </c>
      <c r="Y44" s="420">
        <v>757.71189434200005</v>
      </c>
      <c r="Z44" s="420">
        <v>848.99798645800001</v>
      </c>
      <c r="AA44" s="420">
        <v>709.77173201899996</v>
      </c>
      <c r="AB44" s="420">
        <v>714.56839549200004</v>
      </c>
      <c r="AC44" s="420">
        <v>954.39294432099996</v>
      </c>
      <c r="AD44" s="420">
        <v>1149.35195845</v>
      </c>
      <c r="AE44" s="420">
        <v>1014.385132615</v>
      </c>
      <c r="AF44" s="420">
        <v>983.88362761099995</v>
      </c>
      <c r="AG44" s="420">
        <v>953.98142600999995</v>
      </c>
      <c r="AH44" s="420">
        <v>767.06277354600002</v>
      </c>
      <c r="AI44" s="420">
        <v>731.99516779999999</v>
      </c>
      <c r="AJ44" s="420">
        <v>755.67017413300005</v>
      </c>
      <c r="AK44" s="420">
        <v>688.06766012200001</v>
      </c>
      <c r="AL44" s="420">
        <v>625.670233596</v>
      </c>
    </row>
    <row r="45" spans="1:38" ht="14.1" customHeight="1">
      <c r="A45" s="96" t="s">
        <v>1995</v>
      </c>
      <c r="B45" s="96" t="s">
        <v>1996</v>
      </c>
      <c r="C45" s="420">
        <v>817.018793222</v>
      </c>
      <c r="D45" s="420">
        <v>436.11426294699999</v>
      </c>
      <c r="E45" s="420">
        <v>628.50427946100001</v>
      </c>
      <c r="F45" s="420">
        <v>440.98335732300001</v>
      </c>
      <c r="G45" s="420">
        <v>538.82402419499999</v>
      </c>
      <c r="H45" s="420">
        <v>924.74637904799999</v>
      </c>
      <c r="I45" s="420">
        <v>1365.9775351640001</v>
      </c>
      <c r="J45" s="420">
        <v>1408.4873947369999</v>
      </c>
      <c r="K45" s="420">
        <v>1296.34562016</v>
      </c>
      <c r="L45" s="420">
        <v>1344.6737695019999</v>
      </c>
      <c r="M45" s="420">
        <v>928.51951916500002</v>
      </c>
      <c r="N45" s="420">
        <v>1048.3440024829999</v>
      </c>
      <c r="O45" s="420">
        <v>295.30055115200003</v>
      </c>
      <c r="P45" s="420">
        <v>582.50077178100003</v>
      </c>
      <c r="Q45" s="420">
        <v>564.53193676599994</v>
      </c>
      <c r="R45" s="420">
        <v>943.84253429199998</v>
      </c>
      <c r="S45" s="420">
        <v>1567.904778546</v>
      </c>
      <c r="T45" s="420">
        <v>2119.9424722499998</v>
      </c>
      <c r="U45" s="420">
        <v>2446.6478842420001</v>
      </c>
      <c r="V45" s="420">
        <v>2968.982334322</v>
      </c>
      <c r="W45" s="420">
        <v>2360.3316786509999</v>
      </c>
      <c r="X45" s="420">
        <v>1341.720543313</v>
      </c>
      <c r="Y45" s="420">
        <v>1332.7858837230001</v>
      </c>
      <c r="Z45" s="420">
        <v>2242.6083924260001</v>
      </c>
      <c r="AA45" s="420">
        <v>2142.0373036659998</v>
      </c>
      <c r="AB45" s="420">
        <v>2257.331486739</v>
      </c>
      <c r="AC45" s="420">
        <v>2348.9617436980002</v>
      </c>
      <c r="AD45" s="420">
        <v>2550.2808674550001</v>
      </c>
      <c r="AE45" s="420">
        <v>2806.7560546270001</v>
      </c>
      <c r="AF45" s="420">
        <v>2599.2116316010001</v>
      </c>
      <c r="AG45" s="420">
        <v>2588.9361567139999</v>
      </c>
      <c r="AH45" s="420">
        <v>1867.894411876</v>
      </c>
      <c r="AI45" s="420">
        <v>1572.3849075119999</v>
      </c>
      <c r="AJ45" s="420">
        <v>1428.8931103479999</v>
      </c>
      <c r="AK45" s="420">
        <v>1097.463748034</v>
      </c>
      <c r="AL45" s="420">
        <v>1209.809604476</v>
      </c>
    </row>
    <row r="46" spans="1:38" ht="14.1" customHeight="1">
      <c r="A46" s="96" t="s">
        <v>2420</v>
      </c>
      <c r="B46" s="96" t="s">
        <v>1998</v>
      </c>
      <c r="C46" s="420">
        <v>281.720745373</v>
      </c>
      <c r="D46" s="420">
        <v>229.79856438499999</v>
      </c>
      <c r="E46" s="420">
        <v>159.18272675599999</v>
      </c>
      <c r="F46" s="420">
        <v>189.927067327</v>
      </c>
      <c r="G46" s="420">
        <v>330.53397395600001</v>
      </c>
      <c r="H46" s="420">
        <v>537.17134340400003</v>
      </c>
      <c r="I46" s="420">
        <v>557.96261881099997</v>
      </c>
      <c r="J46" s="420">
        <v>658.18102245600005</v>
      </c>
      <c r="K46" s="420">
        <v>582.52764597299995</v>
      </c>
      <c r="L46" s="420">
        <v>903.07400211000004</v>
      </c>
      <c r="M46" s="420">
        <v>605.573628482</v>
      </c>
      <c r="N46" s="420">
        <v>471.42507623500001</v>
      </c>
      <c r="O46" s="420">
        <v>556.73752864699998</v>
      </c>
      <c r="P46" s="420">
        <v>845.21586382099997</v>
      </c>
      <c r="Q46" s="420">
        <v>1160.6140000939999</v>
      </c>
      <c r="R46" s="420">
        <v>1063.200299649</v>
      </c>
      <c r="S46" s="420">
        <v>1227.6996456060001</v>
      </c>
      <c r="T46" s="420">
        <v>892.45443616600005</v>
      </c>
      <c r="U46" s="420">
        <v>1266.3766643209999</v>
      </c>
      <c r="V46" s="420">
        <v>2068.9482480010001</v>
      </c>
      <c r="W46" s="420">
        <v>2235.13052139</v>
      </c>
      <c r="X46" s="420">
        <v>3077.031271287</v>
      </c>
      <c r="Y46" s="420">
        <v>4547.00578107</v>
      </c>
      <c r="Z46" s="420">
        <v>2962.8058815180002</v>
      </c>
      <c r="AA46" s="420">
        <v>3444.2791226939999</v>
      </c>
      <c r="AB46" s="420">
        <v>3324.7421287940001</v>
      </c>
      <c r="AC46" s="420">
        <v>3073.8332175300002</v>
      </c>
      <c r="AD46" s="420">
        <v>2022.884403193</v>
      </c>
      <c r="AE46" s="420">
        <v>2189.72561765</v>
      </c>
      <c r="AF46" s="420">
        <v>3008.4245438600001</v>
      </c>
      <c r="AG46" s="420">
        <v>2487.9373335539999</v>
      </c>
      <c r="AH46" s="420">
        <v>2590.7560194450002</v>
      </c>
      <c r="AI46" s="420">
        <v>2434.4919659050001</v>
      </c>
      <c r="AJ46" s="420">
        <v>2744.3989107829998</v>
      </c>
      <c r="AK46" s="420">
        <v>2653.2968477700001</v>
      </c>
      <c r="AL46" s="420">
        <v>3159.3673855940001</v>
      </c>
    </row>
    <row r="47" spans="1:38" ht="14.1" customHeight="1">
      <c r="A47" s="96" t="s">
        <v>1999</v>
      </c>
      <c r="B47" s="96" t="s">
        <v>2000</v>
      </c>
      <c r="C47" s="420">
        <v>493.60303508499999</v>
      </c>
      <c r="D47" s="420">
        <v>433.183488297</v>
      </c>
      <c r="E47" s="420">
        <v>572.40688741899999</v>
      </c>
      <c r="F47" s="420">
        <v>735.86777401100005</v>
      </c>
      <c r="G47" s="420">
        <v>1043.8836351089999</v>
      </c>
      <c r="H47" s="420">
        <v>1517.864422722</v>
      </c>
      <c r="I47" s="420">
        <v>1414.711515064</v>
      </c>
      <c r="J47" s="420">
        <v>1344.2508111039999</v>
      </c>
      <c r="K47" s="420">
        <v>1840.9280566519999</v>
      </c>
      <c r="L47" s="420">
        <v>2811.0343342179999</v>
      </c>
      <c r="M47" s="420">
        <v>3619.0844399319999</v>
      </c>
      <c r="N47" s="420">
        <v>2817.1089112250002</v>
      </c>
      <c r="O47" s="420">
        <v>4120.3668221799999</v>
      </c>
      <c r="P47" s="420">
        <v>4540.8465200769997</v>
      </c>
      <c r="Q47" s="420">
        <v>5505.9216837049999</v>
      </c>
      <c r="R47" s="420">
        <v>4083.0268792450001</v>
      </c>
      <c r="S47" s="420">
        <v>4217.8011902549997</v>
      </c>
      <c r="T47" s="420">
        <v>2961.6129797600001</v>
      </c>
      <c r="U47" s="420">
        <v>4133.0810688270003</v>
      </c>
      <c r="V47" s="420">
        <v>4737.2629039359999</v>
      </c>
      <c r="W47" s="420">
        <v>5876.1429317660004</v>
      </c>
      <c r="X47" s="420">
        <v>5749.4077196990002</v>
      </c>
      <c r="Y47" s="420">
        <v>6798.4916312960004</v>
      </c>
      <c r="Z47" s="420">
        <v>7202.6159520669999</v>
      </c>
      <c r="AA47" s="420">
        <v>7509.3970601009996</v>
      </c>
      <c r="AB47" s="420">
        <v>6975.5768675159998</v>
      </c>
      <c r="AC47" s="420">
        <v>7246.0257762219999</v>
      </c>
      <c r="AD47" s="420">
        <v>7048.057635528</v>
      </c>
      <c r="AE47" s="420">
        <v>6450.3170087970002</v>
      </c>
      <c r="AF47" s="420">
        <v>6526.3082669980004</v>
      </c>
      <c r="AG47" s="420">
        <v>6831.6823149370002</v>
      </c>
      <c r="AH47" s="420">
        <v>6402.207212587</v>
      </c>
      <c r="AI47" s="420">
        <v>6492.3007466890003</v>
      </c>
      <c r="AJ47" s="420">
        <v>5837.7781056410004</v>
      </c>
      <c r="AK47" s="420">
        <v>5830.103482124</v>
      </c>
      <c r="AL47" s="420">
        <v>5353.2033443620003</v>
      </c>
    </row>
    <row r="48" spans="1:38" ht="14.1" customHeight="1">
      <c r="A48" s="96" t="s">
        <v>2001</v>
      </c>
      <c r="B48" s="96" t="s">
        <v>2002</v>
      </c>
      <c r="C48" s="420">
        <v>264.24886147400002</v>
      </c>
      <c r="D48" s="420">
        <v>170.05515971</v>
      </c>
      <c r="E48" s="420">
        <v>186.67139931700001</v>
      </c>
      <c r="F48" s="420">
        <v>497.83124233000001</v>
      </c>
      <c r="G48" s="420">
        <v>467.56510415999998</v>
      </c>
      <c r="H48" s="420">
        <v>1170.509581342</v>
      </c>
      <c r="I48" s="420">
        <v>1847.0121841089999</v>
      </c>
      <c r="J48" s="420">
        <v>1883.948303056</v>
      </c>
      <c r="K48" s="420">
        <v>1842.7141779829999</v>
      </c>
      <c r="L48" s="420">
        <v>1803.825340458</v>
      </c>
      <c r="M48" s="420">
        <v>2221.1228039950001</v>
      </c>
      <c r="N48" s="420">
        <v>2623.666685785</v>
      </c>
      <c r="O48" s="420">
        <v>2117.3833062260001</v>
      </c>
      <c r="P48" s="420">
        <v>2233.4842890370001</v>
      </c>
      <c r="Q48" s="420">
        <v>2456.8561128249999</v>
      </c>
      <c r="R48" s="420">
        <v>3376.1123996490001</v>
      </c>
      <c r="S48" s="420">
        <v>4465.3038419129998</v>
      </c>
      <c r="T48" s="420">
        <v>5032.2142399659997</v>
      </c>
      <c r="U48" s="420">
        <v>4746.2338789980004</v>
      </c>
      <c r="V48" s="420">
        <v>4000.0256215569998</v>
      </c>
      <c r="W48" s="420">
        <v>4926.1284434939998</v>
      </c>
      <c r="X48" s="420">
        <v>3912.0434919680001</v>
      </c>
      <c r="Y48" s="420">
        <v>2028.4637168690001</v>
      </c>
      <c r="Z48" s="420">
        <v>1615.5577025600001</v>
      </c>
      <c r="AA48" s="420">
        <v>1095.146833883</v>
      </c>
      <c r="AB48" s="420">
        <v>2830.1838202560002</v>
      </c>
      <c r="AC48" s="420">
        <v>3101.3286801620002</v>
      </c>
      <c r="AD48" s="420">
        <v>3980.7077255700001</v>
      </c>
      <c r="AE48" s="420">
        <v>4011.0966955670001</v>
      </c>
      <c r="AF48" s="420">
        <v>3253.9169019149999</v>
      </c>
      <c r="AG48" s="420">
        <v>3360.1451924819999</v>
      </c>
      <c r="AH48" s="420">
        <v>2976.473912253</v>
      </c>
      <c r="AI48" s="420">
        <v>2933.4173151959999</v>
      </c>
      <c r="AJ48" s="420">
        <v>2625.9335517009999</v>
      </c>
      <c r="AK48" s="420">
        <v>2947.2349020860001</v>
      </c>
      <c r="AL48" s="420">
        <v>3585.7846820599998</v>
      </c>
    </row>
    <row r="49" spans="1:38" ht="14.1" customHeight="1">
      <c r="A49" s="96" t="s">
        <v>2421</v>
      </c>
      <c r="B49" s="96" t="s">
        <v>2004</v>
      </c>
      <c r="C49" s="420">
        <v>261.39616720599997</v>
      </c>
      <c r="D49" s="420">
        <v>167.297313261</v>
      </c>
      <c r="E49" s="420">
        <v>182.83892651799999</v>
      </c>
      <c r="F49" s="420">
        <v>494.13536065400001</v>
      </c>
      <c r="G49" s="420">
        <v>456.18379545800002</v>
      </c>
      <c r="H49" s="420">
        <v>1158.448313182</v>
      </c>
      <c r="I49" s="420">
        <v>1838.4663449130001</v>
      </c>
      <c r="J49" s="420">
        <v>1871.2236315120001</v>
      </c>
      <c r="K49" s="420">
        <v>1832.1188464310001</v>
      </c>
      <c r="L49" s="420">
        <v>1795.405436196</v>
      </c>
      <c r="M49" s="420">
        <v>2209.421049475</v>
      </c>
      <c r="N49" s="420">
        <v>2394.3954624910002</v>
      </c>
      <c r="O49" s="420">
        <v>2099.7889404349999</v>
      </c>
      <c r="P49" s="420">
        <v>2200.4379212700001</v>
      </c>
      <c r="Q49" s="420">
        <v>2241.5411242509999</v>
      </c>
      <c r="R49" s="420">
        <v>3336.5307071819998</v>
      </c>
      <c r="S49" s="420">
        <v>4381.8283799780002</v>
      </c>
      <c r="T49" s="420">
        <v>4952.1364924</v>
      </c>
      <c r="U49" s="420">
        <v>4700.5318154500001</v>
      </c>
      <c r="V49" s="420">
        <v>3876.3681805030001</v>
      </c>
      <c r="W49" s="420">
        <v>4902.4172657400004</v>
      </c>
      <c r="X49" s="420">
        <v>3897.7645601600002</v>
      </c>
      <c r="Y49" s="420">
        <v>2006.0369539129999</v>
      </c>
      <c r="Z49" s="420">
        <v>1517.1049295600001</v>
      </c>
      <c r="AA49" s="420">
        <v>863.55747278900003</v>
      </c>
      <c r="AB49" s="420">
        <v>2653.3649497350002</v>
      </c>
      <c r="AC49" s="420">
        <v>2908.6561695760001</v>
      </c>
      <c r="AD49" s="420">
        <v>3748.4801045139998</v>
      </c>
      <c r="AE49" s="420">
        <v>3775.6199867280002</v>
      </c>
      <c r="AF49" s="420">
        <v>3018.694313897</v>
      </c>
      <c r="AG49" s="420">
        <v>3128.1918533379999</v>
      </c>
      <c r="AH49" s="420">
        <v>2698.543683373</v>
      </c>
      <c r="AI49" s="420">
        <v>2772.9587902479998</v>
      </c>
      <c r="AJ49" s="420">
        <v>2343.2507223150001</v>
      </c>
      <c r="AK49" s="420">
        <v>2767.4462790040002</v>
      </c>
      <c r="AL49" s="420">
        <v>3396.421884628</v>
      </c>
    </row>
    <row r="50" spans="1:38" ht="14.1" customHeight="1">
      <c r="A50" s="96" t="s">
        <v>2005</v>
      </c>
      <c r="B50" s="96" t="s">
        <v>2006</v>
      </c>
      <c r="C50" s="420">
        <v>2.852694268</v>
      </c>
      <c r="D50" s="420">
        <v>2.7578464490000001</v>
      </c>
      <c r="E50" s="420">
        <v>3.832472799</v>
      </c>
      <c r="F50" s="420">
        <v>3.6958816759999999</v>
      </c>
      <c r="G50" s="420">
        <v>11.381308702</v>
      </c>
      <c r="H50" s="420">
        <v>12.061268159999999</v>
      </c>
      <c r="I50" s="420">
        <v>8.5458391959999993</v>
      </c>
      <c r="J50" s="420">
        <v>12.724671544</v>
      </c>
      <c r="K50" s="420">
        <v>10.595331551999999</v>
      </c>
      <c r="L50" s="420">
        <v>8.4199042619999993</v>
      </c>
      <c r="M50" s="420">
        <v>11.70175452</v>
      </c>
      <c r="N50" s="420">
        <v>229.27122329400001</v>
      </c>
      <c r="O50" s="420">
        <v>17.594365791000001</v>
      </c>
      <c r="P50" s="420">
        <v>33.046367767</v>
      </c>
      <c r="Q50" s="420">
        <v>215.31498857400001</v>
      </c>
      <c r="R50" s="420">
        <v>39.581692467000003</v>
      </c>
      <c r="S50" s="420">
        <v>83.475461934999998</v>
      </c>
      <c r="T50" s="420">
        <v>80.077747565999999</v>
      </c>
      <c r="U50" s="420">
        <v>45.702063547999998</v>
      </c>
      <c r="V50" s="420">
        <v>123.657441054</v>
      </c>
      <c r="W50" s="420">
        <v>23.711177754000001</v>
      </c>
      <c r="X50" s="420">
        <v>14.278931807999999</v>
      </c>
      <c r="Y50" s="420">
        <v>22.426762956000001</v>
      </c>
      <c r="Z50" s="420">
        <v>98.452772999999993</v>
      </c>
      <c r="AA50" s="420">
        <v>231.589361094</v>
      </c>
      <c r="AB50" s="420">
        <v>176.81887052100001</v>
      </c>
      <c r="AC50" s="420">
        <v>192.67251058599999</v>
      </c>
      <c r="AD50" s="420">
        <v>232.227621056</v>
      </c>
      <c r="AE50" s="420">
        <v>235.476708839</v>
      </c>
      <c r="AF50" s="420">
        <v>235.22258801800001</v>
      </c>
      <c r="AG50" s="420">
        <v>231.95333914400001</v>
      </c>
      <c r="AH50" s="420">
        <v>277.93022888000002</v>
      </c>
      <c r="AI50" s="420">
        <v>160.45852494799999</v>
      </c>
      <c r="AJ50" s="420">
        <v>282.68282938599998</v>
      </c>
      <c r="AK50" s="420">
        <v>179.78862308199999</v>
      </c>
      <c r="AL50" s="420">
        <v>189.36279743200001</v>
      </c>
    </row>
    <row r="51" spans="1:38" ht="14.1" customHeight="1">
      <c r="A51" s="96" t="s">
        <v>2007</v>
      </c>
      <c r="B51" s="96" t="s">
        <v>2008</v>
      </c>
      <c r="C51" s="420">
        <v>1709.1212867249999</v>
      </c>
      <c r="D51" s="420">
        <v>1853.625834341</v>
      </c>
      <c r="E51" s="420">
        <v>1873.4321103889999</v>
      </c>
      <c r="F51" s="420">
        <v>3537.3550730940001</v>
      </c>
      <c r="G51" s="420">
        <v>3614.6333219409998</v>
      </c>
      <c r="H51" s="420">
        <v>3911.0244683880001</v>
      </c>
      <c r="I51" s="420">
        <v>4259.4309483320003</v>
      </c>
      <c r="J51" s="420">
        <v>4653.8451775650001</v>
      </c>
      <c r="K51" s="420">
        <v>4798.2435793779996</v>
      </c>
      <c r="L51" s="420">
        <v>5216.9225131530002</v>
      </c>
      <c r="M51" s="420">
        <v>5602.6614180739998</v>
      </c>
      <c r="N51" s="420">
        <v>6232.3871837309998</v>
      </c>
      <c r="O51" s="420">
        <v>6619.5652050380004</v>
      </c>
      <c r="P51" s="420">
        <v>7290.0408059040001</v>
      </c>
      <c r="Q51" s="420">
        <v>7816.2685688470001</v>
      </c>
      <c r="R51" s="420">
        <v>9227.8213680839999</v>
      </c>
      <c r="S51" s="420">
        <v>9009.9508777419996</v>
      </c>
      <c r="T51" s="420">
        <v>8648.9338469009999</v>
      </c>
      <c r="U51" s="420">
        <v>9083.3534011009997</v>
      </c>
      <c r="V51" s="420">
        <v>9131.632611903</v>
      </c>
      <c r="W51" s="420">
        <v>9679.5444486769993</v>
      </c>
      <c r="X51" s="420">
        <v>12996.988821227</v>
      </c>
      <c r="Y51" s="420">
        <v>13103.314126547</v>
      </c>
      <c r="Z51" s="420">
        <v>13381.475140385999</v>
      </c>
      <c r="AA51" s="420">
        <v>13970.778280177001</v>
      </c>
      <c r="AB51" s="420">
        <v>14306.007028996</v>
      </c>
      <c r="AC51" s="420">
        <v>14576.818926511</v>
      </c>
      <c r="AD51" s="420">
        <v>14020.133092856</v>
      </c>
      <c r="AE51" s="420">
        <v>14007.365930501001</v>
      </c>
      <c r="AF51" s="420">
        <v>14125.774872161999</v>
      </c>
      <c r="AG51" s="420">
        <v>14276.058162185</v>
      </c>
      <c r="AH51" s="420">
        <v>14190.657278721001</v>
      </c>
      <c r="AI51" s="420">
        <v>15482.991028631001</v>
      </c>
      <c r="AJ51" s="420">
        <v>15562.509661135</v>
      </c>
      <c r="AK51" s="420">
        <v>15634.789403081</v>
      </c>
      <c r="AL51" s="420">
        <v>15203.078001043999</v>
      </c>
    </row>
    <row r="52" spans="1:38" ht="14.1" customHeight="1">
      <c r="A52" s="96" t="s">
        <v>2009</v>
      </c>
      <c r="B52" s="96" t="s">
        <v>2010</v>
      </c>
      <c r="C52" s="420">
        <v>1172.6357</v>
      </c>
      <c r="D52" s="420">
        <v>1172.6357</v>
      </c>
      <c r="E52" s="420">
        <v>1172.6357</v>
      </c>
      <c r="F52" s="420">
        <v>2530.4906799999999</v>
      </c>
      <c r="G52" s="420">
        <v>2530.4906799999999</v>
      </c>
      <c r="H52" s="420">
        <v>2859.1135899999999</v>
      </c>
      <c r="I52" s="420">
        <v>2859.1135899999999</v>
      </c>
      <c r="J52" s="420">
        <v>3031.92686</v>
      </c>
      <c r="K52" s="420">
        <v>3031.92686</v>
      </c>
      <c r="L52" s="420">
        <v>3425.7141200000001</v>
      </c>
      <c r="M52" s="420">
        <v>3425.7141200000001</v>
      </c>
      <c r="N52" s="420">
        <v>3500.7141200000001</v>
      </c>
      <c r="O52" s="420">
        <v>3500.7141200000001</v>
      </c>
      <c r="P52" s="420">
        <v>3500.7141200000001</v>
      </c>
      <c r="Q52" s="420">
        <v>3500.7141200000001</v>
      </c>
      <c r="R52" s="420">
        <v>5200.3466699999999</v>
      </c>
      <c r="S52" s="420">
        <v>5200.3466699999999</v>
      </c>
      <c r="T52" s="420">
        <v>5200.3466699999999</v>
      </c>
      <c r="U52" s="420">
        <v>5200.3466699999999</v>
      </c>
      <c r="V52" s="420">
        <v>5200.3466699999999</v>
      </c>
      <c r="W52" s="420">
        <v>5200.3466699999999</v>
      </c>
      <c r="X52" s="420">
        <v>5200.3466699999999</v>
      </c>
      <c r="Y52" s="420">
        <v>5977.7304800000002</v>
      </c>
      <c r="Z52" s="420">
        <v>5977.7304800000002</v>
      </c>
      <c r="AA52" s="420">
        <v>6092.7687599999999</v>
      </c>
      <c r="AB52" s="420">
        <v>6092.7687599999999</v>
      </c>
      <c r="AC52" s="420">
        <v>6117.7900200000004</v>
      </c>
      <c r="AD52" s="420">
        <v>6117.7900200000004</v>
      </c>
      <c r="AE52" s="420">
        <v>6117.7900200000004</v>
      </c>
      <c r="AF52" s="420">
        <v>6117.7900200000004</v>
      </c>
      <c r="AG52" s="420">
        <v>6117.7900200000004</v>
      </c>
      <c r="AH52" s="420">
        <v>6117.7900200000004</v>
      </c>
      <c r="AI52" s="420">
        <v>7224.5092100000002</v>
      </c>
      <c r="AJ52" s="420">
        <v>7224.5092100000002</v>
      </c>
      <c r="AK52" s="420">
        <v>7224.5092100000002</v>
      </c>
      <c r="AL52" s="420">
        <v>7224.5092100000002</v>
      </c>
    </row>
    <row r="53" spans="1:38" ht="14.1" customHeight="1">
      <c r="A53" s="96" t="s">
        <v>2011</v>
      </c>
      <c r="B53" s="96" t="s">
        <v>2012</v>
      </c>
      <c r="C53" s="420">
        <v>10.867980806</v>
      </c>
      <c r="D53" s="420">
        <v>10.867980806</v>
      </c>
      <c r="E53" s="420">
        <v>10.867980806</v>
      </c>
      <c r="F53" s="420">
        <v>10.867980806</v>
      </c>
      <c r="G53" s="420">
        <v>10.867980806</v>
      </c>
      <c r="H53" s="420">
        <v>10.867980806</v>
      </c>
      <c r="I53" s="420">
        <v>10.867980806</v>
      </c>
      <c r="J53" s="420">
        <v>10.867980806</v>
      </c>
      <c r="K53" s="420">
        <v>10.867980806</v>
      </c>
      <c r="L53" s="420">
        <v>10.867980806</v>
      </c>
      <c r="M53" s="420">
        <v>10.867980806</v>
      </c>
      <c r="N53" s="420">
        <v>10.867980806</v>
      </c>
      <c r="O53" s="420">
        <v>10.867980806</v>
      </c>
      <c r="P53" s="420">
        <v>10.867980806</v>
      </c>
      <c r="Q53" s="420">
        <v>10.867980806</v>
      </c>
      <c r="R53" s="420">
        <v>10.677980806000001</v>
      </c>
      <c r="S53" s="420">
        <v>10.677980806000001</v>
      </c>
      <c r="T53" s="420">
        <v>10.677980806000001</v>
      </c>
      <c r="U53" s="420">
        <v>297.51144805299998</v>
      </c>
      <c r="V53" s="420">
        <v>10.677980806000001</v>
      </c>
      <c r="W53" s="420">
        <v>10.610625917</v>
      </c>
      <c r="X53" s="420">
        <v>10.677980806000001</v>
      </c>
      <c r="Y53" s="420">
        <v>10.677980806000001</v>
      </c>
      <c r="Z53" s="420">
        <v>10.677980806000001</v>
      </c>
      <c r="AA53" s="420">
        <v>55.639700806</v>
      </c>
      <c r="AB53" s="420">
        <v>55.419700806000002</v>
      </c>
      <c r="AC53" s="420">
        <v>80.398440805999996</v>
      </c>
      <c r="AD53" s="420">
        <v>80.398440805999996</v>
      </c>
      <c r="AE53" s="420">
        <v>80.398440805999996</v>
      </c>
      <c r="AF53" s="420">
        <v>80.398440805999996</v>
      </c>
      <c r="AG53" s="420">
        <v>80.248440806000005</v>
      </c>
      <c r="AH53" s="420">
        <v>80.398440805999996</v>
      </c>
      <c r="AI53" s="420">
        <v>283.09287880599999</v>
      </c>
      <c r="AJ53" s="420">
        <v>283.159178806</v>
      </c>
      <c r="AK53" s="420">
        <v>283.159178806</v>
      </c>
      <c r="AL53" s="420">
        <v>283.15333880600002</v>
      </c>
    </row>
    <row r="54" spans="1:38" ht="14.1" customHeight="1">
      <c r="A54" s="96" t="s">
        <v>2013</v>
      </c>
      <c r="B54" s="96" t="s">
        <v>2014</v>
      </c>
      <c r="C54" s="420">
        <v>-0.57999999999999996</v>
      </c>
      <c r="D54" s="420">
        <v>-0.57999999999999996</v>
      </c>
      <c r="E54" s="420">
        <v>-0.57999999999999996</v>
      </c>
      <c r="F54" s="420">
        <v>-0.57999999999999996</v>
      </c>
      <c r="G54" s="420">
        <v>-0.57999999999999996</v>
      </c>
      <c r="H54" s="420">
        <v>-2.5005600000000001</v>
      </c>
      <c r="I54" s="420">
        <v>-2.5005600000000001</v>
      </c>
      <c r="J54" s="420">
        <v>-2.5005600000000001</v>
      </c>
      <c r="K54" s="420">
        <v>-2.5005600000000001</v>
      </c>
      <c r="L54" s="420">
        <v>-2.5005600000000001</v>
      </c>
      <c r="M54" s="420">
        <v>-2.5005600000000001</v>
      </c>
      <c r="N54" s="420">
        <v>-2.5005600000000001</v>
      </c>
      <c r="O54" s="420">
        <v>-2.5005600000000001</v>
      </c>
      <c r="P54" s="420">
        <v>-2.5005600000000001</v>
      </c>
      <c r="Q54" s="420">
        <v>-2.5005600000000001</v>
      </c>
      <c r="R54" s="420">
        <v>-2.5005600000000001</v>
      </c>
      <c r="S54" s="420">
        <v>-2.5005600000000001</v>
      </c>
      <c r="T54" s="420">
        <v>-2.5005600000000001</v>
      </c>
      <c r="U54" s="420">
        <v>-2.5005600000000001</v>
      </c>
      <c r="V54" s="420">
        <v>-2.5005600000000001</v>
      </c>
      <c r="W54" s="420">
        <v>-2.5005600000000001</v>
      </c>
      <c r="X54" s="420">
        <v>-2.5005600000000001</v>
      </c>
      <c r="Y54" s="420">
        <v>-2.5005600000000001</v>
      </c>
      <c r="Z54" s="420">
        <v>-2.5005600000000001</v>
      </c>
      <c r="AA54" s="420">
        <v>-2.5005600000000001</v>
      </c>
      <c r="AB54" s="420">
        <v>-2.5005600000000001</v>
      </c>
      <c r="AC54" s="420">
        <v>-2.5005600000000001</v>
      </c>
      <c r="AD54" s="420">
        <v>-2.5005600000000001</v>
      </c>
      <c r="AE54" s="420">
        <v>-2.5005600000000001</v>
      </c>
      <c r="AF54" s="420">
        <v>-2.5005600000000001</v>
      </c>
      <c r="AG54" s="420">
        <v>-2.5005600000000001</v>
      </c>
      <c r="AH54" s="420">
        <v>-2.5005600000000001</v>
      </c>
      <c r="AI54" s="420">
        <v>-2.5005600000000001</v>
      </c>
      <c r="AJ54" s="420">
        <v>-2.5005600000000001</v>
      </c>
      <c r="AK54" s="420">
        <v>-2.5005600000000001</v>
      </c>
      <c r="AL54" s="420">
        <v>-2.5005600000000001</v>
      </c>
    </row>
    <row r="55" spans="1:38" ht="14.1" customHeight="1">
      <c r="A55" s="96" t="s">
        <v>2015</v>
      </c>
      <c r="B55" s="96" t="s">
        <v>2016</v>
      </c>
      <c r="C55" s="420">
        <v>26.292896433999999</v>
      </c>
      <c r="D55" s="420">
        <v>26.292896433999999</v>
      </c>
      <c r="E55" s="420">
        <v>26.292896433999999</v>
      </c>
      <c r="F55" s="420">
        <v>27.151657158999999</v>
      </c>
      <c r="G55" s="420">
        <v>26.763986313</v>
      </c>
      <c r="H55" s="420">
        <v>26.901760770999999</v>
      </c>
      <c r="I55" s="420">
        <v>26.901760770999999</v>
      </c>
      <c r="J55" s="420">
        <v>27.527428668999999</v>
      </c>
      <c r="K55" s="420">
        <v>35.036323502000002</v>
      </c>
      <c r="L55" s="420">
        <v>35.018748856999999</v>
      </c>
      <c r="M55" s="420">
        <v>35.018748856999999</v>
      </c>
      <c r="N55" s="420">
        <v>35.024334603</v>
      </c>
      <c r="O55" s="420">
        <v>58.587288561999998</v>
      </c>
      <c r="P55" s="420">
        <v>58.104879339</v>
      </c>
      <c r="Q55" s="420">
        <v>64.635369338999993</v>
      </c>
      <c r="R55" s="420">
        <v>64.635369338999993</v>
      </c>
      <c r="S55" s="420">
        <v>79.935369339000005</v>
      </c>
      <c r="T55" s="420">
        <v>104.32698445699999</v>
      </c>
      <c r="U55" s="420">
        <v>104.296937657</v>
      </c>
      <c r="V55" s="420">
        <v>104.296937657</v>
      </c>
      <c r="W55" s="420">
        <v>104.296937657</v>
      </c>
      <c r="X55" s="420">
        <v>114.496937657</v>
      </c>
      <c r="Y55" s="420">
        <v>114.496937657</v>
      </c>
      <c r="Z55" s="420">
        <v>114.496937657</v>
      </c>
      <c r="AA55" s="420">
        <v>114.496937657</v>
      </c>
      <c r="AB55" s="420">
        <v>480.25378340200001</v>
      </c>
      <c r="AC55" s="420">
        <v>481.89599845499998</v>
      </c>
      <c r="AD55" s="420">
        <v>741.15312325100001</v>
      </c>
      <c r="AE55" s="420">
        <v>741.15312325100001</v>
      </c>
      <c r="AF55" s="420">
        <v>741.15312325100001</v>
      </c>
      <c r="AG55" s="420">
        <v>741.15312325100001</v>
      </c>
      <c r="AH55" s="420">
        <v>1471.2454233870001</v>
      </c>
      <c r="AI55" s="420">
        <v>1471.2454233870001</v>
      </c>
      <c r="AJ55" s="420">
        <v>1474.6850891710001</v>
      </c>
      <c r="AK55" s="420">
        <v>1474.6850891710001</v>
      </c>
      <c r="AL55" s="420">
        <v>1474.6850891710001</v>
      </c>
    </row>
    <row r="56" spans="1:38" ht="14.1" customHeight="1">
      <c r="A56" s="96" t="s">
        <v>1366</v>
      </c>
      <c r="B56" s="96" t="s">
        <v>2018</v>
      </c>
      <c r="C56" s="420">
        <v>365.97233988800002</v>
      </c>
      <c r="D56" s="420">
        <v>485.533689842</v>
      </c>
      <c r="E56" s="420">
        <v>480.56027224899998</v>
      </c>
      <c r="F56" s="420">
        <v>676.74725136899997</v>
      </c>
      <c r="G56" s="420">
        <v>827.86214578700003</v>
      </c>
      <c r="H56" s="420">
        <v>397.09373701300001</v>
      </c>
      <c r="I56" s="420">
        <v>647.25101034500005</v>
      </c>
      <c r="J56" s="420">
        <v>745.71643089500003</v>
      </c>
      <c r="K56" s="420">
        <v>1005.992738056</v>
      </c>
      <c r="L56" s="420">
        <v>721.46278174500003</v>
      </c>
      <c r="M56" s="420">
        <v>1039.5063420649999</v>
      </c>
      <c r="N56" s="420">
        <v>1455.6498371979999</v>
      </c>
      <c r="O56" s="420">
        <v>1655.0593949209999</v>
      </c>
      <c r="P56" s="420">
        <v>1892.6652589719999</v>
      </c>
      <c r="Q56" s="420">
        <v>2232.0830776160001</v>
      </c>
      <c r="R56" s="420">
        <v>1715.781731515</v>
      </c>
      <c r="S56" s="420">
        <v>1736.834033442</v>
      </c>
      <c r="T56" s="420">
        <v>1108.109554785</v>
      </c>
      <c r="U56" s="420">
        <v>948.56610755099996</v>
      </c>
      <c r="V56" s="420">
        <v>902.62992053000005</v>
      </c>
      <c r="W56" s="420">
        <v>1357.1445640479999</v>
      </c>
      <c r="X56" s="420">
        <v>3181.7061480819998</v>
      </c>
      <c r="Y56" s="420">
        <v>2405.7645481929999</v>
      </c>
      <c r="Z56" s="420">
        <v>2669.0773931849999</v>
      </c>
      <c r="AA56" s="420">
        <v>2939.224242276</v>
      </c>
      <c r="AB56" s="420">
        <v>2737.9047132579999</v>
      </c>
      <c r="AC56" s="420">
        <v>2873.2864481329998</v>
      </c>
      <c r="AD56" s="420">
        <v>2242.2674227480002</v>
      </c>
      <c r="AE56" s="420">
        <v>2212.455227853</v>
      </c>
      <c r="AF56" s="420">
        <v>2362.4477705310001</v>
      </c>
      <c r="AG56" s="420">
        <v>2423.572616893</v>
      </c>
      <c r="AH56" s="420">
        <v>1740.5751076670001</v>
      </c>
      <c r="AI56" s="420">
        <v>1646.9397063859999</v>
      </c>
      <c r="AJ56" s="420">
        <v>1672.1354060799999</v>
      </c>
      <c r="AK56" s="420">
        <v>1702.874560833</v>
      </c>
      <c r="AL56" s="420">
        <v>1483.8982001280001</v>
      </c>
    </row>
    <row r="57" spans="1:38" ht="14.1" customHeight="1">
      <c r="A57" s="96" t="s">
        <v>2019</v>
      </c>
      <c r="B57" s="96" t="s">
        <v>2020</v>
      </c>
      <c r="C57" s="420">
        <v>133.93236959699999</v>
      </c>
      <c r="D57" s="420">
        <v>158.87556725900001</v>
      </c>
      <c r="E57" s="420">
        <v>183.6552609</v>
      </c>
      <c r="F57" s="420">
        <v>292.67750375999998</v>
      </c>
      <c r="G57" s="420">
        <v>219.22852903500001</v>
      </c>
      <c r="H57" s="420">
        <v>619.54795979799997</v>
      </c>
      <c r="I57" s="420">
        <v>717.79716641000005</v>
      </c>
      <c r="J57" s="420">
        <v>840.30703719500002</v>
      </c>
      <c r="K57" s="420">
        <v>716.92023701400001</v>
      </c>
      <c r="L57" s="420">
        <v>1026.3594417449999</v>
      </c>
      <c r="M57" s="420">
        <v>1094.0547863459999</v>
      </c>
      <c r="N57" s="420">
        <v>1232.631471124</v>
      </c>
      <c r="O57" s="420">
        <v>1396.8369807490001</v>
      </c>
      <c r="P57" s="420">
        <v>1830.1891267870001</v>
      </c>
      <c r="Q57" s="420">
        <v>2010.4685810860001</v>
      </c>
      <c r="R57" s="420">
        <v>2238.8801764240002</v>
      </c>
      <c r="S57" s="420">
        <v>1984.657384155</v>
      </c>
      <c r="T57" s="420">
        <v>2227.9732168529999</v>
      </c>
      <c r="U57" s="420">
        <v>2535.13279784</v>
      </c>
      <c r="V57" s="420">
        <v>2916.1816629099999</v>
      </c>
      <c r="W57" s="420">
        <v>3009.6462110550001</v>
      </c>
      <c r="X57" s="420">
        <v>4492.2616446820002</v>
      </c>
      <c r="Y57" s="420">
        <v>4597.1447398910004</v>
      </c>
      <c r="Z57" s="420">
        <v>4611.9929087379996</v>
      </c>
      <c r="AA57" s="420">
        <v>4771.1491994380003</v>
      </c>
      <c r="AB57" s="420">
        <v>4942.1606315299996</v>
      </c>
      <c r="AC57" s="420">
        <v>5025.948579117</v>
      </c>
      <c r="AD57" s="420">
        <v>4841.0246460509998</v>
      </c>
      <c r="AE57" s="420">
        <v>4858.0696785910004</v>
      </c>
      <c r="AF57" s="420">
        <v>4826.4860775739999</v>
      </c>
      <c r="AG57" s="420">
        <v>4915.7945212349996</v>
      </c>
      <c r="AH57" s="420">
        <v>4783.1488468609996</v>
      </c>
      <c r="AI57" s="420">
        <v>4859.7043700519998</v>
      </c>
      <c r="AJ57" s="420">
        <v>4910.5213370780002</v>
      </c>
      <c r="AK57" s="420">
        <v>4952.061924271</v>
      </c>
      <c r="AL57" s="420">
        <v>4739.3327229389997</v>
      </c>
    </row>
    <row r="58" spans="1:38" ht="14.1" customHeight="1">
      <c r="A58" s="96" t="s">
        <v>2021</v>
      </c>
      <c r="B58" s="96" t="s">
        <v>2022</v>
      </c>
      <c r="C58" s="420">
        <v>3719.2740645210001</v>
      </c>
      <c r="D58" s="420">
        <v>3273.2095180490001</v>
      </c>
      <c r="E58" s="420">
        <v>3573.13529556</v>
      </c>
      <c r="F58" s="420">
        <v>5562.791174256</v>
      </c>
      <c r="G58" s="420">
        <v>6127.4274154470004</v>
      </c>
      <c r="H58" s="420">
        <v>8211.5649620559998</v>
      </c>
      <c r="I58" s="420">
        <v>9617.2960342309998</v>
      </c>
      <c r="J58" s="420">
        <v>10264.402566111999</v>
      </c>
      <c r="K58" s="420">
        <v>10751.420404147</v>
      </c>
      <c r="L58" s="420">
        <v>12417.482448047</v>
      </c>
      <c r="M58" s="420">
        <v>13437.455087004</v>
      </c>
      <c r="N58" s="420">
        <v>13774.757057491001</v>
      </c>
      <c r="O58" s="420">
        <v>14348.590892172</v>
      </c>
      <c r="P58" s="420">
        <v>15948.562495327</v>
      </c>
      <c r="Q58" s="420">
        <v>17999.817286746002</v>
      </c>
      <c r="R58" s="420">
        <v>19880.517214813</v>
      </c>
      <c r="S58" s="420">
        <v>21254.655918523</v>
      </c>
      <c r="T58" s="420">
        <v>20478.656782508999</v>
      </c>
      <c r="U58" s="420">
        <v>22226.87436496</v>
      </c>
      <c r="V58" s="420">
        <v>23510.865750240999</v>
      </c>
      <c r="W58" s="420">
        <v>25674.60038494</v>
      </c>
      <c r="X58" s="420">
        <v>27749.287620726001</v>
      </c>
      <c r="Y58" s="420">
        <v>28567.773033846999</v>
      </c>
      <c r="Z58" s="420">
        <v>28254.061055415001</v>
      </c>
      <c r="AA58" s="420">
        <v>28871.410332539999</v>
      </c>
      <c r="AB58" s="420">
        <v>30408.409727793001</v>
      </c>
      <c r="AC58" s="420">
        <v>31301.361288444001</v>
      </c>
      <c r="AD58" s="420">
        <v>30771.415683052001</v>
      </c>
      <c r="AE58" s="420">
        <v>30479.646439757002</v>
      </c>
      <c r="AF58" s="420">
        <v>30497.519844146998</v>
      </c>
      <c r="AG58" s="420">
        <v>30498.740585881998</v>
      </c>
      <c r="AH58" s="420">
        <v>28795.051608427999</v>
      </c>
      <c r="AI58" s="420">
        <v>29647.581131733001</v>
      </c>
      <c r="AJ58" s="420">
        <v>28955.183513741002</v>
      </c>
      <c r="AK58" s="420">
        <v>28850.956043217</v>
      </c>
      <c r="AL58" s="420">
        <v>29136.913251131999</v>
      </c>
    </row>
    <row r="60" spans="1:38" s="1778" customFormat="1" ht="14.1" customHeight="1">
      <c r="A60" s="1778" t="s">
        <v>2049</v>
      </c>
      <c r="B60" s="1778" t="s">
        <v>1949</v>
      </c>
      <c r="C60" s="1778" t="s">
        <v>2489</v>
      </c>
      <c r="D60" s="1778" t="s">
        <v>2490</v>
      </c>
      <c r="E60" s="1778" t="s">
        <v>2491</v>
      </c>
      <c r="F60" s="1778" t="s">
        <v>2492</v>
      </c>
      <c r="G60" s="1778" t="s">
        <v>2493</v>
      </c>
      <c r="H60" s="1778" t="s">
        <v>2494</v>
      </c>
      <c r="I60" s="1778" t="s">
        <v>2495</v>
      </c>
      <c r="J60" s="1778" t="s">
        <v>2496</v>
      </c>
      <c r="K60" s="1778" t="s">
        <v>2497</v>
      </c>
      <c r="L60" s="1778" t="s">
        <v>2498</v>
      </c>
      <c r="M60" s="1778" t="s">
        <v>2499</v>
      </c>
      <c r="N60" s="1778" t="s">
        <v>2500</v>
      </c>
      <c r="O60" s="1778" t="s">
        <v>2501</v>
      </c>
      <c r="P60" s="1778" t="s">
        <v>2502</v>
      </c>
      <c r="Q60" s="1778" t="s">
        <v>2503</v>
      </c>
      <c r="R60" s="1778" t="s">
        <v>2504</v>
      </c>
      <c r="S60" s="1778" t="s">
        <v>2505</v>
      </c>
      <c r="T60" s="1778" t="s">
        <v>2506</v>
      </c>
      <c r="U60" s="1778" t="s">
        <v>2507</v>
      </c>
      <c r="V60" s="1778" t="s">
        <v>2508</v>
      </c>
      <c r="W60" s="1778" t="s">
        <v>2509</v>
      </c>
      <c r="X60" s="1778" t="s">
        <v>2510</v>
      </c>
      <c r="Y60" s="1778" t="s">
        <v>2511</v>
      </c>
      <c r="Z60" s="1778" t="s">
        <v>2512</v>
      </c>
      <c r="AA60" s="1778" t="s">
        <v>2513</v>
      </c>
      <c r="AB60" s="1778" t="s">
        <v>2514</v>
      </c>
      <c r="AC60" s="1778" t="s">
        <v>2515</v>
      </c>
      <c r="AD60" s="1778" t="s">
        <v>2516</v>
      </c>
      <c r="AE60" s="1778" t="s">
        <v>2517</v>
      </c>
      <c r="AF60" s="1778" t="s">
        <v>2518</v>
      </c>
      <c r="AG60" s="1778" t="s">
        <v>2530</v>
      </c>
      <c r="AH60" s="1778" t="s">
        <v>2531</v>
      </c>
      <c r="AI60" s="1778" t="s">
        <v>2534</v>
      </c>
      <c r="AJ60" s="1778" t="s">
        <v>2552</v>
      </c>
      <c r="AK60" s="1778" t="s">
        <v>2553</v>
      </c>
      <c r="AL60" s="1778" t="s">
        <v>2554</v>
      </c>
    </row>
    <row r="61" spans="1:38" ht="14.1" customHeight="1">
      <c r="A61" s="96" t="s">
        <v>2422</v>
      </c>
      <c r="B61" s="96" t="s">
        <v>2218</v>
      </c>
      <c r="C61" s="420">
        <v>35.780201707000003</v>
      </c>
      <c r="D61" s="420">
        <v>165.641636422</v>
      </c>
      <c r="E61" s="420">
        <v>14.55679932</v>
      </c>
      <c r="F61" s="420">
        <v>605.25950425200006</v>
      </c>
      <c r="G61" s="420">
        <v>231.79106597200001</v>
      </c>
      <c r="H61" s="420">
        <v>97.760440798999994</v>
      </c>
      <c r="I61" s="420">
        <v>464.62415716999999</v>
      </c>
      <c r="J61" s="420">
        <v>541.14443169499998</v>
      </c>
      <c r="K61" s="420">
        <v>473.09839736200001</v>
      </c>
      <c r="L61" s="420">
        <v>339.99276769800002</v>
      </c>
      <c r="M61" s="420">
        <v>433.103984303</v>
      </c>
      <c r="N61" s="420">
        <v>855.610795736</v>
      </c>
      <c r="O61" s="420">
        <v>515.60454421899999</v>
      </c>
      <c r="P61" s="420">
        <v>455.536524332</v>
      </c>
      <c r="Q61" s="420">
        <v>726.97149068900001</v>
      </c>
      <c r="R61" s="420">
        <v>690.40120073499997</v>
      </c>
      <c r="S61" s="420">
        <v>123.541325254</v>
      </c>
      <c r="T61" s="420">
        <v>-421.12928858800001</v>
      </c>
      <c r="U61" s="420">
        <v>305.33974177499999</v>
      </c>
      <c r="V61" s="420">
        <v>66.730414577999994</v>
      </c>
      <c r="W61" s="420">
        <v>924.55066110999996</v>
      </c>
      <c r="X61" s="420">
        <v>979.27742367300004</v>
      </c>
      <c r="Y61" s="420">
        <v>251.360407224</v>
      </c>
      <c r="Z61" s="420">
        <v>360.83082629699999</v>
      </c>
      <c r="AA61" s="420">
        <v>535.817294866</v>
      </c>
      <c r="AB61" s="420">
        <v>316.02895570599998</v>
      </c>
      <c r="AC61" s="420">
        <v>315.98627537599998</v>
      </c>
      <c r="AD61" s="420">
        <v>-424.39144879999998</v>
      </c>
      <c r="AE61" s="420">
        <v>-96.387094125999994</v>
      </c>
      <c r="AF61" s="420">
        <v>249.271299296</v>
      </c>
      <c r="AG61" s="420">
        <v>183.11752780699999</v>
      </c>
      <c r="AH61" s="420">
        <v>121.57734633600001</v>
      </c>
      <c r="AI61" s="420">
        <v>132.60363888000001</v>
      </c>
      <c r="AJ61" s="420">
        <v>163.94524704599999</v>
      </c>
      <c r="AK61" s="420">
        <v>125.19849840099999</v>
      </c>
      <c r="AL61" s="420">
        <v>305.94298319199999</v>
      </c>
    </row>
    <row r="62" spans="1:38" ht="14.1" customHeight="1">
      <c r="A62" s="96" t="s">
        <v>2050</v>
      </c>
      <c r="B62" s="96" t="s">
        <v>2051</v>
      </c>
      <c r="C62" s="420">
        <v>1.4950074419999999</v>
      </c>
      <c r="D62" s="420">
        <v>2.3752797659999998</v>
      </c>
      <c r="E62" s="420">
        <v>2.0527507539999998</v>
      </c>
      <c r="F62" s="420">
        <v>2.107832562</v>
      </c>
      <c r="G62" s="420">
        <v>2.4272005120000002</v>
      </c>
      <c r="H62" s="420">
        <v>2.6775368030000002</v>
      </c>
      <c r="I62" s="420">
        <v>4.962791427</v>
      </c>
      <c r="J62" s="420">
        <v>5.4818810549999997</v>
      </c>
      <c r="K62" s="420">
        <v>5.6010067479999996</v>
      </c>
      <c r="L62" s="420">
        <v>5.9958216540000002</v>
      </c>
      <c r="M62" s="420">
        <v>6.8878175910000001</v>
      </c>
      <c r="N62" s="420">
        <v>5.9237229339999997</v>
      </c>
      <c r="O62" s="420">
        <v>7.4452710670000002</v>
      </c>
      <c r="P62" s="420">
        <v>9.8970412999999997</v>
      </c>
      <c r="Q62" s="420">
        <v>10.477709958</v>
      </c>
      <c r="R62" s="420">
        <v>5.0933674350000002</v>
      </c>
      <c r="S62" s="420">
        <v>12.180174729999999</v>
      </c>
      <c r="T62" s="420">
        <v>12.122234104</v>
      </c>
      <c r="U62" s="420">
        <v>12.682191049</v>
      </c>
      <c r="V62" s="420">
        <v>19.570518018000001</v>
      </c>
      <c r="W62" s="420">
        <v>17.462519962999998</v>
      </c>
      <c r="X62" s="420">
        <v>18.433583039999998</v>
      </c>
      <c r="Y62" s="420">
        <v>20.349066413999999</v>
      </c>
      <c r="Z62" s="420">
        <v>22.522513634999999</v>
      </c>
      <c r="AA62" s="420">
        <v>22.266481558999999</v>
      </c>
      <c r="AB62" s="420">
        <v>21.004274908999999</v>
      </c>
      <c r="AC62" s="420">
        <v>22.215171081000001</v>
      </c>
      <c r="AD62" s="420">
        <v>21.246589232000002</v>
      </c>
      <c r="AE62" s="420">
        <v>20.9101043</v>
      </c>
      <c r="AF62" s="420">
        <v>20.652868831999999</v>
      </c>
      <c r="AG62" s="420">
        <v>21.702949868000001</v>
      </c>
      <c r="AH62" s="420">
        <v>18.55918539</v>
      </c>
      <c r="AI62" s="420">
        <v>20.892302061999999</v>
      </c>
      <c r="AJ62" s="420">
        <v>16.316313965999999</v>
      </c>
      <c r="AK62" s="420">
        <v>18.629469388</v>
      </c>
      <c r="AL62" s="420">
        <v>2.4598356469999998</v>
      </c>
    </row>
    <row r="63" spans="1:38" ht="14.1" customHeight="1">
      <c r="A63" s="96" t="s">
        <v>2052</v>
      </c>
      <c r="B63" s="96" t="s">
        <v>2053</v>
      </c>
      <c r="C63" s="420">
        <v>-12.742295113999999</v>
      </c>
      <c r="D63" s="420">
        <v>-18.133160553</v>
      </c>
      <c r="E63" s="420">
        <v>6.1677251579999997</v>
      </c>
      <c r="F63" s="420">
        <v>-134.911784192</v>
      </c>
      <c r="G63" s="420">
        <v>-39.278989443999997</v>
      </c>
      <c r="H63" s="420">
        <v>-24.093611234000001</v>
      </c>
      <c r="I63" s="420">
        <v>-35.312394257000001</v>
      </c>
      <c r="J63" s="420">
        <v>-14.403495225</v>
      </c>
      <c r="K63" s="420">
        <v>-124.801043146</v>
      </c>
      <c r="L63" s="420">
        <v>32.969591641000001</v>
      </c>
      <c r="M63" s="420">
        <v>-92.25516743</v>
      </c>
      <c r="N63" s="420">
        <v>-86.108652051999997</v>
      </c>
      <c r="O63" s="420">
        <v>7.3752355740000004</v>
      </c>
      <c r="P63" s="420">
        <v>2.0231692080000001</v>
      </c>
      <c r="Q63" s="420">
        <v>-19.359285555</v>
      </c>
      <c r="R63" s="420">
        <v>180.549407968</v>
      </c>
      <c r="S63" s="420">
        <v>26.109394639000001</v>
      </c>
      <c r="T63" s="420">
        <v>626.55186330200002</v>
      </c>
      <c r="U63" s="420">
        <v>72.886346364999994</v>
      </c>
      <c r="V63" s="420">
        <v>104.779466137</v>
      </c>
      <c r="W63" s="420">
        <v>99.644717224000004</v>
      </c>
      <c r="X63" s="420">
        <v>122.667675653</v>
      </c>
      <c r="Y63" s="420">
        <v>98.172152709000002</v>
      </c>
      <c r="Z63" s="420">
        <v>140.979507286</v>
      </c>
      <c r="AA63" s="420">
        <v>81.831488254999996</v>
      </c>
      <c r="AB63" s="420">
        <v>-55.834429860999997</v>
      </c>
      <c r="AC63" s="420">
        <v>-107.07116299499999</v>
      </c>
      <c r="AD63" s="420">
        <v>453.115489013</v>
      </c>
      <c r="AE63" s="420">
        <v>123.28232841099999</v>
      </c>
      <c r="AF63" s="420">
        <v>-180.28556020600001</v>
      </c>
      <c r="AG63" s="420">
        <v>141.103219768</v>
      </c>
      <c r="AH63" s="420">
        <v>191.084101586</v>
      </c>
      <c r="AI63" s="420">
        <v>107.985289013</v>
      </c>
      <c r="AJ63" s="420">
        <v>98.321972431000006</v>
      </c>
      <c r="AK63" s="420">
        <v>86.099261557999995</v>
      </c>
      <c r="AL63" s="420">
        <v>155.54572730199999</v>
      </c>
    </row>
    <row r="64" spans="1:38" ht="14.1" customHeight="1">
      <c r="A64" s="96" t="s">
        <v>1374</v>
      </c>
      <c r="B64" s="96" t="s">
        <v>2054</v>
      </c>
      <c r="C64" s="420">
        <v>-148.83397798999999</v>
      </c>
      <c r="D64" s="420">
        <v>-84.332685241999997</v>
      </c>
      <c r="E64" s="420">
        <v>-10.832120843</v>
      </c>
      <c r="F64" s="420">
        <v>-700.87276358400004</v>
      </c>
      <c r="G64" s="420">
        <v>-486.68626521900001</v>
      </c>
      <c r="H64" s="420">
        <v>265.89131053400001</v>
      </c>
      <c r="I64" s="420">
        <v>-1037.962780823</v>
      </c>
      <c r="J64" s="420">
        <v>-619.36875129700002</v>
      </c>
      <c r="K64" s="420">
        <v>-533.66415494800003</v>
      </c>
      <c r="L64" s="420">
        <v>-786.59870007100005</v>
      </c>
      <c r="M64" s="420">
        <v>149.55242147199999</v>
      </c>
      <c r="N64" s="420">
        <v>-755.73521367800004</v>
      </c>
      <c r="O64" s="420">
        <v>30.355990631000001</v>
      </c>
      <c r="P64" s="420">
        <v>-1247.614921118</v>
      </c>
      <c r="Q64" s="420">
        <v>-48.678004051000002</v>
      </c>
      <c r="R64" s="420">
        <v>-2401.5003283639999</v>
      </c>
      <c r="S64" s="420">
        <v>-1506.3340220079999</v>
      </c>
      <c r="T64" s="420">
        <v>-87.156508226</v>
      </c>
      <c r="U64" s="420">
        <v>1072.152956395</v>
      </c>
      <c r="V64" s="420">
        <v>-28.95283929</v>
      </c>
      <c r="W64" s="420">
        <v>-1359.729815104</v>
      </c>
      <c r="X64" s="420">
        <v>-272.29388423500001</v>
      </c>
      <c r="Y64" s="420">
        <v>338.98063042899997</v>
      </c>
      <c r="Z64" s="420">
        <v>519.13482988500004</v>
      </c>
      <c r="AA64" s="420">
        <v>-1023.287588835</v>
      </c>
      <c r="AB64" s="420">
        <v>-1251.643484382</v>
      </c>
      <c r="AC64" s="420">
        <v>-1782.535298001</v>
      </c>
      <c r="AD64" s="420">
        <v>98.895726339999996</v>
      </c>
      <c r="AE64" s="420">
        <v>-22.846502254000001</v>
      </c>
      <c r="AF64" s="420">
        <v>-275.83223886299999</v>
      </c>
      <c r="AG64" s="420">
        <v>-395.61009001000002</v>
      </c>
      <c r="AH64" s="420">
        <v>-512.05829245100006</v>
      </c>
      <c r="AI64" s="420">
        <v>-94.379513588999998</v>
      </c>
      <c r="AJ64" s="420">
        <v>-392.84089214400001</v>
      </c>
      <c r="AK64" s="420">
        <v>-275.272006519</v>
      </c>
      <c r="AL64" s="420">
        <v>-941.86638633699999</v>
      </c>
    </row>
    <row r="65" spans="1:38" ht="14.1" customHeight="1">
      <c r="A65" s="96" t="s">
        <v>2055</v>
      </c>
      <c r="B65" s="96" t="s">
        <v>2056</v>
      </c>
      <c r="C65" s="420">
        <v>-58.721374613999998</v>
      </c>
      <c r="D65" s="420">
        <v>-40.872435823000004</v>
      </c>
      <c r="E65" s="420">
        <v>-25.728376031</v>
      </c>
      <c r="F65" s="420">
        <v>-247.93903473500001</v>
      </c>
      <c r="G65" s="420">
        <v>-133.551973245</v>
      </c>
      <c r="H65" s="420">
        <v>-51.865399824999997</v>
      </c>
      <c r="I65" s="420">
        <v>-48.953071573999999</v>
      </c>
      <c r="J65" s="420">
        <v>-111.27870416</v>
      </c>
      <c r="K65" s="420">
        <v>-230.32474058400001</v>
      </c>
      <c r="L65" s="420">
        <v>-178.49394797400001</v>
      </c>
      <c r="M65" s="420">
        <v>-50.405504858</v>
      </c>
      <c r="N65" s="420">
        <v>-155.50464802600001</v>
      </c>
      <c r="O65" s="420">
        <v>-300.12655566199999</v>
      </c>
      <c r="P65" s="420">
        <v>-134.02763297800001</v>
      </c>
      <c r="Q65" s="420">
        <v>-116.303344952</v>
      </c>
      <c r="R65" s="420">
        <v>-170.475694159</v>
      </c>
      <c r="S65" s="420">
        <v>-139.955237797</v>
      </c>
      <c r="T65" s="420">
        <v>-186.86326894199999</v>
      </c>
      <c r="U65" s="420">
        <v>-354.56942061900003</v>
      </c>
      <c r="V65" s="420">
        <v>-90.910286491999997</v>
      </c>
      <c r="W65" s="420">
        <v>-198.40307671299999</v>
      </c>
      <c r="X65" s="420">
        <v>-364.74989068299999</v>
      </c>
      <c r="Y65" s="420">
        <v>-196.36740857300001</v>
      </c>
      <c r="Z65" s="420">
        <v>-278.790151272</v>
      </c>
      <c r="AA65" s="420">
        <v>-247.23522133099999</v>
      </c>
      <c r="AB65" s="420">
        <v>-287.38185628000002</v>
      </c>
      <c r="AC65" s="420">
        <v>-336.00501389200002</v>
      </c>
      <c r="AD65" s="420">
        <v>-246.26559862100001</v>
      </c>
      <c r="AE65" s="420">
        <v>-229.127657591</v>
      </c>
      <c r="AF65" s="420">
        <v>-180.12526463899999</v>
      </c>
      <c r="AG65" s="420">
        <v>-136.30485526699999</v>
      </c>
      <c r="AH65" s="420">
        <v>-193.96576783</v>
      </c>
      <c r="AI65" s="420">
        <v>-201.265607195</v>
      </c>
      <c r="AJ65" s="420">
        <v>-312.95224591900001</v>
      </c>
      <c r="AK65" s="420">
        <v>-224.73599516900001</v>
      </c>
      <c r="AL65" s="420">
        <v>-112.41901102200001</v>
      </c>
    </row>
    <row r="66" spans="1:38" ht="14.1" customHeight="1">
      <c r="A66" s="96" t="s">
        <v>2057</v>
      </c>
      <c r="B66" s="96" t="s">
        <v>2058</v>
      </c>
      <c r="C66" s="420">
        <v>-183.022438569</v>
      </c>
      <c r="D66" s="420">
        <v>24.67863457</v>
      </c>
      <c r="E66" s="420">
        <v>-13.783221642000001</v>
      </c>
      <c r="F66" s="420">
        <v>-476.35624569700002</v>
      </c>
      <c r="G66" s="420">
        <v>-425.29896142400003</v>
      </c>
      <c r="H66" s="420">
        <v>290.37027707700003</v>
      </c>
      <c r="I66" s="420">
        <v>-652.64129805699997</v>
      </c>
      <c r="J66" s="420">
        <v>-198.424637932</v>
      </c>
      <c r="K66" s="420">
        <v>-410.09053456800001</v>
      </c>
      <c r="L66" s="420">
        <v>-586.13446705199999</v>
      </c>
      <c r="M66" s="420">
        <v>446.88355107799998</v>
      </c>
      <c r="N66" s="420">
        <v>-135.81399508600001</v>
      </c>
      <c r="O66" s="420">
        <v>260.65448582900001</v>
      </c>
      <c r="P66" s="420">
        <v>-914.18581925599995</v>
      </c>
      <c r="Q66" s="420">
        <v>553.10856608899996</v>
      </c>
      <c r="R66" s="420">
        <v>-1695.9320463849999</v>
      </c>
      <c r="S66" s="420">
        <v>-1484.4583651820001</v>
      </c>
      <c r="T66" s="420">
        <v>-56.474968349999997</v>
      </c>
      <c r="U66" s="420">
        <v>1108.491814965</v>
      </c>
      <c r="V66" s="420">
        <v>71.217272950999998</v>
      </c>
      <c r="W66" s="420">
        <v>-516.47499352</v>
      </c>
      <c r="X66" s="420">
        <v>483.33490744800002</v>
      </c>
      <c r="Y66" s="420">
        <v>512.49484820299995</v>
      </c>
      <c r="Z66" s="420">
        <v>764.67752583100003</v>
      </c>
      <c r="AA66" s="420">
        <v>-630.60754548600005</v>
      </c>
      <c r="AB66" s="420">
        <v>-1257.8265399080001</v>
      </c>
      <c r="AC66" s="420">
        <v>-1887.410028431</v>
      </c>
      <c r="AD66" s="420">
        <v>-97.399242835999999</v>
      </c>
      <c r="AE66" s="420">
        <v>-204.16882125999999</v>
      </c>
      <c r="AF66" s="420">
        <v>-366.31889558</v>
      </c>
      <c r="AG66" s="420">
        <v>-185.99124783400001</v>
      </c>
      <c r="AH66" s="420">
        <v>-374.80342696899999</v>
      </c>
      <c r="AI66" s="420">
        <v>-34.163890829000003</v>
      </c>
      <c r="AJ66" s="420">
        <v>-427.20960461999999</v>
      </c>
      <c r="AK66" s="420">
        <v>-270.080772341</v>
      </c>
      <c r="AL66" s="420">
        <v>-590.33685121799999</v>
      </c>
    </row>
    <row r="67" spans="1:38" ht="14.1" customHeight="1">
      <c r="A67" s="96" t="s">
        <v>587</v>
      </c>
      <c r="B67" s="96" t="s">
        <v>588</v>
      </c>
      <c r="C67" s="420">
        <v>-2.6824037540000001</v>
      </c>
      <c r="D67" s="420">
        <v>-15.412372009</v>
      </c>
      <c r="E67" s="420">
        <v>-5.6347701590000003</v>
      </c>
      <c r="F67" s="420">
        <v>-28.178755794000001</v>
      </c>
      <c r="G67" s="420">
        <v>-13.958906262999999</v>
      </c>
      <c r="H67" s="420">
        <v>-13.548217181</v>
      </c>
      <c r="I67" s="420">
        <v>-36.028602014000001</v>
      </c>
      <c r="J67" s="420">
        <v>-28.546250513</v>
      </c>
      <c r="K67" s="420">
        <v>-36.483472714999998</v>
      </c>
      <c r="L67" s="420">
        <v>-13.479056845000001</v>
      </c>
      <c r="M67" s="420">
        <v>-60.189281094000002</v>
      </c>
      <c r="N67" s="420">
        <v>-41.688867451999997</v>
      </c>
      <c r="O67" s="420">
        <v>-82.642402567999994</v>
      </c>
      <c r="P67" s="420">
        <v>-78.010918693999997</v>
      </c>
      <c r="Q67" s="420">
        <v>-31.018397239999999</v>
      </c>
      <c r="R67" s="420">
        <v>-35.785941899999997</v>
      </c>
      <c r="S67" s="420">
        <v>-12.364054555999999</v>
      </c>
      <c r="T67" s="420">
        <v>-17.866332604</v>
      </c>
      <c r="U67" s="420">
        <v>-2.93113563</v>
      </c>
      <c r="V67" s="420">
        <v>-54.406279398999999</v>
      </c>
      <c r="W67" s="420">
        <v>-8.592627577</v>
      </c>
      <c r="X67" s="420">
        <v>-47.836909052000003</v>
      </c>
      <c r="Y67" s="420">
        <v>-9.9116595329999999</v>
      </c>
      <c r="Z67" s="420">
        <v>27.102196787</v>
      </c>
      <c r="AA67" s="420">
        <v>-34.266566140000002</v>
      </c>
      <c r="AB67" s="420">
        <v>-44.678408947000001</v>
      </c>
      <c r="AC67" s="420">
        <v>-22.901603013999999</v>
      </c>
      <c r="AD67" s="420">
        <v>-38.712578954999998</v>
      </c>
      <c r="AE67" s="420">
        <v>-31.939505347000001</v>
      </c>
      <c r="AF67" s="420">
        <v>-29.374679901</v>
      </c>
      <c r="AG67" s="420">
        <v>-15.988768166</v>
      </c>
      <c r="AH67" s="420">
        <v>-32.183749087999999</v>
      </c>
      <c r="AI67" s="420">
        <v>-0.63176234200000003</v>
      </c>
      <c r="AJ67" s="420">
        <v>-10.602006542</v>
      </c>
      <c r="AK67" s="420">
        <v>-2.9658194870000001</v>
      </c>
      <c r="AL67" s="420">
        <v>-40.252695641000003</v>
      </c>
    </row>
    <row r="68" spans="1:38" ht="14.1" customHeight="1">
      <c r="A68" s="96" t="s">
        <v>2059</v>
      </c>
      <c r="B68" s="96" t="s">
        <v>2060</v>
      </c>
      <c r="C68" s="420">
        <v>0</v>
      </c>
      <c r="D68" s="420">
        <v>0.5</v>
      </c>
      <c r="E68" s="420">
        <v>0</v>
      </c>
      <c r="F68" s="420">
        <v>-4.7275379190000004</v>
      </c>
      <c r="G68" s="420">
        <v>9.4834087339999993</v>
      </c>
      <c r="H68" s="420">
        <v>-308.51780873400003</v>
      </c>
      <c r="I68" s="420">
        <v>79.212841639999994</v>
      </c>
      <c r="J68" s="420">
        <v>-160.26287600399999</v>
      </c>
      <c r="K68" s="420">
        <v>-25.798181700000001</v>
      </c>
      <c r="L68" s="420">
        <v>9.9474459999999993</v>
      </c>
      <c r="M68" s="420">
        <v>0</v>
      </c>
      <c r="N68" s="420">
        <v>232.391814315</v>
      </c>
      <c r="O68" s="420">
        <v>-160.310975697</v>
      </c>
      <c r="P68" s="420">
        <v>123.355472979</v>
      </c>
      <c r="Q68" s="420">
        <v>-163.71114133399999</v>
      </c>
      <c r="R68" s="420">
        <v>-741.17665624799997</v>
      </c>
      <c r="S68" s="420">
        <v>457.324890127</v>
      </c>
      <c r="T68" s="420">
        <v>268.35883835599998</v>
      </c>
      <c r="U68" s="420">
        <v>-482.36704300999997</v>
      </c>
      <c r="V68" s="420">
        <v>29.444836425999998</v>
      </c>
      <c r="W68" s="420">
        <v>-122.63693153200001</v>
      </c>
      <c r="X68" s="420">
        <v>-758.25054096199995</v>
      </c>
      <c r="Y68" s="420">
        <v>0.20393022099999999</v>
      </c>
      <c r="Z68" s="420">
        <v>680.88086736599996</v>
      </c>
      <c r="AA68" s="420">
        <v>-22.762983345999999</v>
      </c>
      <c r="AB68" s="420">
        <v>-188.587847439</v>
      </c>
      <c r="AC68" s="420">
        <v>84.657724919000003</v>
      </c>
      <c r="AD68" s="420">
        <v>-43.421286107</v>
      </c>
      <c r="AE68" s="420">
        <v>-282.010686905</v>
      </c>
      <c r="AF68" s="420">
        <v>-443.54600292200001</v>
      </c>
      <c r="AG68" s="420">
        <v>369.266265627</v>
      </c>
      <c r="AH68" s="420">
        <v>223.84374764899999</v>
      </c>
      <c r="AI68" s="420">
        <v>12.780133201</v>
      </c>
      <c r="AJ68" s="420">
        <v>264.34138098300002</v>
      </c>
      <c r="AK68" s="420">
        <v>-29.344130320000001</v>
      </c>
      <c r="AL68" s="420">
        <v>279.42013328500002</v>
      </c>
    </row>
    <row r="69" spans="1:38" ht="14.1" customHeight="1">
      <c r="A69" s="96" t="s">
        <v>2061</v>
      </c>
      <c r="B69" s="96" t="s">
        <v>2062</v>
      </c>
      <c r="C69" s="420">
        <v>-112</v>
      </c>
      <c r="D69" s="420">
        <v>-63.984377662</v>
      </c>
      <c r="E69" s="420">
        <v>0</v>
      </c>
      <c r="F69" s="420">
        <v>156.38885756799999</v>
      </c>
      <c r="G69" s="420">
        <v>-0.64800000000000002</v>
      </c>
      <c r="H69" s="420">
        <v>-382.032579736</v>
      </c>
      <c r="I69" s="420">
        <v>-318.82460124599999</v>
      </c>
      <c r="J69" s="420">
        <v>-4.1212360889999999</v>
      </c>
      <c r="K69" s="420">
        <v>225.01236275700001</v>
      </c>
      <c r="L69" s="420">
        <v>-301.880089849</v>
      </c>
      <c r="M69" s="420">
        <v>-397.09172225899999</v>
      </c>
      <c r="N69" s="420">
        <v>63.952473886999996</v>
      </c>
      <c r="O69" s="420">
        <v>0</v>
      </c>
      <c r="P69" s="420">
        <v>40.345734999999998</v>
      </c>
      <c r="Q69" s="420">
        <v>-97.345735000000005</v>
      </c>
      <c r="R69" s="420">
        <v>-83.668463537999997</v>
      </c>
      <c r="S69" s="420">
        <v>0</v>
      </c>
      <c r="T69" s="420">
        <v>-133.503862594</v>
      </c>
      <c r="U69" s="420">
        <v>-939.20297650600003</v>
      </c>
      <c r="V69" s="420">
        <v>61.578682342</v>
      </c>
      <c r="W69" s="420">
        <v>0</v>
      </c>
      <c r="X69" s="420">
        <v>1554.717532231</v>
      </c>
      <c r="Y69" s="420">
        <v>-515.48657149500002</v>
      </c>
      <c r="Z69" s="420">
        <v>-883.43335937799998</v>
      </c>
      <c r="AA69" s="420">
        <v>-146.994</v>
      </c>
      <c r="AB69" s="420">
        <v>293.02246873199999</v>
      </c>
      <c r="AC69" s="420">
        <v>375.286492092</v>
      </c>
      <c r="AD69" s="420">
        <v>-43.232223118999997</v>
      </c>
      <c r="AE69" s="420">
        <v>0</v>
      </c>
      <c r="AF69" s="420">
        <v>647.18069992400001</v>
      </c>
      <c r="AG69" s="420">
        <v>41.149724999999997</v>
      </c>
      <c r="AH69" s="420">
        <v>74.547711423999999</v>
      </c>
      <c r="AI69" s="420">
        <v>-7.9</v>
      </c>
      <c r="AJ69" s="420">
        <v>-74.956046427000004</v>
      </c>
      <c r="AK69" s="420">
        <v>-1.3423936000000001</v>
      </c>
      <c r="AL69" s="420">
        <v>-654.41854648399999</v>
      </c>
    </row>
    <row r="70" spans="1:38" ht="14.1" customHeight="1">
      <c r="A70" s="96" t="s">
        <v>2063</v>
      </c>
      <c r="B70" s="96" t="s">
        <v>2064</v>
      </c>
      <c r="C70" s="420">
        <v>6.5609428510000001</v>
      </c>
      <c r="D70" s="420">
        <v>5.5123261990000003</v>
      </c>
      <c r="E70" s="420">
        <v>5.0563373809999996</v>
      </c>
      <c r="F70" s="420">
        <v>20.853289483000001</v>
      </c>
      <c r="G70" s="420">
        <v>102.356207477</v>
      </c>
      <c r="H70" s="420">
        <v>-63.358256611000002</v>
      </c>
      <c r="I70" s="420">
        <v>11.547006098000001</v>
      </c>
      <c r="J70" s="420">
        <v>15.429198591</v>
      </c>
      <c r="K70" s="420">
        <v>14.305580975</v>
      </c>
      <c r="L70" s="420">
        <v>7.2333985260000002</v>
      </c>
      <c r="M70" s="420">
        <v>7.1513216369999997</v>
      </c>
      <c r="N70" s="420">
        <v>27.488912161999998</v>
      </c>
      <c r="O70" s="420">
        <v>11.131347764999999</v>
      </c>
      <c r="P70" s="420">
        <v>7.183936117</v>
      </c>
      <c r="Q70" s="420">
        <v>7.6633193400000001</v>
      </c>
      <c r="R70" s="420">
        <v>20.472354853999999</v>
      </c>
      <c r="S70" s="420">
        <v>25.001982855000001</v>
      </c>
      <c r="T70" s="420">
        <v>27.806615284999999</v>
      </c>
      <c r="U70" s="420">
        <v>13.934293556</v>
      </c>
      <c r="V70" s="420">
        <v>6.018579366</v>
      </c>
      <c r="W70" s="420">
        <v>16.799745859000002</v>
      </c>
      <c r="X70" s="420">
        <v>27.411462229000001</v>
      </c>
      <c r="Y70" s="420">
        <v>29.732950353</v>
      </c>
      <c r="Z70" s="420">
        <v>48.743985934000001</v>
      </c>
      <c r="AA70" s="420">
        <v>16.441911224999998</v>
      </c>
      <c r="AB70" s="420">
        <v>21.145745364</v>
      </c>
      <c r="AC70" s="420">
        <v>15.252721505</v>
      </c>
      <c r="AD70" s="420">
        <v>14.63996976</v>
      </c>
      <c r="AE70" s="420">
        <v>21.784473876</v>
      </c>
      <c r="AF70" s="420">
        <v>-3.5742893320000002</v>
      </c>
      <c r="AG70" s="420">
        <v>9.2974609130000001</v>
      </c>
      <c r="AH70" s="420">
        <v>1.2773392589999999</v>
      </c>
      <c r="AI70" s="420">
        <v>17.802732722999998</v>
      </c>
      <c r="AJ70" s="420">
        <v>40.252793435999997</v>
      </c>
      <c r="AK70" s="420">
        <v>10.785234389999999</v>
      </c>
      <c r="AL70" s="420">
        <v>16.085450664</v>
      </c>
    </row>
    <row r="71" spans="1:38" ht="14.1" customHeight="1">
      <c r="A71" s="96" t="s">
        <v>2065</v>
      </c>
      <c r="B71" s="96" t="s">
        <v>2066</v>
      </c>
      <c r="C71" s="420">
        <v>-108.121460903</v>
      </c>
      <c r="D71" s="420">
        <v>-73.384423471999995</v>
      </c>
      <c r="E71" s="420">
        <v>-0.57843277800000004</v>
      </c>
      <c r="F71" s="420">
        <v>144.33585333799999</v>
      </c>
      <c r="G71" s="420">
        <v>97.232709947999993</v>
      </c>
      <c r="H71" s="420">
        <v>-767.45686226199996</v>
      </c>
      <c r="I71" s="420">
        <v>-264.09335552200002</v>
      </c>
      <c r="J71" s="420">
        <v>-177.501164015</v>
      </c>
      <c r="K71" s="420">
        <v>177.03628931700001</v>
      </c>
      <c r="L71" s="420">
        <v>-298.17830216800002</v>
      </c>
      <c r="M71" s="420">
        <v>-450.12968171599999</v>
      </c>
      <c r="N71" s="420">
        <v>282.14433291199998</v>
      </c>
      <c r="O71" s="420">
        <v>-231.82203050000001</v>
      </c>
      <c r="P71" s="420">
        <v>92.874225401999993</v>
      </c>
      <c r="Q71" s="420">
        <v>-284.41195423400001</v>
      </c>
      <c r="R71" s="420">
        <v>-840.15870683200001</v>
      </c>
      <c r="S71" s="420">
        <v>469.96281842600001</v>
      </c>
      <c r="T71" s="420">
        <v>144.79525844299999</v>
      </c>
      <c r="U71" s="420">
        <v>-1410.5668615899999</v>
      </c>
      <c r="V71" s="420">
        <v>42.635818735000001</v>
      </c>
      <c r="W71" s="420">
        <v>-114.42981325</v>
      </c>
      <c r="X71" s="420">
        <v>776.04154444599999</v>
      </c>
      <c r="Y71" s="420">
        <v>-495.46135045400001</v>
      </c>
      <c r="Z71" s="420">
        <v>-126.706309291</v>
      </c>
      <c r="AA71" s="420">
        <v>-187.58163826099999</v>
      </c>
      <c r="AB71" s="420">
        <v>80.901957710000005</v>
      </c>
      <c r="AC71" s="420">
        <v>452.295335502</v>
      </c>
      <c r="AD71" s="420">
        <v>-110.726118421</v>
      </c>
      <c r="AE71" s="420">
        <v>-292.16571837599997</v>
      </c>
      <c r="AF71" s="420">
        <v>170.68572776900001</v>
      </c>
      <c r="AG71" s="420">
        <v>403.72468337399999</v>
      </c>
      <c r="AH71" s="420">
        <v>267.48504924399998</v>
      </c>
      <c r="AI71" s="420">
        <v>22.051103582</v>
      </c>
      <c r="AJ71" s="420">
        <v>219.03612145</v>
      </c>
      <c r="AK71" s="420">
        <v>-22.867109017000001</v>
      </c>
      <c r="AL71" s="420">
        <v>-399.16565817600002</v>
      </c>
    </row>
    <row r="72" spans="1:38" ht="14.1" customHeight="1">
      <c r="A72" s="96" t="s">
        <v>2067</v>
      </c>
      <c r="B72" s="96" t="s">
        <v>2068</v>
      </c>
      <c r="C72" s="420">
        <v>0</v>
      </c>
      <c r="D72" s="420">
        <v>-11.455500000000001</v>
      </c>
      <c r="E72" s="420">
        <v>-16.512089100000001</v>
      </c>
      <c r="F72" s="420">
        <v>-21.045877999999998</v>
      </c>
      <c r="G72" s="420">
        <v>0</v>
      </c>
      <c r="H72" s="420">
        <v>-236.3059428</v>
      </c>
      <c r="I72" s="420">
        <v>-27.180092236</v>
      </c>
      <c r="J72" s="420">
        <v>-39.226525455000001</v>
      </c>
      <c r="K72" s="420">
        <v>-67.841744711999993</v>
      </c>
      <c r="L72" s="420">
        <v>-174.343400863</v>
      </c>
      <c r="M72" s="420">
        <v>0</v>
      </c>
      <c r="N72" s="420">
        <v>-233.767838125</v>
      </c>
      <c r="O72" s="420">
        <v>-129.10424964200001</v>
      </c>
      <c r="P72" s="420">
        <v>-192.794087236</v>
      </c>
      <c r="Q72" s="420">
        <v>-115.655189054</v>
      </c>
      <c r="R72" s="420">
        <v>-40.797324128</v>
      </c>
      <c r="S72" s="420">
        <v>-248.064410694</v>
      </c>
      <c r="T72" s="420">
        <v>-160.349777983</v>
      </c>
      <c r="U72" s="420">
        <v>-20.999737362000001</v>
      </c>
      <c r="V72" s="420">
        <v>-1.536706074</v>
      </c>
      <c r="W72" s="420">
        <v>-16.117141534999998</v>
      </c>
      <c r="X72" s="420">
        <v>-228.40181794</v>
      </c>
      <c r="Y72" s="420">
        <v>-51.898979165</v>
      </c>
      <c r="Z72" s="420">
        <v>-6.5813705E-2</v>
      </c>
      <c r="AA72" s="420">
        <v>-3.101652622</v>
      </c>
      <c r="AB72" s="420">
        <v>-36.742485692000002</v>
      </c>
      <c r="AC72" s="420">
        <v>-151.79755344599999</v>
      </c>
      <c r="AD72" s="420">
        <v>-145.93860000000001</v>
      </c>
      <c r="AE72" s="420">
        <v>-36.062690617000001</v>
      </c>
      <c r="AF72" s="420">
        <v>0.38645000000000002</v>
      </c>
      <c r="AG72" s="420">
        <v>-0.48360098400000001</v>
      </c>
      <c r="AH72" s="420">
        <v>-39.853519742000003</v>
      </c>
      <c r="AI72" s="420">
        <v>-0.25939857700000002</v>
      </c>
      <c r="AJ72" s="420">
        <v>-0.56511227900000005</v>
      </c>
      <c r="AK72" s="420">
        <v>-3.5539220999999999</v>
      </c>
      <c r="AL72" s="420">
        <v>-5.9735965369999997</v>
      </c>
    </row>
    <row r="73" spans="1:38" ht="14.1" customHeight="1">
      <c r="A73" s="96" t="s">
        <v>2069</v>
      </c>
      <c r="B73" s="96" t="s">
        <v>2070</v>
      </c>
      <c r="C73" s="420">
        <v>104.503003792</v>
      </c>
      <c r="D73" s="420">
        <v>-146.02103493300001</v>
      </c>
      <c r="E73" s="420">
        <v>-55.074224372000003</v>
      </c>
      <c r="F73" s="420">
        <v>342.04077470700003</v>
      </c>
      <c r="G73" s="420">
        <v>102.010831099</v>
      </c>
      <c r="H73" s="420">
        <v>919.54639750599995</v>
      </c>
      <c r="I73" s="420">
        <v>690.80930713800001</v>
      </c>
      <c r="J73" s="420">
        <v>154.21773569800001</v>
      </c>
      <c r="K73" s="420">
        <v>-116.164695655</v>
      </c>
      <c r="L73" s="420">
        <v>282.42641181099998</v>
      </c>
      <c r="M73" s="420">
        <v>115.005918822</v>
      </c>
      <c r="N73" s="420">
        <v>56.119439092</v>
      </c>
      <c r="O73" s="420">
        <v>-211.540327588</v>
      </c>
      <c r="P73" s="420">
        <v>392.32607298599999</v>
      </c>
      <c r="Q73" s="420">
        <v>361.80738705499999</v>
      </c>
      <c r="R73" s="420">
        <v>994.02619665300006</v>
      </c>
      <c r="S73" s="420">
        <v>1205.555728753</v>
      </c>
      <c r="T73" s="420">
        <v>248.64426059600001</v>
      </c>
      <c r="U73" s="420">
        <v>116.332010478</v>
      </c>
      <c r="V73" s="420">
        <v>-47.400376809999997</v>
      </c>
      <c r="W73" s="420">
        <v>1190.401529236</v>
      </c>
      <c r="X73" s="420">
        <v>-144.322726585</v>
      </c>
      <c r="Y73" s="420">
        <v>-457.995698124</v>
      </c>
      <c r="Z73" s="420">
        <v>-2074.185900381</v>
      </c>
      <c r="AA73" s="420">
        <v>-87.044311625000006</v>
      </c>
      <c r="AB73" s="420">
        <v>1736.5228349009999</v>
      </c>
      <c r="AC73" s="420">
        <v>28.133241954999999</v>
      </c>
      <c r="AD73" s="420">
        <v>63.203630066000002</v>
      </c>
      <c r="AE73" s="420">
        <v>188.82636538899999</v>
      </c>
      <c r="AF73" s="420">
        <v>59.439086347</v>
      </c>
      <c r="AG73" s="420">
        <v>-28.159674519999999</v>
      </c>
      <c r="AH73" s="420">
        <v>-234.44052158599999</v>
      </c>
      <c r="AI73" s="420">
        <v>-83.767040641999998</v>
      </c>
      <c r="AJ73" s="420">
        <v>-121.54239922399999</v>
      </c>
      <c r="AK73" s="420">
        <v>331.69480279800001</v>
      </c>
      <c r="AL73" s="420">
        <v>1133.7899480240001</v>
      </c>
    </row>
    <row r="74" spans="1:38" ht="14.1" customHeight="1">
      <c r="A74" s="96" t="s">
        <v>2071</v>
      </c>
      <c r="B74" s="96" t="s">
        <v>2072</v>
      </c>
      <c r="C74" s="420">
        <v>2.025675535</v>
      </c>
      <c r="D74" s="420">
        <v>7.704324465</v>
      </c>
      <c r="E74" s="420">
        <v>11.27</v>
      </c>
      <c r="F74" s="420">
        <v>1377.49049913</v>
      </c>
      <c r="G74" s="420">
        <v>2.74</v>
      </c>
      <c r="H74" s="420">
        <v>372.392878048</v>
      </c>
      <c r="I74" s="420">
        <v>26.181999999999999</v>
      </c>
      <c r="J74" s="420">
        <v>1.847121952</v>
      </c>
      <c r="K74" s="420">
        <v>3.52</v>
      </c>
      <c r="L74" s="420">
        <v>224.3415</v>
      </c>
      <c r="M74" s="420">
        <v>91.477999999999994</v>
      </c>
      <c r="N74" s="420">
        <v>264.66199999999998</v>
      </c>
      <c r="O74" s="420">
        <v>179.67550249999999</v>
      </c>
      <c r="P74" s="420">
        <v>458.44649750000002</v>
      </c>
      <c r="Q74" s="420">
        <v>88.665914000000001</v>
      </c>
      <c r="R74" s="420">
        <v>909.53817800000002</v>
      </c>
      <c r="S74" s="420">
        <v>30.12</v>
      </c>
      <c r="T74" s="420">
        <v>323.31368679399998</v>
      </c>
      <c r="U74" s="420">
        <v>571.01217268100004</v>
      </c>
      <c r="V74" s="420">
        <v>84.108686000000006</v>
      </c>
      <c r="W74" s="420">
        <v>14.2119</v>
      </c>
      <c r="X74" s="420">
        <v>1340.984801418</v>
      </c>
      <c r="Y74" s="420">
        <v>59.093165130999999</v>
      </c>
      <c r="Z74" s="420">
        <v>42.866193351</v>
      </c>
      <c r="AA74" s="420">
        <v>91.027649999999994</v>
      </c>
      <c r="AB74" s="420">
        <v>41.615749999999998</v>
      </c>
      <c r="AC74" s="420">
        <v>150.95825799900001</v>
      </c>
      <c r="AD74" s="420">
        <v>132.81908925299999</v>
      </c>
      <c r="AE74" s="420">
        <v>39.82</v>
      </c>
      <c r="AF74" s="420">
        <v>-24.5303</v>
      </c>
      <c r="AG74" s="420">
        <v>-0.15919999900000001</v>
      </c>
      <c r="AH74" s="420">
        <v>13.86</v>
      </c>
      <c r="AI74" s="420">
        <v>1219.413628</v>
      </c>
      <c r="AJ74" s="420">
        <v>0.59130000000000005</v>
      </c>
      <c r="AK74" s="420">
        <v>0.26</v>
      </c>
      <c r="AL74" s="420">
        <v>5.65916</v>
      </c>
    </row>
    <row r="75" spans="1:38" ht="14.1" customHeight="1">
      <c r="A75" s="96" t="s">
        <v>2073</v>
      </c>
      <c r="B75" s="96" t="s">
        <v>2074</v>
      </c>
      <c r="C75" s="420">
        <v>0</v>
      </c>
      <c r="D75" s="420">
        <v>0</v>
      </c>
      <c r="E75" s="420">
        <v>0</v>
      </c>
      <c r="F75" s="420">
        <v>0</v>
      </c>
      <c r="G75" s="420">
        <v>0</v>
      </c>
      <c r="H75" s="420">
        <v>0</v>
      </c>
      <c r="I75" s="420">
        <v>0</v>
      </c>
      <c r="J75" s="420">
        <v>0</v>
      </c>
      <c r="K75" s="420">
        <v>0</v>
      </c>
      <c r="L75" s="420">
        <v>0</v>
      </c>
      <c r="M75" s="420">
        <v>0</v>
      </c>
      <c r="N75" s="420">
        <v>0</v>
      </c>
      <c r="O75" s="420">
        <v>0</v>
      </c>
      <c r="P75" s="420">
        <v>0</v>
      </c>
      <c r="Q75" s="420">
        <v>0</v>
      </c>
      <c r="R75" s="420">
        <v>0</v>
      </c>
      <c r="S75" s="420">
        <v>0</v>
      </c>
      <c r="T75" s="420">
        <v>0</v>
      </c>
      <c r="U75" s="420">
        <v>0</v>
      </c>
      <c r="V75" s="420">
        <v>0</v>
      </c>
      <c r="W75" s="420">
        <v>0</v>
      </c>
      <c r="X75" s="420">
        <v>0</v>
      </c>
      <c r="Y75" s="420">
        <v>0</v>
      </c>
      <c r="Z75" s="420">
        <v>0</v>
      </c>
      <c r="AA75" s="420">
        <v>0</v>
      </c>
      <c r="AB75" s="420">
        <v>0</v>
      </c>
      <c r="AC75" s="420">
        <v>0</v>
      </c>
      <c r="AD75" s="420">
        <v>0</v>
      </c>
      <c r="AE75" s="420">
        <v>0</v>
      </c>
      <c r="AF75" s="420">
        <v>0</v>
      </c>
      <c r="AG75" s="420">
        <v>0</v>
      </c>
      <c r="AH75" s="420">
        <v>0</v>
      </c>
      <c r="AI75" s="420">
        <v>0</v>
      </c>
      <c r="AJ75" s="420">
        <v>0</v>
      </c>
      <c r="AK75" s="420">
        <v>0</v>
      </c>
      <c r="AL75" s="420">
        <v>0</v>
      </c>
    </row>
    <row r="76" spans="1:38" ht="14.1" customHeight="1">
      <c r="A76" s="96" t="s">
        <v>2075</v>
      </c>
      <c r="B76" s="96" t="s">
        <v>2076</v>
      </c>
      <c r="C76" s="420">
        <v>106.52867932700001</v>
      </c>
      <c r="D76" s="420">
        <v>-149.772210468</v>
      </c>
      <c r="E76" s="420">
        <v>-60.316313471999997</v>
      </c>
      <c r="F76" s="420">
        <v>1698.4853958369999</v>
      </c>
      <c r="G76" s="420">
        <v>104.750831099</v>
      </c>
      <c r="H76" s="420">
        <v>1055.6333327540001</v>
      </c>
      <c r="I76" s="420">
        <v>689.81121490199996</v>
      </c>
      <c r="J76" s="420">
        <v>116.83833219500001</v>
      </c>
      <c r="K76" s="420">
        <v>-180.486440367</v>
      </c>
      <c r="L76" s="420">
        <v>332.42451094799998</v>
      </c>
      <c r="M76" s="420">
        <v>206.48391882199999</v>
      </c>
      <c r="N76" s="420">
        <v>87.013600967000002</v>
      </c>
      <c r="O76" s="420">
        <v>-160.96907472999999</v>
      </c>
      <c r="P76" s="420">
        <v>657.97848324999995</v>
      </c>
      <c r="Q76" s="420">
        <v>334.81811200099997</v>
      </c>
      <c r="R76" s="420">
        <v>1862.7670505250001</v>
      </c>
      <c r="S76" s="420">
        <v>987.61131805900004</v>
      </c>
      <c r="T76" s="420">
        <v>411.60816940699999</v>
      </c>
      <c r="U76" s="420">
        <v>666.34444579700005</v>
      </c>
      <c r="V76" s="420">
        <v>35.171603116</v>
      </c>
      <c r="W76" s="420">
        <v>1188.496287701</v>
      </c>
      <c r="X76" s="420">
        <v>968.26025689300002</v>
      </c>
      <c r="Y76" s="420">
        <v>-450.80151215799998</v>
      </c>
      <c r="Z76" s="420">
        <v>-2031.385520735</v>
      </c>
      <c r="AA76" s="420">
        <v>0.88168575299999996</v>
      </c>
      <c r="AB76" s="420">
        <v>1741.3960992090001</v>
      </c>
      <c r="AC76" s="420">
        <v>27.293946508000001</v>
      </c>
      <c r="AD76" s="420">
        <v>50.084119319000003</v>
      </c>
      <c r="AE76" s="420">
        <v>192.58367477199999</v>
      </c>
      <c r="AF76" s="420">
        <v>35.295236346999999</v>
      </c>
      <c r="AG76" s="420">
        <v>-28.802475503</v>
      </c>
      <c r="AH76" s="420">
        <v>-260.43404132799998</v>
      </c>
      <c r="AI76" s="420">
        <v>1135.3871887810001</v>
      </c>
      <c r="AJ76" s="420">
        <v>-121.51621150299999</v>
      </c>
      <c r="AK76" s="420">
        <v>328.40088069799998</v>
      </c>
      <c r="AL76" s="420">
        <v>1133.4755114869999</v>
      </c>
    </row>
    <row r="77" spans="1:38" ht="14.1" customHeight="1">
      <c r="A77" s="96" t="s">
        <v>2077</v>
      </c>
      <c r="B77" s="96" t="s">
        <v>2078</v>
      </c>
      <c r="C77" s="420">
        <v>-184.615220145</v>
      </c>
      <c r="D77" s="420">
        <v>-198.47799936999999</v>
      </c>
      <c r="E77" s="420">
        <v>-74.677967891999998</v>
      </c>
      <c r="F77" s="420">
        <v>1366.465003478</v>
      </c>
      <c r="G77" s="420">
        <v>-223.31542037700001</v>
      </c>
      <c r="H77" s="420">
        <v>578.54674756899999</v>
      </c>
      <c r="I77" s="420">
        <v>-226.92343867700001</v>
      </c>
      <c r="J77" s="420">
        <v>-259.087469752</v>
      </c>
      <c r="K77" s="420">
        <v>-413.540685618</v>
      </c>
      <c r="L77" s="420">
        <v>-551.88825827200003</v>
      </c>
      <c r="M77" s="420">
        <v>203.23778818400001</v>
      </c>
      <c r="N77" s="420">
        <v>233.34393879300001</v>
      </c>
      <c r="O77" s="420">
        <v>-132.13661940099999</v>
      </c>
      <c r="P77" s="420">
        <v>-163.33311060400001</v>
      </c>
      <c r="Q77" s="420">
        <v>603.51472385600005</v>
      </c>
      <c r="R77" s="420">
        <v>-673.32370269199998</v>
      </c>
      <c r="S77" s="420">
        <v>-26.884228697000001</v>
      </c>
      <c r="T77" s="420">
        <v>499.92845949999997</v>
      </c>
      <c r="U77" s="420">
        <v>364.26939917200002</v>
      </c>
      <c r="V77" s="420">
        <v>149.024694802</v>
      </c>
      <c r="W77" s="420">
        <v>557.59148093099998</v>
      </c>
      <c r="X77" s="420">
        <v>2227.6367087869999</v>
      </c>
      <c r="Y77" s="420">
        <v>-433.76801440899999</v>
      </c>
      <c r="Z77" s="420">
        <v>-1393.4143041950001</v>
      </c>
      <c r="AA77" s="420">
        <v>-817.30749799399996</v>
      </c>
      <c r="AB77" s="420">
        <v>564.47151701099995</v>
      </c>
      <c r="AC77" s="420">
        <v>-1407.820746421</v>
      </c>
      <c r="AD77" s="420">
        <v>-158.04124193800001</v>
      </c>
      <c r="AE77" s="420">
        <v>-303.75086486399999</v>
      </c>
      <c r="AF77" s="420">
        <v>-160.33793146400001</v>
      </c>
      <c r="AG77" s="420">
        <v>188.93096003700001</v>
      </c>
      <c r="AH77" s="420">
        <v>-367.75241905299998</v>
      </c>
      <c r="AI77" s="420">
        <v>1123.2744015339999</v>
      </c>
      <c r="AJ77" s="420">
        <v>-329.68969467300002</v>
      </c>
      <c r="AK77" s="420">
        <v>35.452999339999998</v>
      </c>
      <c r="AL77" s="420">
        <v>143.97300209299999</v>
      </c>
    </row>
    <row r="78" spans="1:38" ht="14.1" customHeight="1">
      <c r="A78" s="96" t="s">
        <v>2423</v>
      </c>
      <c r="B78" s="96" t="s">
        <v>2424</v>
      </c>
      <c r="C78" s="420">
        <v>909.52307363</v>
      </c>
      <c r="D78" s="420">
        <v>724.90785348500003</v>
      </c>
      <c r="E78" s="420">
        <v>526.42985411500001</v>
      </c>
      <c r="F78" s="420">
        <v>451.75188622299999</v>
      </c>
      <c r="G78" s="420">
        <v>1818.2168897009999</v>
      </c>
      <c r="H78" s="420">
        <v>1594.9014693239999</v>
      </c>
      <c r="I78" s="420">
        <v>2173.4482168929999</v>
      </c>
      <c r="J78" s="420">
        <v>1946.524778216</v>
      </c>
      <c r="K78" s="420">
        <v>1687.4373084639999</v>
      </c>
      <c r="L78" s="420">
        <v>1273.8966228459999</v>
      </c>
      <c r="M78" s="420">
        <v>722.00836457399998</v>
      </c>
      <c r="N78" s="420">
        <v>925.24615275799999</v>
      </c>
      <c r="O78" s="420">
        <v>1158.571308567</v>
      </c>
      <c r="P78" s="420">
        <v>1026.434689166</v>
      </c>
      <c r="Q78" s="420">
        <v>863.10157856199999</v>
      </c>
      <c r="R78" s="420">
        <v>1466.616302418</v>
      </c>
      <c r="S78" s="420">
        <v>793.29259972600005</v>
      </c>
      <c r="T78" s="420">
        <v>766.40837102900002</v>
      </c>
      <c r="U78" s="420">
        <v>1266.3368305290001</v>
      </c>
      <c r="V78" s="420">
        <v>1630.6062297010001</v>
      </c>
      <c r="W78" s="420">
        <v>1779.630924503</v>
      </c>
      <c r="X78" s="420">
        <v>2337.2224054339999</v>
      </c>
      <c r="Y78" s="420">
        <v>4564.8591142209998</v>
      </c>
      <c r="Z78" s="420">
        <v>4131.0910998119998</v>
      </c>
      <c r="AA78" s="420">
        <v>2737.6767956170002</v>
      </c>
      <c r="AB78" s="420">
        <v>1920.369297623</v>
      </c>
      <c r="AC78" s="420">
        <v>2484.8408146339998</v>
      </c>
      <c r="AD78" s="420">
        <v>1077.0200682130001</v>
      </c>
      <c r="AE78" s="420">
        <v>918.97882627499996</v>
      </c>
      <c r="AF78" s="420">
        <v>615.22796141100002</v>
      </c>
      <c r="AG78" s="420">
        <v>454.89002994700002</v>
      </c>
      <c r="AH78" s="420">
        <v>643.82098998399999</v>
      </c>
      <c r="AI78" s="420">
        <v>276.06857093100001</v>
      </c>
      <c r="AJ78" s="420">
        <v>1399.342972465</v>
      </c>
      <c r="AK78" s="420">
        <v>1069.6532777919999</v>
      </c>
      <c r="AL78" s="420">
        <v>1105.1062771320001</v>
      </c>
    </row>
    <row r="79" spans="1:38" ht="14.1" customHeight="1">
      <c r="A79" s="96" t="s">
        <v>2425</v>
      </c>
      <c r="B79" s="96" t="s">
        <v>2426</v>
      </c>
      <c r="C79" s="420">
        <v>0</v>
      </c>
      <c r="D79" s="420">
        <v>0</v>
      </c>
      <c r="E79" s="420">
        <v>0</v>
      </c>
      <c r="F79" s="420">
        <v>0</v>
      </c>
      <c r="G79" s="420">
        <v>0</v>
      </c>
      <c r="H79" s="420">
        <v>0</v>
      </c>
      <c r="I79" s="420">
        <v>0</v>
      </c>
      <c r="J79" s="420">
        <v>0</v>
      </c>
      <c r="K79" s="420">
        <v>0</v>
      </c>
      <c r="L79" s="420">
        <v>0</v>
      </c>
      <c r="M79" s="420">
        <v>0</v>
      </c>
      <c r="N79" s="420">
        <v>0</v>
      </c>
      <c r="O79" s="420">
        <v>0</v>
      </c>
      <c r="P79" s="420">
        <v>0</v>
      </c>
      <c r="Q79" s="420">
        <v>0</v>
      </c>
      <c r="R79" s="420">
        <v>0</v>
      </c>
      <c r="S79" s="420">
        <v>0</v>
      </c>
      <c r="T79" s="420">
        <v>0</v>
      </c>
      <c r="U79" s="420">
        <v>0</v>
      </c>
      <c r="V79" s="420">
        <v>0</v>
      </c>
      <c r="W79" s="420">
        <v>0</v>
      </c>
      <c r="X79" s="420">
        <v>0</v>
      </c>
      <c r="Y79" s="420">
        <v>0</v>
      </c>
      <c r="Z79" s="420">
        <v>0</v>
      </c>
      <c r="AA79" s="420">
        <v>0</v>
      </c>
      <c r="AB79" s="420">
        <v>0</v>
      </c>
      <c r="AC79" s="420">
        <v>0</v>
      </c>
      <c r="AD79" s="420">
        <v>0</v>
      </c>
      <c r="AE79" s="420">
        <v>0</v>
      </c>
      <c r="AF79" s="420">
        <v>0</v>
      </c>
      <c r="AG79" s="420">
        <v>0</v>
      </c>
      <c r="AH79" s="420">
        <v>0</v>
      </c>
      <c r="AI79" s="420">
        <v>0</v>
      </c>
      <c r="AJ79" s="420">
        <v>0</v>
      </c>
      <c r="AK79" s="420">
        <v>0</v>
      </c>
      <c r="AL79" s="420">
        <v>0</v>
      </c>
    </row>
    <row r="80" spans="1:38" ht="14.1" customHeight="1">
      <c r="A80" s="96" t="s">
        <v>2427</v>
      </c>
      <c r="B80" s="96" t="s">
        <v>2428</v>
      </c>
      <c r="C80" s="420">
        <v>724.90785348500003</v>
      </c>
      <c r="D80" s="420">
        <v>526.42985411500001</v>
      </c>
      <c r="E80" s="420">
        <v>451.75188622299999</v>
      </c>
      <c r="F80" s="420">
        <v>1818.2168897009999</v>
      </c>
      <c r="G80" s="420">
        <v>1594.9014693239999</v>
      </c>
      <c r="H80" s="420">
        <v>2173.4482168929999</v>
      </c>
      <c r="I80" s="420">
        <v>1946.524778216</v>
      </c>
      <c r="J80" s="420">
        <v>1687.4373084639999</v>
      </c>
      <c r="K80" s="420">
        <v>1273.8966228459999</v>
      </c>
      <c r="L80" s="420">
        <v>722.00836457399998</v>
      </c>
      <c r="M80" s="420">
        <v>925.24615275799999</v>
      </c>
      <c r="N80" s="420">
        <v>1158.5900915509999</v>
      </c>
      <c r="O80" s="420">
        <v>1026.434689166</v>
      </c>
      <c r="P80" s="420">
        <v>863.10157856199999</v>
      </c>
      <c r="Q80" s="420">
        <v>1466.616302418</v>
      </c>
      <c r="R80" s="420">
        <v>793.29259972600005</v>
      </c>
      <c r="S80" s="420">
        <v>766.40837102900002</v>
      </c>
      <c r="T80" s="420">
        <v>1266.3368305290001</v>
      </c>
      <c r="U80" s="420">
        <v>1630.6062297010001</v>
      </c>
      <c r="V80" s="420">
        <v>1779.630924503</v>
      </c>
      <c r="W80" s="420">
        <v>2337.2224054339999</v>
      </c>
      <c r="X80" s="420">
        <v>4564.8591142209998</v>
      </c>
      <c r="Y80" s="420">
        <v>4131.0910998119998</v>
      </c>
      <c r="Z80" s="420">
        <v>2737.6767956170002</v>
      </c>
      <c r="AA80" s="420">
        <v>1920.369297623</v>
      </c>
      <c r="AB80" s="420">
        <v>2484.8408146339998</v>
      </c>
      <c r="AC80" s="420">
        <v>1077.0200682130001</v>
      </c>
      <c r="AD80" s="420">
        <v>918.97882627499996</v>
      </c>
      <c r="AE80" s="420">
        <v>615.22796141100002</v>
      </c>
      <c r="AF80" s="420">
        <v>454.89002994700002</v>
      </c>
      <c r="AG80" s="420">
        <v>643.82098998399999</v>
      </c>
      <c r="AH80" s="420">
        <v>276.06857093100001</v>
      </c>
      <c r="AI80" s="420">
        <v>1399.342972465</v>
      </c>
      <c r="AJ80" s="420">
        <v>1069.6532777919999</v>
      </c>
      <c r="AK80" s="420">
        <v>1105.1062771320001</v>
      </c>
      <c r="AL80" s="420">
        <v>1249.0792792249999</v>
      </c>
    </row>
    <row r="82" spans="1:38" s="1778" customFormat="1" ht="14.1" customHeight="1">
      <c r="A82" s="1778" t="s">
        <v>2079</v>
      </c>
      <c r="B82" s="1778" t="s">
        <v>1949</v>
      </c>
      <c r="C82" s="1778" t="s">
        <v>2489</v>
      </c>
      <c r="D82" s="1778" t="s">
        <v>2490</v>
      </c>
      <c r="E82" s="1778" t="s">
        <v>2491</v>
      </c>
      <c r="F82" s="1778" t="s">
        <v>2492</v>
      </c>
      <c r="G82" s="1778" t="s">
        <v>2493</v>
      </c>
      <c r="H82" s="1778" t="s">
        <v>2494</v>
      </c>
      <c r="I82" s="1778" t="s">
        <v>2495</v>
      </c>
      <c r="J82" s="1778" t="s">
        <v>2496</v>
      </c>
      <c r="K82" s="1778" t="s">
        <v>2497</v>
      </c>
      <c r="L82" s="1778" t="s">
        <v>2498</v>
      </c>
      <c r="M82" s="1778" t="s">
        <v>2499</v>
      </c>
      <c r="N82" s="1778" t="s">
        <v>2500</v>
      </c>
      <c r="O82" s="1778" t="s">
        <v>2501</v>
      </c>
      <c r="P82" s="1778" t="s">
        <v>2502</v>
      </c>
      <c r="Q82" s="1778" t="s">
        <v>2503</v>
      </c>
      <c r="R82" s="1778" t="s">
        <v>2504</v>
      </c>
      <c r="S82" s="1778" t="s">
        <v>2505</v>
      </c>
      <c r="T82" s="1778" t="s">
        <v>2506</v>
      </c>
      <c r="U82" s="1778" t="s">
        <v>2507</v>
      </c>
      <c r="V82" s="1778" t="s">
        <v>2508</v>
      </c>
      <c r="W82" s="1778" t="s">
        <v>2509</v>
      </c>
      <c r="X82" s="1778" t="s">
        <v>2510</v>
      </c>
      <c r="Y82" s="1778" t="s">
        <v>2511</v>
      </c>
      <c r="Z82" s="1778" t="s">
        <v>2512</v>
      </c>
      <c r="AA82" s="1778" t="s">
        <v>2513</v>
      </c>
      <c r="AB82" s="1778" t="s">
        <v>2514</v>
      </c>
      <c r="AC82" s="1778" t="s">
        <v>2515</v>
      </c>
      <c r="AD82" s="1778" t="s">
        <v>2516</v>
      </c>
      <c r="AE82" s="1778" t="s">
        <v>2517</v>
      </c>
      <c r="AF82" s="1778" t="s">
        <v>2518</v>
      </c>
      <c r="AG82" s="1778" t="s">
        <v>2530</v>
      </c>
      <c r="AH82" s="1778" t="s">
        <v>2531</v>
      </c>
      <c r="AI82" s="1778" t="s">
        <v>2534</v>
      </c>
      <c r="AJ82" s="1778" t="s">
        <v>2552</v>
      </c>
      <c r="AK82" s="1778" t="s">
        <v>2553</v>
      </c>
      <c r="AL82" s="1778" t="s">
        <v>2554</v>
      </c>
    </row>
    <row r="83" spans="1:38" ht="14.1" customHeight="1">
      <c r="A83" s="96" t="s">
        <v>2080</v>
      </c>
      <c r="B83" s="96" t="s">
        <v>1831</v>
      </c>
      <c r="C83" s="420">
        <v>1862.592161091</v>
      </c>
      <c r="D83" s="420">
        <v>1822.78681179</v>
      </c>
      <c r="E83" s="420">
        <v>1773.405792951</v>
      </c>
      <c r="F83" s="420">
        <v>2320.91139204</v>
      </c>
      <c r="G83" s="420">
        <v>4623.8556299250004</v>
      </c>
      <c r="H83" s="420">
        <v>5083.9459101909997</v>
      </c>
      <c r="I83" s="420">
        <v>7147.2671565580004</v>
      </c>
      <c r="J83" s="420">
        <v>7984.6647501139996</v>
      </c>
      <c r="K83" s="420">
        <v>12632.960347787001</v>
      </c>
      <c r="L83" s="420">
        <v>12054.981286091999</v>
      </c>
      <c r="M83" s="420">
        <v>13271.55208236</v>
      </c>
      <c r="N83" s="420">
        <v>11213.130546314</v>
      </c>
      <c r="O83" s="420">
        <v>10285.189593483001</v>
      </c>
      <c r="P83" s="420">
        <v>10447.853039713</v>
      </c>
      <c r="Q83" s="420">
        <v>12753.481140626</v>
      </c>
      <c r="R83" s="420">
        <v>13076.456027159</v>
      </c>
      <c r="S83" s="420">
        <v>10336.251775364</v>
      </c>
      <c r="T83" s="420">
        <v>12383.650517818</v>
      </c>
      <c r="U83" s="420">
        <v>11874.877290708</v>
      </c>
      <c r="V83" s="420">
        <v>15142.863610355</v>
      </c>
      <c r="W83" s="420">
        <v>19873.864911713001</v>
      </c>
      <c r="X83" s="420">
        <v>18207.861599907999</v>
      </c>
      <c r="Y83" s="420">
        <v>17581.159433483001</v>
      </c>
      <c r="Z83" s="420">
        <v>26929.193307987</v>
      </c>
      <c r="AA83" s="420">
        <v>35184.628529538997</v>
      </c>
      <c r="AB83" s="420">
        <v>20128.446602666001</v>
      </c>
      <c r="AC83" s="420">
        <v>22091.761257531001</v>
      </c>
      <c r="AD83" s="420">
        <v>17290.146206100999</v>
      </c>
      <c r="AE83" s="420">
        <v>17722.976460071</v>
      </c>
      <c r="AF83" s="420">
        <v>19334.305527774999</v>
      </c>
      <c r="AG83" s="420">
        <v>21273.363745962</v>
      </c>
      <c r="AH83" s="420">
        <v>23470.666744287999</v>
      </c>
      <c r="AI83" s="420">
        <v>22890.220769980999</v>
      </c>
      <c r="AJ83" s="420">
        <v>20394.768464858</v>
      </c>
      <c r="AK83" s="420">
        <v>21244.097820567</v>
      </c>
      <c r="AL83" s="420">
        <v>21211.145615375</v>
      </c>
    </row>
    <row r="84" spans="1:38" ht="14.1" customHeight="1">
      <c r="A84" s="96" t="s">
        <v>2081</v>
      </c>
      <c r="B84" s="96" t="s">
        <v>2082</v>
      </c>
      <c r="C84" s="420">
        <v>0</v>
      </c>
      <c r="D84" s="420">
        <v>0</v>
      </c>
      <c r="E84" s="420">
        <v>0</v>
      </c>
      <c r="F84" s="420">
        <v>0</v>
      </c>
      <c r="G84" s="420">
        <v>0</v>
      </c>
      <c r="H84" s="420">
        <v>0</v>
      </c>
      <c r="I84" s="420">
        <v>0</v>
      </c>
      <c r="J84" s="420">
        <v>0</v>
      </c>
      <c r="K84" s="420">
        <v>0</v>
      </c>
      <c r="L84" s="420">
        <v>0</v>
      </c>
      <c r="M84" s="420">
        <v>0</v>
      </c>
      <c r="N84" s="420">
        <v>0</v>
      </c>
      <c r="O84" s="420">
        <v>0</v>
      </c>
      <c r="P84" s="420">
        <v>0</v>
      </c>
      <c r="Q84" s="420">
        <v>0</v>
      </c>
      <c r="R84" s="420">
        <v>0</v>
      </c>
      <c r="S84" s="420">
        <v>0</v>
      </c>
      <c r="T84" s="420">
        <v>0</v>
      </c>
      <c r="U84" s="420">
        <v>0</v>
      </c>
      <c r="V84" s="420">
        <v>0</v>
      </c>
      <c r="W84" s="420">
        <v>0</v>
      </c>
      <c r="X84" s="420">
        <v>0</v>
      </c>
      <c r="Y84" s="420">
        <v>0</v>
      </c>
      <c r="Z84" s="420">
        <v>0</v>
      </c>
      <c r="AA84" s="420">
        <v>0</v>
      </c>
      <c r="AB84" s="420">
        <v>0</v>
      </c>
      <c r="AC84" s="420">
        <v>0</v>
      </c>
      <c r="AD84" s="420">
        <v>0</v>
      </c>
      <c r="AE84" s="420">
        <v>0</v>
      </c>
      <c r="AF84" s="420">
        <v>0</v>
      </c>
      <c r="AG84" s="420">
        <v>0</v>
      </c>
      <c r="AH84" s="420">
        <v>0</v>
      </c>
      <c r="AI84" s="420">
        <v>0</v>
      </c>
      <c r="AJ84" s="420">
        <v>0</v>
      </c>
      <c r="AK84" s="420">
        <v>0</v>
      </c>
      <c r="AL84" s="420">
        <v>0</v>
      </c>
    </row>
    <row r="85" spans="1:38" ht="14.1" customHeight="1">
      <c r="A85" s="96" t="s">
        <v>2083</v>
      </c>
      <c r="B85" s="96" t="s">
        <v>2084</v>
      </c>
      <c r="C85" s="420">
        <v>-557.78809999999999</v>
      </c>
      <c r="D85" s="420">
        <v>75.211799999999997</v>
      </c>
      <c r="E85" s="420">
        <v>-42.006399999999999</v>
      </c>
      <c r="F85" s="420">
        <v>-872.21050000000002</v>
      </c>
      <c r="G85" s="420">
        <v>-778.72439999999995</v>
      </c>
      <c r="H85" s="420">
        <v>532.07619999999997</v>
      </c>
      <c r="I85" s="420">
        <v>-1195.9037000000001</v>
      </c>
      <c r="J85" s="420">
        <v>-359.99590000000001</v>
      </c>
      <c r="K85" s="420">
        <v>-744.01509999999996</v>
      </c>
      <c r="L85" s="420">
        <v>-1063.4182000000001</v>
      </c>
      <c r="M85" s="420">
        <v>793.39390000000003</v>
      </c>
      <c r="N85" s="420">
        <v>-241.1232</v>
      </c>
      <c r="O85" s="420">
        <v>462.76420000000002</v>
      </c>
      <c r="P85" s="420">
        <v>-1623.0391</v>
      </c>
      <c r="Q85" s="420">
        <v>840.57439999999997</v>
      </c>
      <c r="R85" s="420">
        <v>-2577.355</v>
      </c>
      <c r="S85" s="420">
        <v>-2260.2703000000001</v>
      </c>
      <c r="T85" s="420">
        <v>-85.990099999999998</v>
      </c>
      <c r="U85" s="420">
        <v>1689.4729</v>
      </c>
      <c r="V85" s="420">
        <v>108.5436</v>
      </c>
      <c r="W85" s="420">
        <v>-787.16909999999996</v>
      </c>
      <c r="X85" s="420">
        <v>736.65970000000004</v>
      </c>
      <c r="Y85" s="420">
        <v>781.10910000000001</v>
      </c>
      <c r="Z85" s="420">
        <v>1165.4684</v>
      </c>
      <c r="AA85" s="420">
        <v>-942.9289</v>
      </c>
      <c r="AB85" s="420">
        <v>-1880.7909</v>
      </c>
      <c r="AC85" s="420">
        <v>-2822.1885000000002</v>
      </c>
      <c r="AD85" s="420">
        <v>-145.04089999999999</v>
      </c>
      <c r="AE85" s="420">
        <v>-304.03539999999998</v>
      </c>
      <c r="AF85" s="420">
        <v>-545.49919999999997</v>
      </c>
      <c r="AG85" s="420">
        <v>-276.9665</v>
      </c>
      <c r="AH85" s="420">
        <v>-505.23020000000002</v>
      </c>
      <c r="AI85" s="420">
        <v>-45.477400000000003</v>
      </c>
      <c r="AJ85" s="420">
        <v>-568.6816</v>
      </c>
      <c r="AK85" s="420">
        <v>-359.51900000000001</v>
      </c>
      <c r="AL85" s="420">
        <v>-785.82899999999995</v>
      </c>
    </row>
    <row r="86" spans="1:38" ht="14.1" customHeight="1">
      <c r="A86" s="96" t="s">
        <v>2085</v>
      </c>
      <c r="B86" s="96" t="s">
        <v>2086</v>
      </c>
      <c r="C86" s="420">
        <v>1910.4507324000001</v>
      </c>
      <c r="D86" s="420">
        <v>1793.2452209999999</v>
      </c>
      <c r="E86" s="420">
        <v>1699.480765</v>
      </c>
      <c r="F86" s="420">
        <v>3162.3883500000002</v>
      </c>
      <c r="G86" s="420">
        <v>5212.8108007999999</v>
      </c>
      <c r="H86" s="420">
        <v>4946.2665107000003</v>
      </c>
      <c r="I86" s="420">
        <v>5998.8873629999998</v>
      </c>
      <c r="J86" s="420">
        <v>6528.4136765000003</v>
      </c>
      <c r="K86" s="420">
        <v>11027.111731999999</v>
      </c>
      <c r="L86" s="420">
        <v>9294.0248154000001</v>
      </c>
      <c r="M86" s="420">
        <v>10529.6228156</v>
      </c>
      <c r="N86" s="420">
        <v>8325.7482727999995</v>
      </c>
      <c r="O86" s="420">
        <v>7801.0162387999999</v>
      </c>
      <c r="P86" s="420">
        <v>6524.1682893999996</v>
      </c>
      <c r="Q86" s="420">
        <v>9070.2414619499996</v>
      </c>
      <c r="R86" s="420">
        <v>7536.8768595000001</v>
      </c>
      <c r="S86" s="420">
        <v>4020.6712630000002</v>
      </c>
      <c r="T86" s="420">
        <v>5810.5184704000003</v>
      </c>
      <c r="U86" s="420">
        <v>5234.7005281000002</v>
      </c>
      <c r="V86" s="420">
        <v>8266.6805369499998</v>
      </c>
      <c r="W86" s="420">
        <v>12438.892344</v>
      </c>
      <c r="X86" s="420">
        <v>12438.892344</v>
      </c>
      <c r="Y86" s="420">
        <v>11384.0882342</v>
      </c>
      <c r="Z86" s="420">
        <v>20860.894670000001</v>
      </c>
      <c r="AA86" s="420">
        <v>28310.869574</v>
      </c>
      <c r="AB86" s="420">
        <v>11846.823104999999</v>
      </c>
      <c r="AC86" s="420">
        <v>12332.846616999999</v>
      </c>
      <c r="AD86" s="420">
        <v>7777.9018290000004</v>
      </c>
      <c r="AE86" s="420">
        <v>7655.8955257999996</v>
      </c>
      <c r="AF86" s="420">
        <v>9058.9680126000003</v>
      </c>
      <c r="AG86" s="420">
        <v>11529.595652399999</v>
      </c>
      <c r="AH86" s="420">
        <v>13771.461467249999</v>
      </c>
      <c r="AI86" s="420">
        <v>14305.96318475</v>
      </c>
      <c r="AJ86" s="420">
        <v>11531.25496</v>
      </c>
      <c r="AK86" s="420">
        <v>12035.747364499999</v>
      </c>
      <c r="AL86" s="420">
        <v>11242.973586</v>
      </c>
    </row>
    <row r="87" spans="1:38" ht="14.1" customHeight="1">
      <c r="A87" s="96" t="s">
        <v>2089</v>
      </c>
      <c r="B87" s="96" t="s">
        <v>2090</v>
      </c>
      <c r="C87" s="420">
        <v>-185.70484232300001</v>
      </c>
      <c r="D87" s="420">
        <v>9.2662625609999996</v>
      </c>
      <c r="E87" s="420">
        <v>-19.417991800999999</v>
      </c>
      <c r="F87" s="420">
        <v>-504.535001491</v>
      </c>
      <c r="G87" s="420">
        <v>-439.25786768699999</v>
      </c>
      <c r="H87" s="420">
        <v>276.82205989599998</v>
      </c>
      <c r="I87" s="420">
        <v>-688.66990007100003</v>
      </c>
      <c r="J87" s="420">
        <v>-226.97088844500001</v>
      </c>
      <c r="K87" s="420">
        <v>-446.57400728300001</v>
      </c>
      <c r="L87" s="420">
        <v>-599.61352389700005</v>
      </c>
      <c r="M87" s="420">
        <v>386.69426998400002</v>
      </c>
      <c r="N87" s="420">
        <v>-177.50286253799999</v>
      </c>
      <c r="O87" s="420">
        <v>178.01208326099999</v>
      </c>
      <c r="P87" s="420">
        <v>-992.19673795000006</v>
      </c>
      <c r="Q87" s="420">
        <v>522.09016884899995</v>
      </c>
      <c r="R87" s="420">
        <v>-1731.717988285</v>
      </c>
      <c r="S87" s="420">
        <v>-1496.822419738</v>
      </c>
      <c r="T87" s="420">
        <v>-74.341300954000005</v>
      </c>
      <c r="U87" s="420">
        <v>1105.560679335</v>
      </c>
      <c r="V87" s="420">
        <v>16.810993551999999</v>
      </c>
      <c r="W87" s="420">
        <v>-525.06762109700003</v>
      </c>
      <c r="X87" s="420">
        <v>435.49799839600001</v>
      </c>
      <c r="Y87" s="420">
        <v>502.58318867000003</v>
      </c>
      <c r="Z87" s="420">
        <v>791.77972261800005</v>
      </c>
      <c r="AA87" s="420">
        <v>-664.87411162599994</v>
      </c>
      <c r="AB87" s="420">
        <v>-1302.5049488550001</v>
      </c>
      <c r="AC87" s="420">
        <v>-1910.3116314450001</v>
      </c>
      <c r="AD87" s="420">
        <v>-136.11182179100001</v>
      </c>
      <c r="AE87" s="420">
        <v>-236.10832660700001</v>
      </c>
      <c r="AF87" s="420">
        <v>-395.69357548099998</v>
      </c>
      <c r="AG87" s="420">
        <v>-201.98001600000001</v>
      </c>
      <c r="AH87" s="420">
        <v>-406.987176057</v>
      </c>
      <c r="AI87" s="420">
        <v>-34.795653170999998</v>
      </c>
      <c r="AJ87" s="420">
        <v>-437.81161116200002</v>
      </c>
      <c r="AK87" s="420">
        <v>-273.04659182799998</v>
      </c>
      <c r="AL87" s="420">
        <v>-630.58954685900005</v>
      </c>
    </row>
    <row r="88" spans="1:38" ht="14.1" customHeight="1">
      <c r="A88" s="96" t="s">
        <v>2091</v>
      </c>
      <c r="B88" s="96" t="s">
        <v>2092</v>
      </c>
      <c r="C88" s="420">
        <v>2252.2381993039999</v>
      </c>
      <c r="D88" s="420">
        <v>2250.7217119870002</v>
      </c>
      <c r="E88" s="420">
        <v>2215.4537636629998</v>
      </c>
      <c r="F88" s="420">
        <v>4221.4175010749996</v>
      </c>
      <c r="G88" s="420">
        <v>4401.3510913549999</v>
      </c>
      <c r="H88" s="420">
        <v>5606.6441249740001</v>
      </c>
      <c r="I88" s="420">
        <v>6655.8599120560002</v>
      </c>
      <c r="J88" s="420">
        <v>7183.2498315330004</v>
      </c>
      <c r="K88" s="420">
        <v>7212.8900717819997</v>
      </c>
      <c r="L88" s="420">
        <v>7915.401951459</v>
      </c>
      <c r="M88" s="420">
        <v>8417.6560960309998</v>
      </c>
      <c r="N88" s="420">
        <v>9098.2077224570003</v>
      </c>
      <c r="O88" s="420">
        <v>9276.0916741199999</v>
      </c>
      <c r="P88" s="420">
        <v>10335.694590995001</v>
      </c>
      <c r="Q88" s="420">
        <v>11218.423693192</v>
      </c>
      <c r="R88" s="420">
        <v>13627.552374915</v>
      </c>
      <c r="S88" s="420">
        <v>14619.478903326</v>
      </c>
      <c r="T88" s="420">
        <v>14493.524775467</v>
      </c>
      <c r="U88" s="420">
        <v>15050.261880872</v>
      </c>
      <c r="V88" s="420">
        <v>15076.949040407</v>
      </c>
      <c r="W88" s="420">
        <v>16817.092235806998</v>
      </c>
      <c r="X88" s="420">
        <v>19971.784652674</v>
      </c>
      <c r="Y88" s="420">
        <v>19656.356861529999</v>
      </c>
      <c r="Z88" s="420">
        <v>17861.385951463999</v>
      </c>
      <c r="AA88" s="420">
        <v>18278.614875660001</v>
      </c>
      <c r="AB88" s="420">
        <v>20284.114107525002</v>
      </c>
      <c r="AC88" s="420">
        <v>20559.308313616999</v>
      </c>
      <c r="AD88" s="420">
        <v>19791.497600563001</v>
      </c>
      <c r="AE88" s="420">
        <v>19972.711534878999</v>
      </c>
      <c r="AF88" s="420">
        <v>20152.893729919</v>
      </c>
      <c r="AG88" s="420">
        <v>19892.187349077001</v>
      </c>
      <c r="AH88" s="420">
        <v>19479.956981538999</v>
      </c>
      <c r="AI88" s="420">
        <v>20690.441784784001</v>
      </c>
      <c r="AJ88" s="420">
        <v>20650.159294232999</v>
      </c>
      <c r="AK88" s="420">
        <v>21055.532529855001</v>
      </c>
      <c r="AL88" s="420">
        <v>21758.867271266001</v>
      </c>
    </row>
    <row r="89" spans="1:38" ht="14.1" customHeight="1">
      <c r="A89" s="96" t="s">
        <v>2093</v>
      </c>
      <c r="B89" s="96" t="s">
        <v>2094</v>
      </c>
    </row>
    <row r="90" spans="1:38" ht="14.1" customHeight="1">
      <c r="A90" s="96" t="s">
        <v>1446</v>
      </c>
      <c r="B90" s="96" t="s">
        <v>2095</v>
      </c>
      <c r="C90" s="1779">
        <v>0.18379999999999999</v>
      </c>
      <c r="D90" s="1779">
        <v>0.1794</v>
      </c>
      <c r="E90" s="1779">
        <v>0.41360000000000002</v>
      </c>
      <c r="F90" s="1779">
        <v>0.18920000000000001</v>
      </c>
      <c r="G90" s="1779">
        <v>0.18529999999999999</v>
      </c>
      <c r="H90" s="1779">
        <v>0.16830000000000001</v>
      </c>
      <c r="I90" s="1779">
        <v>0.1426</v>
      </c>
      <c r="J90" s="1779">
        <v>0.2296</v>
      </c>
      <c r="K90" s="1779">
        <v>0.15629999999999999</v>
      </c>
      <c r="L90" s="1779">
        <v>0.26140000000000002</v>
      </c>
      <c r="M90" s="1779">
        <v>0.14760000000000001</v>
      </c>
      <c r="N90" s="1779">
        <v>0.17799999999999999</v>
      </c>
      <c r="O90" s="1779">
        <v>0.187</v>
      </c>
      <c r="P90" s="1779">
        <v>0.18729999999999999</v>
      </c>
      <c r="Q90" s="1779">
        <v>0.22289999999999999</v>
      </c>
      <c r="R90" s="1779">
        <v>0.2296</v>
      </c>
      <c r="S90" s="1779">
        <v>0.24160000000000001</v>
      </c>
      <c r="T90" s="1779">
        <v>-0.11070000000000001</v>
      </c>
      <c r="U90" s="1779">
        <v>0.27450000000000002</v>
      </c>
      <c r="V90" s="1779">
        <v>0.60980000000000001</v>
      </c>
      <c r="W90" s="1779">
        <v>0.2301</v>
      </c>
      <c r="X90" s="1779">
        <v>0.51239999999999997</v>
      </c>
      <c r="Y90" s="1779">
        <v>0.36249999999999999</v>
      </c>
      <c r="Z90" s="1779">
        <v>0.31969999999999998</v>
      </c>
      <c r="AA90" s="1779">
        <v>0.23780000000000001</v>
      </c>
      <c r="AB90" s="1779">
        <v>0.17069999999999999</v>
      </c>
      <c r="AC90" s="1779">
        <v>0.1817</v>
      </c>
      <c r="AD90" s="1779">
        <v>-8.3900000000000002E-2</v>
      </c>
      <c r="AE90" s="1779">
        <v>-0.21659999999999999</v>
      </c>
      <c r="AF90" s="1779">
        <v>0.36959999999999998</v>
      </c>
      <c r="AG90" s="1779">
        <v>0.40089999999999998</v>
      </c>
      <c r="AH90" s="1779">
        <v>0.95909999999999995</v>
      </c>
      <c r="AI90" s="1779">
        <v>0.41449999999999998</v>
      </c>
      <c r="AJ90" s="1779">
        <v>0.42870000000000003</v>
      </c>
      <c r="AK90" s="1779">
        <v>0.41599999999999998</v>
      </c>
      <c r="AL90" s="1779">
        <v>0.31419999999999998</v>
      </c>
    </row>
    <row r="91" spans="1:38" ht="14.1" customHeight="1">
      <c r="A91" s="2254" t="s">
        <v>2096</v>
      </c>
      <c r="B91" s="2254"/>
      <c r="C91" s="2255">
        <v>314.78899999999999</v>
      </c>
      <c r="D91" s="2255">
        <v>314.78899999999999</v>
      </c>
      <c r="E91" s="2255">
        <v>314.78899999999999</v>
      </c>
      <c r="F91" s="2255">
        <v>523.95699999999999</v>
      </c>
      <c r="G91" s="2255">
        <v>523.95699999999999</v>
      </c>
      <c r="H91" s="2255">
        <v>523.55600000000004</v>
      </c>
      <c r="I91" s="2255">
        <v>523.55600000000004</v>
      </c>
      <c r="J91" s="2255">
        <v>528.78899999999999</v>
      </c>
      <c r="K91" s="2255">
        <v>528.78899999999999</v>
      </c>
      <c r="L91" s="2255">
        <v>528.78399999999999</v>
      </c>
      <c r="M91" s="2255">
        <v>540.36900000000003</v>
      </c>
      <c r="N91" s="2255">
        <v>540.36900000000003</v>
      </c>
      <c r="O91" s="2255">
        <v>540.36900000000003</v>
      </c>
      <c r="P91" s="2255">
        <v>540.36900000000003</v>
      </c>
      <c r="Q91" s="2255">
        <v>631.27599999999995</v>
      </c>
      <c r="R91" s="2255">
        <v>631.27599999999995</v>
      </c>
      <c r="S91" s="2255">
        <v>630.07500000000005</v>
      </c>
      <c r="T91" s="2255">
        <v>630.07500000000005</v>
      </c>
      <c r="U91" s="2255">
        <v>629.45699999999999</v>
      </c>
      <c r="V91" s="2255">
        <v>629.45699999999999</v>
      </c>
      <c r="W91" s="2255">
        <v>629.45699999999999</v>
      </c>
      <c r="X91" s="2255">
        <v>629.45699999999999</v>
      </c>
      <c r="Y91" s="2255">
        <v>629.452</v>
      </c>
      <c r="Z91" s="2255">
        <v>629.452</v>
      </c>
      <c r="AA91" s="2255">
        <v>641.601</v>
      </c>
      <c r="AB91" s="2255">
        <v>641.601</v>
      </c>
      <c r="AC91" s="2255">
        <v>641.601</v>
      </c>
      <c r="AD91" s="2255">
        <v>644.24300000000005</v>
      </c>
      <c r="AE91" s="2255">
        <v>644.24300000000005</v>
      </c>
      <c r="AF91" s="2255">
        <v>644.24300000000005</v>
      </c>
      <c r="AG91" s="2255">
        <v>644.24300000000005</v>
      </c>
      <c r="AH91" s="2255">
        <v>711.70299999999997</v>
      </c>
      <c r="AI91" s="2254"/>
      <c r="AJ91" s="2254"/>
      <c r="AK91" s="2254"/>
      <c r="AL91" s="2254"/>
    </row>
    <row r="92" spans="1:38" ht="14.1" customHeight="1">
      <c r="A92" s="96" t="s">
        <v>1328</v>
      </c>
      <c r="B92" s="96" t="s">
        <v>2429</v>
      </c>
      <c r="C92" s="420">
        <v>1575.188917128</v>
      </c>
      <c r="D92" s="420">
        <v>1694.7502670819999</v>
      </c>
      <c r="E92" s="420">
        <v>1689.7768494889999</v>
      </c>
      <c r="F92" s="420">
        <v>3244.6775693340001</v>
      </c>
      <c r="G92" s="420">
        <v>3395.4047929059998</v>
      </c>
      <c r="H92" s="420">
        <v>3291.4765085899999</v>
      </c>
      <c r="I92" s="420">
        <v>3541.6337819219998</v>
      </c>
      <c r="J92" s="420">
        <v>3813.5381403699998</v>
      </c>
      <c r="K92" s="420">
        <v>4081.3233423639999</v>
      </c>
      <c r="L92" s="420">
        <v>4190.5630714079998</v>
      </c>
      <c r="M92" s="420">
        <v>4508.6066317280001</v>
      </c>
      <c r="N92" s="420">
        <v>4999.7557126069996</v>
      </c>
      <c r="O92" s="420">
        <v>5222.7282242889996</v>
      </c>
      <c r="P92" s="420">
        <v>5459.8516791169995</v>
      </c>
      <c r="Q92" s="420">
        <v>5805.799987761</v>
      </c>
      <c r="R92" s="420">
        <v>6988.9411916600002</v>
      </c>
      <c r="S92" s="420">
        <v>7025.2934935869998</v>
      </c>
      <c r="T92" s="420">
        <v>6420.960630048</v>
      </c>
      <c r="U92" s="420">
        <v>6548.2206032610002</v>
      </c>
      <c r="V92" s="420">
        <v>6215.4509489929997</v>
      </c>
      <c r="W92" s="420">
        <v>6669.8982376220001</v>
      </c>
      <c r="X92" s="420">
        <v>8504.7271765450005</v>
      </c>
      <c r="Y92" s="420">
        <v>8506.1693866559999</v>
      </c>
      <c r="Z92" s="420">
        <v>8769.4822316480004</v>
      </c>
      <c r="AA92" s="420">
        <v>9199.6290807389996</v>
      </c>
      <c r="AB92" s="420">
        <v>9363.8463974660008</v>
      </c>
      <c r="AC92" s="420">
        <v>9550.8703473940004</v>
      </c>
      <c r="AD92" s="420">
        <v>9179.1084468049994</v>
      </c>
      <c r="AE92" s="420">
        <v>9149.2962519100001</v>
      </c>
      <c r="AF92" s="420">
        <v>9299.2887945879993</v>
      </c>
      <c r="AG92" s="420">
        <v>9360.2636409499992</v>
      </c>
      <c r="AH92" s="420">
        <v>9407.5084318600002</v>
      </c>
      <c r="AI92" s="420">
        <v>10623.286658579</v>
      </c>
      <c r="AJ92" s="420">
        <v>10651.988324057</v>
      </c>
      <c r="AK92" s="420">
        <v>10682.72747881</v>
      </c>
      <c r="AL92" s="420">
        <v>10463.745278105</v>
      </c>
    </row>
    <row r="96" spans="1:38" ht="14.1" customHeight="1">
      <c r="Y96" s="420">
        <f t="shared" ref="Y96:AD96" si="0">Y28+Y29-Y46-Y49</f>
        <v>-1599.926459392</v>
      </c>
      <c r="Z96" s="420">
        <f t="shared" si="0"/>
        <v>-1456.3057292490003</v>
      </c>
      <c r="AA96" s="420">
        <f t="shared" si="0"/>
        <v>-2102.6097561010001</v>
      </c>
      <c r="AB96" s="420">
        <f t="shared" si="0"/>
        <v>-3339.4628661360007</v>
      </c>
      <c r="AC96" s="420">
        <f t="shared" si="0"/>
        <v>-4732.9660614140003</v>
      </c>
      <c r="AD96" s="420">
        <f t="shared" si="0"/>
        <v>-4671.2197310499996</v>
      </c>
    </row>
    <row r="98" spans="25:30" ht="14.1" customHeight="1">
      <c r="Y98" s="420">
        <f t="shared" ref="Y98:AD98" si="1">Y51</f>
        <v>13103.314126547</v>
      </c>
      <c r="Z98" s="420">
        <f t="shared" si="1"/>
        <v>13381.475140385999</v>
      </c>
      <c r="AA98" s="420">
        <f t="shared" si="1"/>
        <v>13970.778280177001</v>
      </c>
      <c r="AB98" s="420">
        <f t="shared" si="1"/>
        <v>14306.007028996</v>
      </c>
      <c r="AC98" s="420">
        <f t="shared" si="1"/>
        <v>14576.818926511</v>
      </c>
      <c r="AD98" s="420">
        <f t="shared" si="1"/>
        <v>14020.133092856</v>
      </c>
    </row>
    <row r="99" spans="25:30" ht="14.1" customHeight="1">
      <c r="Y99" s="810">
        <f t="shared" ref="Y99:AD99" si="2">-Y96/Y98</f>
        <v>0.12210090088205909</v>
      </c>
      <c r="Z99" s="810">
        <f t="shared" si="2"/>
        <v>0.10882998428579765</v>
      </c>
      <c r="AA99" s="810">
        <f t="shared" si="2"/>
        <v>0.15050054577735103</v>
      </c>
      <c r="AB99" s="810">
        <f t="shared" si="2"/>
        <v>0.2334308140187154</v>
      </c>
      <c r="AC99" s="810">
        <f t="shared" si="2"/>
        <v>0.32469128451654905</v>
      </c>
      <c r="AD99" s="810">
        <f t="shared" si="2"/>
        <v>0.3331794142118546</v>
      </c>
    </row>
  </sheetData>
  <pageMargins left="0.7" right="0.7" top="0.75" bottom="0.75" header="0.3" footer="0.3"/>
  <pageSetup paperSize="9" orientation="portrait" horizontalDpi="0"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1:Y92"/>
  <sheetViews>
    <sheetView showGridLines="0" zoomScale="85" zoomScaleNormal="85" workbookViewId="0">
      <selection activeCell="E13" sqref="E13"/>
    </sheetView>
  </sheetViews>
  <sheetFormatPr defaultColWidth="10.140625" defaultRowHeight="14.25"/>
  <cols>
    <col min="1" max="1" width="4.5703125" style="1955" customWidth="1"/>
    <col min="2" max="2" width="18.85546875" style="1957" customWidth="1"/>
    <col min="3" max="3" width="49.28515625" style="2065" customWidth="1"/>
    <col min="4" max="4" width="45.5703125" style="2065" customWidth="1"/>
    <col min="5" max="5" width="33.85546875" style="2065" bestFit="1" customWidth="1"/>
    <col min="6" max="6" width="14.28515625" style="2065" customWidth="1"/>
    <col min="7" max="10" width="10.140625" style="2065"/>
    <col min="11" max="11" width="10.140625" style="2067"/>
    <col min="12" max="12" width="9.85546875" style="1955" bestFit="1" customWidth="1"/>
    <col min="13" max="13" width="13.140625" style="1955" bestFit="1" customWidth="1"/>
    <col min="14" max="14" width="14.42578125" style="1956" customWidth="1"/>
    <col min="15" max="15" width="10.42578125" style="1956" customWidth="1"/>
    <col min="16" max="18" width="16.7109375" style="1956" customWidth="1"/>
    <col min="19" max="19" width="18.140625" style="1955" customWidth="1"/>
    <col min="20" max="16384" width="10.140625" style="1955"/>
  </cols>
  <sheetData>
    <row r="1" spans="2:19" ht="26.25">
      <c r="B1" s="1952" t="s">
        <v>653</v>
      </c>
      <c r="C1" s="1953"/>
      <c r="D1" s="1953"/>
      <c r="E1" s="1953"/>
      <c r="F1" s="1953"/>
      <c r="G1" s="1953"/>
      <c r="H1" s="1953"/>
      <c r="I1" s="1953"/>
      <c r="J1" s="1953"/>
      <c r="K1" s="1954"/>
    </row>
    <row r="2" spans="2:19" ht="15.75" thickBot="1">
      <c r="C2" s="1958"/>
      <c r="D2" s="1959" t="s">
        <v>2113</v>
      </c>
      <c r="E2" s="1960" t="s">
        <v>2242</v>
      </c>
      <c r="F2" s="1961"/>
      <c r="G2" s="1961"/>
      <c r="H2" s="1961"/>
      <c r="I2" s="1953"/>
      <c r="J2" s="1953"/>
      <c r="K2" s="1954"/>
      <c r="P2" s="1962"/>
    </row>
    <row r="3" spans="2:19">
      <c r="C3" s="1963"/>
      <c r="D3" s="2071" t="s">
        <v>2243</v>
      </c>
      <c r="E3" s="2070">
        <f>AVERAGE(E4:E5)</f>
        <v>41.904761904761898</v>
      </c>
      <c r="F3" s="1964"/>
      <c r="G3" s="1965"/>
      <c r="H3" s="1964"/>
      <c r="I3" s="1953"/>
      <c r="J3" s="1953"/>
      <c r="K3" s="1954"/>
      <c r="P3" s="1963"/>
    </row>
    <row r="4" spans="2:19">
      <c r="B4" s="1966"/>
      <c r="C4" s="1967"/>
      <c r="D4" s="1967" t="s">
        <v>2120</v>
      </c>
      <c r="E4" s="1968">
        <f>K27*10</f>
        <v>37.142857142857146</v>
      </c>
      <c r="F4" s="1969"/>
      <c r="G4" s="1970"/>
      <c r="H4" s="1971"/>
      <c r="I4" s="1953"/>
      <c r="J4" s="1953"/>
      <c r="K4" s="1954"/>
      <c r="P4" s="1963"/>
    </row>
    <row r="5" spans="2:19">
      <c r="B5" s="1966"/>
      <c r="C5" s="1967"/>
      <c r="D5" s="1967" t="s">
        <v>2244</v>
      </c>
      <c r="E5" s="1968">
        <f>K35*10</f>
        <v>46.666666666666657</v>
      </c>
      <c r="F5" s="1969"/>
      <c r="G5" s="1970"/>
      <c r="H5" s="1971"/>
      <c r="I5" s="1953"/>
      <c r="J5" s="1953"/>
      <c r="K5" s="1954"/>
      <c r="P5" s="1963"/>
    </row>
    <row r="6" spans="2:19">
      <c r="B6" s="1966"/>
      <c r="C6" s="1963"/>
      <c r="D6" s="2069" t="s">
        <v>2245</v>
      </c>
      <c r="E6" s="2070">
        <f>AVERAGE(E7:E9)</f>
        <v>57.777777777777779</v>
      </c>
      <c r="F6" s="1972"/>
      <c r="G6" s="1965"/>
      <c r="H6" s="1972"/>
      <c r="I6" s="1953"/>
      <c r="J6" s="1953"/>
      <c r="K6" s="1954"/>
    </row>
    <row r="7" spans="2:19">
      <c r="C7" s="1963"/>
      <c r="D7" s="1967" t="s">
        <v>2246</v>
      </c>
      <c r="E7" s="1969">
        <f>K43*10</f>
        <v>56.666666666666679</v>
      </c>
      <c r="F7" s="1972"/>
      <c r="G7" s="1973"/>
      <c r="H7" s="1972"/>
      <c r="I7" s="1953"/>
      <c r="J7" s="1953"/>
      <c r="K7" s="1954"/>
    </row>
    <row r="8" spans="2:19">
      <c r="B8" s="1966"/>
      <c r="C8" s="1963"/>
      <c r="D8" s="1967" t="s">
        <v>2247</v>
      </c>
      <c r="E8" s="1969">
        <f>(K51)*10</f>
        <v>66.666666666666657</v>
      </c>
      <c r="F8" s="1972"/>
      <c r="G8" s="1973"/>
      <c r="H8" s="1972"/>
      <c r="I8" s="1953"/>
      <c r="J8" s="1953"/>
      <c r="K8" s="1954"/>
    </row>
    <row r="9" spans="2:19">
      <c r="B9" s="1966"/>
      <c r="C9" s="1963"/>
      <c r="D9" s="1967" t="s">
        <v>2248</v>
      </c>
      <c r="E9" s="1968">
        <f>(K61)*10</f>
        <v>50</v>
      </c>
      <c r="F9" s="1972"/>
      <c r="G9" s="1973"/>
      <c r="H9" s="1972"/>
      <c r="I9" s="1953"/>
      <c r="J9" s="1953"/>
      <c r="K9" s="1954"/>
    </row>
    <row r="10" spans="2:19">
      <c r="C10" s="1963"/>
      <c r="D10" s="2069" t="s">
        <v>2249</v>
      </c>
      <c r="E10" s="2070">
        <f>AVERAGE(E11:E12)</f>
        <v>54</v>
      </c>
      <c r="F10" s="1972"/>
      <c r="G10" s="1965"/>
      <c r="H10" s="1972"/>
      <c r="I10" s="1953"/>
      <c r="J10" s="1953"/>
      <c r="K10" s="1954"/>
    </row>
    <row r="11" spans="2:19" ht="15">
      <c r="B11" s="1974"/>
      <c r="C11" s="1975"/>
      <c r="D11" s="1967" t="s">
        <v>2119</v>
      </c>
      <c r="E11" s="1968">
        <f>(K68)*10</f>
        <v>54</v>
      </c>
      <c r="F11" s="1976"/>
      <c r="G11" s="1977"/>
      <c r="H11" s="1976"/>
      <c r="I11" s="1953"/>
      <c r="J11" s="1953"/>
      <c r="K11" s="1954"/>
      <c r="S11" s="1978"/>
    </row>
    <row r="12" spans="2:19" ht="15">
      <c r="C12" s="1975"/>
      <c r="D12" s="1967" t="s">
        <v>2112</v>
      </c>
      <c r="E12" s="1968">
        <f>(K75)*10</f>
        <v>54</v>
      </c>
      <c r="F12" s="1976"/>
      <c r="G12" s="1977"/>
      <c r="H12" s="1976"/>
      <c r="I12" s="1953"/>
      <c r="J12" s="1953"/>
      <c r="K12" s="1954"/>
      <c r="S12" s="1978"/>
    </row>
    <row r="13" spans="2:19" ht="15">
      <c r="C13" s="1975"/>
      <c r="D13" s="1967" t="s">
        <v>1697</v>
      </c>
      <c r="E13" s="1979">
        <f>(K86)*10</f>
        <v>67.777777777777771</v>
      </c>
      <c r="F13" s="1976"/>
      <c r="G13" s="1977"/>
      <c r="H13" s="1976"/>
      <c r="I13" s="1953"/>
      <c r="J13" s="1953"/>
      <c r="K13" s="1954"/>
      <c r="S13" s="1978"/>
    </row>
    <row r="14" spans="2:19" ht="15.75" thickBot="1">
      <c r="B14" s="1980"/>
      <c r="C14" s="1975"/>
      <c r="D14" s="2072" t="s">
        <v>2250</v>
      </c>
      <c r="E14" s="2073">
        <f>AVERAGE(E4:E5,E7:E9,E11:E13)</f>
        <v>54.11507936507936</v>
      </c>
      <c r="F14" s="1976"/>
      <c r="G14" s="1981"/>
      <c r="H14" s="1976"/>
      <c r="I14" s="1953"/>
      <c r="J14" s="1953"/>
      <c r="K14" s="1954"/>
      <c r="S14" s="1978"/>
    </row>
    <row r="15" spans="2:19" ht="15">
      <c r="B15" s="1982"/>
      <c r="C15" s="1975"/>
      <c r="D15" s="1975"/>
      <c r="E15" s="1976"/>
      <c r="F15" s="1976"/>
      <c r="G15" s="1976"/>
      <c r="H15" s="1976"/>
      <c r="I15" s="1953"/>
      <c r="J15" s="1953"/>
      <c r="K15" s="1954"/>
      <c r="S15" s="1978"/>
    </row>
    <row r="16" spans="2:19" ht="15">
      <c r="C16" s="1975"/>
      <c r="D16" s="1975"/>
      <c r="E16" s="1976"/>
      <c r="F16" s="1976"/>
      <c r="G16" s="1976"/>
      <c r="H16" s="1976"/>
      <c r="I16" s="1953"/>
      <c r="J16" s="1953"/>
      <c r="K16" s="1954"/>
      <c r="S16" s="1978"/>
    </row>
    <row r="17" spans="2:25" ht="15">
      <c r="C17" s="1975"/>
      <c r="D17" s="1975"/>
      <c r="E17" s="1976"/>
      <c r="F17" s="1976"/>
      <c r="G17" s="1976"/>
      <c r="H17" s="1976"/>
      <c r="I17" s="1953"/>
      <c r="J17" s="1953"/>
      <c r="K17" s="1954"/>
      <c r="S17" s="1978"/>
    </row>
    <row r="18" spans="2:25" ht="15" thickBot="1">
      <c r="C18" s="1963"/>
      <c r="D18" s="1963"/>
      <c r="E18" s="1953"/>
      <c r="F18" s="1983">
        <v>1</v>
      </c>
      <c r="G18" s="1983">
        <v>0.7</v>
      </c>
      <c r="H18" s="1983">
        <v>0.5</v>
      </c>
      <c r="I18" s="1983">
        <v>0.3</v>
      </c>
      <c r="J18" s="1983">
        <v>0</v>
      </c>
      <c r="K18" s="1954"/>
      <c r="N18" s="2282"/>
      <c r="O18" s="2282"/>
      <c r="P18" s="2282"/>
      <c r="Q18" s="1984"/>
      <c r="R18" s="1984"/>
    </row>
    <row r="19" spans="2:25" ht="15" thickBot="1">
      <c r="B19" s="1810" t="s">
        <v>2113</v>
      </c>
      <c r="C19" s="1985" t="s">
        <v>2126</v>
      </c>
      <c r="D19" s="1985" t="s">
        <v>2251</v>
      </c>
      <c r="E19" s="1985" t="s">
        <v>2127</v>
      </c>
      <c r="F19" s="1986" t="s">
        <v>2252</v>
      </c>
      <c r="G19" s="1987" t="s">
        <v>2128</v>
      </c>
      <c r="H19" s="1987" t="s">
        <v>2129</v>
      </c>
      <c r="I19" s="1987" t="s">
        <v>2130</v>
      </c>
      <c r="J19" s="1987" t="s">
        <v>2131</v>
      </c>
      <c r="K19" s="1988" t="s">
        <v>2132</v>
      </c>
      <c r="L19" s="1989"/>
      <c r="M19" s="1990"/>
      <c r="N19" s="1991"/>
      <c r="O19" s="1991"/>
      <c r="P19" s="1991"/>
      <c r="Q19" s="1991"/>
      <c r="R19" s="1955"/>
    </row>
    <row r="20" spans="2:25" ht="38.25">
      <c r="B20" s="2283" t="s">
        <v>2120</v>
      </c>
      <c r="C20" s="1992" t="s">
        <v>2253</v>
      </c>
      <c r="D20" s="1993" t="s">
        <v>2254</v>
      </c>
      <c r="E20" s="1994" t="s">
        <v>2255</v>
      </c>
      <c r="F20" s="1995"/>
      <c r="G20" s="1996"/>
      <c r="H20" s="1997"/>
      <c r="I20" s="1996" t="s">
        <v>1603</v>
      </c>
      <c r="J20" s="1996"/>
      <c r="K20" s="1998">
        <f t="array" ref="K20">SUMPRODUCT(IF(F20:J20="X",1,0),$F$18:$J$18)</f>
        <v>0.3</v>
      </c>
      <c r="L20" s="1823"/>
      <c r="M20" s="1999"/>
      <c r="R20" s="2000"/>
    </row>
    <row r="21" spans="2:25" ht="38.25">
      <c r="B21" s="2284"/>
      <c r="C21" s="2001" t="s">
        <v>2256</v>
      </c>
      <c r="D21" s="2002" t="s">
        <v>2257</v>
      </c>
      <c r="E21" s="2003" t="s">
        <v>2258</v>
      </c>
      <c r="F21" s="2004"/>
      <c r="G21" s="2005"/>
      <c r="H21" s="2006"/>
      <c r="I21" s="2005" t="s">
        <v>1603</v>
      </c>
      <c r="J21" s="2005"/>
      <c r="K21" s="2007">
        <f t="array" ref="K21">SUMPRODUCT(IF(F21:J21="X",1,0),$F$18:$J$18)</f>
        <v>0.3</v>
      </c>
      <c r="L21" s="2008"/>
      <c r="M21" s="2009"/>
      <c r="N21" s="2009"/>
      <c r="O21" s="2009"/>
      <c r="P21" s="2009"/>
      <c r="Q21" s="2009"/>
      <c r="R21" s="2000"/>
      <c r="S21" s="2277"/>
      <c r="T21" s="2277"/>
      <c r="U21" s="2277"/>
      <c r="V21" s="2277"/>
      <c r="W21" s="2277"/>
      <c r="X21" s="2277"/>
      <c r="Y21" s="2277"/>
    </row>
    <row r="22" spans="2:25" ht="25.5">
      <c r="B22" s="2284"/>
      <c r="C22" s="2001" t="s">
        <v>2259</v>
      </c>
      <c r="D22" s="2002" t="s">
        <v>2260</v>
      </c>
      <c r="E22" s="2010" t="s">
        <v>2261</v>
      </c>
      <c r="F22" s="1819"/>
      <c r="G22" s="1820"/>
      <c r="H22" s="2011"/>
      <c r="I22" s="1820"/>
      <c r="J22" s="1820" t="s">
        <v>1603</v>
      </c>
      <c r="K22" s="2012">
        <f t="array" ref="K22">SUMPRODUCT(IF(F22:J22="X",1,0),$F$18:$J$18)</f>
        <v>0</v>
      </c>
      <c r="L22" s="2008"/>
      <c r="M22" s="2013"/>
      <c r="N22" s="2009"/>
      <c r="O22" s="2009"/>
      <c r="P22" s="2009"/>
      <c r="Q22" s="2009"/>
      <c r="R22" s="2000"/>
      <c r="S22" s="1950"/>
      <c r="T22" s="1950"/>
      <c r="U22" s="1950"/>
      <c r="V22" s="1950"/>
      <c r="W22" s="1950"/>
      <c r="X22" s="1950"/>
      <c r="Y22" s="1950"/>
    </row>
    <row r="23" spans="2:25" ht="25.5">
      <c r="B23" s="2284"/>
      <c r="C23" s="2001" t="s">
        <v>2262</v>
      </c>
      <c r="D23" s="2002" t="s">
        <v>2263</v>
      </c>
      <c r="E23" s="2003" t="s">
        <v>2264</v>
      </c>
      <c r="F23" s="1819"/>
      <c r="G23" s="1820"/>
      <c r="H23" s="1820" t="s">
        <v>1603</v>
      </c>
      <c r="I23" s="1820"/>
      <c r="J23" s="1820"/>
      <c r="K23" s="2012">
        <f t="array" ref="K23">SUMPRODUCT(IF(F23:J23="X",1,0),$F$18:$J$18)</f>
        <v>0.5</v>
      </c>
      <c r="L23" s="2008"/>
      <c r="M23" s="2009"/>
      <c r="N23" s="2009"/>
      <c r="O23" s="2009"/>
      <c r="P23" s="2009"/>
      <c r="Q23" s="2009"/>
      <c r="R23" s="2000"/>
      <c r="S23" s="2277"/>
      <c r="T23" s="2277"/>
      <c r="U23" s="2277"/>
      <c r="V23" s="2277"/>
      <c r="W23" s="2277"/>
      <c r="X23" s="2277"/>
      <c r="Y23" s="2277"/>
    </row>
    <row r="24" spans="2:25" ht="25.5">
      <c r="B24" s="2284"/>
      <c r="C24" s="2014" t="s">
        <v>2265</v>
      </c>
      <c r="D24" s="2015" t="s">
        <v>2266</v>
      </c>
      <c r="E24" s="2016" t="s">
        <v>2267</v>
      </c>
      <c r="F24" s="1819"/>
      <c r="G24" s="1820"/>
      <c r="H24" s="1820"/>
      <c r="I24" s="1820" t="s">
        <v>1603</v>
      </c>
      <c r="J24" s="1820"/>
      <c r="K24" s="2012">
        <f t="array" ref="K24">SUMPRODUCT(IF(F24:J24="X",1,0),$F$18:$J$18)</f>
        <v>0.3</v>
      </c>
      <c r="L24" s="2008"/>
      <c r="M24" s="2009"/>
      <c r="N24" s="2009"/>
      <c r="O24" s="2009"/>
      <c r="P24" s="2009"/>
      <c r="Q24" s="2009"/>
      <c r="R24" s="2000"/>
      <c r="S24" s="1950"/>
    </row>
    <row r="25" spans="2:25" ht="38.25">
      <c r="B25" s="2284"/>
      <c r="C25" s="2001" t="s">
        <v>2268</v>
      </c>
      <c r="D25" s="2002" t="s">
        <v>2269</v>
      </c>
      <c r="E25" s="2017" t="s">
        <v>2270</v>
      </c>
      <c r="F25" s="1819"/>
      <c r="G25" s="1820" t="s">
        <v>1603</v>
      </c>
      <c r="H25" s="1820"/>
      <c r="I25" s="2018"/>
      <c r="J25" s="2018"/>
      <c r="K25" s="2019">
        <f t="array" ref="K25">SUMPRODUCT(IF(F25:J25="X",1,0),$F$18:$J$18)</f>
        <v>0.7</v>
      </c>
      <c r="L25" s="2008"/>
      <c r="M25" s="2009"/>
      <c r="N25" s="2009"/>
      <c r="O25" s="2009"/>
      <c r="P25" s="2009"/>
      <c r="Q25" s="2009"/>
      <c r="R25" s="2000"/>
      <c r="S25" s="2278"/>
      <c r="T25" s="2278"/>
      <c r="U25" s="2278"/>
      <c r="V25" s="2278"/>
      <c r="W25" s="2278"/>
      <c r="X25" s="2278"/>
      <c r="Y25" s="2278"/>
    </row>
    <row r="26" spans="2:25">
      <c r="B26" s="2284"/>
      <c r="C26" s="2001" t="s">
        <v>2148</v>
      </c>
      <c r="D26" s="2020"/>
      <c r="E26" s="2017" t="s">
        <v>2271</v>
      </c>
      <c r="F26" s="2021"/>
      <c r="G26" s="2022"/>
      <c r="H26" s="2022" t="s">
        <v>1603</v>
      </c>
      <c r="I26" s="2023"/>
      <c r="J26" s="2023"/>
      <c r="K26" s="2024">
        <f t="array" ref="K26">SUMPRODUCT(IF(F26:J26="X",1,0),$F$18:$J$18)</f>
        <v>0.5</v>
      </c>
      <c r="L26" s="2008"/>
      <c r="M26" s="2009"/>
      <c r="N26" s="2009"/>
      <c r="O26" s="2009"/>
      <c r="P26" s="2009"/>
      <c r="Q26" s="2009"/>
      <c r="R26" s="2000"/>
      <c r="S26" s="1951"/>
      <c r="T26" s="1951"/>
      <c r="U26" s="1951"/>
      <c r="V26" s="1951"/>
      <c r="W26" s="1951"/>
      <c r="X26" s="1951"/>
      <c r="Y26" s="1951"/>
    </row>
    <row r="27" spans="2:25" ht="15" thickBot="1">
      <c r="B27" s="2074" t="s">
        <v>642</v>
      </c>
      <c r="C27" s="2075"/>
      <c r="D27" s="2076"/>
      <c r="E27" s="2077"/>
      <c r="F27" s="2078"/>
      <c r="G27" s="2079"/>
      <c r="H27" s="2079"/>
      <c r="I27" s="2079"/>
      <c r="J27" s="2079"/>
      <c r="K27" s="2080">
        <f>SUM(K20:K26)/COUNTA(K20:K26)*10</f>
        <v>3.7142857142857144</v>
      </c>
      <c r="L27" s="2025"/>
      <c r="M27" s="2025"/>
      <c r="N27" s="2000"/>
      <c r="O27" s="2000"/>
      <c r="P27" s="2000"/>
      <c r="Q27" s="2000"/>
    </row>
    <row r="28" spans="2:25" ht="3.75" customHeight="1">
      <c r="B28" s="1842"/>
      <c r="C28" s="1844"/>
      <c r="D28" s="1844"/>
      <c r="E28" s="1844"/>
      <c r="F28" s="1845"/>
      <c r="G28" s="1844"/>
      <c r="H28" s="1844"/>
      <c r="I28" s="1844"/>
      <c r="J28" s="1844"/>
      <c r="K28" s="2026"/>
      <c r="L28" s="2027"/>
      <c r="M28" s="2027"/>
      <c r="N28" s="2000"/>
      <c r="O28" s="2000"/>
      <c r="P28" s="2000"/>
      <c r="Q28" s="2000"/>
    </row>
    <row r="29" spans="2:25" ht="51">
      <c r="B29" s="2280" t="s">
        <v>2244</v>
      </c>
      <c r="C29" s="1817" t="s">
        <v>2272</v>
      </c>
      <c r="D29" s="1827"/>
      <c r="E29" s="1848" t="s">
        <v>2273</v>
      </c>
      <c r="F29" s="2028"/>
      <c r="G29" s="2029"/>
      <c r="H29" s="2029"/>
      <c r="I29" s="2029" t="s">
        <v>1603</v>
      </c>
      <c r="J29" s="2029"/>
      <c r="K29" s="2030">
        <f t="array" ref="K29">SUMPRODUCT(IF(F29:J29="X",1,0),$F$18:$J$18)</f>
        <v>0.3</v>
      </c>
      <c r="L29" s="1852"/>
      <c r="M29" s="1852"/>
      <c r="Q29" s="2000"/>
      <c r="R29" s="2000"/>
      <c r="S29" s="1834"/>
    </row>
    <row r="30" spans="2:25" ht="44.25" customHeight="1">
      <c r="B30" s="2280"/>
      <c r="C30" s="1817" t="s">
        <v>2274</v>
      </c>
      <c r="D30" s="1827" t="s">
        <v>2275</v>
      </c>
      <c r="E30" s="1848" t="s">
        <v>2276</v>
      </c>
      <c r="F30" s="2028"/>
      <c r="G30" s="2029"/>
      <c r="H30" s="2029" t="s">
        <v>1603</v>
      </c>
      <c r="I30" s="2029"/>
      <c r="J30" s="2029"/>
      <c r="K30" s="2030">
        <f t="array" ref="K30">SUMPRODUCT(IF(F30:J30="X",1,0),$F$18:$J$18)</f>
        <v>0.5</v>
      </c>
      <c r="L30" s="1852"/>
      <c r="M30" s="1852"/>
      <c r="Q30" s="2000"/>
      <c r="R30" s="2000"/>
      <c r="S30" s="1834"/>
    </row>
    <row r="31" spans="2:25" ht="38.25">
      <c r="B31" s="2280"/>
      <c r="C31" s="1817" t="s">
        <v>524</v>
      </c>
      <c r="D31" s="1827" t="s">
        <v>2277</v>
      </c>
      <c r="E31" s="1827" t="s">
        <v>2278</v>
      </c>
      <c r="F31" s="1854"/>
      <c r="G31" s="1855"/>
      <c r="H31" s="1855"/>
      <c r="I31" s="1855" t="s">
        <v>1603</v>
      </c>
      <c r="J31" s="1855"/>
      <c r="K31" s="2031">
        <f t="array" ref="K31">SUMPRODUCT(IF(F31:J31="X",1,0),$F$18:$J$18)</f>
        <v>0.3</v>
      </c>
      <c r="L31" s="1852"/>
      <c r="M31" s="1852"/>
      <c r="R31" s="2000"/>
      <c r="S31" s="1834"/>
    </row>
    <row r="32" spans="2:25" ht="38.25">
      <c r="B32" s="2280"/>
      <c r="C32" s="1817" t="s">
        <v>569</v>
      </c>
      <c r="D32" s="1827" t="s">
        <v>2279</v>
      </c>
      <c r="E32" s="2032" t="s">
        <v>2280</v>
      </c>
      <c r="F32" s="1854"/>
      <c r="G32" s="1855"/>
      <c r="H32" s="1855" t="s">
        <v>1603</v>
      </c>
      <c r="I32" s="1855"/>
      <c r="J32" s="1855"/>
      <c r="K32" s="2031">
        <f t="array" ref="K32">SUMPRODUCT(IF(F32:J32="X",1,0),$F$18:$J$18)</f>
        <v>0.5</v>
      </c>
      <c r="L32" s="1852"/>
      <c r="M32" s="1852"/>
      <c r="R32" s="2000"/>
      <c r="S32" s="1834"/>
    </row>
    <row r="33" spans="2:19" ht="38.25">
      <c r="B33" s="2280"/>
      <c r="C33" s="1817" t="s">
        <v>2160</v>
      </c>
      <c r="D33" s="1827" t="s">
        <v>2281</v>
      </c>
      <c r="E33" s="1827" t="s">
        <v>2282</v>
      </c>
      <c r="F33" s="2033"/>
      <c r="G33" s="2034" t="s">
        <v>1603</v>
      </c>
      <c r="H33" s="2034"/>
      <c r="I33" s="2034"/>
      <c r="J33" s="2034"/>
      <c r="K33" s="2035">
        <f t="array" ref="K33">SUMPRODUCT(IF(F33:J33="X",1,0),$F$18:$J$18)</f>
        <v>0.7</v>
      </c>
      <c r="L33" s="1852"/>
      <c r="M33" s="1852"/>
      <c r="R33" s="2000"/>
      <c r="S33" s="1834"/>
    </row>
    <row r="34" spans="2:19" ht="25.5">
      <c r="B34" s="2280"/>
      <c r="C34" s="1817" t="s">
        <v>2283</v>
      </c>
      <c r="D34" s="1827"/>
      <c r="E34" s="1827" t="s">
        <v>2284</v>
      </c>
      <c r="F34" s="2033"/>
      <c r="G34" s="2034"/>
      <c r="H34" s="2034" t="s">
        <v>1603</v>
      </c>
      <c r="I34" s="2034"/>
      <c r="J34" s="2034"/>
      <c r="K34" s="2035">
        <f t="array" ref="K34">SUMPRODUCT(IF(F34:J34="X",1,0),$F$18:$J$18)</f>
        <v>0.5</v>
      </c>
      <c r="L34" s="1852"/>
      <c r="M34" s="1852"/>
      <c r="R34" s="2000"/>
    </row>
    <row r="35" spans="2:19">
      <c r="B35" s="2074" t="s">
        <v>642</v>
      </c>
      <c r="C35" s="2081"/>
      <c r="D35" s="2082"/>
      <c r="E35" s="2083"/>
      <c r="F35" s="2084"/>
      <c r="G35" s="2085"/>
      <c r="H35" s="2085"/>
      <c r="I35" s="2085"/>
      <c r="J35" s="2085"/>
      <c r="K35" s="2086">
        <f>SUM(K29:K34)/COUNTA(K29:K34)*10</f>
        <v>4.6666666666666661</v>
      </c>
      <c r="L35" s="2025"/>
      <c r="M35" s="2025"/>
      <c r="N35" s="2000"/>
      <c r="O35" s="2000"/>
      <c r="P35" s="2000"/>
      <c r="Q35" s="2000"/>
    </row>
    <row r="36" spans="2:19" ht="3.75" customHeight="1">
      <c r="B36" s="2036"/>
      <c r="C36" s="1864"/>
      <c r="D36" s="1864"/>
      <c r="E36" s="2037"/>
      <c r="F36" s="1866"/>
      <c r="G36" s="1864"/>
      <c r="H36" s="1864"/>
      <c r="I36" s="1864"/>
      <c r="J36" s="1864"/>
      <c r="K36" s="2038"/>
      <c r="L36" s="2027"/>
      <c r="M36" s="2027"/>
      <c r="N36" s="2000"/>
      <c r="O36" s="2000"/>
      <c r="P36" s="2000"/>
      <c r="Q36" s="2000"/>
    </row>
    <row r="37" spans="2:19" ht="46.5" customHeight="1">
      <c r="B37" s="2280" t="s">
        <v>2285</v>
      </c>
      <c r="C37" s="2039" t="s">
        <v>2286</v>
      </c>
      <c r="D37" s="2040" t="s">
        <v>2287</v>
      </c>
      <c r="E37" s="2041" t="s">
        <v>2288</v>
      </c>
      <c r="F37" s="1875"/>
      <c r="G37" s="1876" t="s">
        <v>1603</v>
      </c>
      <c r="H37" s="1876"/>
      <c r="I37" s="1876"/>
      <c r="J37" s="1876"/>
      <c r="K37" s="2012">
        <f t="array" ref="K37">SUMPRODUCT(IF(F37:J37="X",1,0),$F$18:$J$18)</f>
        <v>0.7</v>
      </c>
      <c r="L37" s="1878"/>
      <c r="M37" s="1878"/>
      <c r="Q37" s="2000"/>
      <c r="R37" s="2000"/>
    </row>
    <row r="38" spans="2:19" ht="51">
      <c r="B38" s="2280"/>
      <c r="C38" s="2042" t="s">
        <v>2289</v>
      </c>
      <c r="D38" s="2043" t="s">
        <v>2290</v>
      </c>
      <c r="E38" s="2044" t="s">
        <v>2291</v>
      </c>
      <c r="F38" s="1875"/>
      <c r="G38" s="1876"/>
      <c r="H38" s="1876" t="s">
        <v>1603</v>
      </c>
      <c r="I38" s="1876"/>
      <c r="J38" s="1876"/>
      <c r="K38" s="2012">
        <f t="array" ref="K38">SUMPRODUCT(IF(F38:J38="X",1,0),$F$18:$J$18)</f>
        <v>0.5</v>
      </c>
      <c r="L38" s="2027"/>
      <c r="M38" s="2027"/>
      <c r="R38" s="2000"/>
      <c r="S38" s="1834"/>
    </row>
    <row r="39" spans="2:19" ht="25.5">
      <c r="B39" s="2280"/>
      <c r="C39" s="2042" t="s">
        <v>2292</v>
      </c>
      <c r="D39" s="2043" t="s">
        <v>2293</v>
      </c>
      <c r="E39" s="2044" t="s">
        <v>2378</v>
      </c>
      <c r="F39" s="1875"/>
      <c r="G39" s="1876"/>
      <c r="H39" s="1876"/>
      <c r="I39" s="1876" t="s">
        <v>1603</v>
      </c>
      <c r="J39" s="1876"/>
      <c r="K39" s="2012">
        <f t="array" ref="K39">SUMPRODUCT(IF(F39:J39="X",1,0),$F$18:$J$18)</f>
        <v>0.3</v>
      </c>
      <c r="L39" s="2027"/>
      <c r="M39" s="2027"/>
      <c r="R39" s="2000"/>
      <c r="S39" s="1834"/>
    </row>
    <row r="40" spans="2:19" ht="38.25">
      <c r="B40" s="2280"/>
      <c r="C40" s="2042" t="s">
        <v>2294</v>
      </c>
      <c r="D40" s="2043" t="s">
        <v>2295</v>
      </c>
      <c r="E40" s="2044" t="s">
        <v>2296</v>
      </c>
      <c r="F40" s="1875"/>
      <c r="G40" s="1876" t="s">
        <v>1603</v>
      </c>
      <c r="H40" s="1876"/>
      <c r="I40" s="1876"/>
      <c r="J40" s="1876"/>
      <c r="K40" s="2012">
        <f t="array" ref="K40">SUMPRODUCT(IF(F40:J40="X",1,0),$F$18:$J$18)</f>
        <v>0.7</v>
      </c>
      <c r="L40" s="2027"/>
      <c r="M40" s="2027"/>
      <c r="R40" s="2000"/>
      <c r="S40" s="1834"/>
    </row>
    <row r="41" spans="2:19" ht="45.75" customHeight="1">
      <c r="B41" s="2280"/>
      <c r="C41" s="2042" t="s">
        <v>2297</v>
      </c>
      <c r="D41" s="2043" t="s">
        <v>2298</v>
      </c>
      <c r="E41" s="2045" t="s">
        <v>2299</v>
      </c>
      <c r="F41" s="1875"/>
      <c r="G41" s="1876" t="s">
        <v>1603</v>
      </c>
      <c r="H41" s="1876"/>
      <c r="I41" s="1876"/>
      <c r="J41" s="1876"/>
      <c r="K41" s="2012">
        <f t="array" ref="K41">SUMPRODUCT(IF(F41:J41="X",1,0),$F$18:$J$18)</f>
        <v>0.7</v>
      </c>
      <c r="L41" s="2027"/>
      <c r="M41" s="2027"/>
      <c r="R41" s="2000"/>
      <c r="S41" s="1834"/>
    </row>
    <row r="42" spans="2:19" ht="51">
      <c r="B42" s="2280"/>
      <c r="C42" s="1817" t="s">
        <v>2300</v>
      </c>
      <c r="D42" s="2046" t="s">
        <v>2301</v>
      </c>
      <c r="E42" s="1830"/>
      <c r="F42" s="1875"/>
      <c r="G42" s="1876"/>
      <c r="H42" s="1876" t="s">
        <v>1603</v>
      </c>
      <c r="I42" s="1876"/>
      <c r="J42" s="1876"/>
      <c r="K42" s="2012">
        <f t="array" ref="K42">SUMPRODUCT(IF(F42:J42="X",1,0),$F$18:$J$18)</f>
        <v>0.5</v>
      </c>
      <c r="L42" s="2027"/>
      <c r="M42" s="2027"/>
      <c r="R42" s="2000"/>
      <c r="S42" s="1834"/>
    </row>
    <row r="43" spans="2:19" s="1956" customFormat="1" ht="12.75">
      <c r="B43" s="2087" t="s">
        <v>642</v>
      </c>
      <c r="C43" s="2088"/>
      <c r="D43" s="2089"/>
      <c r="E43" s="2089"/>
      <c r="F43" s="2084"/>
      <c r="G43" s="2085"/>
      <c r="H43" s="2085"/>
      <c r="I43" s="2085"/>
      <c r="J43" s="2085"/>
      <c r="K43" s="2086">
        <f>SUM(K37:K42)/COUNTA(K37:K42)*10</f>
        <v>5.6666666666666679</v>
      </c>
      <c r="L43" s="2027"/>
      <c r="M43" s="2027"/>
      <c r="R43" s="2000"/>
      <c r="S43" s="1834"/>
    </row>
    <row r="44" spans="2:19" s="1956" customFormat="1" ht="3.75" customHeight="1">
      <c r="B44" s="2047"/>
      <c r="C44" s="1887"/>
      <c r="D44" s="1887"/>
      <c r="E44" s="2048"/>
      <c r="F44" s="1889"/>
      <c r="G44" s="1887"/>
      <c r="H44" s="1887"/>
      <c r="I44" s="1887"/>
      <c r="J44" s="1887"/>
      <c r="K44" s="2049"/>
      <c r="L44" s="2027"/>
      <c r="M44" s="2027"/>
      <c r="N44" s="2000"/>
      <c r="O44" s="2000"/>
      <c r="P44" s="2000"/>
      <c r="Q44" s="2000"/>
    </row>
    <row r="45" spans="2:19" ht="25.5">
      <c r="B45" s="2279" t="s">
        <v>2302</v>
      </c>
      <c r="C45" s="1817" t="s">
        <v>2303</v>
      </c>
      <c r="D45" s="1827"/>
      <c r="E45" s="1827" t="s">
        <v>2304</v>
      </c>
      <c r="F45" s="1875"/>
      <c r="G45" s="1876" t="s">
        <v>1603</v>
      </c>
      <c r="H45" s="1876"/>
      <c r="I45" s="1876"/>
      <c r="J45" s="1876"/>
      <c r="K45" s="2012">
        <f t="array" ref="K45">SUMPRODUCT(IF(F45:J45="X",1,0),$F$18:$J$18)</f>
        <v>0.7</v>
      </c>
      <c r="L45" s="2027"/>
      <c r="M45" s="2027"/>
      <c r="N45" s="2000"/>
      <c r="O45" s="2000"/>
      <c r="P45" s="2000"/>
      <c r="Q45" s="2000"/>
      <c r="R45" s="2000"/>
      <c r="S45" s="1834"/>
    </row>
    <row r="46" spans="2:19" ht="25.5">
      <c r="B46" s="2280"/>
      <c r="C46" s="1817" t="s">
        <v>2305</v>
      </c>
      <c r="D46" s="1827" t="s">
        <v>2306</v>
      </c>
      <c r="E46" s="1827" t="s">
        <v>2307</v>
      </c>
      <c r="F46" s="1875"/>
      <c r="G46" s="1876" t="s">
        <v>1603</v>
      </c>
      <c r="H46" s="1876"/>
      <c r="I46" s="1876"/>
      <c r="J46" s="1876"/>
      <c r="K46" s="2012">
        <f t="array" ref="K46">SUMPRODUCT(IF(F46:J46="X",1,0),$F$18:$J$18)</f>
        <v>0.7</v>
      </c>
      <c r="L46" s="2027"/>
      <c r="M46" s="2027"/>
      <c r="N46" s="2000"/>
      <c r="O46" s="2000"/>
      <c r="P46" s="2000"/>
      <c r="Q46" s="2000"/>
      <c r="R46" s="2000"/>
      <c r="S46" s="1834"/>
    </row>
    <row r="47" spans="2:19">
      <c r="B47" s="2280"/>
      <c r="C47" s="1817" t="s">
        <v>2308</v>
      </c>
      <c r="D47" s="1827"/>
      <c r="E47" s="1827"/>
      <c r="F47" s="1875"/>
      <c r="G47" s="1876" t="s">
        <v>1603</v>
      </c>
      <c r="H47" s="1876"/>
      <c r="I47" s="1876"/>
      <c r="J47" s="1876"/>
      <c r="K47" s="2012">
        <f t="array" ref="K47">SUMPRODUCT(IF(F47:J47="X",1,0),$F$18:$J$18)</f>
        <v>0.7</v>
      </c>
      <c r="L47" s="2027"/>
      <c r="M47" s="2027"/>
      <c r="N47" s="2000"/>
      <c r="O47" s="2000"/>
      <c r="P47" s="2000"/>
      <c r="Q47" s="2000"/>
      <c r="R47" s="2000"/>
      <c r="S47" s="1834"/>
    </row>
    <row r="48" spans="2:19" ht="25.5">
      <c r="B48" s="2280"/>
      <c r="C48" s="1817" t="s">
        <v>2309</v>
      </c>
      <c r="D48" s="1827" t="s">
        <v>2310</v>
      </c>
      <c r="E48" s="1827" t="s">
        <v>2311</v>
      </c>
      <c r="F48" s="1875"/>
      <c r="G48" s="1876"/>
      <c r="H48" s="1876" t="s">
        <v>1603</v>
      </c>
      <c r="I48" s="1876"/>
      <c r="J48" s="1876"/>
      <c r="K48" s="2012">
        <f t="array" ref="K48">SUMPRODUCT(IF(F48:J48="X",1,0),$F$18:$J$18)</f>
        <v>0.5</v>
      </c>
      <c r="L48" s="2027"/>
      <c r="M48" s="2027"/>
      <c r="N48" s="2000"/>
      <c r="O48" s="2000"/>
      <c r="P48" s="2000"/>
      <c r="Q48" s="2000"/>
      <c r="R48" s="2000"/>
      <c r="S48" s="1834"/>
    </row>
    <row r="49" spans="2:19" ht="38.25">
      <c r="B49" s="2280"/>
      <c r="C49" s="1817" t="s">
        <v>2312</v>
      </c>
      <c r="D49" s="1827" t="s">
        <v>2313</v>
      </c>
      <c r="E49" s="1827" t="s">
        <v>2314</v>
      </c>
      <c r="F49" s="1875"/>
      <c r="G49" s="1876" t="s">
        <v>1603</v>
      </c>
      <c r="H49" s="1876"/>
      <c r="I49" s="1876"/>
      <c r="J49" s="1876"/>
      <c r="K49" s="2012">
        <f t="array" ref="K49">SUMPRODUCT(IF(F49:J49="X",1,0),$F$18:$J$18)</f>
        <v>0.7</v>
      </c>
      <c r="L49" s="2027"/>
      <c r="M49" s="2027"/>
      <c r="N49" s="2000"/>
      <c r="O49" s="2000"/>
      <c r="P49" s="2000"/>
      <c r="Q49" s="2000"/>
      <c r="R49" s="2000"/>
      <c r="S49" s="1834"/>
    </row>
    <row r="50" spans="2:19" ht="51">
      <c r="B50" s="2280"/>
      <c r="C50" s="1817" t="s">
        <v>2315</v>
      </c>
      <c r="D50" s="1827" t="s">
        <v>2316</v>
      </c>
      <c r="E50" s="1827" t="s">
        <v>2317</v>
      </c>
      <c r="F50" s="1875"/>
      <c r="G50" s="1876" t="s">
        <v>1603</v>
      </c>
      <c r="H50" s="1876"/>
      <c r="I50" s="1876"/>
      <c r="J50" s="1876"/>
      <c r="K50" s="2012">
        <f t="array" ref="K50">SUMPRODUCT(IF(F50:J50="X",1,0),$F$18:$J$18)</f>
        <v>0.7</v>
      </c>
      <c r="L50" s="2027"/>
      <c r="M50" s="2027"/>
      <c r="N50" s="2000"/>
      <c r="O50" s="2000"/>
      <c r="P50" s="2000"/>
      <c r="Q50" s="2000"/>
      <c r="R50" s="2000"/>
      <c r="S50" s="1834"/>
    </row>
    <row r="51" spans="2:19" s="1956" customFormat="1" ht="12.75">
      <c r="B51" s="2090" t="s">
        <v>642</v>
      </c>
      <c r="C51" s="2091"/>
      <c r="D51" s="2092"/>
      <c r="E51" s="2092"/>
      <c r="F51" s="2093"/>
      <c r="G51" s="2094"/>
      <c r="H51" s="2094"/>
      <c r="I51" s="2094"/>
      <c r="J51" s="2094"/>
      <c r="K51" s="2095">
        <f>SUM(K45:K50)/COUNTA(K45:K50)*10</f>
        <v>6.6666666666666661</v>
      </c>
      <c r="L51" s="2025"/>
      <c r="M51" s="2025"/>
      <c r="N51" s="2000"/>
      <c r="O51" s="2000"/>
      <c r="P51" s="2000"/>
      <c r="Q51" s="2000"/>
    </row>
    <row r="52" spans="2:19" ht="3.75" customHeight="1">
      <c r="B52" s="1845"/>
      <c r="C52" s="1873"/>
      <c r="D52" s="1844"/>
      <c r="E52" s="1844"/>
      <c r="F52" s="1845"/>
      <c r="G52" s="1844"/>
      <c r="H52" s="1844"/>
      <c r="I52" s="1844"/>
      <c r="J52" s="1844"/>
      <c r="K52" s="2026" t="s">
        <v>2173</v>
      </c>
      <c r="L52" s="2027"/>
      <c r="M52" s="2027"/>
      <c r="N52" s="2000"/>
      <c r="O52" s="2000"/>
      <c r="P52" s="2000"/>
      <c r="Q52" s="2000"/>
    </row>
    <row r="53" spans="2:19" ht="38.25">
      <c r="B53" s="2280" t="s">
        <v>2318</v>
      </c>
      <c r="C53" s="1817" t="s">
        <v>2319</v>
      </c>
      <c r="D53" s="1827" t="s">
        <v>2320</v>
      </c>
      <c r="E53" s="1827" t="s">
        <v>2321</v>
      </c>
      <c r="F53" s="1875"/>
      <c r="G53" s="1876"/>
      <c r="H53" s="1876" t="s">
        <v>1603</v>
      </c>
      <c r="I53" s="1876"/>
      <c r="J53" s="1876"/>
      <c r="K53" s="2012">
        <f t="array" ref="K53">SUMPRODUCT(IF(F53:J53="X",1,0),$F$18:$J$18)</f>
        <v>0.5</v>
      </c>
      <c r="L53" s="1901"/>
      <c r="M53" s="1901"/>
      <c r="N53" s="2000"/>
      <c r="O53" s="2000"/>
      <c r="P53" s="2000"/>
      <c r="Q53" s="2000"/>
      <c r="R53" s="2000"/>
    </row>
    <row r="54" spans="2:19">
      <c r="B54" s="2280"/>
      <c r="C54" s="1817" t="s">
        <v>2322</v>
      </c>
      <c r="D54" s="1827" t="s">
        <v>2323</v>
      </c>
      <c r="E54" s="1827"/>
      <c r="F54" s="1875"/>
      <c r="G54" s="1876"/>
      <c r="H54" s="1876" t="s">
        <v>1603</v>
      </c>
      <c r="I54" s="1876"/>
      <c r="J54" s="1876"/>
      <c r="K54" s="2012">
        <f t="array" ref="K54">SUMPRODUCT(IF(F54:J54="X",1,0),$F$18:$J$18)</f>
        <v>0.5</v>
      </c>
      <c r="L54" s="1901"/>
      <c r="M54" s="1901"/>
      <c r="N54" s="2000"/>
      <c r="O54" s="2000"/>
      <c r="P54" s="2000"/>
      <c r="Q54" s="2000"/>
      <c r="R54" s="2000"/>
    </row>
    <row r="55" spans="2:19">
      <c r="B55" s="2280"/>
      <c r="C55" s="1817" t="s">
        <v>2324</v>
      </c>
      <c r="D55" s="1827"/>
      <c r="E55" s="1827" t="s">
        <v>2325</v>
      </c>
      <c r="F55" s="1875"/>
      <c r="G55" s="1876"/>
      <c r="H55" s="1876"/>
      <c r="I55" s="1876" t="s">
        <v>1603</v>
      </c>
      <c r="J55" s="1876"/>
      <c r="K55" s="2012">
        <f t="array" ref="K55">SUMPRODUCT(IF(F55:J55="X",1,0),$F$18:$J$18)</f>
        <v>0.3</v>
      </c>
      <c r="L55" s="1901"/>
      <c r="M55" s="1901"/>
      <c r="N55" s="2000"/>
      <c r="O55" s="2000"/>
      <c r="P55" s="2000"/>
      <c r="Q55" s="2000"/>
      <c r="R55" s="2000"/>
    </row>
    <row r="56" spans="2:19">
      <c r="B56" s="2280"/>
      <c r="C56" s="1836" t="s">
        <v>2326</v>
      </c>
      <c r="D56" s="1872" t="s">
        <v>2327</v>
      </c>
      <c r="E56" s="1827"/>
      <c r="F56" s="1875"/>
      <c r="G56" s="1876"/>
      <c r="H56" s="1876" t="s">
        <v>1603</v>
      </c>
      <c r="I56" s="1876"/>
      <c r="J56" s="1876"/>
      <c r="K56" s="2012">
        <f t="array" ref="K56">SUMPRODUCT(IF(F56:J56="X",1,0),$F$18:$J$18)</f>
        <v>0.5</v>
      </c>
      <c r="L56" s="1901"/>
      <c r="M56" s="1901"/>
      <c r="N56" s="2000"/>
      <c r="O56" s="2000"/>
      <c r="P56" s="2000"/>
      <c r="Q56" s="2000"/>
      <c r="R56" s="2000"/>
    </row>
    <row r="57" spans="2:19" ht="38.25">
      <c r="B57" s="2280"/>
      <c r="C57" s="1836" t="s">
        <v>2328</v>
      </c>
      <c r="D57" s="1872" t="s">
        <v>2329</v>
      </c>
      <c r="E57" s="1827" t="s">
        <v>2330</v>
      </c>
      <c r="F57" s="1875"/>
      <c r="G57" s="1876" t="s">
        <v>1603</v>
      </c>
      <c r="H57" s="1876"/>
      <c r="I57" s="1876"/>
      <c r="J57" s="1876"/>
      <c r="K57" s="2012">
        <f t="array" ref="K57">SUMPRODUCT(IF(F57:J57="X",1,0),$F$18:$J$18)</f>
        <v>0.7</v>
      </c>
      <c r="L57" s="1901"/>
      <c r="M57" s="1901"/>
      <c r="N57" s="2000"/>
      <c r="O57" s="2000"/>
      <c r="P57" s="2000"/>
      <c r="Q57" s="2000"/>
      <c r="R57" s="2000"/>
    </row>
    <row r="58" spans="2:19">
      <c r="B58" s="2280"/>
      <c r="C58" s="1836" t="s">
        <v>2331</v>
      </c>
      <c r="D58" s="1872"/>
      <c r="E58" s="1827" t="s">
        <v>2332</v>
      </c>
      <c r="F58" s="1875"/>
      <c r="G58" s="1876"/>
      <c r="H58" s="1876" t="s">
        <v>1603</v>
      </c>
      <c r="I58" s="1876"/>
      <c r="J58" s="1876"/>
      <c r="K58" s="2012">
        <f t="array" ref="K58">SUMPRODUCT(IF(F58:J58="X",1,0),$F$18:$J$18)</f>
        <v>0.5</v>
      </c>
      <c r="L58" s="1869"/>
      <c r="M58" s="1869"/>
      <c r="N58" s="2000"/>
      <c r="O58" s="2000"/>
      <c r="P58" s="2000"/>
      <c r="Q58" s="2000"/>
      <c r="S58" s="1834"/>
    </row>
    <row r="59" spans="2:19" ht="38.25">
      <c r="B59" s="2280"/>
      <c r="C59" s="1836" t="s">
        <v>2333</v>
      </c>
      <c r="D59" s="1872"/>
      <c r="E59" s="1827" t="s">
        <v>2334</v>
      </c>
      <c r="F59" s="1875"/>
      <c r="G59" s="1876"/>
      <c r="H59" s="1876" t="s">
        <v>1603</v>
      </c>
      <c r="I59" s="1876"/>
      <c r="J59" s="1876"/>
      <c r="K59" s="2012">
        <f t="array" ref="K59">SUMPRODUCT(IF(F59:J59="X",1,0),$F$18:$J$18)</f>
        <v>0.5</v>
      </c>
      <c r="L59" s="1869"/>
      <c r="M59" s="1869"/>
      <c r="N59" s="2000"/>
      <c r="O59" s="2000"/>
      <c r="P59" s="2000"/>
      <c r="Q59" s="2000"/>
      <c r="S59" s="1834"/>
    </row>
    <row r="60" spans="2:19" ht="66.75" customHeight="1">
      <c r="B60" s="2280"/>
      <c r="C60" s="1836" t="s">
        <v>2335</v>
      </c>
      <c r="D60" s="1872" t="s">
        <v>2336</v>
      </c>
      <c r="E60" s="1827" t="s">
        <v>2337</v>
      </c>
      <c r="F60" s="1875"/>
      <c r="G60" s="1876"/>
      <c r="H60" s="1876" t="s">
        <v>1603</v>
      </c>
      <c r="I60" s="1876"/>
      <c r="J60" s="1876"/>
      <c r="K60" s="2012">
        <f t="array" ref="K60">SUMPRODUCT(IF(F60:J60="X",1,0),$F$18:$J$18)</f>
        <v>0.5</v>
      </c>
      <c r="L60" s="1869"/>
      <c r="M60" s="1869"/>
      <c r="N60" s="2000"/>
      <c r="O60" s="2000"/>
      <c r="P60" s="2000"/>
      <c r="Q60" s="2000"/>
      <c r="S60" s="1834"/>
    </row>
    <row r="61" spans="2:19">
      <c r="B61" s="2074" t="s">
        <v>642</v>
      </c>
      <c r="C61" s="2096"/>
      <c r="D61" s="2097"/>
      <c r="E61" s="2097"/>
      <c r="F61" s="2084"/>
      <c r="G61" s="2085"/>
      <c r="H61" s="2085"/>
      <c r="I61" s="2085"/>
      <c r="J61" s="2085"/>
      <c r="K61" s="2086">
        <f>SUM(K53:K60)/COUNTA(K53:K60)*10</f>
        <v>5</v>
      </c>
      <c r="L61" s="2050"/>
      <c r="M61" s="2050"/>
      <c r="N61" s="2000"/>
      <c r="O61" s="2000"/>
      <c r="P61" s="2000"/>
      <c r="Q61" s="2000"/>
      <c r="S61" s="1834"/>
    </row>
    <row r="62" spans="2:19" ht="3.75" customHeight="1" thickBot="1">
      <c r="B62" s="1845"/>
      <c r="C62" s="1873"/>
      <c r="D62" s="1844"/>
      <c r="E62" s="1844"/>
      <c r="F62" s="1845"/>
      <c r="G62" s="1844"/>
      <c r="H62" s="1844"/>
      <c r="I62" s="1844"/>
      <c r="J62" s="1844"/>
      <c r="K62" s="2026"/>
      <c r="L62" s="2027"/>
      <c r="M62" s="2027"/>
      <c r="N62" s="2000"/>
      <c r="O62" s="2000"/>
      <c r="P62" s="2000"/>
      <c r="Q62" s="2000"/>
    </row>
    <row r="63" spans="2:19" ht="114.75">
      <c r="B63" s="2285" t="s">
        <v>2338</v>
      </c>
      <c r="C63" s="2051" t="s">
        <v>2339</v>
      </c>
      <c r="D63" s="2052" t="s">
        <v>2340</v>
      </c>
      <c r="E63" s="2053" t="s">
        <v>2341</v>
      </c>
      <c r="F63" s="2054"/>
      <c r="G63" s="1855" t="s">
        <v>1603</v>
      </c>
      <c r="H63" s="1855"/>
      <c r="I63" s="1855"/>
      <c r="J63" s="1855"/>
      <c r="K63" s="2031">
        <f t="array" ref="K63">SUMPRODUCT(IF(F63:J63="X",1,0),$F$18:$J$18)</f>
        <v>0.7</v>
      </c>
      <c r="L63" s="1869"/>
      <c r="M63" s="1869"/>
      <c r="N63" s="2000"/>
      <c r="O63" s="2000"/>
      <c r="P63" s="2000"/>
      <c r="Q63" s="2000"/>
      <c r="R63" s="2000"/>
    </row>
    <row r="64" spans="2:19" ht="63.75">
      <c r="B64" s="2280"/>
      <c r="C64" s="1836" t="s">
        <v>2342</v>
      </c>
      <c r="D64" s="2040" t="s">
        <v>2343</v>
      </c>
      <c r="E64" s="2055"/>
      <c r="F64" s="2054"/>
      <c r="G64" s="1855"/>
      <c r="H64" s="1855"/>
      <c r="I64" s="1855" t="s">
        <v>1603</v>
      </c>
      <c r="J64" s="1855"/>
      <c r="K64" s="2031">
        <f t="array" ref="K64">SUMPRODUCT(IF(F64:J64="X",1,0),$F$18:$J$18)</f>
        <v>0.3</v>
      </c>
      <c r="L64" s="1869"/>
      <c r="M64" s="1869"/>
      <c r="N64" s="2000"/>
      <c r="O64" s="2000"/>
      <c r="P64" s="2000"/>
      <c r="Q64" s="2000"/>
      <c r="R64" s="2000"/>
    </row>
    <row r="65" spans="2:19" ht="63.75">
      <c r="B65" s="2280"/>
      <c r="C65" s="1836" t="s">
        <v>2200</v>
      </c>
      <c r="D65" s="2040" t="s">
        <v>2344</v>
      </c>
      <c r="E65" s="2055" t="s">
        <v>2345</v>
      </c>
      <c r="F65" s="2054"/>
      <c r="G65" s="1855" t="s">
        <v>1603</v>
      </c>
      <c r="H65" s="1855"/>
      <c r="I65" s="1855"/>
      <c r="J65" s="1855"/>
      <c r="K65" s="2031">
        <f t="array" ref="K65">SUMPRODUCT(IF(F65:J65="X",1,0),$F$18:$J$18)</f>
        <v>0.7</v>
      </c>
      <c r="L65" s="1869"/>
      <c r="M65" s="1869"/>
      <c r="N65" s="2000"/>
      <c r="O65" s="2000"/>
      <c r="P65" s="2000"/>
      <c r="Q65" s="2000"/>
      <c r="R65" s="2000"/>
    </row>
    <row r="66" spans="2:19" ht="76.5">
      <c r="B66" s="2280"/>
      <c r="C66" s="1933" t="s">
        <v>2346</v>
      </c>
      <c r="D66" s="2043" t="s">
        <v>2347</v>
      </c>
      <c r="E66" s="2055" t="s">
        <v>2348</v>
      </c>
      <c r="F66" s="2054"/>
      <c r="G66" s="1855"/>
      <c r="H66" s="1855"/>
      <c r="I66" s="1855" t="s">
        <v>1603</v>
      </c>
      <c r="J66" s="1855"/>
      <c r="K66" s="2031">
        <f t="array" ref="K66">SUMPRODUCT(IF(F66:J66="X",1,0),$F$18:$J$18)</f>
        <v>0.3</v>
      </c>
      <c r="L66" s="1869"/>
      <c r="M66" s="1869"/>
      <c r="N66" s="2000"/>
      <c r="O66" s="2000"/>
      <c r="P66" s="2000"/>
      <c r="Q66" s="2000"/>
      <c r="R66" s="2000"/>
    </row>
    <row r="67" spans="2:19" ht="38.25">
      <c r="B67" s="2280"/>
      <c r="C67" s="1836" t="s">
        <v>2349</v>
      </c>
      <c r="D67" s="2043" t="s">
        <v>2350</v>
      </c>
      <c r="E67" s="2055" t="s">
        <v>2351</v>
      </c>
      <c r="F67" s="2054"/>
      <c r="G67" s="1855" t="s">
        <v>1603</v>
      </c>
      <c r="H67" s="1855"/>
      <c r="I67" s="1855"/>
      <c r="J67" s="1855"/>
      <c r="K67" s="2031">
        <f t="array" ref="K67">SUMPRODUCT(IF(F67:J67="X",1,0),$F$18:$J$18)</f>
        <v>0.7</v>
      </c>
      <c r="L67" s="1869"/>
      <c r="M67" s="1869"/>
      <c r="N67" s="2000"/>
      <c r="O67" s="2000"/>
      <c r="P67" s="2000"/>
      <c r="Q67" s="2000"/>
      <c r="R67" s="2000"/>
    </row>
    <row r="68" spans="2:19" ht="15" thickBot="1">
      <c r="B68" s="2098" t="s">
        <v>642</v>
      </c>
      <c r="C68" s="2099"/>
      <c r="D68" s="2100"/>
      <c r="E68" s="2077"/>
      <c r="F68" s="2101"/>
      <c r="G68" s="2085"/>
      <c r="H68" s="2085"/>
      <c r="I68" s="2085"/>
      <c r="J68" s="2085"/>
      <c r="K68" s="2086">
        <f>SUM(K63:K67)/COUNTA(K63:K67)*10</f>
        <v>5.4</v>
      </c>
      <c r="L68" s="2025"/>
      <c r="M68" s="2025"/>
      <c r="N68" s="2056"/>
      <c r="O68" s="2000"/>
      <c r="P68" s="2000"/>
      <c r="Q68" s="2000"/>
    </row>
    <row r="69" spans="2:19" ht="3.75" customHeight="1">
      <c r="B69" s="1845"/>
      <c r="C69" s="1873"/>
      <c r="D69" s="1844"/>
      <c r="E69" s="1844"/>
      <c r="F69" s="1845"/>
      <c r="G69" s="1844"/>
      <c r="H69" s="1844"/>
      <c r="I69" s="1844"/>
      <c r="J69" s="1844"/>
      <c r="K69" s="2026"/>
      <c r="L69" s="2027"/>
      <c r="M69" s="2027"/>
      <c r="N69" s="2000"/>
      <c r="O69" s="2000"/>
      <c r="P69" s="2000"/>
      <c r="Q69" s="2000"/>
    </row>
    <row r="70" spans="2:19" ht="25.5">
      <c r="B70" s="2286" t="s">
        <v>2112</v>
      </c>
      <c r="C70" s="1836" t="s">
        <v>2352</v>
      </c>
      <c r="D70" s="1827" t="s">
        <v>2353</v>
      </c>
      <c r="E70" s="1827"/>
      <c r="F70" s="1854"/>
      <c r="G70" s="1855"/>
      <c r="H70" s="1855" t="s">
        <v>1603</v>
      </c>
      <c r="I70" s="1855"/>
      <c r="J70" s="1855"/>
      <c r="K70" s="2031">
        <f t="array" ref="K70">SUMPRODUCT(IF(F70:J70="X",1,0),$F$18:$J$18)</f>
        <v>0.5</v>
      </c>
      <c r="L70" s="2057"/>
      <c r="M70" s="2057"/>
      <c r="N70" s="2000"/>
      <c r="O70" s="2000"/>
      <c r="P70" s="2000"/>
      <c r="Q70" s="2000"/>
      <c r="R70" s="2000"/>
      <c r="S70" s="1834"/>
    </row>
    <row r="71" spans="2:19" ht="25.5">
      <c r="B71" s="2286"/>
      <c r="C71" s="1836" t="s">
        <v>2354</v>
      </c>
      <c r="D71" s="1872" t="s">
        <v>2355</v>
      </c>
      <c r="E71" s="1917" t="s">
        <v>2356</v>
      </c>
      <c r="F71" s="1854"/>
      <c r="G71" s="1855"/>
      <c r="H71" s="1855" t="s">
        <v>1603</v>
      </c>
      <c r="I71" s="1855"/>
      <c r="J71" s="1855"/>
      <c r="K71" s="2031">
        <f t="array" ref="K71">SUMPRODUCT(IF(F71:J71="X",1,0),$F$18:$J$18)</f>
        <v>0.5</v>
      </c>
      <c r="L71" s="2057"/>
      <c r="M71" s="2057"/>
      <c r="N71" s="2000"/>
      <c r="O71" s="2000"/>
      <c r="P71" s="2000"/>
      <c r="Q71" s="2000"/>
      <c r="R71" s="2000"/>
      <c r="S71" s="1834"/>
    </row>
    <row r="72" spans="2:19" ht="38.25">
      <c r="B72" s="2286"/>
      <c r="C72" s="1836" t="s">
        <v>2357</v>
      </c>
      <c r="D72" s="1872"/>
      <c r="E72" s="1848" t="s">
        <v>2358</v>
      </c>
      <c r="F72" s="1854"/>
      <c r="G72" s="1855"/>
      <c r="H72" s="1855" t="s">
        <v>1603</v>
      </c>
      <c r="I72" s="1855"/>
      <c r="J72" s="1855"/>
      <c r="K72" s="2031">
        <f t="array" ref="K72">SUMPRODUCT(IF(F72:J72="X",1,0),$F$18:$J$18)</f>
        <v>0.5</v>
      </c>
      <c r="L72" s="2057"/>
      <c r="M72" s="2057"/>
      <c r="N72" s="2000"/>
      <c r="O72" s="2000"/>
      <c r="P72" s="2000"/>
      <c r="Q72" s="2000"/>
      <c r="R72" s="2000"/>
      <c r="S72" s="1834"/>
    </row>
    <row r="73" spans="2:19">
      <c r="B73" s="2286"/>
      <c r="C73" s="2058" t="s">
        <v>2198</v>
      </c>
      <c r="D73" s="1872"/>
      <c r="E73" s="2059"/>
      <c r="F73" s="1854"/>
      <c r="G73" s="1855" t="s">
        <v>1603</v>
      </c>
      <c r="H73" s="1855"/>
      <c r="I73" s="1855"/>
      <c r="J73" s="1855"/>
      <c r="K73" s="2031">
        <f t="array" ref="K73">SUMPRODUCT(IF(F73:J73="X",1,0),$F$18:$J$18)</f>
        <v>0.7</v>
      </c>
      <c r="L73" s="2057"/>
      <c r="M73" s="2057"/>
      <c r="N73" s="2000"/>
      <c r="O73" s="2000"/>
      <c r="P73" s="2000"/>
      <c r="Q73" s="2000"/>
      <c r="R73" s="2000"/>
      <c r="S73" s="1834"/>
    </row>
    <row r="74" spans="2:19" ht="127.5">
      <c r="B74" s="2286"/>
      <c r="C74" s="2060" t="s">
        <v>2359</v>
      </c>
      <c r="D74" s="2043" t="s">
        <v>2360</v>
      </c>
      <c r="E74" s="1827" t="s">
        <v>2361</v>
      </c>
      <c r="F74" s="1854"/>
      <c r="G74" s="1855"/>
      <c r="H74" s="1855" t="s">
        <v>1603</v>
      </c>
      <c r="I74" s="1855"/>
      <c r="J74" s="1855"/>
      <c r="K74" s="2031">
        <f t="array" ref="K74">SUMPRODUCT(IF(F74:J74="X",1,0),$F$18:$J$18)</f>
        <v>0.5</v>
      </c>
      <c r="L74" s="2057"/>
      <c r="M74" s="2057"/>
      <c r="N74" s="2000"/>
      <c r="O74" s="2000"/>
      <c r="P74" s="2000"/>
      <c r="Q74" s="2000"/>
      <c r="R74" s="2000"/>
      <c r="S74" s="1834"/>
    </row>
    <row r="75" spans="2:19">
      <c r="B75" s="2074" t="s">
        <v>642</v>
      </c>
      <c r="C75" s="2096"/>
      <c r="D75" s="2097"/>
      <c r="E75" s="2097"/>
      <c r="F75" s="2084"/>
      <c r="G75" s="2085"/>
      <c r="H75" s="2085"/>
      <c r="I75" s="2085"/>
      <c r="J75" s="2085"/>
      <c r="K75" s="2086">
        <f>SUM(K70:K74)/COUNTA(K70:K74)*10</f>
        <v>5.4</v>
      </c>
      <c r="L75" s="2025"/>
      <c r="M75" s="2025"/>
      <c r="N75" s="2056"/>
      <c r="O75" s="2000"/>
      <c r="P75" s="2000"/>
      <c r="Q75" s="2000"/>
    </row>
    <row r="76" spans="2:19" s="2063" customFormat="1" ht="4.5" customHeight="1">
      <c r="B76" s="1845"/>
      <c r="C76" s="1873"/>
      <c r="D76" s="1844"/>
      <c r="E76" s="1844"/>
      <c r="F76" s="1845"/>
      <c r="G76" s="1844"/>
      <c r="H76" s="1844"/>
      <c r="I76" s="1844"/>
      <c r="J76" s="1844"/>
      <c r="K76" s="2026"/>
      <c r="L76" s="2061"/>
      <c r="M76" s="2027"/>
      <c r="N76" s="2025"/>
      <c r="O76" s="2000"/>
      <c r="P76" s="2000"/>
      <c r="Q76" s="2000"/>
      <c r="R76" s="2062"/>
    </row>
    <row r="77" spans="2:19" ht="38.25">
      <c r="B77" s="2279" t="s">
        <v>2379</v>
      </c>
      <c r="C77" s="1836" t="s">
        <v>2362</v>
      </c>
      <c r="D77" s="1827" t="s">
        <v>2363</v>
      </c>
      <c r="E77" s="1930" t="s">
        <v>2364</v>
      </c>
      <c r="F77" s="1854"/>
      <c r="G77" s="1855" t="s">
        <v>1603</v>
      </c>
      <c r="H77" s="1855"/>
      <c r="I77" s="1855"/>
      <c r="J77" s="1855"/>
      <c r="K77" s="2031">
        <f t="array" ref="K77">SUMPRODUCT(IF(F77:J77="X",1,0),$F$18:$J$18)</f>
        <v>0.7</v>
      </c>
      <c r="L77" s="2057"/>
      <c r="M77" s="2057"/>
      <c r="N77" s="2000"/>
      <c r="O77" s="2000"/>
      <c r="P77" s="2000"/>
      <c r="Q77" s="2000"/>
    </row>
    <row r="78" spans="2:19" ht="25.5">
      <c r="B78" s="2280"/>
      <c r="C78" s="1836" t="s">
        <v>2209</v>
      </c>
      <c r="D78" s="1872" t="s">
        <v>2365</v>
      </c>
      <c r="E78" s="1930" t="s">
        <v>2380</v>
      </c>
      <c r="F78" s="1854"/>
      <c r="G78" s="1855" t="s">
        <v>1603</v>
      </c>
      <c r="H78" s="1855"/>
      <c r="I78" s="1855"/>
      <c r="J78" s="1855"/>
      <c r="K78" s="2031">
        <f t="array" ref="K78">SUMPRODUCT(IF(F78:J78="X",1,0),$F$18:$J$18)</f>
        <v>0.7</v>
      </c>
      <c r="L78" s="2057"/>
      <c r="M78" s="2057"/>
      <c r="N78" s="2000"/>
      <c r="O78" s="2000"/>
      <c r="P78" s="2000"/>
      <c r="Q78" s="2000"/>
    </row>
    <row r="79" spans="2:19" ht="25.5">
      <c r="B79" s="2280"/>
      <c r="C79" s="1836" t="s">
        <v>2366</v>
      </c>
      <c r="D79" s="1872"/>
      <c r="E79" s="1848" t="s">
        <v>2381</v>
      </c>
      <c r="F79" s="1854" t="s">
        <v>1603</v>
      </c>
      <c r="G79" s="1855"/>
      <c r="H79" s="1855"/>
      <c r="I79" s="1855"/>
      <c r="J79" s="1855"/>
      <c r="K79" s="2031">
        <f t="array" ref="K79">SUMPRODUCT(IF(F79:J79="X",1,0),$F$18:$J$18)</f>
        <v>1</v>
      </c>
      <c r="L79" s="2057"/>
      <c r="M79" s="2057"/>
      <c r="N79" s="2000"/>
      <c r="O79" s="2000"/>
      <c r="P79" s="2000"/>
      <c r="Q79" s="2000"/>
    </row>
    <row r="80" spans="2:19" ht="25.5">
      <c r="B80" s="2280"/>
      <c r="C80" s="1836" t="s">
        <v>2367</v>
      </c>
      <c r="D80" s="1872" t="s">
        <v>2368</v>
      </c>
      <c r="E80" s="1848" t="s">
        <v>2369</v>
      </c>
      <c r="F80" s="1854"/>
      <c r="G80" s="1855"/>
      <c r="H80" s="1855" t="s">
        <v>1603</v>
      </c>
      <c r="I80" s="1855"/>
      <c r="J80" s="1855"/>
      <c r="K80" s="2031">
        <f t="array" ref="K80">SUMPRODUCT(IF(F80:J80="X",1,0),$F$18:$J$18)</f>
        <v>0.5</v>
      </c>
      <c r="L80" s="2057"/>
      <c r="M80" s="2057"/>
      <c r="N80" s="2000"/>
      <c r="O80" s="2000"/>
      <c r="P80" s="2000"/>
      <c r="Q80" s="2000"/>
    </row>
    <row r="81" spans="2:18">
      <c r="B81" s="2280"/>
      <c r="C81" s="1836" t="s">
        <v>2370</v>
      </c>
      <c r="D81" s="1872" t="s">
        <v>2371</v>
      </c>
      <c r="E81" s="1827" t="s">
        <v>2372</v>
      </c>
      <c r="F81" s="1854"/>
      <c r="G81" s="1855"/>
      <c r="H81" s="1855"/>
      <c r="I81" s="1855" t="s">
        <v>1603</v>
      </c>
      <c r="J81" s="1855"/>
      <c r="K81" s="2031">
        <f t="array" ref="K81">SUMPRODUCT(IF(F81:J81="X",1,0),$F$18:$J$18)</f>
        <v>0.3</v>
      </c>
      <c r="L81" s="2057"/>
      <c r="M81" s="2057"/>
      <c r="N81" s="2000"/>
      <c r="O81" s="2000"/>
      <c r="P81" s="2000"/>
      <c r="Q81" s="2000"/>
    </row>
    <row r="82" spans="2:18" ht="25.5">
      <c r="B82" s="2280"/>
      <c r="C82" s="1836" t="s">
        <v>2373</v>
      </c>
      <c r="D82" s="1872" t="s">
        <v>2374</v>
      </c>
      <c r="E82" s="1827" t="s">
        <v>2375</v>
      </c>
      <c r="F82" s="1854" t="s">
        <v>1603</v>
      </c>
      <c r="G82" s="1855"/>
      <c r="H82" s="1855"/>
      <c r="I82" s="1855"/>
      <c r="J82" s="1855"/>
      <c r="K82" s="2031">
        <f t="array" ref="K82">SUMPRODUCT(IF(F82:J82="X",1,0),$F$18:$J$18)</f>
        <v>1</v>
      </c>
      <c r="L82" s="2057"/>
      <c r="M82" s="2057"/>
      <c r="N82" s="2000"/>
      <c r="O82" s="2000"/>
      <c r="P82" s="2000"/>
      <c r="Q82" s="2000"/>
    </row>
    <row r="83" spans="2:18">
      <c r="B83" s="2280"/>
      <c r="C83" s="1836" t="s">
        <v>2215</v>
      </c>
      <c r="D83" s="1872"/>
      <c r="E83" s="1917" t="s">
        <v>2376</v>
      </c>
      <c r="F83" s="1854"/>
      <c r="G83" s="1855"/>
      <c r="H83" s="1855" t="s">
        <v>1603</v>
      </c>
      <c r="I83" s="1855"/>
      <c r="J83" s="1855"/>
      <c r="K83" s="2031">
        <f t="array" ref="K83">SUMPRODUCT(IF(F83:J83="X",1,0),$F$18:$J$18)</f>
        <v>0.5</v>
      </c>
      <c r="L83" s="2057"/>
      <c r="M83" s="2057"/>
      <c r="N83" s="2000"/>
      <c r="O83" s="2000"/>
      <c r="P83" s="2000"/>
      <c r="Q83" s="2000"/>
    </row>
    <row r="84" spans="2:18" ht="38.25">
      <c r="B84" s="2280"/>
      <c r="C84" s="2058" t="s">
        <v>2195</v>
      </c>
      <c r="D84" s="2046" t="s">
        <v>2377</v>
      </c>
      <c r="E84" s="2059" t="s">
        <v>2382</v>
      </c>
      <c r="F84" s="1854"/>
      <c r="G84" s="1855" t="s">
        <v>1603</v>
      </c>
      <c r="H84" s="1855"/>
      <c r="I84" s="1855"/>
      <c r="J84" s="1855"/>
      <c r="K84" s="2031">
        <f t="array" ref="K84">SUMPRODUCT(IF(F84:J84="X",1,0),$F$18:$J$18)</f>
        <v>0.7</v>
      </c>
      <c r="L84" s="1869"/>
      <c r="M84" s="1869"/>
      <c r="N84" s="2000"/>
      <c r="O84" s="2000"/>
      <c r="P84" s="2000"/>
      <c r="Q84" s="2000"/>
      <c r="R84" s="2000"/>
    </row>
    <row r="85" spans="2:18" ht="38.25">
      <c r="B85" s="2281"/>
      <c r="C85" s="2058" t="s">
        <v>2197</v>
      </c>
      <c r="D85" s="1872"/>
      <c r="E85" s="2059" t="s">
        <v>2382</v>
      </c>
      <c r="F85" s="1854"/>
      <c r="G85" s="1855" t="s">
        <v>1603</v>
      </c>
      <c r="H85" s="1855"/>
      <c r="I85" s="1855"/>
      <c r="J85" s="1855"/>
      <c r="K85" s="2031">
        <f t="array" ref="K85">SUMPRODUCT(IF(F85:J85="X",1,0),$F$18:$J$18)</f>
        <v>0.7</v>
      </c>
      <c r="L85" s="1869"/>
      <c r="M85" s="1869"/>
      <c r="N85" s="2000"/>
      <c r="O85" s="2000"/>
      <c r="P85" s="2000"/>
      <c r="Q85" s="2000"/>
      <c r="R85" s="2000"/>
    </row>
    <row r="86" spans="2:18" ht="15" thickBot="1">
      <c r="B86" s="2102" t="s">
        <v>642</v>
      </c>
      <c r="C86" s="2103"/>
      <c r="D86" s="2104"/>
      <c r="E86" s="2104"/>
      <c r="F86" s="2078"/>
      <c r="G86" s="2079"/>
      <c r="H86" s="2079"/>
      <c r="I86" s="2079"/>
      <c r="J86" s="2079"/>
      <c r="K86" s="2080">
        <f>SUM(K77:K85)/COUNTA(K77:K85)*10</f>
        <v>6.7777777777777768</v>
      </c>
      <c r="L86" s="2050"/>
      <c r="M86" s="2050"/>
      <c r="N86" s="2064"/>
    </row>
    <row r="89" spans="2:18">
      <c r="D89" s="2066"/>
      <c r="E89" s="2066"/>
      <c r="F89" s="2066"/>
      <c r="G89" s="2066"/>
      <c r="H89" s="2066"/>
    </row>
    <row r="90" spans="2:18">
      <c r="D90" s="2068"/>
      <c r="E90" s="2068"/>
      <c r="F90" s="2066"/>
      <c r="G90" s="2066"/>
      <c r="H90" s="2066"/>
    </row>
    <row r="91" spans="2:18">
      <c r="D91" s="2068"/>
      <c r="E91" s="2068"/>
      <c r="F91" s="2066"/>
      <c r="G91" s="2066"/>
      <c r="H91" s="2066"/>
    </row>
    <row r="92" spans="2:18">
      <c r="D92" s="2068"/>
      <c r="E92" s="2068"/>
      <c r="F92" s="2068"/>
      <c r="G92" s="2068"/>
      <c r="H92" s="2068"/>
    </row>
  </sheetData>
  <mergeCells count="12">
    <mergeCell ref="B77:B85"/>
    <mergeCell ref="N18:P18"/>
    <mergeCell ref="B20:B26"/>
    <mergeCell ref="S21:Y21"/>
    <mergeCell ref="S23:Y23"/>
    <mergeCell ref="S25:Y25"/>
    <mergeCell ref="B29:B34"/>
    <mergeCell ref="B37:B42"/>
    <mergeCell ref="B45:B50"/>
    <mergeCell ref="B53:B60"/>
    <mergeCell ref="B63:B67"/>
    <mergeCell ref="B70:B74"/>
  </mergeCells>
  <pageMargins left="0.7" right="0.7" top="0.75" bottom="0.75" header="0.3" footer="0.3"/>
  <pageSetup orientation="portrait" horizontalDpi="0"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1:AH145"/>
  <sheetViews>
    <sheetView topLeftCell="A25" zoomScale="85" zoomScaleNormal="85" workbookViewId="0">
      <selection activeCell="H11" sqref="H11"/>
    </sheetView>
  </sheetViews>
  <sheetFormatPr defaultColWidth="9.140625" defaultRowHeight="12"/>
  <cols>
    <col min="1" max="1" width="3.85546875" style="1431" customWidth="1"/>
    <col min="2" max="2" width="5.140625" style="1444" customWidth="1"/>
    <col min="3" max="3" width="25.7109375" style="1431" customWidth="1"/>
    <col min="4" max="4" width="14.85546875" style="1431" customWidth="1"/>
    <col min="5" max="5" width="15.7109375" style="1431" customWidth="1"/>
    <col min="6" max="6" width="19.5703125" style="1431" customWidth="1"/>
    <col min="7" max="7" width="8.7109375" style="1431" customWidth="1"/>
    <col min="8" max="8" width="14.42578125" style="1431" customWidth="1"/>
    <col min="9" max="11" width="12.85546875" style="1431" customWidth="1"/>
    <col min="12" max="15" width="9.140625" style="1431"/>
    <col min="16" max="16" width="21.42578125" style="1431" bestFit="1" customWidth="1"/>
    <col min="17" max="16384" width="9.140625" style="1431"/>
  </cols>
  <sheetData>
    <row r="1" spans="2:15" ht="21">
      <c r="B1" s="1404" t="s">
        <v>1697</v>
      </c>
    </row>
    <row r="2" spans="2:15">
      <c r="B2" s="1405" t="s">
        <v>1731</v>
      </c>
      <c r="O2" s="1463"/>
    </row>
    <row r="3" spans="2:15" ht="12.75">
      <c r="B3" s="1716"/>
      <c r="C3" s="1716" t="str">
        <f t="shared" ref="C3:F6" si="0">C30</f>
        <v>Project name</v>
      </c>
      <c r="D3" s="1717" t="str">
        <f t="shared" si="0"/>
        <v>Project NAV</v>
      </c>
      <c r="E3" s="1717" t="str">
        <f t="shared" si="0"/>
        <v>Ownership</v>
      </c>
      <c r="F3" s="1717" t="str">
        <f t="shared" si="0"/>
        <v>Effective NAV</v>
      </c>
      <c r="G3" s="1716"/>
      <c r="O3" s="1463"/>
    </row>
    <row r="4" spans="2:15" ht="12.75">
      <c r="B4" s="1718">
        <f>B31</f>
        <v>1</v>
      </c>
      <c r="C4" s="1718" t="str">
        <f t="shared" si="0"/>
        <v>Prive</v>
      </c>
      <c r="D4" s="1735">
        <f t="shared" si="0"/>
        <v>15114.853936687612</v>
      </c>
      <c r="E4" s="1719">
        <f t="shared" si="0"/>
        <v>1</v>
      </c>
      <c r="F4" s="1735">
        <f t="shared" si="0"/>
        <v>15114.853936687612</v>
      </c>
      <c r="G4" s="1720"/>
      <c r="O4" s="1463"/>
    </row>
    <row r="5" spans="2:15" ht="12.75">
      <c r="B5" s="1721">
        <f>B32</f>
        <v>2</v>
      </c>
      <c r="C5" s="1721" t="str">
        <f t="shared" si="0"/>
        <v>Gem City Q9 (Opal City old)</v>
      </c>
      <c r="D5" s="1736">
        <f t="shared" si="0"/>
        <v>2560.0609542581233</v>
      </c>
      <c r="E5" s="1722">
        <f t="shared" si="0"/>
        <v>1</v>
      </c>
      <c r="F5" s="1736">
        <f t="shared" si="0"/>
        <v>2560.0609542581233</v>
      </c>
      <c r="G5" s="1723"/>
      <c r="O5" s="1463"/>
    </row>
    <row r="6" spans="2:15" ht="25.5">
      <c r="B6" s="1718">
        <f>B33</f>
        <v>3</v>
      </c>
      <c r="C6" s="1718" t="str">
        <f t="shared" si="0"/>
        <v>Gem Premium Thu Duc (Opal Premium)</v>
      </c>
      <c r="D6" s="1735">
        <f t="shared" si="0"/>
        <v>16853.814742579318</v>
      </c>
      <c r="E6" s="1719">
        <f t="shared" si="0"/>
        <v>0.75</v>
      </c>
      <c r="F6" s="1735">
        <f t="shared" si="0"/>
        <v>12640.361056934489</v>
      </c>
      <c r="G6" s="1720"/>
      <c r="O6" s="1463"/>
    </row>
    <row r="7" spans="2:15" ht="12.75">
      <c r="B7" s="1718">
        <f>B35</f>
        <v>5</v>
      </c>
      <c r="C7" s="1718" t="str">
        <f>Valuation!B9</f>
        <v>Gem Sky World Long Thanh</v>
      </c>
      <c r="D7" s="1735">
        <f>Valuation!E9</f>
        <v>3349.1516923283139</v>
      </c>
      <c r="E7" s="1746">
        <f>Valuation!F9</f>
        <v>1</v>
      </c>
      <c r="F7" s="1735">
        <f>Valuation!G9</f>
        <v>3349.1516923283139</v>
      </c>
      <c r="G7" s="1720"/>
      <c r="O7" s="1463"/>
    </row>
    <row r="8" spans="2:15" ht="12.75">
      <c r="B8" s="1724">
        <f>B36</f>
        <v>6</v>
      </c>
      <c r="C8" s="1724" t="str">
        <f t="shared" ref="C8:C15" si="1">C36</f>
        <v>Others</v>
      </c>
      <c r="D8" s="1737">
        <f>D9-SUM(D4:D7)</f>
        <v>4920.2276722586976</v>
      </c>
      <c r="E8" s="1725"/>
      <c r="F8" s="1737">
        <f>F9-SUM(F4:F7)</f>
        <v>4920.2276722587048</v>
      </c>
      <c r="G8" s="1726"/>
      <c r="O8" s="1463"/>
    </row>
    <row r="9" spans="2:15" ht="12.75">
      <c r="B9" s="1727"/>
      <c r="C9" s="1727" t="str">
        <f t="shared" si="1"/>
        <v>Total Project NAV</v>
      </c>
      <c r="D9" s="1728">
        <f>Valuation!E19</f>
        <v>42798.108998112068</v>
      </c>
      <c r="E9" s="1727"/>
      <c r="F9" s="1728">
        <f>Valuation!G19</f>
        <v>38584.655312467243</v>
      </c>
      <c r="G9" s="1729"/>
      <c r="O9" s="1463"/>
    </row>
    <row r="10" spans="2:15" ht="12.75">
      <c r="B10" s="1721"/>
      <c r="C10" s="1721" t="str">
        <f t="shared" si="1"/>
        <v>Brokerage and construction</v>
      </c>
      <c r="D10" s="1730">
        <f>D38</f>
        <v>4314</v>
      </c>
      <c r="E10" s="1722">
        <f>E38</f>
        <v>0.51</v>
      </c>
      <c r="F10" s="1736">
        <f>F38</f>
        <v>2200.14</v>
      </c>
      <c r="G10" s="1721"/>
      <c r="O10" s="1463"/>
    </row>
    <row r="11" spans="2:15" ht="12.75">
      <c r="B11" s="1718"/>
      <c r="C11" s="1744" t="str">
        <f t="shared" si="1"/>
        <v xml:space="preserve">Total </v>
      </c>
      <c r="D11" s="1744"/>
      <c r="E11" s="1744"/>
      <c r="F11" s="1745">
        <f>F39</f>
        <v>40784.795312467242</v>
      </c>
      <c r="G11" s="1718"/>
      <c r="O11" s="1463"/>
    </row>
    <row r="12" spans="2:15" ht="15" customHeight="1">
      <c r="B12" s="1721"/>
      <c r="C12" s="2287" t="str">
        <f t="shared" si="1"/>
        <v>Add cash and cash equivalent and deposit</v>
      </c>
      <c r="D12" s="2287">
        <f>D40</f>
        <v>0</v>
      </c>
      <c r="E12" s="1731"/>
      <c r="F12" s="1732" t="e">
        <f>F40</f>
        <v>#REF!</v>
      </c>
      <c r="G12" s="1721"/>
      <c r="O12" s="1463"/>
    </row>
    <row r="13" spans="2:15" ht="12.75">
      <c r="B13" s="1718"/>
      <c r="C13" s="1718" t="str">
        <f t="shared" si="1"/>
        <v>Add long-term investment</v>
      </c>
      <c r="D13" s="1718"/>
      <c r="E13" s="1718"/>
      <c r="F13" s="1735" t="e">
        <f>F41</f>
        <v>#REF!</v>
      </c>
      <c r="G13" s="1718"/>
      <c r="O13" s="1463"/>
    </row>
    <row r="14" spans="2:15" ht="12.75">
      <c r="B14" s="1721"/>
      <c r="C14" s="1721" t="str">
        <f t="shared" si="1"/>
        <v>Minus debt and liabilities</v>
      </c>
      <c r="D14" s="1721"/>
      <c r="E14" s="1721"/>
      <c r="F14" s="1730" t="e">
        <f>F42</f>
        <v>#REF!</v>
      </c>
      <c r="G14" s="1721"/>
      <c r="O14" s="1463"/>
    </row>
    <row r="15" spans="2:15" ht="12.75">
      <c r="B15" s="1718"/>
      <c r="C15" s="1718" t="str">
        <f t="shared" si="1"/>
        <v>NAV</v>
      </c>
      <c r="D15" s="1718"/>
      <c r="E15" s="1718"/>
      <c r="F15" s="1733" t="e">
        <f>F43</f>
        <v>#REF!</v>
      </c>
      <c r="G15" s="1718"/>
      <c r="O15" s="1463"/>
    </row>
    <row r="16" spans="2:15" ht="12.75">
      <c r="B16" s="1721"/>
      <c r="C16" s="1721" t="s">
        <v>497</v>
      </c>
      <c r="D16" s="1721"/>
      <c r="E16" s="1721"/>
      <c r="F16" s="2153">
        <v>0.1</v>
      </c>
      <c r="G16" s="1721"/>
      <c r="O16" s="1463"/>
    </row>
    <row r="17" spans="2:20" ht="12.75">
      <c r="B17" s="1718"/>
      <c r="C17" s="1744" t="str">
        <f>C46</f>
        <v>Share count - mn</v>
      </c>
      <c r="D17" s="1744"/>
      <c r="E17" s="1744"/>
      <c r="F17" s="2156">
        <f>F46</f>
        <v>1020.631</v>
      </c>
      <c r="G17" s="2157" t="str">
        <f>G46</f>
        <v>Weight</v>
      </c>
      <c r="O17" s="1463"/>
    </row>
    <row r="18" spans="2:20" ht="12.75">
      <c r="B18" s="1734"/>
      <c r="C18" s="1731" t="str">
        <f>C47</f>
        <v>Target NAV price</v>
      </c>
      <c r="D18" s="1731"/>
      <c r="E18" s="1731"/>
      <c r="F18" s="1732" t="e">
        <f>F47</f>
        <v>#REF!</v>
      </c>
      <c r="G18" s="1722">
        <f>Valuation!F50</f>
        <v>0.45</v>
      </c>
      <c r="O18" s="1463"/>
    </row>
    <row r="19" spans="2:20" ht="12.75">
      <c r="B19" s="1718"/>
      <c r="C19" s="1718" t="str">
        <f>Valuation!D51</f>
        <v xml:space="preserve">2024 P/B 1.5x </v>
      </c>
      <c r="D19" s="1718"/>
      <c r="E19" s="1718"/>
      <c r="F19" s="1733">
        <f>F48</f>
        <v>22922.013949712775</v>
      </c>
      <c r="G19" s="1719">
        <f>Valuation!F51</f>
        <v>0.4</v>
      </c>
      <c r="O19" s="1463"/>
    </row>
    <row r="20" spans="2:20" ht="12.75">
      <c r="B20" s="1721"/>
      <c r="C20" s="1724" t="str">
        <f>Valuation!D52</f>
        <v xml:space="preserve">2024 P/E 12.0x  </v>
      </c>
      <c r="D20" s="1724"/>
      <c r="E20" s="1724"/>
      <c r="F20" s="2154" t="e">
        <f ca="1">F49</f>
        <v>#NUM!</v>
      </c>
      <c r="G20" s="1722">
        <f>Valuation!F52</f>
        <v>0.15</v>
      </c>
      <c r="O20" s="1463"/>
    </row>
    <row r="21" spans="2:20" ht="12.75">
      <c r="B21" s="1718"/>
      <c r="C21" s="1727" t="s">
        <v>655</v>
      </c>
      <c r="D21" s="1727"/>
      <c r="E21" s="1727"/>
      <c r="F21" s="1728" t="e">
        <f>F50</f>
        <v>#REF!</v>
      </c>
      <c r="G21" s="1718"/>
      <c r="O21" s="1463"/>
    </row>
    <row r="22" spans="2:20" s="2108" customFormat="1" ht="12.75">
      <c r="B22" s="1721"/>
      <c r="C22" s="1721" t="s">
        <v>497</v>
      </c>
      <c r="D22" s="1721"/>
      <c r="E22" s="1721"/>
      <c r="F22" s="2155">
        <v>0.2</v>
      </c>
      <c r="G22" s="1721"/>
      <c r="H22" s="1431"/>
      <c r="I22" s="1431"/>
      <c r="J22" s="1431"/>
      <c r="K22" s="1431"/>
      <c r="L22" s="1431"/>
      <c r="M22" s="1431"/>
      <c r="N22" s="1431"/>
      <c r="O22" s="1463"/>
      <c r="P22" s="1431"/>
      <c r="Q22" s="1431"/>
      <c r="R22" s="1431"/>
      <c r="S22" s="1431"/>
      <c r="T22" s="1431"/>
    </row>
    <row r="23" spans="2:20" ht="12.75">
      <c r="B23" s="1718"/>
      <c r="C23" s="1718" t="s">
        <v>1908</v>
      </c>
      <c r="D23" s="1718"/>
      <c r="E23" s="1718"/>
      <c r="F23" s="1733" t="e">
        <f>F21*(1-F22)</f>
        <v>#REF!</v>
      </c>
      <c r="G23" s="1718"/>
      <c r="O23" s="1463"/>
    </row>
    <row r="24" spans="2:20" ht="12.75">
      <c r="B24" s="1721"/>
      <c r="C24" s="1721" t="str">
        <f>C51</f>
        <v>Market price</v>
      </c>
      <c r="D24" s="1721"/>
      <c r="E24" s="1721"/>
      <c r="F24" s="1730">
        <f>F51</f>
        <v>18100</v>
      </c>
      <c r="G24" s="1721"/>
      <c r="O24" s="1463"/>
    </row>
    <row r="25" spans="2:20" ht="12.75">
      <c r="B25" s="1718"/>
      <c r="C25" s="2158" t="str">
        <f>C52</f>
        <v>Upside</v>
      </c>
      <c r="D25" s="2158"/>
      <c r="E25" s="2158"/>
      <c r="F25" s="2159" t="e">
        <f>F23/F24-1</f>
        <v>#REF!</v>
      </c>
      <c r="G25" s="1718"/>
      <c r="O25" s="1463"/>
    </row>
    <row r="26" spans="2:20" ht="12.75">
      <c r="B26" s="1743"/>
      <c r="C26" s="1747"/>
      <c r="D26" s="1747"/>
      <c r="E26" s="1747"/>
      <c r="F26" s="1748"/>
      <c r="G26" s="1743"/>
      <c r="O26" s="1463"/>
    </row>
    <row r="27" spans="2:20" ht="12.75">
      <c r="B27" s="1743"/>
      <c r="C27" s="1747"/>
      <c r="D27" s="1747"/>
      <c r="E27" s="1747"/>
      <c r="F27" s="1748"/>
      <c r="G27" s="1743"/>
      <c r="O27" s="1463"/>
    </row>
    <row r="28" spans="2:20" ht="12.75">
      <c r="B28" s="1743"/>
      <c r="C28" s="1747"/>
      <c r="D28" s="1747"/>
      <c r="E28" s="1747"/>
      <c r="F28" s="1748"/>
      <c r="G28" s="1743"/>
      <c r="O28" s="1463"/>
    </row>
    <row r="29" spans="2:20">
      <c r="B29" s="1405"/>
      <c r="N29" s="1463"/>
      <c r="O29" s="1463"/>
    </row>
    <row r="30" spans="2:20" s="1407" customFormat="1">
      <c r="B30" s="1406"/>
      <c r="C30" s="1407" t="s">
        <v>1701</v>
      </c>
      <c r="D30" s="1455" t="s">
        <v>1720</v>
      </c>
      <c r="E30" s="1455" t="s">
        <v>636</v>
      </c>
      <c r="F30" s="1455" t="s">
        <v>1793</v>
      </c>
      <c r="G30" s="1455"/>
      <c r="H30" s="1455"/>
      <c r="I30" s="1455"/>
      <c r="N30" s="1451"/>
      <c r="O30" s="1463"/>
    </row>
    <row r="31" spans="2:20">
      <c r="B31" s="1444">
        <v>1</v>
      </c>
      <c r="C31" s="1440" t="str">
        <f>Valuation!B18</f>
        <v>Prive</v>
      </c>
      <c r="D31" s="1440">
        <f>Valuation!E18</f>
        <v>15114.853936687612</v>
      </c>
      <c r="E31" s="1436">
        <f>Valuation!F18</f>
        <v>1</v>
      </c>
      <c r="F31" s="1440">
        <f>Valuation!G18</f>
        <v>15114.853936687612</v>
      </c>
      <c r="G31" s="1463"/>
      <c r="H31" s="1436"/>
      <c r="I31" s="1463"/>
      <c r="J31" s="1581"/>
      <c r="K31" s="1581"/>
      <c r="L31" s="1463"/>
      <c r="M31" s="1463"/>
      <c r="N31" s="1463"/>
      <c r="O31" s="1463"/>
      <c r="P31" s="1436"/>
      <c r="Q31" s="1423"/>
    </row>
    <row r="32" spans="2:20">
      <c r="B32" s="1444">
        <v>2</v>
      </c>
      <c r="C32" s="1431" t="str">
        <f>Valuation!B15</f>
        <v>Gem City Q9 (Opal City old)</v>
      </c>
      <c r="D32" s="1440">
        <f>Valuation!E15</f>
        <v>2560.0609542581233</v>
      </c>
      <c r="E32" s="1436">
        <f>Valuation!F15</f>
        <v>1</v>
      </c>
      <c r="F32" s="1440">
        <f>Valuation!G15</f>
        <v>2560.0609542581233</v>
      </c>
      <c r="G32" s="1463"/>
      <c r="H32" s="1436"/>
      <c r="I32" s="1463"/>
      <c r="J32" s="1581"/>
      <c r="K32" s="1581"/>
      <c r="L32" s="1463"/>
      <c r="M32" s="1463"/>
      <c r="N32" s="1463"/>
      <c r="O32" s="1463"/>
      <c r="P32" s="1436"/>
      <c r="Q32" s="1423"/>
    </row>
    <row r="33" spans="2:17">
      <c r="B33" s="1444">
        <v>3</v>
      </c>
      <c r="C33" s="1431" t="str">
        <f>Valuation!B14</f>
        <v>Gem Premium Thu Duc (Opal Premium)</v>
      </c>
      <c r="D33" s="1440">
        <f>Valuation!E14</f>
        <v>16853.814742579318</v>
      </c>
      <c r="E33" s="1436">
        <f>Valuation!F14</f>
        <v>0.75</v>
      </c>
      <c r="F33" s="1440">
        <f>Valuation!G14</f>
        <v>12640.361056934489</v>
      </c>
      <c r="G33" s="1463"/>
      <c r="H33" s="1436"/>
      <c r="I33" s="1463"/>
      <c r="J33" s="1581"/>
      <c r="K33" s="1581"/>
      <c r="L33" s="1463"/>
      <c r="M33" s="1463"/>
      <c r="N33" s="1463"/>
      <c r="O33" s="1463"/>
      <c r="P33" s="1436"/>
      <c r="Q33" s="1423"/>
    </row>
    <row r="34" spans="2:17">
      <c r="B34" s="1444">
        <v>4</v>
      </c>
      <c r="C34" s="1431" t="str">
        <f>Valuation!B16</f>
        <v>Park City Thuận An 10ha</v>
      </c>
      <c r="D34" s="1440">
        <f>Valuation!E16</f>
        <v>878.92957965082985</v>
      </c>
      <c r="E34" s="1436">
        <f>Valuation!F16</f>
        <v>1</v>
      </c>
      <c r="F34" s="1440">
        <f>Valuation!G16</f>
        <v>878.92957965082985</v>
      </c>
      <c r="G34" s="1463"/>
      <c r="H34" s="1436"/>
      <c r="I34" s="1463"/>
      <c r="J34" s="1581"/>
      <c r="K34" s="1581"/>
      <c r="L34" s="1463"/>
      <c r="M34" s="1463"/>
      <c r="N34" s="1463"/>
      <c r="O34" s="1463"/>
      <c r="P34" s="1436"/>
      <c r="Q34" s="1423"/>
    </row>
    <row r="35" spans="2:17">
      <c r="B35" s="1444">
        <v>5</v>
      </c>
      <c r="C35" s="1431" t="e">
        <f>Valuation!#REF!</f>
        <v>#REF!</v>
      </c>
      <c r="D35" s="1440" t="e">
        <f>Valuation!#REF!</f>
        <v>#REF!</v>
      </c>
      <c r="E35" s="1436" t="e">
        <f>Valuation!#REF!</f>
        <v>#REF!</v>
      </c>
      <c r="F35" s="1440" t="e">
        <f>Valuation!#REF!</f>
        <v>#REF!</v>
      </c>
      <c r="G35" s="1463"/>
      <c r="H35" s="1436"/>
      <c r="I35" s="1463"/>
      <c r="J35" s="1581"/>
      <c r="K35" s="1581"/>
      <c r="L35" s="1463"/>
      <c r="M35" s="1463"/>
      <c r="N35" s="1463"/>
      <c r="O35" s="1463"/>
      <c r="P35" s="1436"/>
      <c r="Q35" s="1423"/>
    </row>
    <row r="36" spans="2:17">
      <c r="B36" s="1444">
        <v>6</v>
      </c>
      <c r="C36" s="1431" t="s">
        <v>589</v>
      </c>
      <c r="D36" s="1410" t="e">
        <f>D37-SUM(D31:D35)</f>
        <v>#REF!</v>
      </c>
      <c r="E36" s="1417"/>
      <c r="F36" s="1410" t="e">
        <f>F37-SUM(F31:F35)</f>
        <v>#REF!</v>
      </c>
    </row>
    <row r="37" spans="2:17">
      <c r="B37" s="1697"/>
      <c r="C37" s="1432" t="s">
        <v>1854</v>
      </c>
      <c r="D37" s="1441">
        <f>Valuation!E19</f>
        <v>42798.108998112068</v>
      </c>
      <c r="E37" s="1432"/>
      <c r="F37" s="1441">
        <f>Valuation!G19</f>
        <v>38584.655312467243</v>
      </c>
      <c r="G37" s="1440"/>
      <c r="H37" s="1436"/>
      <c r="I37" s="1463"/>
      <c r="J37" s="1596"/>
      <c r="K37" s="1596"/>
      <c r="L37" s="1440"/>
      <c r="M37" s="1440"/>
      <c r="N37" s="1440"/>
    </row>
    <row r="38" spans="2:17">
      <c r="C38" s="1431" t="s">
        <v>1733</v>
      </c>
      <c r="D38" s="1410">
        <f>Valuation!C22</f>
        <v>4314</v>
      </c>
      <c r="E38" s="1448">
        <f>Brokerage!N93</f>
        <v>0.51</v>
      </c>
      <c r="F38" s="1410">
        <f>D38*E38</f>
        <v>2200.14</v>
      </c>
      <c r="G38" s="1440"/>
      <c r="J38" s="1596"/>
      <c r="K38" s="1596"/>
      <c r="L38" s="1440"/>
      <c r="M38" s="1440"/>
      <c r="N38" s="1440"/>
    </row>
    <row r="39" spans="2:17" s="1407" customFormat="1">
      <c r="B39" s="1406"/>
      <c r="C39" s="1407" t="s">
        <v>1835</v>
      </c>
      <c r="D39" s="1451"/>
      <c r="E39" s="1696"/>
      <c r="F39" s="1451">
        <f>F37+F38</f>
        <v>40784.795312467242</v>
      </c>
      <c r="G39" s="1427"/>
      <c r="J39" s="1685"/>
      <c r="K39" s="1685"/>
      <c r="L39" s="1427"/>
      <c r="M39" s="1427"/>
      <c r="N39" s="1427"/>
    </row>
    <row r="40" spans="2:17">
      <c r="C40" s="1432" t="s">
        <v>1898</v>
      </c>
      <c r="D40" s="1457"/>
      <c r="E40" s="1457"/>
      <c r="F40" s="1408" t="e">
        <f>Valuation!G24+Valuation!#REF!</f>
        <v>#REF!</v>
      </c>
      <c r="N40" s="1463"/>
    </row>
    <row r="41" spans="2:17">
      <c r="C41" s="1431" t="s">
        <v>1836</v>
      </c>
      <c r="D41" s="1447"/>
      <c r="E41" s="1447"/>
      <c r="F41" s="1410" t="e">
        <f>Valuation!#REF!</f>
        <v>#REF!</v>
      </c>
      <c r="N41" s="1463"/>
    </row>
    <row r="42" spans="2:17">
      <c r="C42" s="1431" t="s">
        <v>1899</v>
      </c>
      <c r="D42" s="1447"/>
      <c r="E42" s="1447"/>
      <c r="F42" s="1410" t="e">
        <f>Valuation!G25+Valuation!#REF!</f>
        <v>#REF!</v>
      </c>
      <c r="N42" s="1463"/>
    </row>
    <row r="43" spans="2:17">
      <c r="C43" s="1431" t="s">
        <v>1702</v>
      </c>
      <c r="D43" s="1447"/>
      <c r="E43" s="1447"/>
      <c r="F43" s="1410" t="e">
        <f>SUM(F39:F41)-SUM(F42:F42)</f>
        <v>#REF!</v>
      </c>
      <c r="N43" s="1463"/>
    </row>
    <row r="44" spans="2:17">
      <c r="C44" s="1431" t="s">
        <v>497</v>
      </c>
      <c r="D44" s="1447"/>
      <c r="E44" s="1447"/>
      <c r="F44" s="1448">
        <f>Valuation!G27</f>
        <v>0</v>
      </c>
      <c r="G44" s="1442"/>
      <c r="N44" s="1463"/>
    </row>
    <row r="45" spans="2:17">
      <c r="C45" s="1432" t="s">
        <v>1795</v>
      </c>
      <c r="D45" s="1457"/>
      <c r="E45" s="1457"/>
      <c r="F45" s="1408" t="e">
        <f>F43*(1-F44)</f>
        <v>#REF!</v>
      </c>
      <c r="G45" s="1440"/>
      <c r="H45" s="1687"/>
      <c r="I45" s="1423"/>
    </row>
    <row r="46" spans="2:17">
      <c r="C46" s="1431" t="s">
        <v>1796</v>
      </c>
      <c r="D46" s="1447"/>
      <c r="E46" s="1447"/>
      <c r="F46" s="1654">
        <f>Valuation!G29</f>
        <v>1020.631</v>
      </c>
      <c r="G46" s="1442" t="s">
        <v>1900</v>
      </c>
      <c r="H46" s="1444"/>
      <c r="I46" s="1433"/>
    </row>
    <row r="47" spans="2:17" s="1407" customFormat="1">
      <c r="B47" s="1406"/>
      <c r="C47" s="1419" t="s">
        <v>1852</v>
      </c>
      <c r="D47" s="1419"/>
      <c r="E47" s="1419"/>
      <c r="F47" s="1453" t="e">
        <f>F45/F46*1000</f>
        <v>#REF!</v>
      </c>
      <c r="G47" s="1698">
        <f>Valuation!F50</f>
        <v>0.45</v>
      </c>
    </row>
    <row r="48" spans="2:17" s="1407" customFormat="1">
      <c r="B48" s="1406"/>
      <c r="C48" s="1703" t="s">
        <v>1927</v>
      </c>
      <c r="D48" s="1406"/>
      <c r="E48" s="1406"/>
      <c r="F48" s="1704">
        <f>Valuation!G34</f>
        <v>22922.013949712775</v>
      </c>
      <c r="G48" s="1698">
        <f>Valuation!F51</f>
        <v>0.4</v>
      </c>
    </row>
    <row r="49" spans="2:7" s="1407" customFormat="1">
      <c r="B49" s="1406"/>
      <c r="C49" s="1703" t="s">
        <v>1911</v>
      </c>
      <c r="D49" s="1703"/>
      <c r="E49" s="1703"/>
      <c r="F49" s="1704" t="e">
        <f ca="1">Valuation!G37</f>
        <v>#NUM!</v>
      </c>
      <c r="G49" s="1698">
        <f>Valuation!F52</f>
        <v>0.15</v>
      </c>
    </row>
    <row r="50" spans="2:7" s="1407" customFormat="1">
      <c r="B50" s="1406"/>
      <c r="C50" s="1419" t="s">
        <v>1853</v>
      </c>
      <c r="D50" s="1419"/>
      <c r="E50" s="1419"/>
      <c r="F50" s="1453" t="e">
        <f>SUMPRODUCT(F47:F49,G47:G49)</f>
        <v>#REF!</v>
      </c>
    </row>
    <row r="51" spans="2:7">
      <c r="C51" s="1431" t="s">
        <v>1838</v>
      </c>
      <c r="F51" s="1410">
        <f>Valuation!G40</f>
        <v>18100</v>
      </c>
    </row>
    <row r="52" spans="2:7">
      <c r="C52" s="1407" t="s">
        <v>732</v>
      </c>
      <c r="D52" s="1407"/>
      <c r="E52" s="1407"/>
      <c r="F52" s="1739" t="e">
        <f>F50/F51-1</f>
        <v>#REF!</v>
      </c>
    </row>
    <row r="53" spans="2:7">
      <c r="C53" s="1407"/>
      <c r="D53" s="1407"/>
      <c r="E53" s="1407"/>
      <c r="F53" s="1739"/>
    </row>
    <row r="54" spans="2:7">
      <c r="C54" s="1407"/>
      <c r="D54" s="1407"/>
      <c r="E54" s="1407"/>
      <c r="F54" s="1739"/>
    </row>
    <row r="55" spans="2:7">
      <c r="C55" s="1407"/>
      <c r="D55" s="1407"/>
      <c r="E55" s="1407"/>
      <c r="F55" s="1739"/>
    </row>
    <row r="56" spans="2:7">
      <c r="C56" s="1407" t="s">
        <v>1928</v>
      </c>
      <c r="D56" s="1407"/>
      <c r="E56" s="1407"/>
      <c r="F56" s="1739"/>
    </row>
    <row r="57" spans="2:7">
      <c r="C57" s="1407" t="s">
        <v>1839</v>
      </c>
      <c r="D57" s="1407" t="s">
        <v>654</v>
      </c>
      <c r="E57" s="1407" t="s">
        <v>1929</v>
      </c>
      <c r="F57" s="1739" t="s">
        <v>1930</v>
      </c>
      <c r="G57" s="1407" t="s">
        <v>642</v>
      </c>
    </row>
    <row r="58" spans="2:7">
      <c r="B58" s="1444">
        <v>2018</v>
      </c>
      <c r="C58" s="1431">
        <v>300</v>
      </c>
      <c r="D58" s="1431">
        <v>500</v>
      </c>
      <c r="E58" s="1431">
        <v>250</v>
      </c>
      <c r="F58" s="1410">
        <v>100</v>
      </c>
      <c r="G58" s="1440">
        <f>SUM(C58:F58)</f>
        <v>1150</v>
      </c>
    </row>
    <row r="59" spans="2:7">
      <c r="B59" s="1444">
        <v>2019</v>
      </c>
      <c r="C59" s="1431">
        <v>300</v>
      </c>
      <c r="D59" s="1431">
        <v>600</v>
      </c>
      <c r="E59" s="1431">
        <v>250</v>
      </c>
      <c r="F59" s="1410">
        <v>200</v>
      </c>
      <c r="G59" s="1440">
        <f>SUM(C59:F59)</f>
        <v>1350</v>
      </c>
    </row>
    <row r="60" spans="2:7">
      <c r="B60" s="1444">
        <v>2020</v>
      </c>
      <c r="C60" s="1407">
        <v>730</v>
      </c>
      <c r="D60" s="1407">
        <v>650</v>
      </c>
      <c r="E60" s="1407">
        <v>300</v>
      </c>
      <c r="F60" s="1410">
        <v>0</v>
      </c>
      <c r="G60" s="1440">
        <f>SUM(C60:F60)</f>
        <v>1680</v>
      </c>
    </row>
    <row r="61" spans="2:7">
      <c r="B61" s="1444">
        <v>2021</v>
      </c>
      <c r="C61" s="1427">
        <v>1500</v>
      </c>
      <c r="D61" s="1407">
        <v>600</v>
      </c>
      <c r="E61" s="1407">
        <v>300</v>
      </c>
      <c r="F61" s="1451">
        <v>0</v>
      </c>
      <c r="G61" s="1440">
        <v>2400</v>
      </c>
    </row>
    <row r="62" spans="2:7">
      <c r="C62" s="1407"/>
      <c r="D62" s="1407"/>
      <c r="E62" s="1407"/>
      <c r="F62" s="1739"/>
    </row>
    <row r="63" spans="2:7">
      <c r="C63" s="1407"/>
      <c r="D63" s="1407"/>
      <c r="E63" s="1407"/>
      <c r="F63" s="1739"/>
    </row>
    <row r="64" spans="2:7">
      <c r="C64" s="1407"/>
      <c r="D64" s="1407"/>
      <c r="E64" s="1407"/>
      <c r="F64" s="1739"/>
    </row>
    <row r="65" spans="3:6">
      <c r="C65" s="1407"/>
      <c r="D65" s="1407"/>
      <c r="E65" s="1407"/>
      <c r="F65" s="1739"/>
    </row>
    <row r="66" spans="3:6">
      <c r="C66" s="1407"/>
      <c r="D66" s="1407"/>
      <c r="E66" s="1407"/>
      <c r="F66" s="1739"/>
    </row>
    <row r="67" spans="3:6">
      <c r="C67" s="1407"/>
      <c r="D67" s="1407"/>
      <c r="E67" s="1407"/>
      <c r="F67" s="1739"/>
    </row>
    <row r="68" spans="3:6">
      <c r="C68" s="1407"/>
      <c r="D68" s="1407"/>
      <c r="E68" s="1407"/>
      <c r="F68" s="1739"/>
    </row>
    <row r="69" spans="3:6">
      <c r="C69" s="1407"/>
      <c r="D69" s="1407"/>
      <c r="E69" s="1407"/>
      <c r="F69" s="1739"/>
    </row>
    <row r="70" spans="3:6">
      <c r="C70" s="1407"/>
      <c r="D70" s="1407"/>
      <c r="E70" s="1407"/>
      <c r="F70" s="1739"/>
    </row>
    <row r="71" spans="3:6">
      <c r="C71" s="1407"/>
      <c r="D71" s="1407"/>
      <c r="E71" s="1407"/>
      <c r="F71" s="1739"/>
    </row>
    <row r="72" spans="3:6">
      <c r="C72" s="1407"/>
      <c r="D72" s="1407"/>
      <c r="E72" s="1407"/>
      <c r="F72" s="1739"/>
    </row>
    <row r="73" spans="3:6">
      <c r="C73" s="1407"/>
      <c r="D73" s="1407"/>
      <c r="E73" s="1407"/>
      <c r="F73" s="1739"/>
    </row>
    <row r="74" spans="3:6">
      <c r="C74" s="1407"/>
      <c r="D74" s="1407"/>
      <c r="E74" s="1407"/>
      <c r="F74" s="1739"/>
    </row>
    <row r="75" spans="3:6">
      <c r="C75" s="1407"/>
      <c r="D75" s="1407"/>
      <c r="E75" s="1407"/>
      <c r="F75" s="1739"/>
    </row>
    <row r="76" spans="3:6">
      <c r="C76" s="1407"/>
      <c r="D76" s="1407"/>
      <c r="E76" s="1407"/>
      <c r="F76" s="1739"/>
    </row>
    <row r="77" spans="3:6">
      <c r="C77" s="1407"/>
      <c r="D77" s="1407"/>
      <c r="E77" s="1407"/>
      <c r="F77" s="1739"/>
    </row>
    <row r="78" spans="3:6">
      <c r="C78" s="1407"/>
      <c r="D78" s="1407"/>
      <c r="E78" s="1407"/>
      <c r="F78" s="1739"/>
    </row>
    <row r="79" spans="3:6">
      <c r="C79" s="1407"/>
      <c r="D79" s="1407"/>
      <c r="E79" s="1407"/>
      <c r="F79" s="1739"/>
    </row>
    <row r="80" spans="3:6">
      <c r="C80" s="1407"/>
      <c r="D80" s="1407"/>
      <c r="E80" s="1407"/>
      <c r="F80" s="1739"/>
    </row>
    <row r="81" spans="3:6">
      <c r="C81" s="1407"/>
      <c r="D81" s="1407"/>
      <c r="E81" s="1407"/>
      <c r="F81" s="1739"/>
    </row>
    <row r="82" spans="3:6">
      <c r="C82" s="1407"/>
      <c r="D82" s="1407"/>
      <c r="E82" s="1407"/>
      <c r="F82" s="1739"/>
    </row>
    <row r="83" spans="3:6">
      <c r="C83" s="1407"/>
      <c r="D83" s="1407"/>
      <c r="E83" s="1407"/>
      <c r="F83" s="1739"/>
    </row>
    <row r="84" spans="3:6">
      <c r="C84" s="1407"/>
      <c r="D84" s="1407"/>
      <c r="E84" s="1407"/>
      <c r="F84" s="1739"/>
    </row>
    <row r="85" spans="3:6">
      <c r="C85" s="1407"/>
      <c r="D85" s="1407"/>
      <c r="E85" s="1407"/>
      <c r="F85" s="1739"/>
    </row>
    <row r="86" spans="3:6">
      <c r="C86" s="1407"/>
      <c r="D86" s="1407"/>
      <c r="E86" s="1407"/>
      <c r="F86" s="1739"/>
    </row>
    <row r="87" spans="3:6">
      <c r="C87" s="1407"/>
      <c r="D87" s="1407"/>
      <c r="E87" s="1407"/>
      <c r="F87" s="1739"/>
    </row>
    <row r="88" spans="3:6">
      <c r="C88" s="1407"/>
      <c r="D88" s="1407"/>
      <c r="E88" s="1407"/>
      <c r="F88" s="1739"/>
    </row>
    <row r="89" spans="3:6">
      <c r="C89" s="1407"/>
      <c r="D89" s="1407"/>
      <c r="E89" s="1407"/>
      <c r="F89" s="1739"/>
    </row>
    <row r="90" spans="3:6">
      <c r="C90" s="1407"/>
      <c r="D90" s="1407"/>
      <c r="E90" s="1407"/>
      <c r="F90" s="1739"/>
    </row>
    <row r="91" spans="3:6">
      <c r="C91" s="1407"/>
      <c r="D91" s="1407"/>
      <c r="E91" s="1407"/>
      <c r="F91" s="1739"/>
    </row>
    <row r="92" spans="3:6">
      <c r="C92" s="1407"/>
      <c r="D92" s="1407"/>
      <c r="E92" s="1407"/>
      <c r="F92" s="1739"/>
    </row>
    <row r="93" spans="3:6">
      <c r="C93" s="1407"/>
      <c r="D93" s="1407"/>
      <c r="E93" s="1407"/>
      <c r="F93" s="1739"/>
    </row>
    <row r="94" spans="3:6">
      <c r="C94" s="1407"/>
      <c r="D94" s="1407"/>
      <c r="E94" s="1407"/>
      <c r="F94" s="1739"/>
    </row>
    <row r="95" spans="3:6">
      <c r="C95" s="1407"/>
      <c r="D95" s="1407"/>
      <c r="E95" s="1407"/>
      <c r="F95" s="1739"/>
    </row>
    <row r="96" spans="3:6">
      <c r="C96" s="1407"/>
      <c r="D96" s="1407"/>
      <c r="E96" s="1407"/>
      <c r="F96" s="1739"/>
    </row>
    <row r="97" spans="2:34">
      <c r="C97" s="1407"/>
      <c r="D97" s="1407"/>
      <c r="E97" s="1407"/>
      <c r="F97" s="1739"/>
    </row>
    <row r="98" spans="2:34">
      <c r="C98" s="1407"/>
      <c r="D98" s="1407"/>
      <c r="E98" s="1407"/>
      <c r="F98" s="1739"/>
    </row>
    <row r="99" spans="2:34">
      <c r="C99" s="1407"/>
      <c r="D99" s="1407"/>
      <c r="E99" s="1407"/>
      <c r="F99" s="1739"/>
    </row>
    <row r="100" spans="2:34">
      <c r="C100" s="1407"/>
      <c r="D100" s="1407"/>
      <c r="E100" s="1407"/>
      <c r="F100" s="1739"/>
    </row>
    <row r="101" spans="2:34">
      <c r="C101" s="1407"/>
      <c r="D101" s="1407"/>
      <c r="E101" s="1407"/>
      <c r="F101" s="1739"/>
    </row>
    <row r="102" spans="2:34">
      <c r="C102" s="1407"/>
      <c r="D102" s="1407"/>
      <c r="E102" s="1407"/>
      <c r="F102" s="1739"/>
    </row>
    <row r="103" spans="2:34">
      <c r="B103" s="1431"/>
      <c r="C103" s="1407"/>
      <c r="F103" s="1589"/>
    </row>
    <row r="104" spans="2:34">
      <c r="B104" s="1431"/>
      <c r="C104" s="1407"/>
      <c r="D104" s="1407">
        <f>Equity!F35</f>
        <v>2012</v>
      </c>
      <c r="E104" s="1407">
        <f>Equity!G35</f>
        <v>2013</v>
      </c>
      <c r="F104" s="1407">
        <f>Equity!H35</f>
        <v>2014</v>
      </c>
      <c r="G104" s="1431">
        <f>Equity!I35</f>
        <v>2015</v>
      </c>
      <c r="H104" s="1431">
        <f>Equity!J35</f>
        <v>2016</v>
      </c>
      <c r="I104" s="1431">
        <f>Equity!K35</f>
        <v>2017</v>
      </c>
      <c r="J104" s="1431">
        <f>Equity!L35</f>
        <v>2018</v>
      </c>
      <c r="K104" s="1431">
        <f>Equity!M35</f>
        <v>2019</v>
      </c>
    </row>
    <row r="105" spans="2:34">
      <c r="C105" s="1442" t="s">
        <v>1862</v>
      </c>
      <c r="D105" s="1442" t="s">
        <v>1863</v>
      </c>
      <c r="E105" s="1442" t="s">
        <v>1864</v>
      </c>
      <c r="F105" s="1442" t="s">
        <v>1865</v>
      </c>
      <c r="G105" s="1442" t="s">
        <v>1866</v>
      </c>
      <c r="H105" s="1442" t="s">
        <v>1867</v>
      </c>
      <c r="I105" s="1442" t="s">
        <v>1868</v>
      </c>
      <c r="J105" s="1442" t="s">
        <v>1869</v>
      </c>
      <c r="K105" s="1442" t="s">
        <v>1870</v>
      </c>
      <c r="L105" s="1442" t="s">
        <v>1871</v>
      </c>
      <c r="M105" s="1442" t="s">
        <v>1872</v>
      </c>
      <c r="N105" s="1442" t="s">
        <v>1873</v>
      </c>
      <c r="O105" s="1442" t="s">
        <v>1874</v>
      </c>
      <c r="P105" s="1442" t="s">
        <v>1875</v>
      </c>
      <c r="Q105" s="1442" t="s">
        <v>1876</v>
      </c>
      <c r="R105" s="1442" t="s">
        <v>1877</v>
      </c>
      <c r="S105" s="1442" t="s">
        <v>1878</v>
      </c>
      <c r="T105" s="1442" t="s">
        <v>1879</v>
      </c>
      <c r="U105" s="1442" t="s">
        <v>1880</v>
      </c>
      <c r="V105" s="1442" t="s">
        <v>1881</v>
      </c>
      <c r="W105" s="1442" t="s">
        <v>1882</v>
      </c>
      <c r="X105" s="1442" t="s">
        <v>1883</v>
      </c>
      <c r="Y105" s="1442" t="s">
        <v>1162</v>
      </c>
      <c r="Z105" s="1442" t="s">
        <v>1884</v>
      </c>
      <c r="AA105" s="1442" t="s">
        <v>1885</v>
      </c>
      <c r="AB105" s="1442" t="s">
        <v>1886</v>
      </c>
      <c r="AC105" s="1442" t="s">
        <v>1887</v>
      </c>
      <c r="AD105" s="1431" t="s">
        <v>1890</v>
      </c>
      <c r="AE105" s="1431" t="s">
        <v>1891</v>
      </c>
      <c r="AF105" s="1431" t="s">
        <v>1901</v>
      </c>
      <c r="AG105" s="1431" t="s">
        <v>1904</v>
      </c>
      <c r="AH105" s="1431" t="s">
        <v>1902</v>
      </c>
    </row>
    <row r="106" spans="2:34">
      <c r="C106" s="1440">
        <v>20.152999999999999</v>
      </c>
      <c r="D106" s="1440">
        <v>30.597999999999999</v>
      </c>
      <c r="E106" s="1440">
        <v>10.07</v>
      </c>
      <c r="F106" s="1440">
        <v>11.259</v>
      </c>
      <c r="G106" s="1440">
        <v>20.384835979999998</v>
      </c>
      <c r="H106" s="1440">
        <v>10.071238047</v>
      </c>
      <c r="I106" s="1440">
        <v>11.899891158000001</v>
      </c>
      <c r="J106" s="1440">
        <v>-17.764469118000001</v>
      </c>
      <c r="K106" s="1440">
        <v>2.554320814</v>
      </c>
      <c r="L106" s="1440">
        <v>5.6878930929999996</v>
      </c>
      <c r="M106" s="1440">
        <v>25.493338038000001</v>
      </c>
      <c r="N106" s="1440">
        <v>24.124399201999999</v>
      </c>
      <c r="O106" s="1440">
        <v>1.40476088</v>
      </c>
      <c r="P106" s="1440">
        <v>20.074933484999999</v>
      </c>
      <c r="Q106" s="1440">
        <v>30.079285884000001</v>
      </c>
      <c r="R106" s="1440">
        <v>39.341421341</v>
      </c>
      <c r="S106" s="1440">
        <v>21.316938261000001</v>
      </c>
      <c r="T106" s="1440">
        <v>31.330132633000002</v>
      </c>
      <c r="U106" s="1440">
        <v>0.96796774399999996</v>
      </c>
      <c r="V106" s="1440">
        <v>114.219450986</v>
      </c>
      <c r="W106" s="1440">
        <v>36.595385567999998</v>
      </c>
      <c r="X106" s="1440">
        <v>116.582898415</v>
      </c>
      <c r="Y106" s="1440">
        <v>93.457906786999999</v>
      </c>
      <c r="Z106" s="1440">
        <v>89.992345580999995</v>
      </c>
      <c r="AA106" s="1440">
        <v>29.438134118000001</v>
      </c>
      <c r="AB106" s="1440">
        <v>119.560722738</v>
      </c>
      <c r="AC106" s="1440">
        <v>-4.9737315960000004</v>
      </c>
      <c r="AD106" s="1431">
        <v>393</v>
      </c>
      <c r="AE106" s="1431">
        <v>151</v>
      </c>
      <c r="AF106" s="1431">
        <v>51</v>
      </c>
      <c r="AG106" s="1431">
        <v>257</v>
      </c>
      <c r="AH106" s="1440">
        <f>IS!K29-AG106-AF106-AE106</f>
        <v>291.89074550899977</v>
      </c>
    </row>
    <row r="124" spans="3:16">
      <c r="C124" s="1431" t="s">
        <v>654</v>
      </c>
      <c r="D124" s="1431">
        <v>2007</v>
      </c>
      <c r="E124" s="1431">
        <f t="shared" ref="E124:M124" si="2">D124+1</f>
        <v>2008</v>
      </c>
      <c r="F124" s="1431">
        <f t="shared" si="2"/>
        <v>2009</v>
      </c>
      <c r="G124" s="1431">
        <f t="shared" si="2"/>
        <v>2010</v>
      </c>
      <c r="H124" s="1431">
        <f t="shared" si="2"/>
        <v>2011</v>
      </c>
      <c r="I124" s="1431">
        <f t="shared" si="2"/>
        <v>2012</v>
      </c>
      <c r="J124" s="1431">
        <f t="shared" si="2"/>
        <v>2013</v>
      </c>
      <c r="K124" s="1431">
        <f t="shared" si="2"/>
        <v>2014</v>
      </c>
      <c r="L124" s="1431">
        <f t="shared" si="2"/>
        <v>2015</v>
      </c>
      <c r="M124" s="1431">
        <f t="shared" si="2"/>
        <v>2016</v>
      </c>
      <c r="N124" s="1442">
        <v>2017</v>
      </c>
      <c r="O124" s="1442">
        <v>2018</v>
      </c>
      <c r="P124" s="1442" t="s">
        <v>1811</v>
      </c>
    </row>
    <row r="125" spans="3:16">
      <c r="C125" s="1431" t="s">
        <v>26</v>
      </c>
      <c r="D125" s="1463">
        <f>Brokerage!D36</f>
        <v>29</v>
      </c>
      <c r="E125" s="1463">
        <f>Brokerage!E36</f>
        <v>29</v>
      </c>
      <c r="F125" s="1463">
        <f>Brokerage!F36</f>
        <v>85</v>
      </c>
      <c r="G125" s="1463">
        <f>Brokerage!G36</f>
        <v>104</v>
      </c>
      <c r="H125" s="1463">
        <f>Brokerage!H36</f>
        <v>181</v>
      </c>
      <c r="I125" s="1463">
        <f>Brokerage!I36</f>
        <v>163</v>
      </c>
      <c r="J125" s="1463">
        <f>Brokerage!J36</f>
        <v>178</v>
      </c>
      <c r="K125" s="1463">
        <f>Brokerage!K36</f>
        <v>314</v>
      </c>
      <c r="L125" s="1463">
        <f>Brokerage!L36</f>
        <v>753</v>
      </c>
      <c r="M125" s="1463">
        <f>Brokerage!M36</f>
        <v>811</v>
      </c>
      <c r="N125" s="1463">
        <f>Brokerage!N36</f>
        <v>1616</v>
      </c>
      <c r="O125" s="1463">
        <f>Brokerage!O36</f>
        <v>2420</v>
      </c>
      <c r="P125" s="1463">
        <f>Brokerage!P36</f>
        <v>2842</v>
      </c>
    </row>
    <row r="126" spans="3:16">
      <c r="C126" s="1431" t="s">
        <v>28</v>
      </c>
      <c r="D126" s="1463">
        <f>Brokerage!D49</f>
        <v>25.5</v>
      </c>
      <c r="E126" s="1463">
        <f>Brokerage!E49</f>
        <v>25</v>
      </c>
      <c r="F126" s="1463">
        <f>Brokerage!F49</f>
        <v>78.900000000000006</v>
      </c>
      <c r="G126" s="1463">
        <f>Brokerage!G49</f>
        <v>86.8</v>
      </c>
      <c r="H126" s="1463">
        <f>Brokerage!H49</f>
        <v>159.19999999999999</v>
      </c>
      <c r="I126" s="1463">
        <f>Brokerage!I49</f>
        <v>128</v>
      </c>
      <c r="J126" s="1463">
        <f>Brokerage!J49</f>
        <v>131.6</v>
      </c>
      <c r="K126" s="1463">
        <f>Brokerage!K49</f>
        <v>230.8</v>
      </c>
      <c r="L126" s="1463">
        <f>Brokerage!L49</f>
        <v>544</v>
      </c>
      <c r="M126" s="1463">
        <f>Brokerage!M49</f>
        <v>591</v>
      </c>
      <c r="N126" s="1463">
        <f>Brokerage!N49</f>
        <v>1311</v>
      </c>
      <c r="O126" s="1463">
        <f>Brokerage!O49</f>
        <v>1922</v>
      </c>
      <c r="P126" s="1463">
        <f>Brokerage!P49</f>
        <v>2009</v>
      </c>
    </row>
    <row r="127" spans="3:16">
      <c r="C127" s="1431" t="s">
        <v>197</v>
      </c>
      <c r="D127" s="1436">
        <f t="shared" ref="D127:O127" si="3">D126/D125</f>
        <v>0.87931034482758619</v>
      </c>
      <c r="E127" s="1436">
        <f t="shared" si="3"/>
        <v>0.86206896551724133</v>
      </c>
      <c r="F127" s="1436">
        <f t="shared" si="3"/>
        <v>0.92823529411764716</v>
      </c>
      <c r="G127" s="1436">
        <f t="shared" si="3"/>
        <v>0.83461538461538454</v>
      </c>
      <c r="H127" s="1436">
        <f t="shared" si="3"/>
        <v>0.87955801104972364</v>
      </c>
      <c r="I127" s="1436">
        <f t="shared" si="3"/>
        <v>0.78527607361963192</v>
      </c>
      <c r="J127" s="1436">
        <f t="shared" si="3"/>
        <v>0.73932584269662915</v>
      </c>
      <c r="K127" s="1436">
        <f t="shared" si="3"/>
        <v>0.73503184713375802</v>
      </c>
      <c r="L127" s="1436">
        <f t="shared" si="3"/>
        <v>0.72244355909694558</v>
      </c>
      <c r="M127" s="1436">
        <f t="shared" si="3"/>
        <v>0.72872996300863135</v>
      </c>
      <c r="N127" s="1436">
        <f t="shared" si="3"/>
        <v>0.81126237623762376</v>
      </c>
      <c r="O127" s="1436">
        <f t="shared" si="3"/>
        <v>0.79421487603305785</v>
      </c>
      <c r="P127" s="1436">
        <f>P126/P125</f>
        <v>0.7068965517241379</v>
      </c>
    </row>
    <row r="128" spans="3:16">
      <c r="C128" s="1431" t="s">
        <v>1905</v>
      </c>
      <c r="D128" s="1433"/>
      <c r="E128" s="1436">
        <f t="shared" ref="E128:P128" si="4">E125/D125-1</f>
        <v>0</v>
      </c>
      <c r="F128" s="1436">
        <f t="shared" si="4"/>
        <v>1.9310344827586206</v>
      </c>
      <c r="G128" s="1436">
        <f t="shared" si="4"/>
        <v>0.22352941176470598</v>
      </c>
      <c r="H128" s="1436">
        <f t="shared" si="4"/>
        <v>0.74038461538461542</v>
      </c>
      <c r="I128" s="1436">
        <f t="shared" si="4"/>
        <v>-9.9447513812154664E-2</v>
      </c>
      <c r="J128" s="1436">
        <f t="shared" si="4"/>
        <v>9.2024539877300526E-2</v>
      </c>
      <c r="K128" s="1436">
        <f t="shared" si="4"/>
        <v>0.76404494382022481</v>
      </c>
      <c r="L128" s="1436">
        <f t="shared" si="4"/>
        <v>1.3980891719745223</v>
      </c>
      <c r="M128" s="1436">
        <f t="shared" si="4"/>
        <v>7.7025232403718391E-2</v>
      </c>
      <c r="N128" s="1436">
        <f t="shared" si="4"/>
        <v>0.99260172626387178</v>
      </c>
      <c r="O128" s="1436">
        <f t="shared" si="4"/>
        <v>0.49752475247524752</v>
      </c>
      <c r="P128" s="1436">
        <f t="shared" si="4"/>
        <v>0.17438016528925626</v>
      </c>
    </row>
    <row r="143" spans="3:10">
      <c r="C143" s="1431" t="s">
        <v>886</v>
      </c>
      <c r="D143" s="1431">
        <f t="shared" ref="D143:J143" si="5">E104</f>
        <v>2013</v>
      </c>
      <c r="E143" s="1431">
        <f t="shared" si="5"/>
        <v>2014</v>
      </c>
      <c r="F143" s="1431">
        <f t="shared" si="5"/>
        <v>2015</v>
      </c>
      <c r="G143" s="1431">
        <f t="shared" si="5"/>
        <v>2016</v>
      </c>
      <c r="H143" s="1431">
        <f t="shared" si="5"/>
        <v>2017</v>
      </c>
      <c r="I143" s="1431">
        <f t="shared" si="5"/>
        <v>2018</v>
      </c>
      <c r="J143" s="1431">
        <f t="shared" si="5"/>
        <v>2019</v>
      </c>
    </row>
    <row r="144" spans="3:10">
      <c r="C144" s="1431" t="s">
        <v>1809</v>
      </c>
      <c r="D144" s="1440">
        <f>Projects!D50</f>
        <v>0</v>
      </c>
      <c r="E144" s="1440">
        <f>Projects!E50</f>
        <v>0</v>
      </c>
      <c r="F144" s="1440">
        <f>Projects!F50</f>
        <v>0</v>
      </c>
      <c r="G144" s="1440">
        <f>Projects!G50</f>
        <v>1762.0106800000001</v>
      </c>
      <c r="H144" s="1440">
        <f>Projects!H50</f>
        <v>0</v>
      </c>
      <c r="I144" s="1440">
        <f>Projects!I50</f>
        <v>0</v>
      </c>
      <c r="J144" s="1440">
        <f>Projects!J50</f>
        <v>0</v>
      </c>
    </row>
    <row r="145" spans="3:10">
      <c r="C145" s="1431" t="s">
        <v>1788</v>
      </c>
      <c r="D145" s="1440">
        <f>Projects!D83</f>
        <v>0</v>
      </c>
      <c r="E145" s="1440">
        <f>Projects!E83</f>
        <v>0</v>
      </c>
      <c r="F145" s="1440">
        <f>Projects!F83</f>
        <v>0</v>
      </c>
      <c r="G145" s="1440">
        <f>Projects!G83</f>
        <v>1054</v>
      </c>
      <c r="H145" s="1440">
        <f>Projects!H83</f>
        <v>0</v>
      </c>
      <c r="I145" s="1440">
        <f>Projects!I83</f>
        <v>0</v>
      </c>
      <c r="J145" s="1440">
        <f>Projects!J83</f>
        <v>0</v>
      </c>
    </row>
  </sheetData>
  <protectedRanges>
    <protectedRange algorithmName="SHA-512" hashValue="XIYRU02JmeJ2GWEX8VNwbScEGcD508D4umauXSfaYHKpFBQhT3IyJykZKn8ckPMuAQQz1wINWRWh+m04fCrmsQ==" saltValue="goDbDFN1p4yOEPTcc2twhA==" spinCount="100000" sqref="J124:P128" name="Tho" securityDescriptor="O:WDG:WDD:(D;;CC;;;S-1-5-21-168175268-1353254782-3347684269-22736)"/>
  </protectedRanges>
  <mergeCells count="1">
    <mergeCell ref="C12:D12"/>
  </mergeCells>
  <pageMargins left="0.7" right="0.7" top="0.75" bottom="0.75" header="0.3" footer="0.3"/>
  <pageSetup orientation="portrait" r:id="rId1"/>
  <ignoredErrors>
    <ignoredError sqref="C7:F7 D9 F9" formula="1"/>
    <ignoredError sqref="E8" evalError="1"/>
    <ignoredError sqref="G58:G60" formulaRange="1"/>
  </ignoredError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63"/>
  <sheetViews>
    <sheetView topLeftCell="A22" zoomScaleNormal="100" zoomScaleSheetLayoutView="115" workbookViewId="0">
      <selection activeCell="S29" sqref="S29"/>
    </sheetView>
  </sheetViews>
  <sheetFormatPr defaultColWidth="9.140625" defaultRowHeight="12.95" customHeight="1"/>
  <cols>
    <col min="1" max="1" width="1.7109375" style="1431" customWidth="1"/>
    <col min="2" max="2" width="6.140625" style="1431" customWidth="1"/>
    <col min="3" max="3" width="7.7109375" style="1431" customWidth="1"/>
    <col min="4" max="4" width="8.140625" style="1431" customWidth="1"/>
    <col min="5" max="5" width="8.140625" style="1431" hidden="1" customWidth="1"/>
    <col min="6" max="20" width="10.7109375" style="1431" customWidth="1"/>
    <col min="21" max="16384" width="9.140625" style="1431"/>
  </cols>
  <sheetData>
    <row r="1" spans="1:21" ht="21">
      <c r="A1" s="1404" t="s">
        <v>1645</v>
      </c>
      <c r="B1" s="1505"/>
      <c r="H1" s="1440"/>
      <c r="I1" s="1440"/>
      <c r="J1" s="1440"/>
      <c r="K1" s="1440"/>
      <c r="L1" s="1440"/>
      <c r="M1" s="1494"/>
      <c r="N1" s="1494"/>
      <c r="O1" s="1494"/>
      <c r="P1" s="1494"/>
      <c r="Q1" s="1494"/>
      <c r="R1" s="1494"/>
      <c r="S1" s="1494"/>
      <c r="T1" s="1494"/>
    </row>
    <row r="2" spans="1:21" ht="12">
      <c r="A2" s="1405" t="s">
        <v>1776</v>
      </c>
      <c r="B2" s="1544"/>
    </row>
    <row r="3" spans="1:21" ht="12"/>
    <row r="4" spans="1:21" ht="12">
      <c r="F4" s="1523" t="s">
        <v>1614</v>
      </c>
      <c r="G4" s="1468"/>
      <c r="H4" s="1534"/>
      <c r="I4" s="1469" t="s">
        <v>1615</v>
      </c>
      <c r="J4" s="1523"/>
      <c r="K4" s="1523"/>
      <c r="L4" s="1523"/>
      <c r="M4" s="1523"/>
      <c r="N4" s="1523"/>
      <c r="O4" s="1523"/>
      <c r="P4" s="1523"/>
      <c r="Q4" s="1523"/>
      <c r="R4" s="1523"/>
      <c r="S4" s="1523"/>
      <c r="T4" s="1523"/>
    </row>
    <row r="5" spans="1:21" ht="12">
      <c r="F5" s="1480">
        <f>IS!F5</f>
        <v>2012</v>
      </c>
      <c r="G5" s="1480">
        <f>IS!G5</f>
        <v>2013</v>
      </c>
      <c r="H5" s="1559">
        <f>IS!H5</f>
        <v>2014</v>
      </c>
      <c r="I5" s="1480">
        <f>IS!I5</f>
        <v>2015</v>
      </c>
      <c r="J5" s="1480">
        <f>IS!J5</f>
        <v>2016</v>
      </c>
      <c r="K5" s="1480">
        <f>IS!K5</f>
        <v>2017</v>
      </c>
      <c r="L5" s="1480">
        <f>IS!L5</f>
        <v>2018</v>
      </c>
      <c r="M5" s="1480">
        <f>IS!M5</f>
        <v>2019</v>
      </c>
      <c r="N5" s="1480">
        <f>IS!N5</f>
        <v>2020</v>
      </c>
      <c r="O5" s="1480">
        <f>IS!O5</f>
        <v>2021</v>
      </c>
      <c r="P5" s="1480">
        <f>IS!P5</f>
        <v>2022</v>
      </c>
      <c r="Q5" s="1480">
        <f>IS!Q5</f>
        <v>2023</v>
      </c>
      <c r="R5" s="1480">
        <f>IS!R5</f>
        <v>2024</v>
      </c>
      <c r="S5" s="1480">
        <f>IS!S5</f>
        <v>2025</v>
      </c>
      <c r="T5" s="1480">
        <f>IS!T5</f>
        <v>2026</v>
      </c>
      <c r="U5" s="1480">
        <f>IS!U5</f>
        <v>2027</v>
      </c>
    </row>
    <row r="6" spans="1:21" ht="12">
      <c r="F6" s="1447"/>
      <c r="G6" s="1447"/>
      <c r="H6" s="1483"/>
    </row>
    <row r="7" spans="1:21" ht="12">
      <c r="A7" s="1488" t="s">
        <v>1603</v>
      </c>
      <c r="B7" s="1431" t="s">
        <v>1631</v>
      </c>
      <c r="D7" s="1481"/>
      <c r="F7" s="1548">
        <v>136</v>
      </c>
      <c r="G7" s="1548">
        <v>73</v>
      </c>
      <c r="H7" s="1571">
        <v>776</v>
      </c>
      <c r="I7" s="1519">
        <f>CF!I36</f>
        <v>909</v>
      </c>
      <c r="J7" s="1519">
        <f>CF!J36</f>
        <v>1818.2168897009999</v>
      </c>
      <c r="K7" s="1519">
        <f>CF!K36</f>
        <v>1687.4373084639999</v>
      </c>
      <c r="L7" s="1519">
        <f>CF!L36</f>
        <v>1158.571308567</v>
      </c>
      <c r="M7" s="1519">
        <f>CF!M36</f>
        <v>793.29259972600005</v>
      </c>
      <c r="N7" s="1519">
        <f>CF!N36</f>
        <v>1779.630924503</v>
      </c>
      <c r="O7" s="1519">
        <f>CF!O36</f>
        <v>2737.6767956170002</v>
      </c>
      <c r="P7" s="1519">
        <f>CF!P36</f>
        <v>918.97882627499996</v>
      </c>
      <c r="Q7" s="1519">
        <f>CF!Q36</f>
        <v>276.06857093100001</v>
      </c>
      <c r="R7" s="1519">
        <f>CF!R36</f>
        <v>1249.0792792249999</v>
      </c>
      <c r="S7" s="1519">
        <f>CF!S36</f>
        <v>-1145.5419789922494</v>
      </c>
      <c r="T7" s="1519">
        <f>CF!T36</f>
        <v>19428.863443213089</v>
      </c>
      <c r="U7" s="1519">
        <f>CF!U36</f>
        <v>2107.3008969772163</v>
      </c>
    </row>
    <row r="8" spans="1:21" ht="12">
      <c r="A8" s="1488"/>
      <c r="B8" s="1431" t="s">
        <v>2477</v>
      </c>
      <c r="D8" s="1481"/>
      <c r="F8" s="1548"/>
      <c r="G8" s="1548"/>
      <c r="H8" s="1571"/>
      <c r="I8" s="1519"/>
      <c r="J8" s="2215">
        <f>Diamond!C13</f>
        <v>0</v>
      </c>
      <c r="K8" s="2215">
        <f>Diamond!D13</f>
        <v>226.02330908499999</v>
      </c>
      <c r="L8" s="2215">
        <f>Diamond!E13</f>
        <v>382.49899478499998</v>
      </c>
      <c r="M8" s="2215">
        <f>Diamond!F13</f>
        <v>305.73941587000002</v>
      </c>
      <c r="N8" s="2215">
        <f>Diamond!G13</f>
        <v>205.68409350600001</v>
      </c>
      <c r="O8" s="2215">
        <f>Diamond!H13</f>
        <v>285.92828621199999</v>
      </c>
      <c r="P8" s="2215">
        <f>Diamond!I13</f>
        <v>181.16595038200001</v>
      </c>
      <c r="Q8" s="2215">
        <f>Diamond!J13</f>
        <v>97.174701709999994</v>
      </c>
      <c r="R8" s="2215">
        <f>Diamond!K13</f>
        <v>77.870684561000004</v>
      </c>
      <c r="S8" s="2214">
        <f>R8</f>
        <v>77.870684561000004</v>
      </c>
      <c r="T8" s="2214">
        <f>S8</f>
        <v>77.870684561000004</v>
      </c>
      <c r="U8" s="2214">
        <f>T8</f>
        <v>77.870684561000004</v>
      </c>
    </row>
    <row r="9" spans="1:21" ht="12">
      <c r="A9" s="1488"/>
      <c r="B9" s="1452" t="s">
        <v>1632</v>
      </c>
      <c r="C9" s="1452"/>
      <c r="D9" s="1452"/>
      <c r="E9" s="1452"/>
      <c r="F9" s="1423">
        <v>282</v>
      </c>
      <c r="G9" s="1423">
        <v>386</v>
      </c>
      <c r="H9" s="1663">
        <f>'Working Capital'!H11</f>
        <v>474</v>
      </c>
      <c r="I9" s="1463">
        <f>'Working Capital'!I11</f>
        <v>925</v>
      </c>
      <c r="J9" s="1463">
        <f>'Working Capital'!J11</f>
        <v>1865.0196754420001</v>
      </c>
      <c r="K9" s="1463">
        <f>'Working Capital'!K11</f>
        <v>3440.5722452169998</v>
      </c>
      <c r="L9" s="1463">
        <f>'Working Capital'!L11</f>
        <v>5566.7738336230004</v>
      </c>
      <c r="M9" s="1463">
        <f>'Working Capital'!M11</f>
        <v>9023.3344316319999</v>
      </c>
      <c r="N9" s="1463">
        <f>'Working Capital'!N11</f>
        <v>7213.2882027839996</v>
      </c>
      <c r="O9" s="1463">
        <f>'Working Capital'!O11</f>
        <v>10795.975183721001</v>
      </c>
      <c r="P9" s="1463">
        <f>'Working Capital'!P11</f>
        <v>11947.519292867</v>
      </c>
      <c r="Q9" s="1463">
        <f>'Working Capital'!Q11</f>
        <v>11422.613052922001</v>
      </c>
      <c r="R9" s="1463">
        <f>'Working Capital'!R11</f>
        <v>12319.269901011781</v>
      </c>
      <c r="S9" s="1463">
        <f>'Working Capital'!S11</f>
        <v>7793.5080346301365</v>
      </c>
      <c r="T9" s="1463">
        <f>'Working Capital'!T11</f>
        <v>9962.5208644821923</v>
      </c>
      <c r="U9" s="1463">
        <f>'Working Capital'!U11</f>
        <v>20950.54932686027</v>
      </c>
    </row>
    <row r="10" spans="1:21" ht="12">
      <c r="A10" s="1488"/>
      <c r="B10" s="1452" t="s">
        <v>1339</v>
      </c>
      <c r="C10" s="1452"/>
      <c r="D10" s="1452"/>
      <c r="E10" s="1452"/>
      <c r="F10" s="1423">
        <v>129</v>
      </c>
      <c r="G10" s="1423">
        <v>433</v>
      </c>
      <c r="H10" s="1663">
        <f>'Working Capital'!H12</f>
        <v>499</v>
      </c>
      <c r="I10" s="1463">
        <f>'Working Capital'!I12</f>
        <v>1122</v>
      </c>
      <c r="J10" s="1463">
        <f>'Working Capital'!J12</f>
        <v>915.502618676</v>
      </c>
      <c r="K10" s="1463">
        <f>'Working Capital'!K12</f>
        <v>3400.5832179409999</v>
      </c>
      <c r="L10" s="1463">
        <f>'Working Capital'!L12</f>
        <v>4605.1510868169999</v>
      </c>
      <c r="M10" s="1463">
        <f>'Working Capital'!M12</f>
        <v>6791.4641813839999</v>
      </c>
      <c r="N10" s="1463">
        <f>'Working Capital'!N12</f>
        <v>10251.68135067</v>
      </c>
      <c r="O10" s="1463">
        <f>'Working Capital'!O12</f>
        <v>11238.340946889</v>
      </c>
      <c r="P10" s="1463">
        <f>'Working Capital'!P12</f>
        <v>14030.955749291999</v>
      </c>
      <c r="Q10" s="1463">
        <f>'Working Capital'!Q12</f>
        <v>14139.058524280999</v>
      </c>
      <c r="R10" s="1463">
        <f>'Working Capital'!R12</f>
        <v>12319.269901011781</v>
      </c>
      <c r="S10" s="1463">
        <f>'Working Capital'!S12</f>
        <v>22406.335599561644</v>
      </c>
      <c r="T10" s="1463">
        <f>'Working Capital'!T12</f>
        <v>9962.5208644821923</v>
      </c>
      <c r="U10" s="1463">
        <f>'Working Capital'!U12</f>
        <v>20950.54932686027</v>
      </c>
    </row>
    <row r="11" spans="1:21" ht="12">
      <c r="A11" s="1488"/>
      <c r="B11" s="1452" t="s">
        <v>1341</v>
      </c>
      <c r="C11" s="1452"/>
      <c r="D11" s="1452"/>
      <c r="E11" s="1452"/>
      <c r="F11" s="1423">
        <v>34</v>
      </c>
      <c r="G11" s="1423">
        <v>43</v>
      </c>
      <c r="H11" s="1663">
        <f>'Working Capital'!H13</f>
        <v>7</v>
      </c>
      <c r="I11" s="1463">
        <f>'Working Capital'!I13</f>
        <v>30</v>
      </c>
      <c r="J11" s="1463">
        <f>'Working Capital'!J13</f>
        <v>28.287400312999999</v>
      </c>
      <c r="K11" s="1463">
        <f>'Working Capital'!K13</f>
        <v>85.570115752999996</v>
      </c>
      <c r="L11" s="1463">
        <f>'Working Capital'!L13</f>
        <v>102.77910072</v>
      </c>
      <c r="M11" s="1463">
        <f>'Working Capital'!M13</f>
        <v>152.342496697</v>
      </c>
      <c r="N11" s="1463">
        <f>'Working Capital'!N13</f>
        <v>272.757273908</v>
      </c>
      <c r="O11" s="1463">
        <f>'Working Capital'!O13</f>
        <v>197.119793829</v>
      </c>
      <c r="P11" s="1463">
        <f>'Working Capital'!P13</f>
        <v>292.31077241999998</v>
      </c>
      <c r="Q11" s="1463">
        <f>'Working Capital'!Q13</f>
        <v>294.84228666000001</v>
      </c>
      <c r="R11" s="1463">
        <f>'Working Capital'!R13</f>
        <v>294.84228666000001</v>
      </c>
      <c r="S11" s="1463">
        <f>'Working Capital'!S13</f>
        <v>294.84228666000001</v>
      </c>
      <c r="T11" s="1463">
        <f>'Working Capital'!T13</f>
        <v>294.84228666000001</v>
      </c>
      <c r="U11" s="1463">
        <f>'Working Capital'!U13</f>
        <v>294.84228666000001</v>
      </c>
    </row>
    <row r="12" spans="1:21" ht="12">
      <c r="A12" s="1488" t="s">
        <v>1603</v>
      </c>
      <c r="C12" s="1431" t="s">
        <v>1633</v>
      </c>
      <c r="F12" s="1441">
        <f>0+(SUM(F7:F11))</f>
        <v>581</v>
      </c>
      <c r="G12" s="1441">
        <f>0+(SUM(G7:G11))</f>
        <v>935</v>
      </c>
      <c r="H12" s="1555">
        <f t="shared" ref="H12:T12" si="0">SUM(H7:H11)</f>
        <v>1756</v>
      </c>
      <c r="I12" s="1441">
        <f t="shared" si="0"/>
        <v>2986</v>
      </c>
      <c r="J12" s="1441">
        <f t="shared" si="0"/>
        <v>4627.0265841319997</v>
      </c>
      <c r="K12" s="1441">
        <f t="shared" si="0"/>
        <v>8840.1861964600012</v>
      </c>
      <c r="L12" s="1441">
        <f t="shared" si="0"/>
        <v>11815.774324512</v>
      </c>
      <c r="M12" s="1441">
        <f t="shared" si="0"/>
        <v>17066.173125309</v>
      </c>
      <c r="N12" s="1441">
        <f t="shared" si="0"/>
        <v>19723.041845371001</v>
      </c>
      <c r="O12" s="1441">
        <f t="shared" si="0"/>
        <v>25255.041006268002</v>
      </c>
      <c r="P12" s="1441">
        <f t="shared" si="0"/>
        <v>27370.930591236</v>
      </c>
      <c r="Q12" s="1441">
        <f t="shared" ref="Q12" si="1">SUM(Q7:Q11)</f>
        <v>26229.757136504002</v>
      </c>
      <c r="R12" s="1441">
        <f t="shared" ref="R12" si="2">SUM(R7:R11)</f>
        <v>26260.332052469566</v>
      </c>
      <c r="S12" s="1441">
        <f t="shared" si="0"/>
        <v>29427.014626420532</v>
      </c>
      <c r="T12" s="1441">
        <f t="shared" si="0"/>
        <v>39726.618143398475</v>
      </c>
      <c r="U12" s="1441">
        <f t="shared" ref="U12" si="3">SUM(U7:U11)</f>
        <v>44381.112521918752</v>
      </c>
    </row>
    <row r="13" spans="1:21" ht="12">
      <c r="A13" s="1488"/>
      <c r="F13" s="1530"/>
      <c r="H13" s="1660"/>
      <c r="I13" s="1493"/>
      <c r="J13" s="1493"/>
      <c r="K13" s="1493"/>
      <c r="L13" s="1493"/>
      <c r="M13" s="1493"/>
      <c r="N13" s="1493"/>
      <c r="O13" s="1493"/>
      <c r="P13" s="1493"/>
      <c r="Q13" s="1493"/>
      <c r="R13" s="1493"/>
      <c r="S13" s="1493"/>
      <c r="T13" s="1493"/>
      <c r="U13" s="1493"/>
    </row>
    <row r="14" spans="1:21" ht="12">
      <c r="A14" s="1488"/>
      <c r="B14" s="1495" t="s">
        <v>1634</v>
      </c>
      <c r="C14" s="1452"/>
      <c r="D14" s="1452"/>
      <c r="E14" s="1452"/>
      <c r="F14" s="1423">
        <v>11</v>
      </c>
      <c r="G14" s="1423">
        <v>10</v>
      </c>
      <c r="H14" s="1563">
        <v>9</v>
      </c>
      <c r="I14" s="1463">
        <f>Depreciation!I14</f>
        <v>18</v>
      </c>
      <c r="J14" s="1463">
        <f>Depreciation!J14</f>
        <v>20.886919549999998</v>
      </c>
      <c r="K14" s="1463">
        <f>Depreciation!K14</f>
        <v>42.143941339000001</v>
      </c>
      <c r="L14" s="1463">
        <f>Depreciation!L14</f>
        <v>53.539168844000002</v>
      </c>
      <c r="M14" s="1463">
        <f>Depreciation!M14</f>
        <v>330.16375069499998</v>
      </c>
      <c r="N14" s="1463">
        <f>Depreciation!N14</f>
        <v>325.19953644200001</v>
      </c>
      <c r="O14" s="1463">
        <f>Depreciation!O14</f>
        <v>357.91752014299999</v>
      </c>
      <c r="P14" s="1463">
        <f>Depreciation!P14</f>
        <v>328.39567550100003</v>
      </c>
      <c r="Q14" s="1463">
        <f>Depreciation!Q14</f>
        <v>310.29978188299998</v>
      </c>
      <c r="R14" s="1463">
        <f>Depreciation!R14</f>
        <v>260.29978188299998</v>
      </c>
      <c r="S14" s="1463">
        <f>Depreciation!S14</f>
        <v>210.29978188299998</v>
      </c>
      <c r="T14" s="1463">
        <f>Depreciation!T14</f>
        <v>160.29978188299998</v>
      </c>
      <c r="U14" s="1463">
        <f>Depreciation!U14</f>
        <v>0</v>
      </c>
    </row>
    <row r="15" spans="1:21" ht="12">
      <c r="A15" s="1488"/>
      <c r="B15" s="1495"/>
      <c r="C15" s="1452" t="s">
        <v>243</v>
      </c>
      <c r="D15" s="1452"/>
      <c r="E15" s="1452"/>
      <c r="F15" s="1423"/>
      <c r="G15" s="1423">
        <v>-1</v>
      </c>
      <c r="H15" s="1563">
        <v>-1</v>
      </c>
      <c r="I15" s="1463">
        <f>Depreciation!I12</f>
        <v>-5</v>
      </c>
      <c r="J15" s="1463">
        <f>Depreciation!J12</f>
        <v>-3.5</v>
      </c>
      <c r="K15" s="1463">
        <f>Depreciation!K12</f>
        <v>-4.125</v>
      </c>
      <c r="L15" s="1463">
        <f>Depreciation!L12</f>
        <v>-4.75</v>
      </c>
      <c r="M15" s="1463">
        <f>Depreciation!M12</f>
        <v>-5.375</v>
      </c>
      <c r="N15" s="1463">
        <f>Depreciation!N12</f>
        <v>-5.375</v>
      </c>
      <c r="O15" s="1463">
        <f>Depreciation!P12</f>
        <v>-5.375</v>
      </c>
      <c r="P15" s="1463">
        <f>Depreciation!R12</f>
        <v>-50</v>
      </c>
      <c r="Q15" s="1463">
        <f>Depreciation!S12</f>
        <v>-50</v>
      </c>
      <c r="R15" s="1463">
        <f>Depreciation!T12</f>
        <v>-50</v>
      </c>
      <c r="S15" s="1463">
        <f>Depreciation!U12</f>
        <v>0</v>
      </c>
      <c r="T15" s="1463">
        <f>Depreciation!V12</f>
        <v>0</v>
      </c>
      <c r="U15" s="1463">
        <f>Depreciation!W12</f>
        <v>0</v>
      </c>
    </row>
    <row r="16" spans="1:21" ht="12">
      <c r="A16" s="1488"/>
      <c r="B16" s="1495"/>
      <c r="C16" s="1452"/>
      <c r="D16" s="1452"/>
      <c r="E16" s="1452"/>
      <c r="F16" s="1412"/>
      <c r="G16" s="1412"/>
      <c r="H16" s="1573"/>
      <c r="I16" s="1498"/>
      <c r="J16" s="1498"/>
      <c r="K16" s="1498"/>
      <c r="L16" s="1498"/>
      <c r="M16" s="1498"/>
      <c r="N16" s="1498"/>
      <c r="O16" s="1498"/>
      <c r="P16" s="1498"/>
      <c r="Q16" s="1498"/>
      <c r="R16" s="1498"/>
      <c r="S16" s="1498"/>
      <c r="T16" s="1498"/>
      <c r="U16" s="1498"/>
    </row>
    <row r="17" spans="1:21" ht="12">
      <c r="A17" s="1488"/>
      <c r="B17" s="1452" t="s">
        <v>1679</v>
      </c>
      <c r="C17" s="1452"/>
      <c r="D17" s="1452"/>
      <c r="E17" s="1452"/>
      <c r="F17" s="1423">
        <v>0</v>
      </c>
      <c r="G17" s="1423">
        <v>0</v>
      </c>
      <c r="H17" s="1563">
        <v>3</v>
      </c>
      <c r="I17" s="1463">
        <f>Amortization!I13</f>
        <v>2.7</v>
      </c>
      <c r="J17" s="1463">
        <f>Amortization!J13</f>
        <v>17.970400482999999</v>
      </c>
      <c r="K17" s="1463">
        <f>Amortization!K13</f>
        <v>21.801035874</v>
      </c>
      <c r="L17" s="1463">
        <f>Amortization!L13</f>
        <v>22.244066965999998</v>
      </c>
      <c r="M17" s="1463">
        <f>Amortization!M13</f>
        <v>31.477576192000001</v>
      </c>
      <c r="N17" s="1463">
        <f>Amortization!N13</f>
        <v>29.894292731</v>
      </c>
      <c r="O17" s="1463">
        <f>Amortization!O13</f>
        <v>68.675237828999997</v>
      </c>
      <c r="P17" s="1463">
        <f>Amortization!P13</f>
        <v>65.474672076000004</v>
      </c>
      <c r="Q17" s="1463">
        <f>Amortization!Q13</f>
        <v>61.908732995999998</v>
      </c>
      <c r="R17" s="1463">
        <f>Amortization!R13</f>
        <v>59.548732995999998</v>
      </c>
      <c r="S17" s="1463">
        <f>Amortization!S13</f>
        <v>57.188732995999999</v>
      </c>
      <c r="T17" s="1463">
        <f>Amortization!T13</f>
        <v>54.828732995999999</v>
      </c>
      <c r="U17" s="1463">
        <f>Amortization!U13</f>
        <v>0</v>
      </c>
    </row>
    <row r="18" spans="1:21" ht="12">
      <c r="A18" s="1488"/>
      <c r="B18" s="1540"/>
      <c r="C18" s="1452" t="s">
        <v>1673</v>
      </c>
      <c r="D18" s="1452"/>
      <c r="E18" s="1452"/>
      <c r="F18" s="1531"/>
      <c r="G18" s="1531">
        <v>0</v>
      </c>
      <c r="H18" s="1661">
        <v>0</v>
      </c>
      <c r="I18" s="1553">
        <f>Amortization!I11</f>
        <v>-0.3</v>
      </c>
      <c r="J18" s="1553">
        <f>Amortization!J11</f>
        <v>-0.4</v>
      </c>
      <c r="K18" s="1553">
        <f>Amortization!K11</f>
        <v>-0.72</v>
      </c>
      <c r="L18" s="1553">
        <f>Amortization!L11</f>
        <v>-1.04</v>
      </c>
      <c r="M18" s="1553">
        <f>Amortization!M11</f>
        <v>-1.36</v>
      </c>
      <c r="N18" s="1553">
        <f>Amortization!N11</f>
        <v>-1.36</v>
      </c>
      <c r="O18" s="1553">
        <f>Amortization!O11</f>
        <v>-1.36</v>
      </c>
      <c r="P18" s="1553">
        <f>Amortization!P11</f>
        <v>-1.36</v>
      </c>
      <c r="Q18" s="1553">
        <f>Amortization!Q11</f>
        <v>-1.36</v>
      </c>
      <c r="R18" s="1553">
        <f>Amortization!R11</f>
        <v>-1.36</v>
      </c>
      <c r="S18" s="1553">
        <f>Amortization!S11</f>
        <v>-1.36</v>
      </c>
      <c r="T18" s="1553">
        <f>Amortization!T11</f>
        <v>-1.36</v>
      </c>
      <c r="U18" s="1553">
        <f>Amortization!U11</f>
        <v>0</v>
      </c>
    </row>
    <row r="19" spans="1:21" ht="12">
      <c r="A19" s="1488"/>
      <c r="B19" s="1540"/>
      <c r="C19" s="1452"/>
      <c r="D19" s="1452"/>
      <c r="E19" s="1452"/>
      <c r="F19" s="1553"/>
      <c r="G19" s="1553"/>
      <c r="H19" s="1562"/>
      <c r="I19" s="1553"/>
      <c r="J19" s="1553"/>
      <c r="K19" s="1553"/>
      <c r="L19" s="1553"/>
      <c r="M19" s="1553"/>
      <c r="N19" s="1553"/>
      <c r="O19" s="1553"/>
      <c r="P19" s="1553"/>
      <c r="Q19" s="1553"/>
      <c r="R19" s="1553"/>
      <c r="S19" s="1553"/>
      <c r="T19" s="1553"/>
      <c r="U19" s="1553"/>
    </row>
    <row r="20" spans="1:21" ht="12">
      <c r="A20" s="1488"/>
      <c r="B20" s="1540" t="s">
        <v>1681</v>
      </c>
      <c r="C20" s="1452"/>
      <c r="D20" s="1452"/>
      <c r="E20" s="1452"/>
      <c r="F20" s="1423">
        <v>2</v>
      </c>
      <c r="G20" s="1423">
        <v>2</v>
      </c>
      <c r="H20" s="1563">
        <v>0</v>
      </c>
      <c r="I20" s="1643">
        <v>32</v>
      </c>
      <c r="J20" s="1423">
        <f>Diamond!C21</f>
        <v>151.85115478200001</v>
      </c>
      <c r="K20" s="1423">
        <f>Diamond!D21</f>
        <v>90.232206067000007</v>
      </c>
      <c r="L20" s="1423">
        <f>Diamond!E21</f>
        <v>199.512917437</v>
      </c>
      <c r="M20" s="1423">
        <f>Diamond!F21</f>
        <v>75.114948487999996</v>
      </c>
      <c r="N20" s="1423">
        <f>Diamond!G21</f>
        <v>645.33681027900002</v>
      </c>
      <c r="O20" s="1423">
        <f>Diamond!H21</f>
        <v>662.69388891799997</v>
      </c>
      <c r="P20" s="1423">
        <f>Diamond!I21</f>
        <v>711.40919833800001</v>
      </c>
      <c r="Q20" s="1423">
        <f>Diamond!J21</f>
        <v>722.51478099899998</v>
      </c>
      <c r="R20" s="1423">
        <f>Diamond!K21</f>
        <v>727.36671128900002</v>
      </c>
      <c r="S20" s="2214">
        <f t="shared" ref="S20:U24" si="4">R20</f>
        <v>727.36671128900002</v>
      </c>
      <c r="T20" s="2214">
        <f t="shared" si="4"/>
        <v>727.36671128900002</v>
      </c>
      <c r="U20" s="2214">
        <f t="shared" si="4"/>
        <v>727.36671128900002</v>
      </c>
    </row>
    <row r="21" spans="1:21" ht="12">
      <c r="A21" s="1488"/>
      <c r="B21" s="1495" t="s">
        <v>2476</v>
      </c>
      <c r="C21" s="1452"/>
      <c r="F21" s="1485"/>
      <c r="G21" s="1485"/>
      <c r="H21" s="1660"/>
      <c r="I21" s="1493"/>
      <c r="J21" s="1423">
        <f>Diamond!C20</f>
        <v>37.838469359000001</v>
      </c>
      <c r="K21" s="1423">
        <f>Diamond!D20</f>
        <v>28.645758818000001</v>
      </c>
      <c r="L21" s="1423">
        <f>Diamond!E20</f>
        <v>47.027879233</v>
      </c>
      <c r="M21" s="1423">
        <f>Diamond!F20</f>
        <v>92.441808628000004</v>
      </c>
      <c r="N21" s="1423">
        <f>Diamond!G20</f>
        <v>127.683159471</v>
      </c>
      <c r="O21" s="1423">
        <f>Diamond!H20</f>
        <v>115.007229092</v>
      </c>
      <c r="P21" s="1423">
        <f>Diamond!I20</f>
        <v>132.234528324</v>
      </c>
      <c r="Q21" s="1423">
        <f>Diamond!J20</f>
        <v>110.314929617</v>
      </c>
      <c r="R21" s="1423">
        <f>Diamond!K20</f>
        <v>152.632721113</v>
      </c>
      <c r="S21" s="2214">
        <f t="shared" si="4"/>
        <v>152.632721113</v>
      </c>
      <c r="T21" s="2214">
        <f t="shared" si="4"/>
        <v>152.632721113</v>
      </c>
      <c r="U21" s="2214">
        <f t="shared" si="4"/>
        <v>152.632721113</v>
      </c>
    </row>
    <row r="22" spans="1:21" ht="12">
      <c r="A22" s="1488"/>
      <c r="B22" s="1452" t="s">
        <v>1680</v>
      </c>
      <c r="C22" s="1452"/>
      <c r="F22" s="1548">
        <v>177</v>
      </c>
      <c r="G22" s="1548">
        <v>229</v>
      </c>
      <c r="H22" s="1563">
        <v>331</v>
      </c>
      <c r="I22" s="1423">
        <v>393</v>
      </c>
      <c r="J22" s="1423">
        <f>Diamond!C23</f>
        <v>580.05303769800003</v>
      </c>
      <c r="K22" s="1423">
        <f>Diamond!D23</f>
        <v>962.08321136699999</v>
      </c>
      <c r="L22" s="1423">
        <f>Diamond!E23</f>
        <v>1176.366004321</v>
      </c>
      <c r="M22" s="1423">
        <f>Diamond!F23</f>
        <v>1184.8182532420001</v>
      </c>
      <c r="N22" s="1423">
        <f>Diamond!G23</f>
        <v>106.5</v>
      </c>
      <c r="O22" s="1423">
        <f>Diamond!H23</f>
        <v>353.36068939500001</v>
      </c>
      <c r="P22" s="1423">
        <f>Diamond!I23</f>
        <v>506.49387001000002</v>
      </c>
      <c r="Q22" s="1423">
        <f>Diamond!J23</f>
        <v>394.22636020200002</v>
      </c>
      <c r="R22" s="1423">
        <f>Diamond!K23</f>
        <v>442.90235756999999</v>
      </c>
      <c r="S22" s="2214">
        <f t="shared" si="4"/>
        <v>442.90235756999999</v>
      </c>
      <c r="T22" s="2214">
        <f t="shared" si="4"/>
        <v>442.90235756999999</v>
      </c>
      <c r="U22" s="2214">
        <f t="shared" si="4"/>
        <v>442.90235756999999</v>
      </c>
    </row>
    <row r="23" spans="1:21" ht="12">
      <c r="A23" s="1488"/>
      <c r="B23" s="1452" t="s">
        <v>1982</v>
      </c>
      <c r="C23" s="1452"/>
      <c r="F23" s="1548">
        <v>25</v>
      </c>
      <c r="G23" s="1548">
        <v>24</v>
      </c>
      <c r="H23" s="1563">
        <v>23</v>
      </c>
      <c r="I23" s="1423">
        <v>23</v>
      </c>
      <c r="J23" s="2178">
        <f>Diamond!C22</f>
        <v>29.417932164</v>
      </c>
      <c r="K23" s="2178">
        <f>Diamond!D22</f>
        <v>103.603253013</v>
      </c>
      <c r="L23" s="2178">
        <f>Diamond!E22</f>
        <v>100.477001457</v>
      </c>
      <c r="M23" s="2178">
        <f>Diamond!F22</f>
        <v>88.255203152999997</v>
      </c>
      <c r="N23" s="2178">
        <f>Diamond!G22</f>
        <v>236.83682150199999</v>
      </c>
      <c r="O23" s="2178">
        <f>Diamond!H22</f>
        <v>209.766284434</v>
      </c>
      <c r="P23" s="2178">
        <f>Diamond!I22</f>
        <v>170.870763041</v>
      </c>
      <c r="Q23" s="2178">
        <f>Diamond!J22</f>
        <v>144.54343708100001</v>
      </c>
      <c r="R23" s="2178">
        <f>Diamond!K22</f>
        <v>118.216111121</v>
      </c>
      <c r="S23" s="2214">
        <f t="shared" si="4"/>
        <v>118.216111121</v>
      </c>
      <c r="T23" s="2214">
        <f t="shared" si="4"/>
        <v>118.216111121</v>
      </c>
      <c r="U23" s="2214">
        <f t="shared" si="4"/>
        <v>118.216111121</v>
      </c>
    </row>
    <row r="24" spans="1:21" ht="12">
      <c r="A24" s="1488"/>
      <c r="B24" s="1452" t="s">
        <v>1635</v>
      </c>
      <c r="C24" s="1452"/>
      <c r="D24" s="1452"/>
      <c r="E24" s="1452"/>
      <c r="F24" s="1548">
        <v>21</v>
      </c>
      <c r="G24" s="1548">
        <v>68</v>
      </c>
      <c r="H24" s="1563">
        <v>40</v>
      </c>
      <c r="I24" s="1643">
        <v>118</v>
      </c>
      <c r="J24" s="2178">
        <f>Diamond!C24</f>
        <v>97.746676088000001</v>
      </c>
      <c r="K24" s="2178">
        <f>Diamond!D24</f>
        <v>175.70696317400001</v>
      </c>
      <c r="L24" s="2178">
        <f>Diamond!E24</f>
        <v>313.77337777100001</v>
      </c>
      <c r="M24" s="2178">
        <f>Diamond!F24</f>
        <v>1012.072549106</v>
      </c>
      <c r="N24" s="2178">
        <f>Diamond!G24</f>
        <v>2116.9405794190002</v>
      </c>
      <c r="O24" s="2178">
        <f>Diamond!H24</f>
        <v>1231.5991993360001</v>
      </c>
      <c r="P24" s="2178">
        <f>Diamond!I24</f>
        <v>1034.8571268830001</v>
      </c>
      <c r="Q24" s="2178">
        <f>Diamond!J24</f>
        <v>812.87569503500004</v>
      </c>
      <c r="R24" s="2178">
        <f>Diamond!K24</f>
        <v>1238.7050895740001</v>
      </c>
      <c r="S24" s="2214">
        <f t="shared" si="4"/>
        <v>1238.7050895740001</v>
      </c>
      <c r="T24" s="2214">
        <f t="shared" si="4"/>
        <v>1238.7050895740001</v>
      </c>
      <c r="U24" s="2214">
        <f t="shared" si="4"/>
        <v>1238.7050895740001</v>
      </c>
    </row>
    <row r="25" spans="1:21" ht="12">
      <c r="A25" s="1488"/>
      <c r="B25" s="1495"/>
      <c r="C25" s="1452"/>
      <c r="D25" s="1452"/>
      <c r="E25" s="1452"/>
      <c r="F25" s="1485"/>
      <c r="G25" s="1485"/>
      <c r="H25" s="1561"/>
      <c r="I25" s="1493"/>
      <c r="J25" s="1493"/>
      <c r="K25" s="1493"/>
      <c r="L25" s="1493"/>
      <c r="M25" s="1493"/>
      <c r="N25" s="1493"/>
      <c r="O25" s="1493"/>
      <c r="P25" s="1493"/>
      <c r="Q25" s="1493"/>
      <c r="R25" s="1493"/>
      <c r="S25" s="1493"/>
      <c r="T25" s="1493"/>
      <c r="U25" s="1493"/>
    </row>
    <row r="26" spans="1:21" s="1414" customFormat="1" ht="12">
      <c r="A26" s="1488" t="s">
        <v>1603</v>
      </c>
      <c r="B26" s="1541"/>
      <c r="C26" s="1541" t="s">
        <v>1636</v>
      </c>
      <c r="D26" s="1541"/>
      <c r="E26" s="1541"/>
      <c r="F26" s="1408">
        <f>0+(SUM(F12,F14,F17,F22,F23,F24,F20))</f>
        <v>817</v>
      </c>
      <c r="G26" s="1408">
        <f>0+(SUM(G12,G14,G17,G22,G23,G24,G20))</f>
        <v>1268</v>
      </c>
      <c r="H26" s="1606">
        <f>SUM(H12,H14,H17,H22,H23,H24,H20)</f>
        <v>2162</v>
      </c>
      <c r="I26" s="1408">
        <f>SUM(I12,I14,I17,I22,I23,I24,I20)</f>
        <v>3572.7</v>
      </c>
      <c r="J26" s="1408">
        <f t="shared" ref="J26:O26" si="5">SUM(J12,J14,J17,J22,J23,J24,J20,J21)</f>
        <v>5562.7911742559991</v>
      </c>
      <c r="K26" s="1408">
        <f t="shared" si="5"/>
        <v>10264.402566111999</v>
      </c>
      <c r="L26" s="1408">
        <f t="shared" si="5"/>
        <v>13728.714740541</v>
      </c>
      <c r="M26" s="1408">
        <f t="shared" si="5"/>
        <v>19880.517214812997</v>
      </c>
      <c r="N26" s="1408">
        <f t="shared" si="5"/>
        <v>23311.433045214999</v>
      </c>
      <c r="O26" s="1408">
        <f t="shared" si="5"/>
        <v>28254.061055415001</v>
      </c>
      <c r="P26" s="1408">
        <f t="shared" ref="P26:U26" si="6">SUM(P12,P14,P17,P22,P23,P24,P20,P21)</f>
        <v>30320.666425408999</v>
      </c>
      <c r="Q26" s="1408">
        <f t="shared" si="6"/>
        <v>28786.440854317003</v>
      </c>
      <c r="R26" s="1408">
        <f t="shared" si="6"/>
        <v>29260.003558015571</v>
      </c>
      <c r="S26" s="1408">
        <f t="shared" si="6"/>
        <v>32374.326131966536</v>
      </c>
      <c r="T26" s="1408">
        <f t="shared" si="6"/>
        <v>42621.569648944474</v>
      </c>
      <c r="U26" s="1408">
        <f t="shared" si="6"/>
        <v>47060.935512585755</v>
      </c>
    </row>
    <row r="27" spans="1:21" ht="12">
      <c r="A27" s="1488"/>
      <c r="B27" s="1481"/>
      <c r="F27" s="1530"/>
      <c r="H27" s="1564"/>
    </row>
    <row r="28" spans="1:21" ht="12">
      <c r="A28" s="1488"/>
      <c r="B28" s="1472" t="s">
        <v>1357</v>
      </c>
      <c r="C28" s="1472"/>
      <c r="D28" s="1472"/>
      <c r="E28" s="1472"/>
      <c r="F28" s="1423">
        <f>36+49</f>
        <v>85</v>
      </c>
      <c r="G28" s="1423">
        <f>21+241</f>
        <v>262</v>
      </c>
      <c r="H28" s="1563">
        <v>55</v>
      </c>
      <c r="I28" s="1423">
        <v>134</v>
      </c>
      <c r="J28" s="1463">
        <f>'Working Capital'!J16</f>
        <v>160.82666017099999</v>
      </c>
      <c r="K28" s="1463">
        <f>'Working Capital'!K16</f>
        <v>315.68985719400001</v>
      </c>
      <c r="L28" s="1463">
        <f>'Working Capital'!L16</f>
        <v>580.97384286500005</v>
      </c>
      <c r="M28" s="1463">
        <f>'Working Capital'!M16</f>
        <v>1186.5137338940001</v>
      </c>
      <c r="N28" s="1463">
        <f>'Working Capital'!N16</f>
        <v>604.01403052299997</v>
      </c>
      <c r="O28" s="1463">
        <f>'Working Capital'!O16</f>
        <v>848.96967495599995</v>
      </c>
      <c r="P28" s="1463">
        <f>'Working Capital'!P16</f>
        <v>1149.3594824500001</v>
      </c>
      <c r="Q28" s="1463">
        <f>'Working Capital'!Q16</f>
        <v>767.20483354600003</v>
      </c>
      <c r="R28" s="1463">
        <f>'Working Capital'!R16</f>
        <v>905.55946772350683</v>
      </c>
      <c r="S28" s="1463">
        <f>'Working Capital'!S16</f>
        <v>1554.4391254338327</v>
      </c>
      <c r="T28" s="1463">
        <f>'Working Capital'!T16</f>
        <v>1903.0052548090209</v>
      </c>
      <c r="U28" s="1463">
        <f>'Working Capital'!U16</f>
        <v>2616.5858720938168</v>
      </c>
    </row>
    <row r="29" spans="1:21" ht="12">
      <c r="A29" s="1488"/>
      <c r="B29" s="1472" t="s">
        <v>1646</v>
      </c>
      <c r="C29" s="1472"/>
      <c r="D29" s="1472"/>
      <c r="E29" s="1472"/>
      <c r="F29" s="1423">
        <v>65</v>
      </c>
      <c r="G29" s="1423">
        <v>158</v>
      </c>
      <c r="H29" s="1563">
        <v>234</v>
      </c>
      <c r="I29" s="1423">
        <v>832</v>
      </c>
      <c r="J29" s="1463">
        <f>'Working Capital'!J17</f>
        <v>440.98335732300001</v>
      </c>
      <c r="K29" s="1463">
        <f>'Working Capital'!K17</f>
        <v>1408.4873947369999</v>
      </c>
      <c r="L29" s="1463">
        <f>'Working Capital'!L17</f>
        <v>1048.3442675429999</v>
      </c>
      <c r="M29" s="1463">
        <f>'Working Capital'!M17</f>
        <v>943.84253429199998</v>
      </c>
      <c r="N29" s="1463">
        <f>'Working Capital'!N17</f>
        <v>2968.982334322</v>
      </c>
      <c r="O29" s="1463">
        <f>'Working Capital'!O17</f>
        <v>2242.6083924260001</v>
      </c>
      <c r="P29" s="1463">
        <f>'Working Capital'!P17</f>
        <v>2550.280886819</v>
      </c>
      <c r="Q29" s="1463">
        <f>'Working Capital'!Q17</f>
        <v>1866.1541563830001</v>
      </c>
      <c r="R29" s="1463">
        <f>'Working Capital'!R17</f>
        <v>0</v>
      </c>
      <c r="S29" s="1463">
        <f>'Working Capital'!S17</f>
        <v>1671.8355000000001</v>
      </c>
      <c r="T29" s="1463">
        <f>'Working Capital'!T17</f>
        <v>10423.306575000001</v>
      </c>
      <c r="U29" s="1463">
        <f>'Working Capital'!U17</f>
        <v>8944.5168867560024</v>
      </c>
    </row>
    <row r="30" spans="1:21" ht="12">
      <c r="A30" s="1488"/>
      <c r="B30" s="1431" t="s">
        <v>1637</v>
      </c>
      <c r="F30" s="1410">
        <f>F32-F29-F28-F31</f>
        <v>83</v>
      </c>
      <c r="G30" s="1410">
        <f>G32-G29-G28-G31</f>
        <v>111</v>
      </c>
      <c r="H30" s="1688">
        <v>603</v>
      </c>
      <c r="I30" s="1423">
        <v>395</v>
      </c>
      <c r="J30" s="1463">
        <f>'Working Capital'!J18</f>
        <v>735.86777401100005</v>
      </c>
      <c r="K30" s="1463">
        <f>'Working Capital'!K18</f>
        <v>1344.2508111039999</v>
      </c>
      <c r="L30" s="1463">
        <f>'Working Capital'!L18</f>
        <v>3016.8876396330002</v>
      </c>
      <c r="M30" s="1463">
        <f>'Working Capital'!M18</f>
        <v>4083.0268792450001</v>
      </c>
      <c r="N30" s="1463">
        <f>'Working Capital'!N18</f>
        <v>4676.576211138</v>
      </c>
      <c r="O30" s="1463">
        <f>'Working Capital'!O18</f>
        <v>7202.3381429139999</v>
      </c>
      <c r="P30" s="1463">
        <f>'Working Capital'!P18</f>
        <v>6532.4743290280003</v>
      </c>
      <c r="Q30" s="1463">
        <f>'Working Capital'!Q18</f>
        <v>6393.4597067080003</v>
      </c>
      <c r="R30" s="1463">
        <f>'Working Capital'!R18</f>
        <v>6393.4597067080003</v>
      </c>
      <c r="S30" s="1463">
        <f>'Working Capital'!S18</f>
        <v>6393.4597067080003</v>
      </c>
      <c r="T30" s="1463">
        <f>'Working Capital'!T18</f>
        <v>6393.4597067080003</v>
      </c>
      <c r="U30" s="1463">
        <f>'Working Capital'!U18</f>
        <v>6393.4597067080003</v>
      </c>
    </row>
    <row r="31" spans="1:21" ht="12">
      <c r="A31" s="1488"/>
      <c r="B31" s="1431" t="s">
        <v>1474</v>
      </c>
      <c r="F31" s="1423">
        <v>0</v>
      </c>
      <c r="G31" s="1423">
        <v>0</v>
      </c>
      <c r="H31" s="1563">
        <v>1</v>
      </c>
      <c r="I31" s="1423">
        <v>156</v>
      </c>
      <c r="J31" s="1463">
        <f>Debt!J13</f>
        <v>189.927067327</v>
      </c>
      <c r="K31" s="1463">
        <f>Debt!K13</f>
        <v>658.18102245600005</v>
      </c>
      <c r="L31" s="1463">
        <f>Debt!L13</f>
        <v>471.42507623500001</v>
      </c>
      <c r="M31" s="1463">
        <f>Debt!M13</f>
        <v>1063.200299649</v>
      </c>
      <c r="N31" s="1463">
        <f>Debt!N13</f>
        <v>2068.9482480010001</v>
      </c>
      <c r="O31" s="1463">
        <f>Debt!O13</f>
        <v>2962.8058815170002</v>
      </c>
      <c r="P31" s="1463">
        <f>Debt!P13</f>
        <v>2022.8844031900001</v>
      </c>
      <c r="Q31" s="1463">
        <f>Debt!Q13</f>
        <v>2590.7560194450002</v>
      </c>
      <c r="R31" s="1463">
        <f>Debt!R13</f>
        <v>2340.7560194450002</v>
      </c>
      <c r="S31" s="1463">
        <f>Debt!S13</f>
        <v>2340.7560194450002</v>
      </c>
      <c r="T31" s="1463">
        <f>Debt!T13</f>
        <v>2340.7560194450002</v>
      </c>
      <c r="U31" s="1463">
        <f>Debt!U13</f>
        <v>2340.7560194450002</v>
      </c>
    </row>
    <row r="32" spans="1:21" ht="12">
      <c r="A32" s="1488" t="s">
        <v>1603</v>
      </c>
      <c r="C32" s="1431" t="s">
        <v>1638</v>
      </c>
      <c r="F32" s="1422">
        <v>233</v>
      </c>
      <c r="G32" s="1422">
        <v>531</v>
      </c>
      <c r="H32" s="1555">
        <f t="shared" ref="H32:M32" si="7">SUM(H28:H31)</f>
        <v>893</v>
      </c>
      <c r="I32" s="1441">
        <f t="shared" si="7"/>
        <v>1517</v>
      </c>
      <c r="J32" s="1441">
        <f t="shared" si="7"/>
        <v>1527.6048588320002</v>
      </c>
      <c r="K32" s="1441">
        <f t="shared" si="7"/>
        <v>3726.6090854909999</v>
      </c>
      <c r="L32" s="1441">
        <f t="shared" si="7"/>
        <v>5117.6308262760003</v>
      </c>
      <c r="M32" s="1441">
        <f t="shared" si="7"/>
        <v>7276.583447080001</v>
      </c>
      <c r="N32" s="1441">
        <f t="shared" ref="N32:T32" si="8">SUM(N28:N31)</f>
        <v>10318.520823983999</v>
      </c>
      <c r="O32" s="1441">
        <f t="shared" si="8"/>
        <v>13256.722091813001</v>
      </c>
      <c r="P32" s="1441">
        <f t="shared" si="8"/>
        <v>12254.999101487001</v>
      </c>
      <c r="Q32" s="1441">
        <f t="shared" ref="Q32:R32" si="9">SUM(Q28:Q31)</f>
        <v>11617.574716082001</v>
      </c>
      <c r="R32" s="1441">
        <f t="shared" si="9"/>
        <v>9639.7751938765068</v>
      </c>
      <c r="S32" s="1441">
        <f t="shared" si="8"/>
        <v>11960.490351586834</v>
      </c>
      <c r="T32" s="1441">
        <f t="shared" si="8"/>
        <v>21060.527555962024</v>
      </c>
      <c r="U32" s="1441">
        <f t="shared" ref="U32" si="10">SUM(U28:U31)</f>
        <v>20295.318485002819</v>
      </c>
    </row>
    <row r="33" spans="1:21" ht="12">
      <c r="A33" s="1488"/>
      <c r="F33" s="1447"/>
      <c r="H33" s="1561"/>
    </row>
    <row r="34" spans="1:21" ht="12">
      <c r="A34" s="1488"/>
      <c r="B34" s="1447" t="s">
        <v>1001</v>
      </c>
      <c r="F34" s="1548">
        <v>0</v>
      </c>
      <c r="G34" s="1548">
        <v>70</v>
      </c>
      <c r="H34" s="1560">
        <v>119</v>
      </c>
      <c r="I34" s="1518">
        <v>283</v>
      </c>
      <c r="J34" s="1519">
        <f>Debt!J14</f>
        <v>494.13536065400001</v>
      </c>
      <c r="K34" s="1519">
        <f>Debt!K14</f>
        <v>1871.2236315120001</v>
      </c>
      <c r="L34" s="1519">
        <f>Debt!L14</f>
        <v>2394.3954624910002</v>
      </c>
      <c r="M34" s="1519">
        <f>Debt!M14</f>
        <v>3336.5307071819998</v>
      </c>
      <c r="N34" s="1519">
        <f>Debt!N14</f>
        <v>3876.3681805030001</v>
      </c>
      <c r="O34" s="1519">
        <f>Debt!O14</f>
        <v>1517.1049295600001</v>
      </c>
      <c r="P34" s="1519">
        <f>Debt!P14</f>
        <v>3748.4801045160002</v>
      </c>
      <c r="Q34" s="1519">
        <f>Debt!Q14</f>
        <v>2698.543683373</v>
      </c>
      <c r="R34" s="1519">
        <f>Debt!R14</f>
        <v>2448.543683373</v>
      </c>
      <c r="S34" s="1519">
        <f>Debt!S14</f>
        <v>2448.543683373</v>
      </c>
      <c r="T34" s="1519">
        <f>Debt!T14</f>
        <v>2448.543683373</v>
      </c>
      <c r="U34" s="1519">
        <f>Debt!U14</f>
        <v>2448.543683373</v>
      </c>
    </row>
    <row r="35" spans="1:21" ht="12">
      <c r="A35" s="1488"/>
      <c r="B35" s="1431" t="s">
        <v>1639</v>
      </c>
      <c r="F35" s="1548">
        <v>4</v>
      </c>
      <c r="G35" s="1548">
        <v>3</v>
      </c>
      <c r="H35" s="1560">
        <v>76</v>
      </c>
      <c r="I35" s="1423">
        <v>2</v>
      </c>
      <c r="J35" s="1423">
        <f>Diamond!C34</f>
        <v>3.6958816759999999</v>
      </c>
      <c r="K35" s="1423">
        <f>Diamond!D34</f>
        <v>12.724671544</v>
      </c>
      <c r="L35" s="1423">
        <f>Diamond!E34</f>
        <v>17.594365791000001</v>
      </c>
      <c r="M35" s="1423">
        <f>Diamond!F34</f>
        <v>39.581692467000003</v>
      </c>
      <c r="N35" s="1423">
        <f>Diamond!G34</f>
        <v>32.503341054000003</v>
      </c>
      <c r="O35" s="1423">
        <f>Diamond!H34</f>
        <v>98.758893647999997</v>
      </c>
      <c r="P35" s="1423">
        <f>Diamond!I34</f>
        <v>232.25556895400001</v>
      </c>
      <c r="Q35" s="1423">
        <f>Diamond!J34</f>
        <v>283.95454722099998</v>
      </c>
      <c r="R35" s="1423">
        <f>Diamond!K34</f>
        <v>189.36279743200001</v>
      </c>
      <c r="S35" s="2214">
        <f>R35</f>
        <v>189.36279743200001</v>
      </c>
      <c r="T35" s="2214">
        <f>S35</f>
        <v>189.36279743200001</v>
      </c>
      <c r="U35" s="2214">
        <f>T35</f>
        <v>189.36279743200001</v>
      </c>
    </row>
    <row r="36" spans="1:21" ht="12">
      <c r="A36" s="1488"/>
      <c r="C36" s="1431" t="s">
        <v>1640</v>
      </c>
      <c r="F36" s="1441">
        <f>0+(SUM(F34:F35)+F32)</f>
        <v>237</v>
      </c>
      <c r="G36" s="1441">
        <f>0+(SUM(G34:G35)+G32)</f>
        <v>604</v>
      </c>
      <c r="H36" s="1555">
        <f t="shared" ref="H36:M36" si="11">SUM(H34:H35)+H32</f>
        <v>1088</v>
      </c>
      <c r="I36" s="1441">
        <f t="shared" si="11"/>
        <v>1802</v>
      </c>
      <c r="J36" s="1441">
        <f t="shared" si="11"/>
        <v>2025.4361011620003</v>
      </c>
      <c r="K36" s="1441">
        <f t="shared" si="11"/>
        <v>5610.5573885470003</v>
      </c>
      <c r="L36" s="1441">
        <f t="shared" si="11"/>
        <v>7529.6206545580008</v>
      </c>
      <c r="M36" s="1441">
        <f t="shared" si="11"/>
        <v>10652.695846729001</v>
      </c>
      <c r="N36" s="1441">
        <f t="shared" ref="N36:T36" si="12">SUM(N34:N35)+N32</f>
        <v>14227.392345541</v>
      </c>
      <c r="O36" s="1441">
        <f t="shared" si="12"/>
        <v>14872.585915021</v>
      </c>
      <c r="P36" s="1441">
        <f t="shared" si="12"/>
        <v>16235.734774957002</v>
      </c>
      <c r="Q36" s="1441">
        <f t="shared" ref="Q36:R36" si="13">SUM(Q34:Q35)+Q32</f>
        <v>14600.072946676002</v>
      </c>
      <c r="R36" s="1441">
        <f t="shared" si="13"/>
        <v>12277.681674681508</v>
      </c>
      <c r="S36" s="1441">
        <f t="shared" si="12"/>
        <v>14598.396832391834</v>
      </c>
      <c r="T36" s="1441">
        <f t="shared" si="12"/>
        <v>23698.434036767023</v>
      </c>
      <c r="U36" s="1441">
        <f t="shared" ref="U36" si="14">SUM(U34:U35)+U32</f>
        <v>22933.224965807818</v>
      </c>
    </row>
    <row r="37" spans="1:21" ht="12">
      <c r="A37" s="1488"/>
      <c r="F37" s="1447"/>
      <c r="H37" s="1561"/>
    </row>
    <row r="38" spans="1:21" ht="12">
      <c r="A38" s="1488"/>
      <c r="B38" s="1431" t="s">
        <v>1743</v>
      </c>
      <c r="F38" s="1463">
        <f>Equity!F7</f>
        <v>0</v>
      </c>
      <c r="G38" s="1463">
        <f>Equity!G7</f>
        <v>0</v>
      </c>
      <c r="H38" s="1663">
        <f>Equity!H7</f>
        <v>0</v>
      </c>
      <c r="I38" s="1463">
        <f>Equity!I7</f>
        <v>0</v>
      </c>
      <c r="J38" s="1463">
        <f>Equity!J7</f>
        <v>0</v>
      </c>
      <c r="K38" s="1463">
        <f>Equity!K7</f>
        <v>0</v>
      </c>
      <c r="L38" s="1463">
        <f>Equity!L7</f>
        <v>0</v>
      </c>
      <c r="M38" s="1463">
        <f>Equity!M7</f>
        <v>0</v>
      </c>
      <c r="N38" s="1463">
        <f>Equity!N7</f>
        <v>0</v>
      </c>
      <c r="O38" s="1463">
        <f>Equity!O7</f>
        <v>0</v>
      </c>
      <c r="P38" s="1463">
        <f>Equity!P7</f>
        <v>0</v>
      </c>
      <c r="Q38" s="1463">
        <f>Equity!Q7</f>
        <v>0</v>
      </c>
      <c r="R38" s="1463">
        <f>Equity!R7</f>
        <v>0</v>
      </c>
      <c r="S38" s="1463">
        <f>Equity!S7</f>
        <v>0</v>
      </c>
      <c r="T38" s="1463">
        <f>Equity!T7</f>
        <v>0</v>
      </c>
      <c r="U38" s="1463">
        <f>Equity!U7</f>
        <v>0</v>
      </c>
    </row>
    <row r="39" spans="1:21" ht="12">
      <c r="A39" s="1488"/>
      <c r="B39" s="1431" t="s">
        <v>1742</v>
      </c>
      <c r="F39" s="1463">
        <f>Equity!F8</f>
        <v>32</v>
      </c>
      <c r="G39" s="1463">
        <f>Equity!G8</f>
        <v>11</v>
      </c>
      <c r="H39" s="1663">
        <f>Equity!H8</f>
        <v>11</v>
      </c>
      <c r="I39" s="1463">
        <f>Equity!I8</f>
        <v>11</v>
      </c>
      <c r="J39" s="1463">
        <f>Equity!J8</f>
        <v>10.867980806</v>
      </c>
      <c r="K39" s="1463">
        <f>Equity!K8</f>
        <v>10.867980806</v>
      </c>
      <c r="L39" s="1463">
        <f>Equity!L8</f>
        <v>10.867980806</v>
      </c>
      <c r="M39" s="1463">
        <f>Equity!M8</f>
        <v>10.677980806000001</v>
      </c>
      <c r="N39" s="1463">
        <f>Equity!N8</f>
        <v>10.677980806000001</v>
      </c>
      <c r="O39" s="1463">
        <f>Equity!O8</f>
        <v>10.677980806000001</v>
      </c>
      <c r="P39" s="1463">
        <f>Equity!P8</f>
        <v>80.398440805999996</v>
      </c>
      <c r="Q39" s="1463">
        <f>Equity!Q8</f>
        <v>80.398440805999996</v>
      </c>
      <c r="R39" s="1463">
        <f>Equity!R8</f>
        <v>283.742278806</v>
      </c>
      <c r="S39" s="1463">
        <f>Equity!S8</f>
        <v>283.742278806</v>
      </c>
      <c r="T39" s="1463">
        <f>Equity!T8</f>
        <v>283.742278806</v>
      </c>
      <c r="U39" s="1463">
        <f>Equity!U8</f>
        <v>283.742278806</v>
      </c>
    </row>
    <row r="40" spans="1:21" ht="12">
      <c r="A40" s="1488"/>
      <c r="B40" s="1431" t="s">
        <v>1744</v>
      </c>
      <c r="F40" s="1463">
        <f>Equity!F9</f>
        <v>420</v>
      </c>
      <c r="G40" s="1463">
        <f>Equity!G9</f>
        <v>528</v>
      </c>
      <c r="H40" s="1663">
        <f>Equity!H9</f>
        <v>750</v>
      </c>
      <c r="I40" s="1463">
        <f>Equity!I9</f>
        <v>1173</v>
      </c>
      <c r="J40" s="1463">
        <f>Equity!J9</f>
        <v>2530.4906799999999</v>
      </c>
      <c r="K40" s="1463">
        <f>Equity!K9</f>
        <v>3031.92686</v>
      </c>
      <c r="L40" s="1463">
        <f>Equity!L9</f>
        <v>3500.7141200000001</v>
      </c>
      <c r="M40" s="1463">
        <f>Equity!M9</f>
        <v>5200.3466699999999</v>
      </c>
      <c r="N40" s="1463">
        <f>Equity!N9</f>
        <v>5200.3466699999999</v>
      </c>
      <c r="O40" s="1463">
        <f>Equity!O9</f>
        <v>5977.7304800000002</v>
      </c>
      <c r="P40" s="1463">
        <f>Equity!P9</f>
        <v>6117.7900200000004</v>
      </c>
      <c r="Q40" s="1463">
        <f>Equity!Q9</f>
        <v>6117.7900200000004</v>
      </c>
      <c r="R40" s="1463">
        <f>Equity!R9</f>
        <v>7134.5092100000002</v>
      </c>
      <c r="S40" s="1463">
        <f>Equity!S9</f>
        <v>7134.5092100000002</v>
      </c>
      <c r="T40" s="1463">
        <f>Equity!T9</f>
        <v>7134.5092100000002</v>
      </c>
      <c r="U40" s="1463">
        <f>Equity!U9</f>
        <v>7134.5092100000002</v>
      </c>
    </row>
    <row r="41" spans="1:21" ht="12">
      <c r="A41" s="1488"/>
      <c r="B41" s="1431" t="s">
        <v>1772</v>
      </c>
      <c r="F41" s="1463">
        <f>Equity!F10</f>
        <v>96</v>
      </c>
      <c r="G41" s="1463">
        <f>Equity!G10</f>
        <v>84</v>
      </c>
      <c r="H41" s="1663">
        <f>Equity!H10</f>
        <v>229</v>
      </c>
      <c r="I41" s="1463">
        <f>Equity!I10</f>
        <v>382</v>
      </c>
      <c r="J41" s="1463">
        <f>Equity!J10</f>
        <v>676.74725136899997</v>
      </c>
      <c r="K41" s="1463">
        <f>Equity!K10</f>
        <v>745.71643089500003</v>
      </c>
      <c r="L41" s="1463">
        <f>Equity!L10</f>
        <v>1455.564086735</v>
      </c>
      <c r="M41" s="1463">
        <f>Equity!M10</f>
        <v>1715.781731515</v>
      </c>
      <c r="N41" s="1463">
        <f>Equity!N10</f>
        <v>841.36210771900005</v>
      </c>
      <c r="O41" s="1463">
        <f>Equity!O10</f>
        <v>2669.0773931939998</v>
      </c>
      <c r="P41" s="1463">
        <f>Equity!P10</f>
        <v>2308.311063143</v>
      </c>
      <c r="Q41" s="1463">
        <f>Equity!Q10</f>
        <v>1736.2253629899999</v>
      </c>
      <c r="R41" s="1463">
        <f>Equity!R10</f>
        <v>1988.7876912259994</v>
      </c>
      <c r="S41" s="1463">
        <f>Equity!S10</f>
        <v>2568.1752899020594</v>
      </c>
      <c r="T41" s="1463">
        <f>Equity!T10</f>
        <v>3458.6875390516152</v>
      </c>
      <c r="U41" s="1463">
        <f>Equity!U10</f>
        <v>8570.8662403498165</v>
      </c>
    </row>
    <row r="42" spans="1:21" ht="12">
      <c r="A42" s="1488"/>
      <c r="B42" s="1431" t="s">
        <v>1745</v>
      </c>
      <c r="F42" s="1463">
        <f>Equity!F11</f>
        <v>24</v>
      </c>
      <c r="G42" s="1463">
        <f>Equity!G11</f>
        <v>31</v>
      </c>
      <c r="H42" s="1663">
        <f>Equity!H11</f>
        <v>69</v>
      </c>
      <c r="I42" s="1463">
        <f>Equity!I11</f>
        <v>188</v>
      </c>
      <c r="J42" s="1463">
        <f>Equity!J11</f>
        <v>292.67750375999998</v>
      </c>
      <c r="K42" s="1463">
        <f>Equity!K11</f>
        <v>840.30703719500002</v>
      </c>
      <c r="L42" s="1463">
        <f>Equity!L11</f>
        <v>1199.429709585</v>
      </c>
      <c r="M42" s="1463">
        <f>Equity!M11</f>
        <v>2238.8801764240002</v>
      </c>
      <c r="N42" s="1463">
        <f>Equity!N11</f>
        <v>2929.8575634919998</v>
      </c>
      <c r="O42" s="1463">
        <f>Equity!O11</f>
        <v>4611.9929087370001</v>
      </c>
      <c r="P42" s="1463">
        <f>Equity!P11</f>
        <v>4839.7795632520001</v>
      </c>
      <c r="Q42" s="1463">
        <f>Equity!Q11</f>
        <v>4783.2092204580003</v>
      </c>
      <c r="R42" s="1463">
        <f>Equity!R11</f>
        <v>4984.8717158899999</v>
      </c>
      <c r="S42" s="1463">
        <f>Equity!S11</f>
        <v>5199.0915334545798</v>
      </c>
      <c r="T42" s="1463">
        <f>Equity!T11</f>
        <v>5455.7855969077764</v>
      </c>
      <c r="U42" s="1463">
        <f>Equity!U11</f>
        <v>5763.3103450890621</v>
      </c>
    </row>
    <row r="43" spans="1:21" ht="12">
      <c r="A43" s="1488"/>
      <c r="B43" s="1431" t="s">
        <v>589</v>
      </c>
      <c r="F43" s="1463">
        <f>Equity!F12</f>
        <v>8</v>
      </c>
      <c r="G43" s="1463">
        <f>Equity!G12</f>
        <v>10</v>
      </c>
      <c r="H43" s="1663">
        <f>Equity!H12</f>
        <v>13</v>
      </c>
      <c r="I43" s="1463">
        <f>Equity!I12</f>
        <v>17</v>
      </c>
      <c r="J43" s="1463">
        <f>Equity!J12</f>
        <v>37.439637965000202</v>
      </c>
      <c r="K43" s="1463">
        <f>Equity!K12</f>
        <v>35.894849475000228</v>
      </c>
      <c r="L43" s="1463">
        <f>Equity!L12</f>
        <v>43.386169662999691</v>
      </c>
      <c r="M43" s="1463">
        <f>Equity!M12</f>
        <v>72.812790144999781</v>
      </c>
      <c r="N43" s="1463">
        <f>Equity!N12</f>
        <v>112.4743584630005</v>
      </c>
      <c r="O43" s="1463">
        <f>Equity!O12</f>
        <v>122.67435846300032</v>
      </c>
      <c r="P43" s="1463">
        <f>Equity!P12</f>
        <v>738.65256325099972</v>
      </c>
      <c r="Q43" s="1463">
        <f>Equity!Q12</f>
        <v>1468.7448633870004</v>
      </c>
      <c r="R43" s="1463">
        <f>Equity!R12</f>
        <v>1468.7448633870004</v>
      </c>
      <c r="S43" s="1463">
        <f>Equity!S12</f>
        <v>1468.7448633870004</v>
      </c>
      <c r="T43" s="1463">
        <f>Equity!T12</f>
        <v>1468.7448633870004</v>
      </c>
      <c r="U43" s="1463">
        <f>Equity!U12</f>
        <v>1468.7448633870004</v>
      </c>
    </row>
    <row r="44" spans="1:21" ht="12">
      <c r="A44" s="1488"/>
      <c r="B44" s="1407" t="s">
        <v>1641</v>
      </c>
      <c r="F44" s="1410">
        <f t="shared" ref="F44:T44" si="15">SUM(F38:F43)</f>
        <v>580</v>
      </c>
      <c r="G44" s="1410">
        <f t="shared" si="15"/>
        <v>664</v>
      </c>
      <c r="H44" s="1607">
        <f t="shared" si="15"/>
        <v>1072</v>
      </c>
      <c r="I44" s="1410">
        <f t="shared" si="15"/>
        <v>1771</v>
      </c>
      <c r="J44" s="1410">
        <f t="shared" si="15"/>
        <v>3548.2230539000002</v>
      </c>
      <c r="K44" s="1410">
        <f t="shared" si="15"/>
        <v>4664.7131583710006</v>
      </c>
      <c r="L44" s="1410">
        <f t="shared" si="15"/>
        <v>6209.9620667889994</v>
      </c>
      <c r="M44" s="1410">
        <f t="shared" si="15"/>
        <v>9238.49934889</v>
      </c>
      <c r="N44" s="1410">
        <f t="shared" si="15"/>
        <v>9094.7186804800003</v>
      </c>
      <c r="O44" s="1410">
        <f t="shared" si="15"/>
        <v>13392.153121200001</v>
      </c>
      <c r="P44" s="1410">
        <f t="shared" si="15"/>
        <v>14084.931650452001</v>
      </c>
      <c r="Q44" s="1410">
        <f t="shared" ref="Q44:R44" si="16">SUM(Q38:Q43)</f>
        <v>14186.367907641001</v>
      </c>
      <c r="R44" s="1410">
        <f t="shared" si="16"/>
        <v>15860.655759309</v>
      </c>
      <c r="S44" s="1410">
        <f t="shared" si="15"/>
        <v>16654.26317554964</v>
      </c>
      <c r="T44" s="1410">
        <f t="shared" si="15"/>
        <v>17801.469488152394</v>
      </c>
      <c r="U44" s="1410">
        <f t="shared" ref="U44" si="17">SUM(U38:U43)</f>
        <v>23221.17293763188</v>
      </c>
    </row>
    <row r="45" spans="1:21" ht="12">
      <c r="A45" s="1488"/>
      <c r="H45" s="1483"/>
      <c r="P45" s="1440"/>
      <c r="Q45" s="1440"/>
      <c r="R45" s="1440"/>
      <c r="S45" s="1440"/>
      <c r="T45" s="1440"/>
      <c r="U45" s="1440"/>
    </row>
    <row r="46" spans="1:21" s="1414" customFormat="1" ht="12">
      <c r="A46" s="1488" t="s">
        <v>1603</v>
      </c>
      <c r="B46" s="1414" t="s">
        <v>1642</v>
      </c>
      <c r="F46" s="1410">
        <f>F44+F36</f>
        <v>817</v>
      </c>
      <c r="G46" s="1410">
        <f>G44+G36</f>
        <v>1268</v>
      </c>
      <c r="H46" s="1607">
        <f t="shared" ref="H46:M46" si="18">H44+H36</f>
        <v>2160</v>
      </c>
      <c r="I46" s="1410">
        <f t="shared" si="18"/>
        <v>3573</v>
      </c>
      <c r="J46" s="1410">
        <f t="shared" si="18"/>
        <v>5573.6591550620005</v>
      </c>
      <c r="K46" s="1410">
        <f t="shared" si="18"/>
        <v>10275.270546918</v>
      </c>
      <c r="L46" s="1410">
        <f t="shared" si="18"/>
        <v>13739.582721347</v>
      </c>
      <c r="M46" s="1410">
        <f t="shared" si="18"/>
        <v>19891.195195619002</v>
      </c>
      <c r="N46" s="1410">
        <f t="shared" ref="N46:T46" si="19">N44+N36</f>
        <v>23322.111026021001</v>
      </c>
      <c r="O46" s="1410">
        <f t="shared" si="19"/>
        <v>28264.739036220999</v>
      </c>
      <c r="P46" s="1410">
        <f t="shared" si="19"/>
        <v>30320.666425409003</v>
      </c>
      <c r="Q46" s="1410">
        <f t="shared" si="19"/>
        <v>28786.440854317003</v>
      </c>
      <c r="R46" s="1410">
        <f t="shared" ref="R46" si="20">R44+R36</f>
        <v>28138.337433990506</v>
      </c>
      <c r="S46" s="1410">
        <f t="shared" si="19"/>
        <v>31252.660007941475</v>
      </c>
      <c r="T46" s="1410">
        <f t="shared" si="19"/>
        <v>41499.903524919413</v>
      </c>
      <c r="U46" s="1410">
        <f t="shared" ref="U46" si="21">U44+U36</f>
        <v>46154.397903439698</v>
      </c>
    </row>
    <row r="47" spans="1:21" ht="12">
      <c r="A47" s="1447"/>
      <c r="B47" s="1447"/>
      <c r="C47" s="1447"/>
      <c r="D47" s="1693" t="s">
        <v>1643</v>
      </c>
      <c r="E47" s="1447"/>
      <c r="F47" s="1554">
        <f>IF(AND((F46-F26)&lt;=2,((F46-F26)&gt;=-2)),0,F46-F26)</f>
        <v>0</v>
      </c>
      <c r="G47" s="1554">
        <f>IF(AND((G46-G26)&lt;=2,((G46-G26)&gt;=-2)),0,G46-G26)</f>
        <v>0</v>
      </c>
      <c r="H47" s="1565">
        <f t="shared" ref="H47:M47" si="22">IF(AND((H46-H26)&lt;=2,((H46-H26)&gt;=-2)),0,H46-H26)</f>
        <v>0</v>
      </c>
      <c r="I47" s="1554">
        <f t="shared" si="22"/>
        <v>0</v>
      </c>
      <c r="J47" s="1554">
        <f t="shared" si="22"/>
        <v>10.867980806001469</v>
      </c>
      <c r="K47" s="1554">
        <f t="shared" si="22"/>
        <v>10.86798080600056</v>
      </c>
      <c r="L47" s="1554">
        <f t="shared" si="22"/>
        <v>10.86798080600056</v>
      </c>
      <c r="M47" s="1554">
        <f t="shared" si="22"/>
        <v>10.677980806005507</v>
      </c>
      <c r="N47" s="1554">
        <f t="shared" ref="N47:T47" si="23">IF(AND((N46-N26)&lt;=2,((N46-N26)&gt;=-2)),0,N46-N26)</f>
        <v>10.677980806001869</v>
      </c>
      <c r="O47" s="1554">
        <f t="shared" si="23"/>
        <v>10.677980805998232</v>
      </c>
      <c r="P47" s="1554">
        <f t="shared" si="23"/>
        <v>0</v>
      </c>
      <c r="Q47" s="1554">
        <f t="shared" si="23"/>
        <v>0</v>
      </c>
      <c r="R47" s="1554">
        <f t="shared" ref="R47" si="24">IF(AND((R46-R26)&lt;=2,((R46-R26)&gt;=-2)),0,R46-R26)</f>
        <v>-1121.6661240250651</v>
      </c>
      <c r="S47" s="1554">
        <f t="shared" si="23"/>
        <v>-1121.6661240250614</v>
      </c>
      <c r="T47" s="1554">
        <f t="shared" si="23"/>
        <v>-1121.6661240250614</v>
      </c>
      <c r="U47" s="1554">
        <f t="shared" ref="U47" si="25">IF(AND((U46-U26)&lt;=2,((U46-U26)&gt;=-2)),0,U46-U26)</f>
        <v>-906.53760914605664</v>
      </c>
    </row>
    <row r="48" spans="1:21" ht="12">
      <c r="A48" s="1488"/>
      <c r="C48" s="1544"/>
      <c r="F48" s="1447"/>
      <c r="H48" s="1483"/>
    </row>
    <row r="49" spans="1:21" ht="12">
      <c r="A49" s="1488" t="s">
        <v>1603</v>
      </c>
      <c r="B49" s="1447" t="s">
        <v>1644</v>
      </c>
      <c r="C49" s="1447"/>
      <c r="D49" s="1447"/>
      <c r="E49" s="1447"/>
      <c r="F49" s="1440">
        <f>F31+F34</f>
        <v>0</v>
      </c>
      <c r="G49" s="1440">
        <f>G31+G34</f>
        <v>70</v>
      </c>
      <c r="H49" s="1556">
        <f t="shared" ref="H49:M49" si="26">H31+H34</f>
        <v>120</v>
      </c>
      <c r="I49" s="1440">
        <f t="shared" si="26"/>
        <v>439</v>
      </c>
      <c r="J49" s="1440">
        <f t="shared" si="26"/>
        <v>684.06242798100004</v>
      </c>
      <c r="K49" s="1440">
        <f t="shared" si="26"/>
        <v>2529.4046539680003</v>
      </c>
      <c r="L49" s="1440">
        <f t="shared" si="26"/>
        <v>2865.8205387260004</v>
      </c>
      <c r="M49" s="1440">
        <f t="shared" si="26"/>
        <v>4399.7310068309998</v>
      </c>
      <c r="N49" s="1440">
        <f t="shared" ref="N49:T49" si="27">N31+N34</f>
        <v>5945.3164285040002</v>
      </c>
      <c r="O49" s="1440">
        <f t="shared" si="27"/>
        <v>4479.9108110770003</v>
      </c>
      <c r="P49" s="1440">
        <f t="shared" si="27"/>
        <v>5771.364507706</v>
      </c>
      <c r="Q49" s="1440">
        <f t="shared" si="27"/>
        <v>5289.2997028179998</v>
      </c>
      <c r="R49" s="1440">
        <f t="shared" ref="R49" si="28">R31+R34</f>
        <v>4789.2997028179998</v>
      </c>
      <c r="S49" s="1440">
        <f t="shared" si="27"/>
        <v>4789.2997028179998</v>
      </c>
      <c r="T49" s="1440">
        <f t="shared" si="27"/>
        <v>4789.2997028179998</v>
      </c>
      <c r="U49" s="1440">
        <f t="shared" ref="U49" si="29">U31+U34</f>
        <v>4789.2997028179998</v>
      </c>
    </row>
    <row r="50" spans="1:21" ht="12">
      <c r="A50" s="1488"/>
      <c r="B50" s="1447" t="s">
        <v>591</v>
      </c>
      <c r="C50" s="1447"/>
      <c r="D50" s="1447"/>
      <c r="E50" s="1447"/>
      <c r="F50" s="1440">
        <f>F44</f>
        <v>580</v>
      </c>
      <c r="G50" s="1440">
        <f t="shared" ref="G50:N50" si="30">G44</f>
        <v>664</v>
      </c>
      <c r="H50" s="1556">
        <f t="shared" si="30"/>
        <v>1072</v>
      </c>
      <c r="I50" s="1440">
        <f t="shared" si="30"/>
        <v>1771</v>
      </c>
      <c r="J50" s="1440">
        <f t="shared" si="30"/>
        <v>3548.2230539000002</v>
      </c>
      <c r="K50" s="1440">
        <f t="shared" si="30"/>
        <v>4664.7131583710006</v>
      </c>
      <c r="L50" s="1440">
        <f t="shared" si="30"/>
        <v>6209.9620667889994</v>
      </c>
      <c r="M50" s="1440">
        <f t="shared" si="30"/>
        <v>9238.49934889</v>
      </c>
      <c r="N50" s="1440">
        <f t="shared" si="30"/>
        <v>9094.7186804800003</v>
      </c>
      <c r="O50" s="1440">
        <f t="shared" ref="O50:T50" si="31">O44</f>
        <v>13392.153121200001</v>
      </c>
      <c r="P50" s="1440">
        <f t="shared" si="31"/>
        <v>14084.931650452001</v>
      </c>
      <c r="Q50" s="1440">
        <f t="shared" si="31"/>
        <v>14186.367907641001</v>
      </c>
      <c r="R50" s="1440">
        <f t="shared" ref="R50" si="32">R44</f>
        <v>15860.655759309</v>
      </c>
      <c r="S50" s="1440">
        <f t="shared" si="31"/>
        <v>16654.26317554964</v>
      </c>
      <c r="T50" s="1440">
        <f t="shared" si="31"/>
        <v>17801.469488152394</v>
      </c>
      <c r="U50" s="1440">
        <f t="shared" ref="U50" si="33">U44</f>
        <v>23221.17293763188</v>
      </c>
    </row>
    <row r="51" spans="1:21" ht="12">
      <c r="A51" s="1488"/>
      <c r="B51" s="1447" t="s">
        <v>1931</v>
      </c>
      <c r="C51" s="1447"/>
      <c r="D51" s="1447"/>
      <c r="E51" s="1447"/>
      <c r="F51" s="1440">
        <f>F44-F42</f>
        <v>556</v>
      </c>
      <c r="G51" s="1440">
        <f t="shared" ref="G51:O51" si="34">G44-G42</f>
        <v>633</v>
      </c>
      <c r="H51" s="1556">
        <f t="shared" si="34"/>
        <v>1003</v>
      </c>
      <c r="I51" s="1440">
        <f t="shared" si="34"/>
        <v>1583</v>
      </c>
      <c r="J51" s="1440">
        <f t="shared" si="34"/>
        <v>3255.5455501400002</v>
      </c>
      <c r="K51" s="1440">
        <f t="shared" si="34"/>
        <v>3824.4061211760009</v>
      </c>
      <c r="L51" s="1440">
        <f t="shared" si="34"/>
        <v>5010.5323572039997</v>
      </c>
      <c r="M51" s="1440">
        <f t="shared" si="34"/>
        <v>6999.6191724660002</v>
      </c>
      <c r="N51" s="1440">
        <f t="shared" si="34"/>
        <v>6164.8611169880005</v>
      </c>
      <c r="O51" s="1440">
        <f t="shared" si="34"/>
        <v>8780.1602124630008</v>
      </c>
      <c r="P51" s="1440">
        <f t="shared" ref="P51:U51" si="35">P44-P42</f>
        <v>9245.1520872000001</v>
      </c>
      <c r="Q51" s="1440">
        <f t="shared" si="35"/>
        <v>9403.1586871830004</v>
      </c>
      <c r="R51" s="1440">
        <f t="shared" si="35"/>
        <v>10875.784043419</v>
      </c>
      <c r="S51" s="1440">
        <f t="shared" si="35"/>
        <v>11455.171642095062</v>
      </c>
      <c r="T51" s="1440">
        <f t="shared" si="35"/>
        <v>12345.683891244618</v>
      </c>
      <c r="U51" s="1440">
        <f t="shared" si="35"/>
        <v>17457.862592542817</v>
      </c>
    </row>
    <row r="52" spans="1:21" ht="12">
      <c r="A52" s="1488"/>
      <c r="B52" s="1447" t="s">
        <v>1805</v>
      </c>
      <c r="C52" s="1447"/>
      <c r="D52" s="1447"/>
      <c r="E52" s="1447"/>
      <c r="F52" s="1435">
        <f>F49/F50</f>
        <v>0</v>
      </c>
      <c r="G52" s="1435">
        <f>G49/G50</f>
        <v>0.10542168674698796</v>
      </c>
      <c r="H52" s="1566">
        <f t="shared" ref="H52:M52" si="36">H49/H50</f>
        <v>0.11194029850746269</v>
      </c>
      <c r="I52" s="1435">
        <f t="shared" si="36"/>
        <v>0.24788255223037831</v>
      </c>
      <c r="J52" s="1435">
        <f t="shared" si="36"/>
        <v>0.19279014244302325</v>
      </c>
      <c r="K52" s="1435">
        <f t="shared" si="36"/>
        <v>0.54224227044462314</v>
      </c>
      <c r="L52" s="1435">
        <f t="shared" si="36"/>
        <v>0.46148760779916281</v>
      </c>
      <c r="M52" s="1435">
        <f t="shared" si="36"/>
        <v>0.47623870941330149</v>
      </c>
      <c r="N52" s="1435">
        <f t="shared" ref="N52:T52" si="37">N49/N50</f>
        <v>0.65371086642453669</v>
      </c>
      <c r="O52" s="1435">
        <f t="shared" si="37"/>
        <v>0.33451759179673857</v>
      </c>
      <c r="P52" s="1435">
        <f t="shared" si="37"/>
        <v>0.40975452710278437</v>
      </c>
      <c r="Q52" s="1435">
        <f t="shared" si="37"/>
        <v>0.37284382706366298</v>
      </c>
      <c r="R52" s="1435">
        <f t="shared" ref="R52" si="38">R49/R50</f>
        <v>0.30196101444336843</v>
      </c>
      <c r="S52" s="1435">
        <f t="shared" si="37"/>
        <v>0.28757199597093186</v>
      </c>
      <c r="T52" s="1435">
        <f t="shared" si="37"/>
        <v>0.26903957035712556</v>
      </c>
      <c r="U52" s="1435">
        <f t="shared" ref="U52" si="39">U49/U50</f>
        <v>0.20624710541888835</v>
      </c>
    </row>
    <row r="53" spans="1:21" ht="12">
      <c r="A53" s="1488"/>
      <c r="B53" s="1447" t="s">
        <v>1773</v>
      </c>
      <c r="C53" s="1447"/>
      <c r="D53" s="1447"/>
      <c r="E53" s="1447"/>
      <c r="F53" s="1435">
        <f>(F31+F34-F7)/F44</f>
        <v>-0.23448275862068965</v>
      </c>
      <c r="G53" s="1435">
        <f>(G31+G34-G7)/G44</f>
        <v>-4.5180722891566263E-3</v>
      </c>
      <c r="H53" s="1566">
        <f t="shared" ref="H53:M53" si="40">(H31+H34-H7)/H44</f>
        <v>-0.61194029850746268</v>
      </c>
      <c r="I53" s="1435">
        <f t="shared" si="40"/>
        <v>-0.26538678712591757</v>
      </c>
      <c r="J53" s="1435">
        <f t="shared" si="40"/>
        <v>-0.31964012535046332</v>
      </c>
      <c r="K53" s="1435">
        <f t="shared" si="40"/>
        <v>0.18049713174604504</v>
      </c>
      <c r="L53" s="1435">
        <f t="shared" si="40"/>
        <v>0.27492104006390045</v>
      </c>
      <c r="M53" s="1435">
        <f t="shared" si="40"/>
        <v>0.39037058627257587</v>
      </c>
      <c r="N53" s="1435">
        <f t="shared" ref="N53:T53" si="41">(N31+N34-N7)/N44</f>
        <v>0.45803346429415276</v>
      </c>
      <c r="O53" s="1435">
        <f t="shared" si="41"/>
        <v>0.13009364511387006</v>
      </c>
      <c r="P53" s="1435">
        <f t="shared" si="41"/>
        <v>0.34450899740612384</v>
      </c>
      <c r="Q53" s="1435">
        <f t="shared" si="41"/>
        <v>0.35338369655468999</v>
      </c>
      <c r="R53" s="1435">
        <f t="shared" ref="R53" si="42">(R31+R34-R7)/R44</f>
        <v>0.22320769565376636</v>
      </c>
      <c r="S53" s="1435">
        <f t="shared" si="41"/>
        <v>0.35635570419730572</v>
      </c>
      <c r="T53" s="1435">
        <f t="shared" si="41"/>
        <v>-0.82237950918256031</v>
      </c>
      <c r="U53" s="1435">
        <f t="shared" ref="U53" si="43">(U31+U34-U7)/U44</f>
        <v>0.11549799026277338</v>
      </c>
    </row>
    <row r="54" spans="1:21" ht="12">
      <c r="A54" s="1488"/>
      <c r="B54" s="1447" t="s">
        <v>337</v>
      </c>
      <c r="C54" s="1447"/>
      <c r="D54" s="1447"/>
      <c r="E54" s="1447"/>
      <c r="F54" s="1538">
        <f>F12/F32</f>
        <v>2.4935622317596566</v>
      </c>
      <c r="G54" s="1538">
        <f t="shared" ref="G54:M54" si="44">G12/G32</f>
        <v>1.7608286252354048</v>
      </c>
      <c r="H54" s="1568">
        <f t="shared" si="44"/>
        <v>1.9664053751399777</v>
      </c>
      <c r="I54" s="1538">
        <f t="shared" si="44"/>
        <v>1.968358602504944</v>
      </c>
      <c r="J54" s="1538">
        <f t="shared" si="44"/>
        <v>3.0289420443908535</v>
      </c>
      <c r="K54" s="1538">
        <f t="shared" si="44"/>
        <v>2.3721796393611436</v>
      </c>
      <c r="L54" s="1538">
        <f t="shared" si="44"/>
        <v>2.3088367890557882</v>
      </c>
      <c r="M54" s="1538">
        <f t="shared" si="44"/>
        <v>2.3453552411547531</v>
      </c>
      <c r="N54" s="1538">
        <f t="shared" ref="N54:T54" si="45">N12/N32</f>
        <v>1.9114214315997182</v>
      </c>
      <c r="O54" s="1538">
        <f t="shared" si="45"/>
        <v>1.9050743337121658</v>
      </c>
      <c r="P54" s="1538">
        <f t="shared" si="45"/>
        <v>2.2334502323965784</v>
      </c>
      <c r="Q54" s="1538">
        <f t="shared" si="45"/>
        <v>2.2577653062299325</v>
      </c>
      <c r="R54" s="1538">
        <f t="shared" ref="R54" si="46">R12/R32</f>
        <v>2.7241643632053751</v>
      </c>
      <c r="S54" s="1538">
        <f t="shared" si="45"/>
        <v>2.4603518552662318</v>
      </c>
      <c r="T54" s="1538">
        <f t="shared" si="45"/>
        <v>1.8863068856103877</v>
      </c>
      <c r="U54" s="1538">
        <f t="shared" ref="U54" si="47">U12/U32</f>
        <v>2.1867660049145856</v>
      </c>
    </row>
    <row r="55" spans="1:21" ht="12">
      <c r="A55" s="1488"/>
      <c r="B55" s="1447" t="s">
        <v>1014</v>
      </c>
      <c r="C55" s="1447"/>
      <c r="D55" s="1447"/>
      <c r="E55" s="1447"/>
      <c r="G55" s="1433">
        <f>IS!G29/AVERAGE(BS!F46:G46)</f>
        <v>7.9616306954436444E-2</v>
      </c>
      <c r="H55" s="1694">
        <f>IS!H29/AVERAGE(BS!G46:H46)</f>
        <v>9.8599766627771299E-2</v>
      </c>
      <c r="I55" s="1433">
        <f>IS!I29/AVERAGE(BS!H46:I46)</f>
        <v>0.11756497470783185</v>
      </c>
      <c r="J55" s="1433">
        <f>IS!J29/AVERAGE(BS!I46:J46)</f>
        <v>0.11746442541322813</v>
      </c>
      <c r="K55" s="1433">
        <f>IS!K29/AVERAGE(BS!J46:K46)</f>
        <v>9.475601944466841E-2</v>
      </c>
      <c r="L55" s="1433">
        <f>IS!L29/AVERAGE(BS!K46:L46)</f>
        <v>9.814151034770309E-2</v>
      </c>
      <c r="M55" s="1433">
        <f>IS!M29/AVERAGE(BS!L46:M46)</f>
        <v>7.2345323615502458E-2</v>
      </c>
      <c r="N55" s="1433">
        <f>IS!N29/AVERAGE(BS!M46:N46)</f>
        <v>-2.2944108450361739E-2</v>
      </c>
      <c r="O55" s="1433">
        <f>IS!O29/AVERAGE(BS!N46:O46)</f>
        <v>4.486648542931812E-2</v>
      </c>
      <c r="P55" s="1433">
        <f>IS!P29/AVERAGE(BS!O46:P46)</f>
        <v>7.3352463308196253E-3</v>
      </c>
      <c r="Q55" s="1433">
        <f>IS!Q29/AVERAGE(BS!P46:Q46)</f>
        <v>5.8193776398863372E-3</v>
      </c>
      <c r="R55" s="1433">
        <f>IS!R29/AVERAGE(BS!Q46:R46)</f>
        <v>8.8735463125335125E-3</v>
      </c>
      <c r="S55" s="1433">
        <f>IS!S29/AVERAGE(BS!R46:S46)</f>
        <v>1.9510957001270816E-2</v>
      </c>
      <c r="T55" s="1433">
        <f>IS!T29/AVERAGE(BS!S46:T46)</f>
        <v>2.4480573766925175E-2</v>
      </c>
      <c r="U55" s="1433">
        <f>IS!U29/AVERAGE(BS!T46:U46)</f>
        <v>0.11664410343801429</v>
      </c>
    </row>
    <row r="56" spans="1:21" ht="12">
      <c r="A56" s="1488"/>
      <c r="B56" s="1447" t="s">
        <v>206</v>
      </c>
      <c r="C56" s="1447"/>
      <c r="D56" s="1447"/>
      <c r="E56" s="1447"/>
      <c r="G56" s="1433">
        <f>IS!G29/AVERAGE(BS!F51:G51)</f>
        <v>0.13961312026913372</v>
      </c>
      <c r="H56" s="1694">
        <f>IS!H29/AVERAGE(BS!G51:H51)</f>
        <v>0.20660146699266504</v>
      </c>
      <c r="I56" s="1433">
        <f>IS!I29/AVERAGE(BS!H51:I51)</f>
        <v>0.26063418406805877</v>
      </c>
      <c r="J56" s="1433">
        <f>IS!J29/AVERAGE(BS!I51:J51)</f>
        <v>0.22205165807913357</v>
      </c>
      <c r="K56" s="1433">
        <f>IS!K29/AVERAGE(BS!J51:K51)</f>
        <v>0.21211747773680109</v>
      </c>
      <c r="L56" s="1433">
        <f>IS!L29/AVERAGE(BS!K51:L51)</f>
        <v>0.26676518193006821</v>
      </c>
      <c r="M56" s="1433">
        <f>IS!M29/AVERAGE(BS!L51:M51)</f>
        <v>0.20258108366355068</v>
      </c>
      <c r="N56" s="1433">
        <f>IS!N29/AVERAGE(BS!M51:N51)</f>
        <v>-7.531560400772358E-2</v>
      </c>
      <c r="O56" s="1433">
        <f>IS!O29/AVERAGE(BS!N51:O51)</f>
        <v>0.15486900992914288</v>
      </c>
      <c r="P56" s="1433">
        <f>IS!P29/AVERAGE(BS!O51:P51)</f>
        <v>2.3840828569723912E-2</v>
      </c>
      <c r="Q56" s="1433">
        <f>IS!Q29/AVERAGE(BS!P51:Q51)</f>
        <v>1.8444918825275262E-2</v>
      </c>
      <c r="R56" s="1433">
        <f>IS!R29/AVERAGE(BS!Q51:R51)</f>
        <v>2.4908826026207913E-2</v>
      </c>
      <c r="S56" s="1433">
        <f>IS!S29/AVERAGE(BS!R51:S51)</f>
        <v>5.1890981007311272E-2</v>
      </c>
      <c r="T56" s="1433">
        <f>IS!T29/AVERAGE(BS!S51:T51)</f>
        <v>7.4830272206152168E-2</v>
      </c>
      <c r="U56" s="1433">
        <f>IS!U29/AVERAGE(BS!T51:U51)</f>
        <v>0.34305841447957414</v>
      </c>
    </row>
    <row r="57" spans="1:21" ht="12">
      <c r="A57" s="1488"/>
      <c r="B57" s="1447"/>
      <c r="C57" s="1447"/>
      <c r="D57" s="1447"/>
      <c r="E57" s="1447"/>
      <c r="G57" s="1433"/>
      <c r="H57" s="1694"/>
      <c r="I57" s="1433"/>
      <c r="J57" s="1433"/>
      <c r="K57" s="1433"/>
      <c r="L57" s="1433"/>
      <c r="M57" s="1433"/>
      <c r="N57" s="1433"/>
      <c r="O57" s="1433"/>
      <c r="P57" s="1433"/>
      <c r="Q57" s="1433"/>
      <c r="R57" s="1433"/>
      <c r="S57" s="1433"/>
      <c r="T57" s="1433"/>
      <c r="U57" s="1433"/>
    </row>
    <row r="58" spans="1:21" ht="12">
      <c r="A58" s="1488" t="s">
        <v>1603</v>
      </c>
      <c r="B58" s="1447" t="s">
        <v>288</v>
      </c>
      <c r="C58" s="1447"/>
      <c r="D58" s="1447"/>
      <c r="E58" s="1447"/>
      <c r="F58" s="1557">
        <f>IS!F15</f>
        <v>70</v>
      </c>
      <c r="G58" s="1557">
        <f>IS!G15</f>
        <v>62</v>
      </c>
      <c r="H58" s="1567">
        <f>IS!H15</f>
        <v>165</v>
      </c>
      <c r="I58" s="1557">
        <f>IS!I15</f>
        <v>390</v>
      </c>
      <c r="J58" s="1557">
        <f>IS!J15</f>
        <v>643.0852960210002</v>
      </c>
      <c r="K58" s="1557">
        <f>IS!K15</f>
        <v>1186.2780377329998</v>
      </c>
      <c r="L58" s="1557">
        <f>IS!L15</f>
        <v>1835.0417522670004</v>
      </c>
      <c r="M58" s="1557">
        <f>IS!M15</f>
        <v>2099.0118971909997</v>
      </c>
      <c r="N58" s="1557">
        <f>IS!N15</f>
        <v>792.02376018700011</v>
      </c>
      <c r="O58" s="1557">
        <f>IS!O15</f>
        <v>2712.6774436439996</v>
      </c>
      <c r="P58" s="1557">
        <f>IS!P15</f>
        <v>830.22306923900078</v>
      </c>
      <c r="Q58" s="1557">
        <f>IS!Q15</f>
        <v>733.84661668900026</v>
      </c>
      <c r="R58" s="1557">
        <f>IS!R15</f>
        <v>1152.5312347919994</v>
      </c>
      <c r="S58" s="1557">
        <f>IS!S15</f>
        <v>1130.9392405826002</v>
      </c>
      <c r="T58" s="1557">
        <f>IS!T15</f>
        <v>1672.9378610352401</v>
      </c>
      <c r="U58" s="1557">
        <f>IS!U15</f>
        <v>7263.5592821311593</v>
      </c>
    </row>
    <row r="59" spans="1:21" ht="12">
      <c r="A59" s="1488"/>
      <c r="B59" s="1447" t="s">
        <v>1712</v>
      </c>
      <c r="C59" s="1447"/>
      <c r="D59" s="1447"/>
      <c r="E59" s="1447"/>
      <c r="F59" s="1538">
        <f>F49/F58</f>
        <v>0</v>
      </c>
      <c r="G59" s="1538">
        <f>G49/G58</f>
        <v>1.1290322580645162</v>
      </c>
      <c r="H59" s="1568">
        <f t="shared" ref="H59:M59" si="48">H49/H58</f>
        <v>0.72727272727272729</v>
      </c>
      <c r="I59" s="1538">
        <f t="shared" si="48"/>
        <v>1.1256410256410256</v>
      </c>
      <c r="J59" s="1538">
        <f t="shared" si="48"/>
        <v>1.0637195908747099</v>
      </c>
      <c r="K59" s="1538">
        <f t="shared" si="48"/>
        <v>2.1322190696556613</v>
      </c>
      <c r="L59" s="1538">
        <f t="shared" si="48"/>
        <v>1.5617195277358575</v>
      </c>
      <c r="M59" s="1538">
        <f t="shared" si="48"/>
        <v>2.0960962692583758</v>
      </c>
      <c r="N59" s="1538">
        <f t="shared" ref="N59:T59" si="49">N49/N58</f>
        <v>7.5064874658561838</v>
      </c>
      <c r="O59" s="1538">
        <f t="shared" si="49"/>
        <v>1.6514719881546391</v>
      </c>
      <c r="P59" s="1538">
        <f t="shared" si="49"/>
        <v>6.9515829197520969</v>
      </c>
      <c r="Q59" s="1538">
        <f t="shared" si="49"/>
        <v>7.207636558552907</v>
      </c>
      <c r="R59" s="1538">
        <f t="shared" ref="R59" si="50">R49/R58</f>
        <v>4.1554619590698891</v>
      </c>
      <c r="S59" s="1538">
        <f t="shared" si="49"/>
        <v>4.2347984144142048</v>
      </c>
      <c r="T59" s="1538">
        <f t="shared" si="49"/>
        <v>2.8628078868717255</v>
      </c>
      <c r="U59" s="1538">
        <f t="shared" ref="U59" si="51">U49/U58</f>
        <v>0.65935989737152645</v>
      </c>
    </row>
    <row r="60" spans="1:21" ht="12">
      <c r="A60" s="1488"/>
      <c r="B60" s="1447" t="s">
        <v>805</v>
      </c>
      <c r="C60" s="1447"/>
      <c r="D60" s="1447"/>
      <c r="E60" s="1447"/>
      <c r="F60" s="1440">
        <f>IS!F18</f>
        <v>7</v>
      </c>
      <c r="G60" s="1440">
        <f>IS!G18</f>
        <v>0</v>
      </c>
      <c r="H60" s="1556">
        <f>IS!H18</f>
        <v>0</v>
      </c>
      <c r="I60" s="1440">
        <f>IS!I18</f>
        <v>9</v>
      </c>
      <c r="J60" s="1440">
        <f>IS!J18</f>
        <v>32.702590721999997</v>
      </c>
      <c r="K60" s="1440">
        <f>IS!K18</f>
        <v>62.664889037000002</v>
      </c>
      <c r="L60" s="1440">
        <f>IS!L18</f>
        <v>190.75452392</v>
      </c>
      <c r="M60" s="1440">
        <f>IS!M18</f>
        <v>209.03102946499999</v>
      </c>
      <c r="N60" s="1440">
        <f>IS!N18</f>
        <v>858.28350262200001</v>
      </c>
      <c r="O60" s="1440">
        <f>IS!O18</f>
        <v>543.61162560499997</v>
      </c>
      <c r="P60" s="1440">
        <f>IS!P18</f>
        <v>521.09034261900001</v>
      </c>
      <c r="Q60" s="1440">
        <f>IS!Q18</f>
        <v>593.25298500500003</v>
      </c>
      <c r="R60" s="1440">
        <f>IS!R18</f>
        <v>470.09454522499999</v>
      </c>
      <c r="S60" s="1440">
        <f>IS!S18</f>
        <v>478.92997028180002</v>
      </c>
      <c r="T60" s="1440">
        <f>IS!T18</f>
        <v>478.92997028180002</v>
      </c>
      <c r="U60" s="1440">
        <f>IS!U18</f>
        <v>478.92997028180002</v>
      </c>
    </row>
    <row r="61" spans="1:21" ht="12">
      <c r="A61" s="1488"/>
      <c r="B61" s="1447" t="s">
        <v>1696</v>
      </c>
      <c r="C61" s="1447"/>
      <c r="D61" s="1447"/>
      <c r="E61" s="1447"/>
      <c r="F61" s="1558">
        <f>IFERROR(F58/F60,"NM")</f>
        <v>10</v>
      </c>
      <c r="G61" s="1558" t="str">
        <f>IFERROR(G58/G60,"NM")</f>
        <v>NM</v>
      </c>
      <c r="H61" s="1569" t="str">
        <f t="shared" ref="H61:M61" si="52">IFERROR(H58/H60,"NM")</f>
        <v>NM</v>
      </c>
      <c r="I61" s="1558">
        <f t="shared" si="52"/>
        <v>43.333333333333336</v>
      </c>
      <c r="J61" s="1558">
        <f t="shared" si="52"/>
        <v>19.664659032300392</v>
      </c>
      <c r="K61" s="1558">
        <f t="shared" si="52"/>
        <v>18.930505678109014</v>
      </c>
      <c r="L61" s="1558">
        <f t="shared" si="52"/>
        <v>9.6199120972700669</v>
      </c>
      <c r="M61" s="1558">
        <f t="shared" si="52"/>
        <v>10.041628281520074</v>
      </c>
      <c r="N61" s="1558">
        <f t="shared" ref="N61:T61" si="53">IFERROR(N58/N60,"NM")</f>
        <v>0.92279970169229542</v>
      </c>
      <c r="O61" s="1558">
        <f t="shared" si="53"/>
        <v>4.9901019696276512</v>
      </c>
      <c r="P61" s="1558">
        <f t="shared" si="53"/>
        <v>1.5932420951543638</v>
      </c>
      <c r="Q61" s="1558">
        <f t="shared" si="53"/>
        <v>1.2369876515375904</v>
      </c>
      <c r="R61" s="1558">
        <f t="shared" ref="R61" si="54">IFERROR(R58/R60,"NM")</f>
        <v>2.4517009322887735</v>
      </c>
      <c r="S61" s="1558">
        <f t="shared" si="53"/>
        <v>2.3613874903614009</v>
      </c>
      <c r="T61" s="1558">
        <f t="shared" si="53"/>
        <v>3.4930740710398469</v>
      </c>
      <c r="U61" s="1558">
        <f t="shared" ref="U61" si="55">IFERROR(U58/U60,"NM")</f>
        <v>15.166224151429315</v>
      </c>
    </row>
    <row r="62" spans="1:21" ht="12">
      <c r="A62" s="1488"/>
      <c r="B62" s="1545"/>
      <c r="C62" s="1457"/>
      <c r="D62" s="1546"/>
      <c r="E62" s="1546"/>
      <c r="F62" s="1546"/>
      <c r="G62" s="1547"/>
      <c r="H62" s="1547"/>
      <c r="I62" s="1546"/>
      <c r="J62" s="1546"/>
      <c r="K62" s="1546"/>
      <c r="L62" s="1546"/>
      <c r="M62" s="1546"/>
      <c r="N62" s="1546"/>
      <c r="O62" s="1546"/>
      <c r="P62" s="1546"/>
      <c r="Q62" s="1546"/>
      <c r="R62" s="1546"/>
      <c r="S62" s="1546"/>
      <c r="T62" s="1546"/>
    </row>
    <row r="63" spans="1:21" ht="12">
      <c r="A63" s="1488" t="s">
        <v>1603</v>
      </c>
      <c r="B63" s="1488" t="s">
        <v>1629</v>
      </c>
      <c r="H63" s="1452"/>
      <c r="K63" s="1539"/>
      <c r="L63" s="1539"/>
      <c r="M63" s="1539"/>
      <c r="N63" s="1539"/>
      <c r="O63" s="1539"/>
      <c r="P63" s="1539"/>
      <c r="Q63" s="1539"/>
      <c r="R63" s="1539"/>
      <c r="S63" s="1539"/>
      <c r="T63" s="1539"/>
    </row>
  </sheetData>
  <pageMargins left="0.45" right="0.45" top="0.5" bottom="0.5" header="0.3" footer="0.3"/>
  <pageSetup paperSize="9" scale="85"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W38"/>
  <sheetViews>
    <sheetView zoomScaleNormal="100" workbookViewId="0">
      <selection activeCell="T5" sqref="T5:U36"/>
    </sheetView>
  </sheetViews>
  <sheetFormatPr defaultColWidth="9.140625" defaultRowHeight="12"/>
  <cols>
    <col min="1" max="1" width="3.140625" style="1431" customWidth="1"/>
    <col min="2" max="2" width="4.5703125" style="1431" customWidth="1"/>
    <col min="3" max="8" width="9.140625" style="1431"/>
    <col min="9" max="9" width="11.5703125" style="1431" bestFit="1" customWidth="1"/>
    <col min="10" max="10" width="10.85546875" style="1431" bestFit="1" customWidth="1"/>
    <col min="11" max="11" width="12.140625" style="1431" bestFit="1" customWidth="1"/>
    <col min="12" max="12" width="10.85546875" style="1431" bestFit="1" customWidth="1"/>
    <col min="13" max="20" width="11.5703125" style="1431" bestFit="1" customWidth="1"/>
    <col min="21" max="16384" width="9.140625" style="1431"/>
  </cols>
  <sheetData>
    <row r="1" spans="1:23" ht="21">
      <c r="A1" s="1644" t="s">
        <v>1682</v>
      </c>
      <c r="B1" s="1645"/>
      <c r="C1" s="1432"/>
      <c r="D1" s="1432"/>
      <c r="E1" s="1432"/>
      <c r="F1" s="1432"/>
      <c r="G1" s="1432"/>
      <c r="H1" s="1432"/>
      <c r="I1" s="1432"/>
      <c r="J1" s="1432"/>
      <c r="K1" s="1432"/>
      <c r="L1" s="1432"/>
      <c r="M1" s="1646"/>
      <c r="N1" s="1646"/>
      <c r="O1" s="1646"/>
      <c r="P1" s="1646"/>
      <c r="Q1" s="1646"/>
      <c r="R1" s="1646"/>
      <c r="S1" s="1646"/>
      <c r="T1" s="1646"/>
    </row>
    <row r="2" spans="1:23">
      <c r="A2" s="1405" t="s">
        <v>1776</v>
      </c>
      <c r="B2" s="1544"/>
    </row>
    <row r="4" spans="1:23">
      <c r="H4" s="1468"/>
      <c r="I4" s="1469" t="s">
        <v>1615</v>
      </c>
      <c r="J4" s="1523"/>
      <c r="K4" s="1523"/>
      <c r="L4" s="1523"/>
      <c r="M4" s="1523"/>
      <c r="N4" s="1523"/>
      <c r="O4" s="1523"/>
      <c r="P4" s="1523"/>
      <c r="Q4" s="1523"/>
      <c r="R4" s="1523"/>
      <c r="S4" s="1523"/>
      <c r="T4" s="1523"/>
      <c r="U4" s="1535"/>
    </row>
    <row r="5" spans="1:23">
      <c r="H5" s="1480">
        <f>IS!H5</f>
        <v>2014</v>
      </c>
      <c r="I5" s="1480">
        <f>IS!I5</f>
        <v>2015</v>
      </c>
      <c r="J5" s="1480">
        <f>IS!J5</f>
        <v>2016</v>
      </c>
      <c r="K5" s="1480">
        <f>IS!K5</f>
        <v>2017</v>
      </c>
      <c r="L5" s="1480">
        <f>IS!L5</f>
        <v>2018</v>
      </c>
      <c r="M5" s="1480">
        <f>IS!M5</f>
        <v>2019</v>
      </c>
      <c r="N5" s="1480">
        <f>IS!N5</f>
        <v>2020</v>
      </c>
      <c r="O5" s="1480">
        <f>IS!O5</f>
        <v>2021</v>
      </c>
      <c r="P5" s="1480">
        <f>IS!P5</f>
        <v>2022</v>
      </c>
      <c r="Q5" s="1480">
        <f>IS!Q5</f>
        <v>2023</v>
      </c>
      <c r="R5" s="1480">
        <f>IS!R5</f>
        <v>2024</v>
      </c>
      <c r="S5" s="1480">
        <f>IS!S5</f>
        <v>2025</v>
      </c>
      <c r="T5" s="1480">
        <f>IS!T5</f>
        <v>2026</v>
      </c>
      <c r="U5" s="1480">
        <f>IS!U5</f>
        <v>2027</v>
      </c>
    </row>
    <row r="7" spans="1:23">
      <c r="A7" s="1488" t="s">
        <v>1603</v>
      </c>
      <c r="B7" s="1431" t="s">
        <v>1683</v>
      </c>
      <c r="D7" s="1481"/>
      <c r="E7" s="1481"/>
      <c r="F7" s="1481"/>
      <c r="G7" s="1481"/>
      <c r="H7" s="1498"/>
      <c r="I7" s="1498"/>
      <c r="J7" s="1498"/>
      <c r="K7" s="1498"/>
      <c r="L7" s="1498"/>
      <c r="M7" s="1498"/>
      <c r="N7" s="1498"/>
      <c r="O7" s="1498"/>
      <c r="P7" s="1498"/>
      <c r="Q7" s="1498"/>
      <c r="R7" s="1498"/>
      <c r="S7" s="1498"/>
      <c r="T7" s="1498"/>
      <c r="U7" s="1498"/>
    </row>
    <row r="8" spans="1:23">
      <c r="A8" s="1488"/>
      <c r="C8" s="1452" t="s">
        <v>1619</v>
      </c>
      <c r="D8" s="1452"/>
      <c r="E8" s="1452"/>
      <c r="F8" s="1452"/>
      <c r="G8" s="1452"/>
      <c r="H8" s="1463"/>
      <c r="I8" s="1463">
        <f>IS!I29</f>
        <v>337</v>
      </c>
      <c r="J8" s="1463">
        <f>IS!J29</f>
        <v>537.20353105000027</v>
      </c>
      <c r="K8" s="1463">
        <f>IS!K29</f>
        <v>750.89074550899977</v>
      </c>
      <c r="L8" s="1463">
        <f>IS!L29</f>
        <v>1178.4269852630005</v>
      </c>
      <c r="M8" s="1463">
        <f>IS!M29</f>
        <v>1216.5147559219997</v>
      </c>
      <c r="N8" s="1463">
        <f>IS!N29</f>
        <v>-495.74539222399989</v>
      </c>
      <c r="O8" s="1463">
        <f>IS!O29</f>
        <v>1157.2603283309995</v>
      </c>
      <c r="P8" s="1463">
        <f>IS!P29</f>
        <v>214.86919022600074</v>
      </c>
      <c r="Q8" s="1463">
        <f>IS!Q29</f>
        <v>171.98328923100024</v>
      </c>
      <c r="R8" s="1463">
        <f>IS!R29</f>
        <v>252.56232823599944</v>
      </c>
      <c r="S8" s="1463">
        <f>IS!S29</f>
        <v>579.38759867605995</v>
      </c>
      <c r="T8" s="1463">
        <f>IS!T29</f>
        <v>890.51224914955571</v>
      </c>
      <c r="U8" s="1463">
        <f>IS!U29</f>
        <v>5112.1787012982022</v>
      </c>
      <c r="V8" s="1452"/>
      <c r="W8" s="1452"/>
    </row>
    <row r="9" spans="1:23">
      <c r="A9" s="1488"/>
      <c r="C9" s="1452" t="s">
        <v>2430</v>
      </c>
      <c r="D9" s="1452"/>
      <c r="E9" s="1452"/>
      <c r="F9" s="1452"/>
      <c r="G9" s="1452"/>
      <c r="H9" s="1463"/>
      <c r="I9" s="1463">
        <f>-Depreciation!I12</f>
        <v>5</v>
      </c>
      <c r="J9" s="2178">
        <f>Diamond!C68</f>
        <v>8.2086811530000006</v>
      </c>
      <c r="K9" s="2178">
        <f>Diamond!D68</f>
        <v>15.340615102999999</v>
      </c>
      <c r="L9" s="2178">
        <f>Diamond!E68</f>
        <v>24.427015127000001</v>
      </c>
      <c r="M9" s="2178">
        <f>Diamond!F68</f>
        <v>38.992516975000001</v>
      </c>
      <c r="N9" s="2178">
        <f>Diamond!G68</f>
        <v>56.505292505</v>
      </c>
      <c r="O9" s="2178">
        <f>Diamond!H68</f>
        <v>69.449408602999995</v>
      </c>
      <c r="P9" s="2178">
        <f>Diamond!I68</f>
        <v>85.661079356000002</v>
      </c>
      <c r="Q9" s="2178">
        <f>Diamond!J68</f>
        <v>81.825108389999997</v>
      </c>
      <c r="R9" s="2178">
        <f>Diamond!K68</f>
        <v>58.297921062999997</v>
      </c>
      <c r="S9" s="1463">
        <f>-Depreciation!S12</f>
        <v>50</v>
      </c>
      <c r="T9" s="1463">
        <f>-Depreciation!T12</f>
        <v>50</v>
      </c>
      <c r="U9" s="1463">
        <f>-Depreciation!U12</f>
        <v>0</v>
      </c>
      <c r="V9" s="1452"/>
      <c r="W9" s="1452"/>
    </row>
    <row r="10" spans="1:23">
      <c r="A10" s="1488"/>
      <c r="C10" s="1452" t="s">
        <v>589</v>
      </c>
      <c r="D10" s="1452"/>
      <c r="E10" s="1452"/>
      <c r="F10" s="1452"/>
      <c r="G10" s="1452"/>
      <c r="H10" s="1463"/>
      <c r="I10" s="1463">
        <f>-Amortization!I11</f>
        <v>0.3</v>
      </c>
      <c r="J10" s="2181">
        <f t="shared" ref="J10:O10" si="0">J15-J14-J13-J12-J11-J9-J8</f>
        <v>-77.786500573000239</v>
      </c>
      <c r="K10" s="2181">
        <f t="shared" si="0"/>
        <v>-171.21225150200019</v>
      </c>
      <c r="L10" s="2181">
        <f t="shared" si="0"/>
        <v>-326.69807190700033</v>
      </c>
      <c r="M10" s="2181">
        <f t="shared" si="0"/>
        <v>-661.00243801299962</v>
      </c>
      <c r="N10" s="2181">
        <f t="shared" si="0"/>
        <v>-804.31523301300012</v>
      </c>
      <c r="O10" s="2181">
        <f t="shared" si="0"/>
        <v>1236.2519580460003</v>
      </c>
      <c r="P10" s="2181">
        <f>P15-P14-P13-P12-P11-P9-P8</f>
        <v>-393.68482551500057</v>
      </c>
      <c r="Q10" s="2181">
        <f>Q15-Q14-Q13-Q12-Q11-Q9-Q8</f>
        <v>-103.5260847980002</v>
      </c>
      <c r="R10" s="2181">
        <f>R15-R14-R13-R12-R11-R9-R8</f>
        <v>-499.61381312599951</v>
      </c>
      <c r="S10" s="1463">
        <f>-Amortization!S11</f>
        <v>1.36</v>
      </c>
      <c r="T10" s="1463">
        <f>-Amortization!T11</f>
        <v>1.36</v>
      </c>
      <c r="U10" s="1463">
        <f>-Amortization!U11</f>
        <v>0</v>
      </c>
      <c r="V10" s="1452"/>
      <c r="W10" s="1452"/>
    </row>
    <row r="11" spans="1:23">
      <c r="A11" s="1488"/>
      <c r="C11" s="1452" t="s">
        <v>1746</v>
      </c>
      <c r="D11" s="1452"/>
      <c r="E11" s="1452"/>
      <c r="F11" s="1452"/>
      <c r="G11" s="1452"/>
      <c r="H11" s="1463"/>
      <c r="I11" s="1463">
        <f>IS!I21+IS!I28</f>
        <v>42</v>
      </c>
      <c r="J11" s="1463">
        <f>IS!J21+IS!J28</f>
        <v>55.177110079000002</v>
      </c>
      <c r="K11" s="1463">
        <f>IS!K21+IS!K28</f>
        <v>206.51809916100001</v>
      </c>
      <c r="L11" s="1463">
        <f>IS!L21+IS!L28</f>
        <v>288.10077301900003</v>
      </c>
      <c r="M11" s="1463">
        <f>IS!M21+IS!M28</f>
        <v>520.36739915899989</v>
      </c>
      <c r="N11" s="1463">
        <f>IS!N21+IS!N28</f>
        <v>332.26003188999999</v>
      </c>
      <c r="O11" s="1463">
        <f>IS!O21+IS!O28</f>
        <v>437.47094056000003</v>
      </c>
      <c r="P11" s="1463">
        <f>IS!P21+IS!P28</f>
        <v>317.20274724799998</v>
      </c>
      <c r="Q11" s="1463">
        <f>IS!Q21+IS!Q28</f>
        <v>90.638871186999992</v>
      </c>
      <c r="R11" s="1463">
        <f>IS!R21+IS!R28</f>
        <v>240.08359865799997</v>
      </c>
      <c r="S11" s="1463">
        <f>IS!S21+IS!S28</f>
        <v>214.2198175645801</v>
      </c>
      <c r="T11" s="1463">
        <f>IS!T21+IS!T28</f>
        <v>256.69406345319624</v>
      </c>
      <c r="U11" s="1463">
        <f>IS!U21+IS!U28</f>
        <v>307.52474818128559</v>
      </c>
      <c r="V11" s="1452"/>
      <c r="W11" s="1452"/>
    </row>
    <row r="12" spans="1:23">
      <c r="A12" s="1488"/>
      <c r="C12" s="1452" t="s">
        <v>1684</v>
      </c>
      <c r="D12" s="1452"/>
      <c r="E12" s="1452"/>
      <c r="F12" s="1452"/>
      <c r="G12" s="1452"/>
      <c r="H12" s="1423"/>
      <c r="I12" s="1423">
        <f>I15-I8-I9-I10-I11-I13-I14</f>
        <v>-276.3</v>
      </c>
      <c r="J12" s="2178">
        <f>Diamond!C70</f>
        <v>-971.50476741299997</v>
      </c>
      <c r="K12" s="2178">
        <f>Diamond!D70</f>
        <v>-1942.6360939409999</v>
      </c>
      <c r="L12" s="2178">
        <f>Diamond!E70</f>
        <v>-2238.9469936400001</v>
      </c>
      <c r="M12" s="2178">
        <f>Diamond!F70</f>
        <v>-3480.9308712460002</v>
      </c>
      <c r="N12" s="2178">
        <f>Diamond!G70</f>
        <v>-966.72551046700005</v>
      </c>
      <c r="O12" s="2178">
        <f>Diamond!H70</f>
        <v>-856.38377728199998</v>
      </c>
      <c r="P12" s="2178">
        <f>Diamond!I70</f>
        <v>-4064.8171705919999</v>
      </c>
      <c r="Q12" s="2178">
        <f>Diamond!J70</f>
        <v>-920.62112207200005</v>
      </c>
      <c r="R12" s="2178">
        <f>Diamond!K70</f>
        <v>-1704.3587985889999</v>
      </c>
      <c r="S12" s="1463">
        <f>'Working Capital'!S23</f>
        <v>-3240.5886744578893</v>
      </c>
      <c r="T12" s="1463">
        <f>'Working Capital'!T23</f>
        <v>19374.839109602584</v>
      </c>
      <c r="U12" s="1463">
        <f>'Working Capital'!U23</f>
        <v>-22741.265995715359</v>
      </c>
      <c r="V12" s="1452"/>
      <c r="W12" s="1452"/>
    </row>
    <row r="13" spans="1:23">
      <c r="A13" s="1488"/>
      <c r="C13" s="1452" t="s">
        <v>1685</v>
      </c>
      <c r="D13" s="1452"/>
      <c r="E13" s="1452"/>
      <c r="F13" s="1452"/>
      <c r="G13" s="1452"/>
      <c r="H13" s="1463"/>
      <c r="I13" s="1463">
        <f>BS!I24-BS!H24</f>
        <v>78</v>
      </c>
      <c r="J13" s="1463">
        <f>BS!J24-BS!I24</f>
        <v>-20.253323911999999</v>
      </c>
      <c r="K13" s="1463">
        <f>BS!K24-BS!J24</f>
        <v>77.960287086000008</v>
      </c>
      <c r="L13" s="1463">
        <f>BS!L24-BS!K24</f>
        <v>138.066414597</v>
      </c>
      <c r="M13" s="1463">
        <f>BS!M24-BS!L24</f>
        <v>698.29917133499998</v>
      </c>
      <c r="N13" s="1463">
        <f>BS!N24-BS!M24</f>
        <v>1104.8680303130002</v>
      </c>
      <c r="O13" s="1463">
        <f>BS!O24-BS!N24</f>
        <v>-885.3413800830001</v>
      </c>
      <c r="P13" s="1463">
        <f>BS!P24-BS!O24</f>
        <v>-196.74207245299999</v>
      </c>
      <c r="Q13" s="1463">
        <f>BS!Q24-BS!P24</f>
        <v>-221.98143184800006</v>
      </c>
      <c r="R13" s="1463">
        <f>BS!R24-BS!Q24</f>
        <v>425.82939453900008</v>
      </c>
      <c r="S13" s="1463">
        <f>BS!S24-BS!R24</f>
        <v>0</v>
      </c>
      <c r="T13" s="1463">
        <f>BS!T24-BS!S24</f>
        <v>0</v>
      </c>
      <c r="U13" s="1463">
        <f>BS!U24-BS!T24</f>
        <v>0</v>
      </c>
      <c r="V13" s="1452"/>
      <c r="W13" s="1452"/>
    </row>
    <row r="14" spans="1:23">
      <c r="A14" s="1488"/>
      <c r="C14" s="1452" t="s">
        <v>1686</v>
      </c>
      <c r="D14" s="1452"/>
      <c r="E14" s="1452"/>
      <c r="F14" s="1452"/>
      <c r="G14" s="1452"/>
      <c r="H14" s="1463"/>
      <c r="I14" s="1463">
        <f>BS!I35-BS!H35</f>
        <v>-74</v>
      </c>
      <c r="J14" s="1463">
        <f>BS!J35-BS!I35</f>
        <v>1.6958816759999999</v>
      </c>
      <c r="K14" s="1463">
        <f>BS!K35-BS!J35</f>
        <v>9.0287898680000005</v>
      </c>
      <c r="L14" s="1463">
        <f>BS!L35-BS!K35</f>
        <v>4.8696942470000018</v>
      </c>
      <c r="M14" s="1463">
        <f>BS!M35-BS!L35</f>
        <v>21.987326676000002</v>
      </c>
      <c r="N14" s="1463">
        <f>BS!N35-BS!M35</f>
        <v>-7.078351413</v>
      </c>
      <c r="O14" s="1463">
        <f>BS!O35-BS!N35</f>
        <v>66.255552593999994</v>
      </c>
      <c r="P14" s="1463">
        <f>BS!P35-BS!O35</f>
        <v>133.49667530600001</v>
      </c>
      <c r="Q14" s="1463">
        <f>BS!Q35-BS!P35</f>
        <v>51.698978266999973</v>
      </c>
      <c r="R14" s="1463">
        <f>BS!R35-BS!Q35</f>
        <v>-94.591749788999977</v>
      </c>
      <c r="S14" s="1463">
        <f>BS!S35-BS!R35</f>
        <v>0</v>
      </c>
      <c r="T14" s="1463">
        <f>BS!T35-BS!S35</f>
        <v>0</v>
      </c>
      <c r="U14" s="1463">
        <f>BS!U35-BS!T35</f>
        <v>0</v>
      </c>
      <c r="V14" s="1452"/>
      <c r="W14" s="1452"/>
    </row>
    <row r="15" spans="1:23">
      <c r="A15" s="1488"/>
      <c r="B15" s="1432" t="s">
        <v>1687</v>
      </c>
      <c r="C15" s="1537"/>
      <c r="D15" s="1537"/>
      <c r="E15" s="1537"/>
      <c r="F15" s="1537"/>
      <c r="G15" s="1537"/>
      <c r="H15" s="1408"/>
      <c r="I15" s="1422">
        <v>112</v>
      </c>
      <c r="J15" s="2179">
        <f>Diamond!C72</f>
        <v>-467.25938794000001</v>
      </c>
      <c r="K15" s="2179">
        <f>Diamond!D72</f>
        <v>-1054.1098087160001</v>
      </c>
      <c r="L15" s="2179">
        <f>Diamond!E72</f>
        <v>-931.75418329399997</v>
      </c>
      <c r="M15" s="2179">
        <f>Diamond!F72</f>
        <v>-1645.7721391919999</v>
      </c>
      <c r="N15" s="2179">
        <f>Diamond!G72</f>
        <v>-780.231132409</v>
      </c>
      <c r="O15" s="2179">
        <f>Diamond!H72</f>
        <v>1224.9630307689999</v>
      </c>
      <c r="P15" s="2179">
        <f>Diamond!I72</f>
        <v>-3904.0143764240001</v>
      </c>
      <c r="Q15" s="2179">
        <f>Diamond!J72</f>
        <v>-849.98239164300003</v>
      </c>
      <c r="R15" s="2179">
        <f>Diamond!K72</f>
        <v>-1321.7911190079999</v>
      </c>
      <c r="S15" s="1408">
        <f>SUM(S8:S14)</f>
        <v>-2395.6212582172493</v>
      </c>
      <c r="T15" s="1408">
        <f>SUM(T8:T14)</f>
        <v>20573.405422205338</v>
      </c>
      <c r="U15" s="1408">
        <f>SUM(U8:U14)</f>
        <v>-17321.562546235873</v>
      </c>
      <c r="V15" s="1452"/>
      <c r="W15" s="1452"/>
    </row>
    <row r="16" spans="1:23">
      <c r="A16" s="1488"/>
      <c r="C16" s="1452"/>
      <c r="D16" s="1452"/>
      <c r="E16" s="1452"/>
      <c r="F16" s="1452"/>
      <c r="G16" s="1452"/>
      <c r="H16" s="1463"/>
      <c r="I16" s="1463"/>
      <c r="J16" s="1463"/>
      <c r="K16" s="1463"/>
      <c r="L16" s="1463"/>
      <c r="M16" s="1463"/>
      <c r="N16" s="1463"/>
      <c r="O16" s="1463"/>
      <c r="P16" s="1463"/>
      <c r="Q16" s="1463"/>
      <c r="R16" s="1463"/>
      <c r="S16" s="1463"/>
      <c r="T16" s="1463"/>
      <c r="U16" s="1463"/>
      <c r="V16" s="1452"/>
      <c r="W16" s="1452"/>
    </row>
    <row r="17" spans="1:23">
      <c r="A17" s="1488"/>
      <c r="C17" s="1452"/>
      <c r="D17" s="1452"/>
      <c r="E17" s="1452"/>
      <c r="F17" s="1452"/>
      <c r="G17" s="1452"/>
      <c r="H17" s="1463"/>
      <c r="I17" s="1463"/>
      <c r="J17" s="1463"/>
      <c r="K17" s="1463"/>
      <c r="L17" s="1463"/>
      <c r="M17" s="1463"/>
      <c r="N17" s="1463"/>
      <c r="O17" s="1463"/>
      <c r="P17" s="1463"/>
      <c r="Q17" s="1463"/>
      <c r="R17" s="1463"/>
      <c r="S17" s="1463"/>
      <c r="T17" s="1463"/>
      <c r="U17" s="1463"/>
      <c r="V17" s="1452"/>
      <c r="W17" s="1452"/>
    </row>
    <row r="18" spans="1:23">
      <c r="A18" s="1488" t="s">
        <v>1603</v>
      </c>
      <c r="B18" s="1431" t="s">
        <v>1688</v>
      </c>
      <c r="D18" s="1481"/>
      <c r="E18" s="1481"/>
    </row>
    <row r="19" spans="1:23">
      <c r="A19" s="1488"/>
      <c r="C19" s="1452" t="s">
        <v>1662</v>
      </c>
      <c r="D19" s="1452"/>
      <c r="E19" s="1452"/>
      <c r="H19" s="1423"/>
      <c r="I19" s="1423">
        <v>-21</v>
      </c>
      <c r="J19" s="1423">
        <f>Diamond!C73</f>
        <v>-25.876041058999999</v>
      </c>
      <c r="K19" s="1423">
        <f>Diamond!D73</f>
        <v>-91.695993883</v>
      </c>
      <c r="L19" s="1423">
        <f>Diamond!E73</f>
        <v>-134.78429826600001</v>
      </c>
      <c r="M19" s="1423">
        <f>Diamond!F73</f>
        <v>-227.91158074399999</v>
      </c>
      <c r="N19" s="1423">
        <f>Diamond!G73</f>
        <v>-87.342394044000002</v>
      </c>
      <c r="O19" s="1423">
        <f>Diamond!H73</f>
        <v>-34.938421482999999</v>
      </c>
      <c r="P19" s="1423">
        <f>Diamond!I73</f>
        <v>-142.36191620700001</v>
      </c>
      <c r="Q19" s="1423">
        <f>Diamond!J73</f>
        <v>-109.486702502</v>
      </c>
      <c r="R19" s="1423">
        <f>Diamond!K73</f>
        <v>-54.452284012</v>
      </c>
      <c r="S19" s="1423">
        <f>Depreciation!S11</f>
        <v>0</v>
      </c>
      <c r="T19" s="1423">
        <f>Depreciation!T11</f>
        <v>0</v>
      </c>
      <c r="U19" s="1423">
        <f>Depreciation!U11</f>
        <v>0</v>
      </c>
    </row>
    <row r="20" spans="1:23">
      <c r="A20" s="1488"/>
      <c r="C20" s="1452" t="s">
        <v>1689</v>
      </c>
      <c r="D20" s="1452"/>
      <c r="E20" s="1452"/>
      <c r="H20" s="1463"/>
      <c r="I20" s="1463">
        <f>-(Depreciation!I13+Amortization!I12)</f>
        <v>1</v>
      </c>
      <c r="J20" s="2178">
        <f>Diamond!C75</f>
        <v>-42.037202774000001</v>
      </c>
      <c r="K20" s="2178">
        <f>Diamond!D75</f>
        <v>-652.80968937099999</v>
      </c>
      <c r="L20" s="2178">
        <f>Diamond!E75</f>
        <v>-115.285547794</v>
      </c>
      <c r="M20" s="2178">
        <f>Diamond!F75</f>
        <v>-274.13803853799999</v>
      </c>
      <c r="N20" s="2178">
        <f>Diamond!G75</f>
        <v>-601.14821875300004</v>
      </c>
      <c r="O20" s="2178">
        <f>Diamond!H75</f>
        <v>121.952515369</v>
      </c>
      <c r="P20" s="2178">
        <f>Diamond!I75</f>
        <v>481.4547943</v>
      </c>
      <c r="Q20" s="2178">
        <f>Diamond!J75</f>
        <v>762.878136348</v>
      </c>
      <c r="R20" s="2178">
        <f>Diamond!K75</f>
        <v>-738.61698651100005</v>
      </c>
      <c r="S20" s="1463">
        <f>-(Depreciation!U13+Amortization!S12)</f>
        <v>1</v>
      </c>
      <c r="T20" s="1463">
        <f>-(Depreciation!V13+Amortization!T12)</f>
        <v>1</v>
      </c>
      <c r="U20" s="1463">
        <f>-(Depreciation!W13+Amortization!U12)</f>
        <v>0</v>
      </c>
    </row>
    <row r="21" spans="1:23">
      <c r="A21" s="1488"/>
      <c r="C21" s="1452" t="s">
        <v>1727</v>
      </c>
      <c r="D21" s="1452"/>
      <c r="E21" s="1452"/>
      <c r="H21" s="1423"/>
      <c r="I21" s="1423">
        <v>0</v>
      </c>
      <c r="J21" s="1423">
        <v>-20</v>
      </c>
      <c r="K21" s="1423">
        <v>-500</v>
      </c>
      <c r="L21" s="1423"/>
      <c r="M21" s="1423">
        <v>-1000</v>
      </c>
      <c r="N21" s="1423">
        <v>0</v>
      </c>
      <c r="O21" s="1423">
        <v>0</v>
      </c>
      <c r="P21" s="1423">
        <v>0</v>
      </c>
      <c r="Q21" s="1423">
        <v>0</v>
      </c>
      <c r="R21" s="1423">
        <v>0</v>
      </c>
      <c r="S21" s="1423">
        <v>0</v>
      </c>
      <c r="T21" s="1423">
        <v>0</v>
      </c>
      <c r="U21" s="1423">
        <v>0</v>
      </c>
    </row>
    <row r="22" spans="1:23">
      <c r="A22" s="1488"/>
      <c r="C22" s="1452" t="s">
        <v>1635</v>
      </c>
      <c r="D22" s="1452"/>
      <c r="E22" s="1452"/>
      <c r="H22" s="1423"/>
      <c r="I22" s="1423">
        <f>I23-SUM(I19:I21)</f>
        <v>-295</v>
      </c>
      <c r="J22" s="2181">
        <f t="shared" ref="J22:O22" si="1">J23-J21-J20-J19</f>
        <v>48.265056794999992</v>
      </c>
      <c r="K22" s="2181">
        <f t="shared" si="1"/>
        <v>197.70673210799995</v>
      </c>
      <c r="L22" s="2181">
        <f t="shared" si="1"/>
        <v>249.948302087</v>
      </c>
      <c r="M22" s="2181">
        <f t="shared" si="1"/>
        <v>89.119618586999991</v>
      </c>
      <c r="N22" s="2181">
        <f t="shared" si="1"/>
        <v>354.39851775300002</v>
      </c>
      <c r="O22" s="2181">
        <f t="shared" si="1"/>
        <v>-77.114530532000003</v>
      </c>
      <c r="P22" s="2181">
        <f>P23-P21-P20-P19</f>
        <v>-101.95523966900001</v>
      </c>
      <c r="Q22" s="2181">
        <f>Q23-Q21-Q20-Q19</f>
        <v>-384.96169183500001</v>
      </c>
      <c r="R22" s="2181">
        <f>R23-R21-R20-R19</f>
        <v>612.12372836199995</v>
      </c>
      <c r="S22" s="1463">
        <f>BS!R24-BS!S24</f>
        <v>0</v>
      </c>
      <c r="T22" s="1463">
        <f>BS!S24-BS!T24</f>
        <v>0</v>
      </c>
      <c r="U22" s="1463">
        <f>BS!T24-BS!U24</f>
        <v>0</v>
      </c>
    </row>
    <row r="23" spans="1:23">
      <c r="A23" s="1488"/>
      <c r="B23" s="1432" t="s">
        <v>1698</v>
      </c>
      <c r="C23" s="1537"/>
      <c r="D23" s="1537"/>
      <c r="E23" s="1537"/>
      <c r="F23" s="1432"/>
      <c r="G23" s="1432"/>
      <c r="H23" s="1441"/>
      <c r="I23" s="1422">
        <v>-315</v>
      </c>
      <c r="J23" s="2179">
        <f>Diamond!C77</f>
        <v>-39.648187038000003</v>
      </c>
      <c r="K23" s="2179">
        <f>Diamond!D77</f>
        <v>-1046.798951146</v>
      </c>
      <c r="L23" s="2179">
        <f>Diamond!E77</f>
        <v>-0.121543973</v>
      </c>
      <c r="M23" s="2179">
        <f>Diamond!F77</f>
        <v>-1412.930000695</v>
      </c>
      <c r="N23" s="2179">
        <f>Diamond!G77</f>
        <v>-334.09209504400002</v>
      </c>
      <c r="O23" s="2179">
        <f>Diamond!H77</f>
        <v>9.8995633539999996</v>
      </c>
      <c r="P23" s="2179">
        <f>Diamond!I77</f>
        <v>237.13763842399999</v>
      </c>
      <c r="Q23" s="2179">
        <f>Diamond!J77</f>
        <v>268.42974201099997</v>
      </c>
      <c r="R23" s="2179">
        <f>Diamond!K77</f>
        <v>-180.94554216099999</v>
      </c>
      <c r="S23" s="1441">
        <f>SUM(S19:S22)</f>
        <v>1</v>
      </c>
      <c r="T23" s="1441">
        <f>SUM(T19:T22)</f>
        <v>1</v>
      </c>
      <c r="U23" s="1441">
        <f>SUM(U19:U22)</f>
        <v>0</v>
      </c>
    </row>
    <row r="25" spans="1:23" s="1407" customFormat="1">
      <c r="B25" s="1407" t="s">
        <v>1692</v>
      </c>
      <c r="H25" s="1427"/>
      <c r="I25" s="1427">
        <f t="shared" ref="I25:N25" si="2">I23+I15</f>
        <v>-203</v>
      </c>
      <c r="J25" s="1427">
        <f t="shared" si="2"/>
        <v>-506.90757497800001</v>
      </c>
      <c r="K25" s="1427">
        <f t="shared" si="2"/>
        <v>-2100.9087598619999</v>
      </c>
      <c r="L25" s="1427">
        <f t="shared" si="2"/>
        <v>-931.875727267</v>
      </c>
      <c r="M25" s="1427">
        <f t="shared" si="2"/>
        <v>-3058.7021398870002</v>
      </c>
      <c r="N25" s="1427">
        <f t="shared" si="2"/>
        <v>-1114.3232274530001</v>
      </c>
      <c r="O25" s="1427">
        <f t="shared" ref="O25:T25" si="3">O23+O15</f>
        <v>1234.862594123</v>
      </c>
      <c r="P25" s="1427">
        <f t="shared" si="3"/>
        <v>-3666.8767379999999</v>
      </c>
      <c r="Q25" s="1427">
        <f t="shared" si="3"/>
        <v>-581.55264963200011</v>
      </c>
      <c r="R25" s="1427">
        <f t="shared" ref="R25" si="4">R23+R15</f>
        <v>-1502.7366611689999</v>
      </c>
      <c r="S25" s="1427">
        <f t="shared" si="3"/>
        <v>-2394.6212582172493</v>
      </c>
      <c r="T25" s="1427">
        <f t="shared" si="3"/>
        <v>20574.405422205338</v>
      </c>
      <c r="U25" s="1427">
        <f t="shared" ref="U25" si="5">U23+U15</f>
        <v>-17321.562546235873</v>
      </c>
    </row>
    <row r="27" spans="1:23">
      <c r="A27" s="1488" t="s">
        <v>1603</v>
      </c>
      <c r="B27" s="1431" t="s">
        <v>1690</v>
      </c>
      <c r="D27" s="1481"/>
      <c r="E27" s="1481"/>
    </row>
    <row r="28" spans="1:23">
      <c r="A28" s="1488"/>
      <c r="C28" s="1431" t="s">
        <v>1747</v>
      </c>
      <c r="D28" s="1481"/>
      <c r="E28" s="1481"/>
      <c r="H28" s="1423"/>
      <c r="I28" s="1423">
        <v>-32</v>
      </c>
      <c r="J28" s="2178">
        <f>Diamond!C78</f>
        <v>-47.038147275</v>
      </c>
      <c r="K28" s="2178">
        <f>Diamond!D78</f>
        <v>-299.618092816</v>
      </c>
      <c r="L28" s="2178">
        <f>Diamond!E78</f>
        <v>-475.9529837</v>
      </c>
      <c r="M28" s="2178">
        <f>Diamond!F78</f>
        <v>-479.42185006</v>
      </c>
      <c r="N28" s="2178">
        <f>Diamond!G78</f>
        <v>-430.954616262</v>
      </c>
      <c r="O28" s="2178">
        <f>Diamond!H78</f>
        <v>-299.58489980500002</v>
      </c>
      <c r="P28" s="2178">
        <f>Diamond!I78</f>
        <v>-337.58029176000002</v>
      </c>
      <c r="Q28" s="2178">
        <f>Diamond!J78</f>
        <v>-76.013361343</v>
      </c>
      <c r="R28" s="2178">
        <f>Diamond!K78</f>
        <v>-10.352029493</v>
      </c>
      <c r="S28" s="1463"/>
      <c r="T28" s="1463"/>
      <c r="U28" s="1463"/>
    </row>
    <row r="29" spans="1:23">
      <c r="A29" s="1488"/>
      <c r="C29" s="1452" t="s">
        <v>1652</v>
      </c>
      <c r="D29" s="1452"/>
      <c r="E29" s="1452"/>
      <c r="H29" s="1423"/>
      <c r="I29" s="1423">
        <v>49</v>
      </c>
      <c r="J29" s="2178">
        <f>Diamond!C80</f>
        <v>1217.1910191300001</v>
      </c>
      <c r="K29" s="2178">
        <f>Diamond!D80</f>
        <v>403.16300000000001</v>
      </c>
      <c r="L29" s="2178">
        <f>Diamond!E80</f>
        <v>541.57563700000003</v>
      </c>
      <c r="M29" s="2178">
        <f>Diamond!F80</f>
        <v>1636.225952</v>
      </c>
      <c r="N29" s="2178">
        <f>Diamond!G80</f>
        <v>1008.484545475</v>
      </c>
      <c r="O29" s="2178">
        <f>Diamond!H80</f>
        <v>1482.270245377</v>
      </c>
      <c r="P29" s="2178">
        <f>Diamond!I80</f>
        <v>416.88566512099999</v>
      </c>
      <c r="Q29" s="2178">
        <f>Diamond!J80</f>
        <v>28.990500001000001</v>
      </c>
      <c r="R29" s="2178">
        <f>Diamond!K80</f>
        <v>1225.924088</v>
      </c>
      <c r="S29" s="1463">
        <f>Equity!S20</f>
        <v>0</v>
      </c>
      <c r="T29" s="1463">
        <f>Equity!T20</f>
        <v>0</v>
      </c>
      <c r="U29" s="1463">
        <f>Equity!U20</f>
        <v>0</v>
      </c>
    </row>
    <row r="30" spans="1:23">
      <c r="A30" s="1488"/>
      <c r="C30" s="1452" t="s">
        <v>1691</v>
      </c>
      <c r="D30" s="1452"/>
      <c r="E30" s="1452"/>
      <c r="H30" s="1423"/>
      <c r="I30" s="1423">
        <v>319</v>
      </c>
      <c r="J30" s="2178">
        <f>Diamond!C79</f>
        <v>245.448519194</v>
      </c>
      <c r="K30" s="2178">
        <f>Diamond!D79</f>
        <v>1866.5842714410001</v>
      </c>
      <c r="L30" s="2178">
        <f>Diamond!E79</f>
        <v>337.38707406999998</v>
      </c>
      <c r="M30" s="2178">
        <f>Diamond!F79</f>
        <v>1536.6193291059999</v>
      </c>
      <c r="N30" s="2178">
        <f>Diamond!G79</f>
        <v>1523.131623017</v>
      </c>
      <c r="O30" s="2178">
        <f>Diamond!H79</f>
        <v>-1459.502068581</v>
      </c>
      <c r="P30" s="2178">
        <f>Diamond!I79</f>
        <v>1768.8733952969999</v>
      </c>
      <c r="Q30" s="2178">
        <f>Diamond!J79</f>
        <v>-14.334744369999999</v>
      </c>
      <c r="R30" s="2178">
        <f>Diamond!K79</f>
        <v>1260.175310956</v>
      </c>
      <c r="S30" s="1463">
        <f>BS!S34-BS!R34+BS!S31-BS!R31</f>
        <v>0</v>
      </c>
      <c r="T30" s="1463">
        <f>BS!T34-BS!S34+BS!T31-BS!S31</f>
        <v>0</v>
      </c>
      <c r="U30" s="1463">
        <f>BS!U34-BS!T34+BS!U31-BS!T31</f>
        <v>0</v>
      </c>
    </row>
    <row r="31" spans="1:23">
      <c r="A31" s="1488"/>
      <c r="C31" s="1452" t="s">
        <v>589</v>
      </c>
      <c r="D31" s="1452"/>
      <c r="E31" s="1452"/>
      <c r="H31" s="1463"/>
      <c r="I31" s="1463"/>
      <c r="J31" s="1423">
        <v>-48</v>
      </c>
      <c r="K31" s="1463"/>
      <c r="L31" s="1463"/>
      <c r="M31" s="1463"/>
      <c r="N31" s="1463"/>
      <c r="O31" s="1423">
        <v>1500</v>
      </c>
      <c r="P31" s="1463"/>
      <c r="Q31" s="1463"/>
      <c r="R31" s="1463"/>
      <c r="S31" s="1463"/>
      <c r="T31" s="1463"/>
      <c r="U31" s="1463"/>
    </row>
    <row r="32" spans="1:23">
      <c r="A32" s="1488"/>
      <c r="B32" s="1432" t="s">
        <v>1699</v>
      </c>
      <c r="C32" s="1537"/>
      <c r="D32" s="1537"/>
      <c r="E32" s="1537"/>
      <c r="F32" s="1432"/>
      <c r="G32" s="1432"/>
      <c r="H32" s="1441"/>
      <c r="I32" s="1441">
        <f>SUM(I28:I31)</f>
        <v>336</v>
      </c>
      <c r="J32" s="2179">
        <f>Diamond!C82</f>
        <v>1415.6013910490001</v>
      </c>
      <c r="K32" s="2179">
        <f>Diamond!D82</f>
        <v>1970.1291786249999</v>
      </c>
      <c r="L32" s="2179">
        <f>Diamond!E82</f>
        <v>403.00972737000001</v>
      </c>
      <c r="M32" s="2179">
        <f>Diamond!F82</f>
        <v>2693.4234310460001</v>
      </c>
      <c r="N32" s="2179">
        <f>Diamond!G82</f>
        <v>2100.6615522299999</v>
      </c>
      <c r="O32" s="2179">
        <f>Diamond!H82</f>
        <v>-276.81672300899999</v>
      </c>
      <c r="P32" s="2179">
        <f>Diamond!I82</f>
        <v>1848.1787686580001</v>
      </c>
      <c r="Q32" s="2179">
        <f>Diamond!J82</f>
        <v>-61.357605712000002</v>
      </c>
      <c r="R32" s="2179">
        <f>Diamond!K82</f>
        <v>2475.7473694629998</v>
      </c>
      <c r="S32" s="1441">
        <f>SUM(S28:S31)</f>
        <v>0</v>
      </c>
      <c r="T32" s="1441">
        <f>SUM(T28:T31)</f>
        <v>0</v>
      </c>
      <c r="U32" s="1441">
        <f>SUM(U28:U31)</f>
        <v>0</v>
      </c>
    </row>
    <row r="34" spans="1:21">
      <c r="B34" s="1431" t="s">
        <v>1693</v>
      </c>
      <c r="H34" s="1440"/>
      <c r="I34" s="1440">
        <f t="shared" ref="I34:N34" si="6">I32+I25</f>
        <v>133</v>
      </c>
      <c r="J34" s="1440">
        <f t="shared" si="6"/>
        <v>908.69381607100013</v>
      </c>
      <c r="K34" s="1440">
        <f t="shared" si="6"/>
        <v>-130.779581237</v>
      </c>
      <c r="L34" s="1440">
        <f t="shared" si="6"/>
        <v>-528.86599989699994</v>
      </c>
      <c r="M34" s="1440">
        <f t="shared" si="6"/>
        <v>-365.27870884100003</v>
      </c>
      <c r="N34" s="1440">
        <f t="shared" si="6"/>
        <v>986.3383247769998</v>
      </c>
      <c r="O34" s="1440">
        <f t="shared" ref="O34:T34" si="7">O32+O25</f>
        <v>958.04587111399997</v>
      </c>
      <c r="P34" s="1440">
        <f t="shared" si="7"/>
        <v>-1818.6979693419999</v>
      </c>
      <c r="Q34" s="1440">
        <f t="shared" ref="Q34:R34" si="8">Q32+Q25</f>
        <v>-642.91025534400012</v>
      </c>
      <c r="R34" s="1440">
        <f t="shared" si="8"/>
        <v>973.01070829399987</v>
      </c>
      <c r="S34" s="1440">
        <f t="shared" si="7"/>
        <v>-2394.6212582172493</v>
      </c>
      <c r="T34" s="1440">
        <f t="shared" si="7"/>
        <v>20574.405422205338</v>
      </c>
      <c r="U34" s="1440">
        <f t="shared" ref="U34" si="9">U32+U25</f>
        <v>-17321.562546235873</v>
      </c>
    </row>
    <row r="35" spans="1:21">
      <c r="B35" s="1431" t="s">
        <v>1694</v>
      </c>
      <c r="H35" s="1463"/>
      <c r="I35" s="1463">
        <f>BS!H7</f>
        <v>776</v>
      </c>
      <c r="J35" s="1440">
        <f t="shared" ref="J35:U35" si="10">I36</f>
        <v>909</v>
      </c>
      <c r="K35" s="1440">
        <f t="shared" si="10"/>
        <v>1818.2168897009999</v>
      </c>
      <c r="L35" s="1440">
        <f t="shared" si="10"/>
        <v>1687.4373084639999</v>
      </c>
      <c r="M35" s="1440">
        <f t="shared" si="10"/>
        <v>1158.571308567</v>
      </c>
      <c r="N35" s="1440">
        <f t="shared" si="10"/>
        <v>793.29259972600005</v>
      </c>
      <c r="O35" s="1440">
        <f t="shared" si="10"/>
        <v>1779.630924503</v>
      </c>
      <c r="P35" s="1440">
        <f t="shared" si="10"/>
        <v>2737.6767956170002</v>
      </c>
      <c r="Q35" s="1440">
        <f t="shared" si="10"/>
        <v>918.97882627499996</v>
      </c>
      <c r="R35" s="1440">
        <f t="shared" si="10"/>
        <v>276.06857093100001</v>
      </c>
      <c r="S35" s="1440">
        <f t="shared" si="10"/>
        <v>1249.0792792249999</v>
      </c>
      <c r="T35" s="1440">
        <f t="shared" si="10"/>
        <v>-1145.5419789922494</v>
      </c>
      <c r="U35" s="1440">
        <f t="shared" si="10"/>
        <v>19428.863443213089</v>
      </c>
    </row>
    <row r="36" spans="1:21">
      <c r="B36" s="1475" t="s">
        <v>1695</v>
      </c>
      <c r="C36" s="1475"/>
      <c r="D36" s="1475"/>
      <c r="E36" s="1475"/>
      <c r="F36" s="1475"/>
      <c r="G36" s="1475"/>
      <c r="H36" s="1579"/>
      <c r="I36" s="1579">
        <f>SUM(I34:I35)</f>
        <v>909</v>
      </c>
      <c r="J36" s="2180">
        <f>Diamond!C12</f>
        <v>1818.2168897009999</v>
      </c>
      <c r="K36" s="2180">
        <f>Diamond!D12</f>
        <v>1687.4373084639999</v>
      </c>
      <c r="L36" s="2180">
        <f>Diamond!E12</f>
        <v>1158.571308567</v>
      </c>
      <c r="M36" s="2180">
        <f>Diamond!F12</f>
        <v>793.29259972600005</v>
      </c>
      <c r="N36" s="2180">
        <f>Diamond!G12</f>
        <v>1779.630924503</v>
      </c>
      <c r="O36" s="2180">
        <f>Diamond!H12</f>
        <v>2737.6767956170002</v>
      </c>
      <c r="P36" s="2180">
        <f>Diamond!I12</f>
        <v>918.97882627499996</v>
      </c>
      <c r="Q36" s="2180">
        <f>Diamond!J12</f>
        <v>276.06857093100001</v>
      </c>
      <c r="R36" s="2180">
        <f>Diamond!K12</f>
        <v>1249.0792792249999</v>
      </c>
      <c r="S36" s="1579">
        <f>SUM(S34:S35)</f>
        <v>-1145.5419789922494</v>
      </c>
      <c r="T36" s="1579">
        <f>SUM(T34:T35)</f>
        <v>19428.863443213089</v>
      </c>
      <c r="U36" s="1579">
        <f>SUM(U34:U35)</f>
        <v>2107.3008969772163</v>
      </c>
    </row>
    <row r="37" spans="1:21">
      <c r="P37" s="1440"/>
    </row>
    <row r="38" spans="1:21">
      <c r="A38" s="1488" t="s">
        <v>1603</v>
      </c>
      <c r="B38" s="1488" t="s">
        <v>1629</v>
      </c>
    </row>
  </sheetData>
  <pageMargins left="0.45" right="0.45" top="0.5" bottom="0.5" header="0.3" footer="0.3"/>
  <pageSetup paperSize="9" scale="85"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P87"/>
  <sheetViews>
    <sheetView zoomScaleNormal="100" zoomScaleSheetLayoutView="145" workbookViewId="0">
      <pane xSplit="5" ySplit="5" topLeftCell="F6" activePane="bottomRight" state="frozen"/>
      <selection pane="topRight" activeCell="F1" sqref="F1"/>
      <selection pane="bottomLeft" activeCell="A6" sqref="A6"/>
      <selection pane="bottomRight" activeCell="S50" sqref="S50"/>
    </sheetView>
  </sheetViews>
  <sheetFormatPr defaultColWidth="9.140625" defaultRowHeight="12"/>
  <cols>
    <col min="1" max="1" width="2.85546875" style="1431" customWidth="1"/>
    <col min="2" max="2" width="10.140625" style="1431" customWidth="1"/>
    <col min="3" max="4" width="9.140625" style="1431"/>
    <col min="5" max="5" width="9.42578125" style="1431" customWidth="1"/>
    <col min="6" max="7" width="9.7109375" style="1431" bestFit="1" customWidth="1"/>
    <col min="8" max="8" width="10.5703125" style="1431" bestFit="1" customWidth="1"/>
    <col min="9" max="10" width="10.85546875" style="1431" bestFit="1" customWidth="1"/>
    <col min="11" max="11" width="10.5703125" style="1431" bestFit="1" customWidth="1"/>
    <col min="12" max="22" width="10.85546875" style="1431" bestFit="1" customWidth="1"/>
    <col min="23" max="23" width="10.85546875" style="1431" customWidth="1"/>
    <col min="24" max="24" width="9.140625" style="1431" bestFit="1" customWidth="1"/>
    <col min="25" max="25" width="13.85546875" style="1431" bestFit="1" customWidth="1"/>
    <col min="26" max="26" width="13.42578125" style="1431" bestFit="1" customWidth="1"/>
    <col min="27" max="27" width="11.140625" style="1431" bestFit="1" customWidth="1"/>
    <col min="28" max="30" width="9.7109375" style="1431" bestFit="1" customWidth="1"/>
    <col min="31" max="31" width="9.7109375" style="1431" customWidth="1"/>
    <col min="32" max="16384" width="9.140625" style="1431"/>
  </cols>
  <sheetData>
    <row r="1" spans="1:41" ht="21">
      <c r="A1" s="1404" t="s">
        <v>1602</v>
      </c>
    </row>
    <row r="2" spans="1:41">
      <c r="A2" s="1405" t="s">
        <v>1776</v>
      </c>
    </row>
    <row r="3" spans="1:41">
      <c r="A3" s="1405"/>
      <c r="S3" s="2258">
        <f>S29</f>
        <v>579.38759867605995</v>
      </c>
      <c r="T3" s="2258">
        <f t="shared" ref="T3:V3" si="0">T29</f>
        <v>890.51224914955571</v>
      </c>
      <c r="U3" s="2258">
        <f t="shared" si="0"/>
        <v>5112.1787012982022</v>
      </c>
      <c r="V3" s="2258">
        <f t="shared" si="0"/>
        <v>6099.4004588320549</v>
      </c>
      <c r="X3" s="1431" t="s">
        <v>1620</v>
      </c>
      <c r="Y3" s="1431" t="s">
        <v>1621</v>
      </c>
    </row>
    <row r="4" spans="1:41">
      <c r="F4" s="1467" t="s">
        <v>1614</v>
      </c>
      <c r="G4" s="1468"/>
      <c r="H4" s="1469"/>
      <c r="I4" s="1523" t="s">
        <v>1615</v>
      </c>
      <c r="J4" s="1523"/>
      <c r="K4" s="1523"/>
      <c r="L4" s="1523"/>
      <c r="M4" s="1523"/>
      <c r="N4" s="1523"/>
      <c r="O4" s="1523"/>
      <c r="P4" s="1523"/>
      <c r="Q4" s="1523"/>
      <c r="R4" s="1523"/>
      <c r="S4" s="1523"/>
      <c r="T4" s="1523"/>
      <c r="U4" s="1523"/>
      <c r="V4" s="1523"/>
      <c r="W4" s="1535"/>
      <c r="X4" s="1478" t="s">
        <v>1011</v>
      </c>
      <c r="Y4" s="1478" t="s">
        <v>1011</v>
      </c>
      <c r="AJ4" s="1479"/>
      <c r="AL4" s="1479"/>
      <c r="AN4" s="1479"/>
    </row>
    <row r="5" spans="1:41">
      <c r="F5" s="1521">
        <v>2012</v>
      </c>
      <c r="G5" s="1522">
        <f>F5+1</f>
        <v>2013</v>
      </c>
      <c r="H5" s="1570">
        <f t="shared" ref="H5:V5" si="1">G5+1</f>
        <v>2014</v>
      </c>
      <c r="I5" s="1522">
        <f t="shared" si="1"/>
        <v>2015</v>
      </c>
      <c r="J5" s="1522">
        <f t="shared" si="1"/>
        <v>2016</v>
      </c>
      <c r="K5" s="1522">
        <f t="shared" si="1"/>
        <v>2017</v>
      </c>
      <c r="L5" s="1522">
        <f t="shared" si="1"/>
        <v>2018</v>
      </c>
      <c r="M5" s="1522">
        <f t="shared" si="1"/>
        <v>2019</v>
      </c>
      <c r="N5" s="1522">
        <f t="shared" si="1"/>
        <v>2020</v>
      </c>
      <c r="O5" s="1522">
        <f t="shared" si="1"/>
        <v>2021</v>
      </c>
      <c r="P5" s="1522">
        <f t="shared" si="1"/>
        <v>2022</v>
      </c>
      <c r="Q5" s="1522">
        <f t="shared" si="1"/>
        <v>2023</v>
      </c>
      <c r="R5" s="1522">
        <f t="shared" si="1"/>
        <v>2024</v>
      </c>
      <c r="S5" s="1522">
        <f t="shared" si="1"/>
        <v>2025</v>
      </c>
      <c r="T5" s="1522">
        <f t="shared" si="1"/>
        <v>2026</v>
      </c>
      <c r="U5" s="1522">
        <f t="shared" si="1"/>
        <v>2027</v>
      </c>
      <c r="V5" s="1522">
        <f t="shared" si="1"/>
        <v>2028</v>
      </c>
      <c r="W5" s="1522"/>
      <c r="Z5" s="1481"/>
      <c r="AA5" s="1481"/>
      <c r="AJ5" s="1584"/>
      <c r="AK5" s="1447"/>
      <c r="AL5" s="1482"/>
      <c r="AM5" s="1447"/>
      <c r="AN5" s="1482"/>
      <c r="AO5" s="1447"/>
    </row>
    <row r="6" spans="1:41">
      <c r="H6" s="1466"/>
      <c r="Z6" s="1485"/>
      <c r="AA6" s="1485"/>
      <c r="AJ6" s="1585"/>
      <c r="AK6" s="1447"/>
      <c r="AL6" s="1486"/>
      <c r="AM6" s="1447"/>
      <c r="AN6" s="1487"/>
      <c r="AO6" s="1447"/>
    </row>
    <row r="7" spans="1:41">
      <c r="A7" s="1488" t="s">
        <v>1603</v>
      </c>
      <c r="B7" s="1431" t="s">
        <v>3</v>
      </c>
      <c r="F7" s="1423">
        <v>404</v>
      </c>
      <c r="G7" s="1423">
        <v>343</v>
      </c>
      <c r="H7" s="1563">
        <v>506</v>
      </c>
      <c r="I7" s="1423">
        <v>1395</v>
      </c>
      <c r="J7" s="1423">
        <f>Diamond!C45</f>
        <v>2506.5168574600002</v>
      </c>
      <c r="K7" s="1423">
        <f>Diamond!D45</f>
        <v>2879.2413899469998</v>
      </c>
      <c r="L7" s="1423">
        <f>Diamond!E45</f>
        <v>4645.3185625320002</v>
      </c>
      <c r="M7" s="1423">
        <f>Diamond!F45</f>
        <v>5813.5777320179996</v>
      </c>
      <c r="N7" s="1423">
        <f>Diamond!G45</f>
        <v>2890.653883727</v>
      </c>
      <c r="O7" s="1423">
        <f>Diamond!H45</f>
        <v>10089.384737838</v>
      </c>
      <c r="P7" s="1423">
        <f>Diamond!I45</f>
        <v>5511.7151521940004</v>
      </c>
      <c r="Q7" s="1423">
        <f>Diamond!J45</f>
        <v>3724.8259443420002</v>
      </c>
      <c r="R7" s="1423">
        <f>Diamond!K45</f>
        <v>4733.1931724939996</v>
      </c>
      <c r="S7" s="1410">
        <f t="shared" ref="S7:V7" si="2">S49</f>
        <v>7111.5760816000002</v>
      </c>
      <c r="T7" s="1410">
        <f t="shared" si="2"/>
        <v>9090.8002888400006</v>
      </c>
      <c r="U7" s="1410">
        <f t="shared" si="2"/>
        <v>19117.376260759997</v>
      </c>
      <c r="V7" s="1410">
        <f t="shared" si="2"/>
        <v>20007.373858839997</v>
      </c>
      <c r="W7" s="1410"/>
      <c r="X7" s="1489">
        <f>RATE(5,0,-H7,M7)</f>
        <v>0.62951586593397368</v>
      </c>
      <c r="Y7" s="1489">
        <f>RATE(4,0,-I7,M7)</f>
        <v>0.42878643723528398</v>
      </c>
      <c r="Z7" s="1481"/>
      <c r="AA7" s="1490"/>
      <c r="AB7" s="1470"/>
      <c r="AJ7" s="1472"/>
      <c r="AK7" s="1447"/>
      <c r="AL7" s="1491"/>
      <c r="AM7" s="1447"/>
      <c r="AN7" s="1482"/>
      <c r="AO7" s="1447"/>
    </row>
    <row r="8" spans="1:41" ht="13.35" customHeight="1">
      <c r="A8" s="1488"/>
      <c r="B8" s="1484" t="s">
        <v>1616</v>
      </c>
      <c r="F8" s="1518">
        <v>211</v>
      </c>
      <c r="G8" s="1518">
        <v>137</v>
      </c>
      <c r="H8" s="1571">
        <v>204</v>
      </c>
      <c r="I8" s="1518">
        <v>735</v>
      </c>
      <c r="J8" s="1518">
        <f>-Diamond!C46</f>
        <v>1454.8795920350001</v>
      </c>
      <c r="K8" s="1518">
        <f>-Diamond!D46</f>
        <v>1149.440021123</v>
      </c>
      <c r="L8" s="1518">
        <f>-Diamond!E46</f>
        <v>2030.54437859</v>
      </c>
      <c r="M8" s="1518">
        <f>-Diamond!F46</f>
        <v>2729.975508597</v>
      </c>
      <c r="N8" s="1518">
        <f>-Diamond!G46</f>
        <v>1016.048215123</v>
      </c>
      <c r="O8" s="1518">
        <f>-Diamond!H46</f>
        <v>4491.591910436</v>
      </c>
      <c r="P8" s="1518">
        <f>-Diamond!I46</f>
        <v>2541.6871609029999</v>
      </c>
      <c r="Q8" s="1518">
        <f>-Diamond!J46</f>
        <v>2014.4440915319999</v>
      </c>
      <c r="R8" s="1518">
        <f>-Diamond!K46</f>
        <v>2448.364486808</v>
      </c>
      <c r="S8" s="1410">
        <f t="shared" ref="S8:V8" si="3">S7-S9</f>
        <v>4202.7428206174</v>
      </c>
      <c r="T8" s="1410">
        <f t="shared" si="3"/>
        <v>5145.1623555947608</v>
      </c>
      <c r="U8" s="1410">
        <f t="shared" si="3"/>
        <v>7074.4729134388381</v>
      </c>
      <c r="V8" s="1410">
        <f t="shared" si="3"/>
        <v>6382.0177391979996</v>
      </c>
      <c r="W8" s="1410"/>
      <c r="X8" s="1489">
        <f>RATE(5,0,-H8,M8)</f>
        <v>0.67998620927556186</v>
      </c>
      <c r="Y8" s="1489">
        <f>RATE(4,0,-I8,M8)</f>
        <v>0.38825054598415987</v>
      </c>
      <c r="Z8" s="1481"/>
      <c r="AA8" s="1492"/>
      <c r="AJ8" s="1585"/>
      <c r="AK8" s="1447"/>
      <c r="AL8" s="1486"/>
      <c r="AM8" s="1447"/>
    </row>
    <row r="9" spans="1:41">
      <c r="A9" s="1488"/>
      <c r="B9" s="1447"/>
      <c r="C9" s="1447" t="s">
        <v>28</v>
      </c>
      <c r="F9" s="1477">
        <f t="shared" ref="F9:P9" si="4">F7-F8</f>
        <v>193</v>
      </c>
      <c r="G9" s="1477">
        <f t="shared" si="4"/>
        <v>206</v>
      </c>
      <c r="H9" s="1572">
        <f t="shared" si="4"/>
        <v>302</v>
      </c>
      <c r="I9" s="1477">
        <f t="shared" si="4"/>
        <v>660</v>
      </c>
      <c r="J9" s="1477">
        <f t="shared" si="4"/>
        <v>1051.6372654250001</v>
      </c>
      <c r="K9" s="1477">
        <f t="shared" si="4"/>
        <v>1729.8013688239998</v>
      </c>
      <c r="L9" s="1477">
        <f t="shared" si="4"/>
        <v>2614.7741839420005</v>
      </c>
      <c r="M9" s="1477">
        <f t="shared" si="4"/>
        <v>3083.6022234209995</v>
      </c>
      <c r="N9" s="1477">
        <f t="shared" si="4"/>
        <v>1874.6056686040001</v>
      </c>
      <c r="O9" s="1477">
        <f t="shared" si="4"/>
        <v>5597.7928274019996</v>
      </c>
      <c r="P9" s="1477">
        <f t="shared" si="4"/>
        <v>2970.0279912910005</v>
      </c>
      <c r="Q9" s="1477">
        <f t="shared" ref="Q9:R9" si="5">Q7-Q8</f>
        <v>1710.3818528100003</v>
      </c>
      <c r="R9" s="1477">
        <f t="shared" si="5"/>
        <v>2284.8286856859995</v>
      </c>
      <c r="S9" s="1408">
        <f>S61</f>
        <v>2908.8332609826002</v>
      </c>
      <c r="T9" s="1408">
        <f>T61</f>
        <v>3945.6379332452402</v>
      </c>
      <c r="U9" s="1408">
        <f>U61</f>
        <v>12042.903347321158</v>
      </c>
      <c r="V9" s="1408">
        <f>V61</f>
        <v>13625.356119641998</v>
      </c>
      <c r="W9" s="1410"/>
      <c r="X9" s="1489">
        <f>RATE(5,0,-H9,M9)</f>
        <v>0.59151333350187152</v>
      </c>
      <c r="Y9" s="1489">
        <f>RATE(4,0,-I9,M9)</f>
        <v>0.47020739762031477</v>
      </c>
      <c r="Z9" s="1481"/>
      <c r="AA9" s="1490"/>
      <c r="AH9" s="1470"/>
      <c r="AJ9" s="1472"/>
      <c r="AK9" s="1447"/>
      <c r="AL9" s="1464"/>
      <c r="AM9" s="1447"/>
      <c r="AN9" s="1479"/>
    </row>
    <row r="10" spans="1:41">
      <c r="A10" s="1488"/>
      <c r="B10" s="1488"/>
      <c r="F10" s="1493"/>
      <c r="G10" s="1493"/>
      <c r="H10" s="1573"/>
      <c r="I10" s="1493"/>
      <c r="J10" s="1493"/>
      <c r="K10" s="1493"/>
      <c r="L10" s="1493"/>
      <c r="M10" s="1493"/>
      <c r="N10" s="1493"/>
      <c r="O10" s="1493"/>
      <c r="P10" s="1493"/>
      <c r="Q10" s="1493"/>
      <c r="R10" s="1493"/>
      <c r="S10" s="1493"/>
      <c r="T10" s="1493"/>
      <c r="U10" s="1493"/>
      <c r="V10" s="1493"/>
      <c r="W10" s="1493"/>
      <c r="AB10" s="1494"/>
      <c r="AN10" s="1482"/>
      <c r="AO10" s="1447"/>
    </row>
    <row r="11" spans="1:41">
      <c r="A11" s="1488"/>
      <c r="B11" s="1484" t="s">
        <v>1617</v>
      </c>
      <c r="F11" s="1583">
        <f>F12+F13</f>
        <v>123</v>
      </c>
      <c r="G11" s="1583">
        <f>G12+G13</f>
        <v>144</v>
      </c>
      <c r="H11" s="1659">
        <f>H12+H13</f>
        <v>137</v>
      </c>
      <c r="I11" s="1583">
        <f>I12+I13</f>
        <v>270</v>
      </c>
      <c r="J11" s="1583">
        <f t="shared" ref="J11:P11" si="6">SUM(J12:J13)</f>
        <v>408.55196940399998</v>
      </c>
      <c r="K11" s="1583">
        <f t="shared" si="6"/>
        <v>543.52333109100005</v>
      </c>
      <c r="L11" s="1583">
        <f t="shared" si="6"/>
        <v>779.73243167500004</v>
      </c>
      <c r="M11" s="1583">
        <f t="shared" si="6"/>
        <v>984.59032622999996</v>
      </c>
      <c r="N11" s="1583">
        <f t="shared" si="6"/>
        <v>1082.581908417</v>
      </c>
      <c r="O11" s="1583">
        <f t="shared" si="6"/>
        <v>2885.115383758</v>
      </c>
      <c r="P11" s="1583">
        <f t="shared" si="6"/>
        <v>2139.8049220519997</v>
      </c>
      <c r="Q11" s="1583">
        <f t="shared" ref="Q11:R11" si="7">SUM(Q12:Q13)</f>
        <v>976.53523612100003</v>
      </c>
      <c r="R11" s="1583">
        <f t="shared" si="7"/>
        <v>1132.2974508940001</v>
      </c>
      <c r="S11" s="1583">
        <f t="shared" ref="S11:V11" si="8">S7*S36</f>
        <v>1777.8940204</v>
      </c>
      <c r="T11" s="1583">
        <f t="shared" si="8"/>
        <v>2272.7000722100001</v>
      </c>
      <c r="U11" s="1583">
        <f t="shared" si="8"/>
        <v>4779.3440651899991</v>
      </c>
      <c r="V11" s="1583">
        <f t="shared" si="8"/>
        <v>5001.8434647099994</v>
      </c>
      <c r="W11" s="1583"/>
      <c r="X11" s="1666"/>
      <c r="Y11" s="1489" t="s">
        <v>656</v>
      </c>
      <c r="Z11" s="1647">
        <f t="shared" ref="Z11:AL11" si="9">H5</f>
        <v>2014</v>
      </c>
      <c r="AA11" s="1647">
        <f t="shared" si="9"/>
        <v>2015</v>
      </c>
      <c r="AB11" s="1647">
        <f t="shared" si="9"/>
        <v>2016</v>
      </c>
      <c r="AC11" s="1647">
        <f t="shared" si="9"/>
        <v>2017</v>
      </c>
      <c r="AD11" s="1647">
        <f t="shared" si="9"/>
        <v>2018</v>
      </c>
      <c r="AE11" s="1647">
        <f t="shared" si="9"/>
        <v>2019</v>
      </c>
      <c r="AF11" s="1647">
        <f t="shared" si="9"/>
        <v>2020</v>
      </c>
      <c r="AG11" s="1647">
        <f t="shared" si="9"/>
        <v>2021</v>
      </c>
      <c r="AH11" s="1647">
        <f t="shared" si="9"/>
        <v>2022</v>
      </c>
      <c r="AI11" s="1647">
        <f t="shared" si="9"/>
        <v>2023</v>
      </c>
      <c r="AJ11" s="1647">
        <f t="shared" si="9"/>
        <v>2024</v>
      </c>
      <c r="AK11" s="1647">
        <f t="shared" si="9"/>
        <v>2025</v>
      </c>
      <c r="AL11" s="1647">
        <f t="shared" si="9"/>
        <v>2026</v>
      </c>
      <c r="AM11" s="1647">
        <f>U5</f>
        <v>2027</v>
      </c>
      <c r="AN11" s="1647">
        <f>V5</f>
        <v>2028</v>
      </c>
      <c r="AO11" s="1647">
        <f>W5</f>
        <v>0</v>
      </c>
    </row>
    <row r="12" spans="1:41">
      <c r="A12" s="1488"/>
      <c r="B12" s="1484"/>
      <c r="C12" s="1431" t="s">
        <v>1766</v>
      </c>
      <c r="F12" s="1518">
        <v>44</v>
      </c>
      <c r="G12" s="1518">
        <v>63</v>
      </c>
      <c r="H12" s="1571">
        <v>54</v>
      </c>
      <c r="I12" s="1518">
        <v>145</v>
      </c>
      <c r="J12" s="1518">
        <f>-Diamond!C48</f>
        <v>235.75285378999999</v>
      </c>
      <c r="K12" s="1518">
        <f>-Diamond!D48</f>
        <v>294.96562050099999</v>
      </c>
      <c r="L12" s="1518">
        <f>-Diamond!E48</f>
        <v>433.80479667600002</v>
      </c>
      <c r="M12" s="1518">
        <f>-Diamond!F48</f>
        <v>483.12630856099997</v>
      </c>
      <c r="N12" s="1518">
        <f>-Diamond!G48</f>
        <v>488.535848176</v>
      </c>
      <c r="O12" s="1518">
        <f>-Diamond!H48</f>
        <v>1887.4831774469999</v>
      </c>
      <c r="P12" s="1518">
        <f>-Diamond!I48</f>
        <v>1056.802243719</v>
      </c>
      <c r="Q12" s="1518">
        <f>-Diamond!J48</f>
        <v>585.67508246099999</v>
      </c>
      <c r="R12" s="1518">
        <f>-Diamond!K48</f>
        <v>730.62360625899998</v>
      </c>
      <c r="S12" s="1583">
        <f t="shared" ref="S12:V13" si="10">S$11*AK12</f>
        <v>888.94701020000002</v>
      </c>
      <c r="T12" s="1583">
        <f t="shared" si="10"/>
        <v>1136.3500361050001</v>
      </c>
      <c r="U12" s="1583">
        <f t="shared" si="10"/>
        <v>2389.6720325949996</v>
      </c>
      <c r="V12" s="1583">
        <f t="shared" si="10"/>
        <v>2500.9217323549997</v>
      </c>
      <c r="W12" s="1583"/>
      <c r="X12" s="1489"/>
      <c r="Y12" s="1489"/>
      <c r="Z12" s="1689">
        <f>H12/H11</f>
        <v>0.39416058394160586</v>
      </c>
      <c r="AA12" s="1689">
        <f>I12/I11</f>
        <v>0.53703703703703709</v>
      </c>
      <c r="AB12" s="1416">
        <v>0.5</v>
      </c>
      <c r="AC12" s="1436">
        <f>AB12</f>
        <v>0.5</v>
      </c>
      <c r="AD12" s="1436">
        <f>AC12</f>
        <v>0.5</v>
      </c>
      <c r="AE12" s="1436">
        <f>AD12</f>
        <v>0.5</v>
      </c>
      <c r="AF12" s="1436">
        <f>AE12</f>
        <v>0.5</v>
      </c>
      <c r="AG12" s="1436">
        <f t="shared" ref="AG12:AL12" si="11">AF12</f>
        <v>0.5</v>
      </c>
      <c r="AH12" s="1436">
        <f t="shared" si="11"/>
        <v>0.5</v>
      </c>
      <c r="AI12" s="1436">
        <f t="shared" si="11"/>
        <v>0.5</v>
      </c>
      <c r="AJ12" s="1436">
        <f t="shared" si="11"/>
        <v>0.5</v>
      </c>
      <c r="AK12" s="1436">
        <f t="shared" si="11"/>
        <v>0.5</v>
      </c>
      <c r="AL12" s="1436">
        <f t="shared" si="11"/>
        <v>0.5</v>
      </c>
      <c r="AM12" s="1436">
        <f>AL12</f>
        <v>0.5</v>
      </c>
      <c r="AN12" s="1436">
        <f>AM12</f>
        <v>0.5</v>
      </c>
      <c r="AO12" s="1436">
        <f>AN12</f>
        <v>0.5</v>
      </c>
    </row>
    <row r="13" spans="1:41">
      <c r="A13" s="1488"/>
      <c r="B13" s="1484"/>
      <c r="C13" s="1431" t="s">
        <v>1765</v>
      </c>
      <c r="E13" s="1440"/>
      <c r="F13" s="1518">
        <v>79</v>
      </c>
      <c r="G13" s="1518">
        <v>81</v>
      </c>
      <c r="H13" s="1571">
        <v>83</v>
      </c>
      <c r="I13" s="1518">
        <v>125</v>
      </c>
      <c r="J13" s="1518">
        <f>-Diamond!C49</f>
        <v>172.79911561399999</v>
      </c>
      <c r="K13" s="1518">
        <f>-Diamond!D49</f>
        <v>248.55771059</v>
      </c>
      <c r="L13" s="1518">
        <f>-Diamond!E49</f>
        <v>345.92763499900002</v>
      </c>
      <c r="M13" s="1518">
        <f>-Diamond!F49</f>
        <v>501.46401766899999</v>
      </c>
      <c r="N13" s="1518">
        <f>-Diamond!G49</f>
        <v>594.04606024099996</v>
      </c>
      <c r="O13" s="1518">
        <f>-Diamond!H49</f>
        <v>997.632206311</v>
      </c>
      <c r="P13" s="1518">
        <f>-Diamond!I49</f>
        <v>1083.0026783329999</v>
      </c>
      <c r="Q13" s="1518">
        <f>-Diamond!J49</f>
        <v>390.86015365999998</v>
      </c>
      <c r="R13" s="1518">
        <f>-Diamond!K49</f>
        <v>401.67384463500002</v>
      </c>
      <c r="S13" s="1583">
        <f t="shared" si="10"/>
        <v>888.94701020000002</v>
      </c>
      <c r="T13" s="1583">
        <f t="shared" si="10"/>
        <v>1136.3500361050001</v>
      </c>
      <c r="U13" s="1583">
        <f t="shared" si="10"/>
        <v>2389.6720325949996</v>
      </c>
      <c r="V13" s="1583">
        <f t="shared" si="10"/>
        <v>2500.9217323549997</v>
      </c>
      <c r="W13" s="1583"/>
      <c r="X13" s="1489"/>
      <c r="Y13" s="1489"/>
      <c r="Z13" s="1689">
        <f t="shared" ref="Z13:AO13" si="12">1-Z12</f>
        <v>0.6058394160583942</v>
      </c>
      <c r="AA13" s="1689">
        <f t="shared" si="12"/>
        <v>0.46296296296296291</v>
      </c>
      <c r="AB13" s="1690">
        <f t="shared" si="12"/>
        <v>0.5</v>
      </c>
      <c r="AC13" s="1690">
        <f t="shared" si="12"/>
        <v>0.5</v>
      </c>
      <c r="AD13" s="1690">
        <f t="shared" si="12"/>
        <v>0.5</v>
      </c>
      <c r="AE13" s="1690">
        <f t="shared" si="12"/>
        <v>0.5</v>
      </c>
      <c r="AF13" s="1690">
        <f t="shared" si="12"/>
        <v>0.5</v>
      </c>
      <c r="AG13" s="1690">
        <f t="shared" si="12"/>
        <v>0.5</v>
      </c>
      <c r="AH13" s="1690">
        <f t="shared" si="12"/>
        <v>0.5</v>
      </c>
      <c r="AI13" s="1690">
        <f t="shared" si="12"/>
        <v>0.5</v>
      </c>
      <c r="AJ13" s="1690">
        <f t="shared" si="12"/>
        <v>0.5</v>
      </c>
      <c r="AK13" s="1690">
        <f t="shared" si="12"/>
        <v>0.5</v>
      </c>
      <c r="AL13" s="1690">
        <f t="shared" si="12"/>
        <v>0.5</v>
      </c>
      <c r="AM13" s="1690">
        <f t="shared" si="12"/>
        <v>0.5</v>
      </c>
      <c r="AN13" s="1690">
        <f t="shared" si="12"/>
        <v>0.5</v>
      </c>
      <c r="AO13" s="1690">
        <f t="shared" si="12"/>
        <v>0.5</v>
      </c>
    </row>
    <row r="14" spans="1:41">
      <c r="A14" s="1488"/>
      <c r="B14" s="1447"/>
      <c r="D14" s="1481"/>
      <c r="F14" s="1471"/>
      <c r="G14" s="1471"/>
      <c r="H14" s="1573"/>
      <c r="I14" s="1471"/>
      <c r="J14" s="1471"/>
      <c r="K14" s="1471"/>
      <c r="L14" s="1471"/>
      <c r="M14" s="1471"/>
      <c r="N14" s="1471"/>
      <c r="O14" s="1471"/>
      <c r="P14" s="1471"/>
      <c r="Q14" s="1471"/>
      <c r="R14" s="1471"/>
      <c r="S14" s="1471"/>
      <c r="T14" s="1471"/>
      <c r="U14" s="1471"/>
      <c r="V14" s="1471"/>
      <c r="W14" s="1471"/>
      <c r="Z14" s="1481"/>
      <c r="AA14" s="1526"/>
      <c r="AB14" s="1488"/>
      <c r="AJ14" s="1479"/>
      <c r="AN14" s="1447"/>
      <c r="AO14" s="1447"/>
    </row>
    <row r="15" spans="1:41">
      <c r="A15" s="1488" t="s">
        <v>1603</v>
      </c>
      <c r="C15" s="1447" t="s">
        <v>288</v>
      </c>
      <c r="F15" s="1477">
        <f>F9-F11</f>
        <v>70</v>
      </c>
      <c r="G15" s="1477">
        <f>G9-G11</f>
        <v>62</v>
      </c>
      <c r="H15" s="1572">
        <f t="shared" ref="H15:M15" si="13">H9-H11</f>
        <v>165</v>
      </c>
      <c r="I15" s="1477">
        <f t="shared" si="13"/>
        <v>390</v>
      </c>
      <c r="J15" s="1477">
        <f t="shared" si="13"/>
        <v>643.0852960210002</v>
      </c>
      <c r="K15" s="1477">
        <f t="shared" si="13"/>
        <v>1186.2780377329998</v>
      </c>
      <c r="L15" s="1477">
        <f t="shared" si="13"/>
        <v>1835.0417522670004</v>
      </c>
      <c r="M15" s="1477">
        <f t="shared" si="13"/>
        <v>2099.0118971909997</v>
      </c>
      <c r="N15" s="1477">
        <f t="shared" ref="N15:V15" si="14">N9-N11</f>
        <v>792.02376018700011</v>
      </c>
      <c r="O15" s="1477">
        <f t="shared" si="14"/>
        <v>2712.6774436439996</v>
      </c>
      <c r="P15" s="1477">
        <f t="shared" si="14"/>
        <v>830.22306923900078</v>
      </c>
      <c r="Q15" s="1477">
        <f t="shared" ref="Q15:R15" si="15">Q9-Q11</f>
        <v>733.84661668900026</v>
      </c>
      <c r="R15" s="1477">
        <f t="shared" si="15"/>
        <v>1152.5312347919994</v>
      </c>
      <c r="S15" s="1477">
        <f t="shared" si="14"/>
        <v>1130.9392405826002</v>
      </c>
      <c r="T15" s="1477">
        <f t="shared" si="14"/>
        <v>1672.9378610352401</v>
      </c>
      <c r="U15" s="1477">
        <f t="shared" si="14"/>
        <v>7263.5592821311593</v>
      </c>
      <c r="V15" s="1477">
        <f t="shared" si="14"/>
        <v>8623.5126549319975</v>
      </c>
      <c r="W15" s="1557"/>
      <c r="X15" s="1489">
        <f>RATE(5,0,-H15,M15)</f>
        <v>0.66305338744020326</v>
      </c>
      <c r="Y15" s="1489">
        <f>RATE(4,0,-I15,M15)</f>
        <v>0.52313210810574062</v>
      </c>
      <c r="Z15" s="1481"/>
      <c r="AJ15" s="1487"/>
      <c r="AK15" s="1447"/>
      <c r="AN15" s="1472"/>
      <c r="AO15" s="1447"/>
    </row>
    <row r="16" spans="1:41">
      <c r="A16" s="1488"/>
      <c r="C16" s="1447" t="s">
        <v>4</v>
      </c>
      <c r="E16" s="1423"/>
      <c r="F16" s="1519">
        <f>F15-Depreciation!F12-Amortization!F11</f>
        <v>70</v>
      </c>
      <c r="G16" s="1519">
        <f>G15-Depreciation!G12-Amortization!G11</f>
        <v>62</v>
      </c>
      <c r="H16" s="1573"/>
      <c r="I16" s="1519">
        <f>I15-Depreciation!I12-Amortization!I11</f>
        <v>395.3</v>
      </c>
      <c r="J16" s="1519">
        <f>J15-Depreciation!J12-Amortization!J11</f>
        <v>646.98529602100018</v>
      </c>
      <c r="K16" s="1519">
        <f>K15-Depreciation!K12-Amortization!K11</f>
        <v>1191.1230377329998</v>
      </c>
      <c r="L16" s="1519">
        <f>L15-Depreciation!L12-Amortization!L11</f>
        <v>1840.8317522670004</v>
      </c>
      <c r="M16" s="1519">
        <f>M15-Depreciation!M12-Amortization!M11</f>
        <v>2105.7468971909998</v>
      </c>
      <c r="N16" s="1519">
        <f>N15-Depreciation!N12-Amortization!N11</f>
        <v>798.75876018700012</v>
      </c>
      <c r="O16" s="1519">
        <f>O15-Depreciation!O12-Amortization!O11</f>
        <v>2719.4124436439997</v>
      </c>
      <c r="P16" s="1519">
        <f>P15-Depreciation!R12-Amortization!P11</f>
        <v>881.58306923900079</v>
      </c>
      <c r="Q16" s="1519">
        <f>Q15-Depreciation!S12-Amortization!Q11</f>
        <v>785.20661668900027</v>
      </c>
      <c r="R16" s="1519">
        <f>R15-Depreciation!T12-Amortization!R11</f>
        <v>1203.8912347919993</v>
      </c>
      <c r="S16" s="1519">
        <f>S15-Depreciation!U12-Amortization!S11</f>
        <v>1132.2992405826001</v>
      </c>
      <c r="T16" s="1519">
        <f>T15-Depreciation!V12-Amortization!T11</f>
        <v>1674.29786103524</v>
      </c>
      <c r="U16" s="1519">
        <f>U15-Depreciation!W12-Amortization!U11</f>
        <v>7263.5592821311593</v>
      </c>
      <c r="V16" s="1519">
        <f>V15-Depreciation!X12-Amortization!V11</f>
        <v>8623.5126549319975</v>
      </c>
      <c r="W16" s="1519"/>
      <c r="AA16" s="1552"/>
      <c r="AB16" s="1552"/>
      <c r="AC16" s="1552"/>
      <c r="AD16" s="1552"/>
      <c r="AE16" s="1552"/>
      <c r="AJ16" s="1472"/>
      <c r="AK16" s="1447"/>
      <c r="AN16" s="1499"/>
      <c r="AO16" s="1447"/>
    </row>
    <row r="17" spans="1:41">
      <c r="A17" s="1488"/>
      <c r="C17" s="1447"/>
      <c r="E17" s="1423"/>
      <c r="F17" s="1471"/>
      <c r="G17" s="1471"/>
      <c r="H17" s="1573"/>
      <c r="I17" s="1471"/>
      <c r="J17" s="1471"/>
      <c r="K17" s="1471"/>
      <c r="L17" s="1471"/>
      <c r="M17" s="1471"/>
      <c r="N17" s="1471"/>
      <c r="O17" s="1471"/>
      <c r="P17" s="1471"/>
      <c r="Q17" s="1471"/>
      <c r="R17" s="1471"/>
      <c r="S17" s="1471"/>
      <c r="T17" s="1471"/>
      <c r="U17" s="1471"/>
      <c r="V17" s="1471"/>
      <c r="W17" s="1471"/>
      <c r="Z17" s="1447">
        <f t="shared" ref="Z17:AE17" si="16">Z11</f>
        <v>2014</v>
      </c>
      <c r="AA17" s="1447">
        <f t="shared" si="16"/>
        <v>2015</v>
      </c>
      <c r="AB17" s="1447">
        <f t="shared" si="16"/>
        <v>2016</v>
      </c>
      <c r="AC17" s="1447">
        <f t="shared" si="16"/>
        <v>2017</v>
      </c>
      <c r="AD17" s="1447">
        <f t="shared" si="16"/>
        <v>2018</v>
      </c>
      <c r="AE17" s="1447">
        <f t="shared" si="16"/>
        <v>2019</v>
      </c>
      <c r="AJ17" s="1472"/>
      <c r="AK17" s="1447"/>
      <c r="AN17" s="1499"/>
      <c r="AO17" s="1447"/>
    </row>
    <row r="18" spans="1:41">
      <c r="A18" s="1488"/>
      <c r="B18" s="1431" t="s">
        <v>1018</v>
      </c>
      <c r="F18" s="1518">
        <v>7</v>
      </c>
      <c r="G18" s="1518">
        <v>0</v>
      </c>
      <c r="H18" s="1669">
        <v>0</v>
      </c>
      <c r="I18" s="1518">
        <v>9</v>
      </c>
      <c r="J18" s="1518">
        <f>-Diamond!C52</f>
        <v>32.702590721999997</v>
      </c>
      <c r="K18" s="1518">
        <f>-Diamond!D52</f>
        <v>62.664889037000002</v>
      </c>
      <c r="L18" s="1518">
        <f>-Diamond!E52</f>
        <v>190.75452392</v>
      </c>
      <c r="M18" s="1518">
        <f>-Diamond!F52</f>
        <v>209.03102946499999</v>
      </c>
      <c r="N18" s="1518">
        <f>-Diamond!G52</f>
        <v>858.28350262200001</v>
      </c>
      <c r="O18" s="1518">
        <f>-Diamond!H52</f>
        <v>543.61162560499997</v>
      </c>
      <c r="P18" s="1518">
        <f>-Diamond!I52</f>
        <v>521.09034261900001</v>
      </c>
      <c r="Q18" s="1518">
        <f>-Diamond!J52</f>
        <v>593.25298500500003</v>
      </c>
      <c r="R18" s="1518">
        <f>-Diamond!K52</f>
        <v>470.09454522499999</v>
      </c>
      <c r="S18" s="1518">
        <f t="shared" ref="S18:V18" si="17">S19</f>
        <v>478.92997028180002</v>
      </c>
      <c r="T18" s="1518">
        <f t="shared" si="17"/>
        <v>478.92997028180002</v>
      </c>
      <c r="U18" s="1518">
        <f t="shared" si="17"/>
        <v>478.92997028180002</v>
      </c>
      <c r="V18" s="1518">
        <f t="shared" si="17"/>
        <v>478.92997028180002</v>
      </c>
      <c r="W18" s="1518"/>
      <c r="X18" s="1411"/>
      <c r="Z18" s="1433">
        <f>H18/BS!H49</f>
        <v>0</v>
      </c>
      <c r="AA18" s="1433">
        <f>I18/BS!I49</f>
        <v>2.0501138952164009E-2</v>
      </c>
      <c r="AB18" s="1424">
        <f>AVERAGE(Z18:AA18)</f>
        <v>1.0250569476082005E-2</v>
      </c>
      <c r="AC18" s="1433">
        <f>AB18</f>
        <v>1.0250569476082005E-2</v>
      </c>
      <c r="AD18" s="1433">
        <f>AC18</f>
        <v>1.0250569476082005E-2</v>
      </c>
      <c r="AE18" s="1433">
        <f>AD18</f>
        <v>1.0250569476082005E-2</v>
      </c>
      <c r="AF18" s="1501"/>
      <c r="AH18" s="1495"/>
      <c r="AI18" s="1495"/>
      <c r="AN18" s="1472"/>
      <c r="AO18" s="1447"/>
    </row>
    <row r="19" spans="1:41">
      <c r="A19" s="1488"/>
      <c r="C19" s="1431" t="s">
        <v>869</v>
      </c>
      <c r="F19" s="1518">
        <v>7</v>
      </c>
      <c r="G19" s="1518">
        <v>0</v>
      </c>
      <c r="H19" s="1669">
        <v>0</v>
      </c>
      <c r="I19" s="1518">
        <v>5</v>
      </c>
      <c r="J19" s="1518">
        <f>J18</f>
        <v>32.702590721999997</v>
      </c>
      <c r="K19" s="1518">
        <f>K18</f>
        <v>62.664889037000002</v>
      </c>
      <c r="L19" s="1518">
        <v>163</v>
      </c>
      <c r="M19" s="1518">
        <v>199</v>
      </c>
      <c r="N19" s="1518">
        <v>309</v>
      </c>
      <c r="O19" s="1518">
        <v>534</v>
      </c>
      <c r="P19" s="1518">
        <v>462.17099999999999</v>
      </c>
      <c r="Q19" s="1518">
        <v>536.71400000000006</v>
      </c>
      <c r="R19" s="1518">
        <v>536.71400000000006</v>
      </c>
      <c r="S19" s="1583">
        <f>-Debt!S18</f>
        <v>478.92997028180002</v>
      </c>
      <c r="T19" s="1583">
        <f>-Debt!T18</f>
        <v>478.92997028180002</v>
      </c>
      <c r="U19" s="1583">
        <f>-Debt!U18</f>
        <v>478.92997028180002</v>
      </c>
      <c r="V19" s="1583">
        <f>-Debt!V18</f>
        <v>478.92997028180002</v>
      </c>
      <c r="W19" s="1583"/>
      <c r="Z19" s="1500"/>
      <c r="AA19" s="1597"/>
      <c r="AB19" s="1597"/>
      <c r="AC19" s="1597"/>
      <c r="AD19" s="1597"/>
      <c r="AE19" s="1597"/>
      <c r="AF19" s="1501"/>
      <c r="AH19" s="1495"/>
      <c r="AI19" s="1495"/>
      <c r="AN19" s="1472"/>
      <c r="AO19" s="1447"/>
    </row>
    <row r="20" spans="1:41">
      <c r="A20" s="1488"/>
      <c r="B20" s="1447" t="s">
        <v>1129</v>
      </c>
      <c r="E20" s="1452"/>
      <c r="F20" s="1423">
        <v>-3</v>
      </c>
      <c r="G20" s="1423">
        <v>-55</v>
      </c>
      <c r="H20" s="1563">
        <v>-84</v>
      </c>
      <c r="I20" s="1423">
        <v>-37</v>
      </c>
      <c r="J20" s="1423">
        <f>-Diamond!C51</f>
        <v>-104.65974561199999</v>
      </c>
      <c r="K20" s="1423">
        <f>-Diamond!D51</f>
        <v>-66.074831665999994</v>
      </c>
      <c r="L20" s="1423">
        <f>-Diamond!E51</f>
        <v>-206.73131832600001</v>
      </c>
      <c r="M20" s="1423">
        <f>-Diamond!F51</f>
        <v>-270.472044756</v>
      </c>
      <c r="N20" s="1423">
        <f>-Diamond!G51</f>
        <v>-72.635022559000006</v>
      </c>
      <c r="O20" s="1423">
        <f>-Diamond!H51</f>
        <v>-352.72661650600003</v>
      </c>
      <c r="P20" s="1423">
        <f>-Diamond!I51</f>
        <v>-464.36545428900001</v>
      </c>
      <c r="Q20" s="1423">
        <f>-Diamond!J51</f>
        <v>-409.15064701699998</v>
      </c>
      <c r="R20" s="1423">
        <f>-Diamond!K51</f>
        <v>-47.770698279000001</v>
      </c>
      <c r="S20" s="1423">
        <v>-350</v>
      </c>
      <c r="T20" s="1423">
        <v>-250</v>
      </c>
      <c r="U20" s="1423">
        <v>0</v>
      </c>
      <c r="V20" s="1423">
        <v>0</v>
      </c>
      <c r="W20" s="1423"/>
      <c r="X20" s="1424">
        <v>0.05</v>
      </c>
      <c r="Y20" s="1431" t="s">
        <v>1729</v>
      </c>
      <c r="AA20" s="1440"/>
      <c r="AB20" s="1440"/>
      <c r="AC20" s="1440"/>
      <c r="AD20" s="1440"/>
      <c r="AE20" s="1440"/>
      <c r="AF20" s="1501"/>
      <c r="AH20" s="1495"/>
      <c r="AI20" s="1495"/>
      <c r="AL20" s="1495"/>
      <c r="AM20" s="1495"/>
    </row>
    <row r="21" spans="1:41">
      <c r="A21" s="1488"/>
      <c r="B21" s="1447" t="s">
        <v>1734</v>
      </c>
      <c r="E21" s="1452"/>
      <c r="F21" s="1423">
        <v>-11</v>
      </c>
      <c r="G21" s="1423">
        <v>-2</v>
      </c>
      <c r="H21" s="1563">
        <v>-16</v>
      </c>
      <c r="I21" s="1423">
        <v>-67</v>
      </c>
      <c r="J21" s="1423">
        <f>-Diamond!C55</f>
        <v>-72.042670039000001</v>
      </c>
      <c r="K21" s="1423">
        <f>-Diamond!D55</f>
        <v>-128.01140768499999</v>
      </c>
      <c r="L21" s="1423">
        <f>-Diamond!E55</f>
        <v>-256.26698426500002</v>
      </c>
      <c r="M21" s="1423">
        <f>-Diamond!F55</f>
        <v>-149.33650224100001</v>
      </c>
      <c r="N21" s="1423">
        <f>-Diamond!G55</f>
        <v>10.584315801000001</v>
      </c>
      <c r="O21" s="1423">
        <f>-Diamond!H55</f>
        <v>-0.32503644399999998</v>
      </c>
      <c r="P21" s="1423">
        <f>-Diamond!I55</f>
        <v>-1.6347306340000001</v>
      </c>
      <c r="Q21" s="1423">
        <f>-Diamond!J55</f>
        <v>112.38212181999999</v>
      </c>
      <c r="R21" s="1423">
        <f>-Diamond!K55</f>
        <v>38.421103226</v>
      </c>
      <c r="S21" s="1423">
        <v>0</v>
      </c>
      <c r="T21" s="1423">
        <v>0</v>
      </c>
      <c r="U21" s="1423">
        <v>0</v>
      </c>
      <c r="V21" s="1423">
        <v>0</v>
      </c>
      <c r="W21" s="1423"/>
      <c r="X21" s="1411"/>
      <c r="AA21" s="1440"/>
      <c r="AB21" s="1440"/>
      <c r="AC21" s="1440"/>
      <c r="AD21" s="1440"/>
      <c r="AE21" s="1440"/>
      <c r="AF21" s="1501"/>
      <c r="AH21" s="1495"/>
      <c r="AI21" s="1495"/>
      <c r="AL21" s="1495"/>
      <c r="AM21" s="1495"/>
    </row>
    <row r="22" spans="1:41">
      <c r="A22" s="1488"/>
      <c r="B22" s="1447" t="s">
        <v>1604</v>
      </c>
      <c r="E22" s="1452"/>
      <c r="F22" s="1423">
        <v>-1</v>
      </c>
      <c r="G22" s="1423">
        <v>-2</v>
      </c>
      <c r="H22" s="1563">
        <v>-2</v>
      </c>
      <c r="I22" s="1643">
        <v>-56</v>
      </c>
      <c r="J22" s="1423">
        <f>-Diamond!C54</f>
        <v>-34.153020753</v>
      </c>
      <c r="K22" s="1423">
        <f>-Diamond!D54</f>
        <v>-17.620707588999998</v>
      </c>
      <c r="L22" s="1423">
        <f>-Diamond!E54</f>
        <v>5.5010388800000003</v>
      </c>
      <c r="M22" s="1423">
        <f>-Diamond!F54</f>
        <v>-78.724345252000006</v>
      </c>
      <c r="N22" s="1423">
        <f>-Diamond!G54</f>
        <v>-31.099316462000001</v>
      </c>
      <c r="O22" s="1423">
        <f>-Diamond!H54</f>
        <v>6.0981526739999996</v>
      </c>
      <c r="P22" s="1423">
        <f>-Diamond!I54</f>
        <v>7.3152112779999996</v>
      </c>
      <c r="Q22" s="1423">
        <f>-Diamond!J54</f>
        <v>-15.790920926</v>
      </c>
      <c r="R22" s="1423">
        <f>-Diamond!K54</f>
        <v>-35.904082899000002</v>
      </c>
      <c r="S22" s="1423">
        <v>10</v>
      </c>
      <c r="T22" s="1423">
        <v>10</v>
      </c>
      <c r="U22" s="1423">
        <v>10</v>
      </c>
      <c r="V22" s="1423">
        <v>10</v>
      </c>
      <c r="W22" s="1423"/>
      <c r="Z22" s="1501"/>
      <c r="AA22" s="1501"/>
      <c r="AB22" s="1501"/>
      <c r="AC22" s="1501"/>
      <c r="AD22" s="1501"/>
      <c r="AE22" s="1501"/>
      <c r="AF22" s="1501"/>
      <c r="AG22" s="1501"/>
      <c r="AH22" s="1495"/>
      <c r="AI22" s="1495"/>
      <c r="AL22" s="1414"/>
      <c r="AM22" s="1495"/>
    </row>
    <row r="23" spans="1:41">
      <c r="A23" s="1488"/>
      <c r="C23" s="1447" t="s">
        <v>1605</v>
      </c>
      <c r="E23" s="1452"/>
      <c r="F23" s="1520">
        <f t="shared" ref="F23:V23" si="18">F15-F18-F20-F21-F22</f>
        <v>78</v>
      </c>
      <c r="G23" s="1520">
        <f t="shared" si="18"/>
        <v>121</v>
      </c>
      <c r="H23" s="1574">
        <f t="shared" si="18"/>
        <v>267</v>
      </c>
      <c r="I23" s="1520">
        <f t="shared" si="18"/>
        <v>541</v>
      </c>
      <c r="J23" s="1520">
        <f t="shared" si="18"/>
        <v>821.23814170300022</v>
      </c>
      <c r="K23" s="1520">
        <f t="shared" si="18"/>
        <v>1335.3200956359997</v>
      </c>
      <c r="L23" s="1520">
        <f t="shared" si="18"/>
        <v>2101.7844920580005</v>
      </c>
      <c r="M23" s="1520">
        <f t="shared" si="18"/>
        <v>2388.5137599749996</v>
      </c>
      <c r="N23" s="1520">
        <f t="shared" si="18"/>
        <v>26.890280785000101</v>
      </c>
      <c r="O23" s="1520">
        <f t="shared" si="18"/>
        <v>2516.0193183149995</v>
      </c>
      <c r="P23" s="1520">
        <f t="shared" si="18"/>
        <v>767.81770026500078</v>
      </c>
      <c r="Q23" s="1520">
        <f t="shared" ref="Q23:R23" si="19">Q15-Q18-Q20-Q21-Q22</f>
        <v>453.15307780700022</v>
      </c>
      <c r="R23" s="1520">
        <f t="shared" si="19"/>
        <v>727.69036751899944</v>
      </c>
      <c r="S23" s="1520">
        <f t="shared" si="18"/>
        <v>992.00927030080015</v>
      </c>
      <c r="T23" s="1520">
        <f t="shared" si="18"/>
        <v>1434.0078907534401</v>
      </c>
      <c r="U23" s="1520">
        <f t="shared" si="18"/>
        <v>6774.6293118493595</v>
      </c>
      <c r="V23" s="1520">
        <f t="shared" si="18"/>
        <v>8134.5826846501977</v>
      </c>
      <c r="W23" s="2170"/>
      <c r="X23" s="1489">
        <f>RATE(5,0,-H23,M23)</f>
        <v>0.54997001730158557</v>
      </c>
      <c r="Y23" s="1489">
        <f>RATE(4,0,-I23,M23)</f>
        <v>0.44954806526668323</v>
      </c>
      <c r="Z23" s="1481"/>
      <c r="AA23" s="1481"/>
      <c r="AL23" s="1502"/>
      <c r="AO23" s="1488"/>
    </row>
    <row r="24" spans="1:41">
      <c r="A24" s="1488"/>
      <c r="F24" s="1471"/>
      <c r="G24" s="1471"/>
      <c r="H24" s="1573"/>
      <c r="I24" s="1471"/>
      <c r="J24" s="1471"/>
      <c r="K24" s="1471"/>
      <c r="L24" s="1471"/>
      <c r="M24" s="1471"/>
      <c r="N24" s="1471"/>
      <c r="O24" s="1471"/>
      <c r="P24" s="1471"/>
      <c r="Q24" s="1471"/>
      <c r="R24" s="1471"/>
      <c r="S24" s="1471"/>
      <c r="T24" s="1471"/>
      <c r="U24" s="1471"/>
      <c r="V24" s="1471"/>
      <c r="W24" s="1471"/>
      <c r="Z24" s="1481"/>
      <c r="AA24" s="1481"/>
    </row>
    <row r="25" spans="1:41">
      <c r="A25" s="1488"/>
      <c r="B25" s="1447" t="s">
        <v>1618</v>
      </c>
      <c r="F25" s="1518">
        <v>20</v>
      </c>
      <c r="G25" s="1518">
        <v>31</v>
      </c>
      <c r="H25" s="1571">
        <v>53</v>
      </c>
      <c r="I25" s="1518">
        <v>95</v>
      </c>
      <c r="J25" s="1518">
        <f>-Diamond!C57</f>
        <v>156.814830535</v>
      </c>
      <c r="K25" s="1518">
        <f>-Diamond!D57</f>
        <v>249.89984328099999</v>
      </c>
      <c r="L25" s="1518">
        <f>-Diamond!E57</f>
        <v>378.98974951100001</v>
      </c>
      <c r="M25" s="1518">
        <f>-Diamond!F57</f>
        <v>502.29510265300001</v>
      </c>
      <c r="N25" s="1518">
        <f>-Diamond!G57</f>
        <v>200.95995692</v>
      </c>
      <c r="O25" s="1518">
        <f>-Diamond!H57</f>
        <v>920.96301298000003</v>
      </c>
      <c r="P25" s="1518">
        <f>-Diamond!I57</f>
        <v>234.11103215700001</v>
      </c>
      <c r="Q25" s="1518">
        <f>-Diamond!J57</f>
        <v>302.91303920899998</v>
      </c>
      <c r="R25" s="1518">
        <f>-Diamond!K57</f>
        <v>273.46554385100001</v>
      </c>
      <c r="S25" s="1583">
        <f t="shared" ref="S25:V25" si="20">S23*S46</f>
        <v>198.40185406016005</v>
      </c>
      <c r="T25" s="1583">
        <f t="shared" si="20"/>
        <v>286.80157815068804</v>
      </c>
      <c r="U25" s="1583">
        <f t="shared" si="20"/>
        <v>1354.925862369872</v>
      </c>
      <c r="V25" s="1583">
        <f t="shared" si="20"/>
        <v>1626.9165369300397</v>
      </c>
      <c r="W25" s="1583"/>
      <c r="Z25" s="1481"/>
      <c r="AA25" s="1481"/>
    </row>
    <row r="26" spans="1:41">
      <c r="C26" s="1447" t="s">
        <v>1606</v>
      </c>
      <c r="F26" s="1525">
        <f>F23-F25</f>
        <v>58</v>
      </c>
      <c r="G26" s="1525">
        <f>G23-G25</f>
        <v>90</v>
      </c>
      <c r="H26" s="1575">
        <f t="shared" ref="H26:M26" si="21">H23-H25</f>
        <v>214</v>
      </c>
      <c r="I26" s="1525">
        <f t="shared" si="21"/>
        <v>446</v>
      </c>
      <c r="J26" s="1525">
        <f t="shared" si="21"/>
        <v>664.42331116800028</v>
      </c>
      <c r="K26" s="1525">
        <f t="shared" si="21"/>
        <v>1085.4202523549998</v>
      </c>
      <c r="L26" s="1525">
        <f t="shared" si="21"/>
        <v>1722.7947425470006</v>
      </c>
      <c r="M26" s="1525">
        <f t="shared" si="21"/>
        <v>1886.2186573219997</v>
      </c>
      <c r="N26" s="1525">
        <f t="shared" ref="N26:V26" si="22">N23-N25</f>
        <v>-174.0696761349999</v>
      </c>
      <c r="O26" s="1525">
        <f t="shared" si="22"/>
        <v>1595.0563053349995</v>
      </c>
      <c r="P26" s="1525">
        <f t="shared" si="22"/>
        <v>533.70666810800071</v>
      </c>
      <c r="Q26" s="1525">
        <f t="shared" ref="Q26:R26" si="23">Q23-Q25</f>
        <v>150.24003859800024</v>
      </c>
      <c r="R26" s="1525">
        <f t="shared" si="23"/>
        <v>454.22482366799943</v>
      </c>
      <c r="S26" s="1525">
        <f t="shared" si="22"/>
        <v>793.60741624064008</v>
      </c>
      <c r="T26" s="1525">
        <f t="shared" si="22"/>
        <v>1147.206312602752</v>
      </c>
      <c r="U26" s="1525">
        <f t="shared" si="22"/>
        <v>5419.703449479488</v>
      </c>
      <c r="V26" s="1525">
        <f t="shared" si="22"/>
        <v>6507.6661477201578</v>
      </c>
      <c r="W26" s="2171"/>
      <c r="X26" s="1489">
        <f>RATE(5,0,-H26,M26)</f>
        <v>0.54538129951759196</v>
      </c>
      <c r="Y26" s="1489">
        <f>RATE(4,0,-I26,M26)</f>
        <v>0.43405000187703191</v>
      </c>
      <c r="Z26" s="1499"/>
      <c r="AA26" s="1488"/>
    </row>
    <row r="27" spans="1:41">
      <c r="A27" s="1488"/>
      <c r="C27" s="1414"/>
      <c r="F27" s="1524"/>
      <c r="G27" s="1524"/>
      <c r="H27" s="1576"/>
      <c r="I27" s="1524"/>
      <c r="J27" s="1524"/>
      <c r="K27" s="1524"/>
      <c r="L27" s="1653"/>
      <c r="M27" s="1524"/>
      <c r="N27" s="1524"/>
      <c r="O27" s="1524"/>
      <c r="P27" s="1524"/>
      <c r="Q27" s="1524"/>
      <c r="R27" s="1524"/>
      <c r="S27" s="1524"/>
      <c r="T27" s="1524"/>
      <c r="U27" s="1524"/>
      <c r="V27" s="1524"/>
      <c r="W27" s="1524"/>
      <c r="X27" s="1489"/>
      <c r="Y27" s="1489"/>
      <c r="Z27" s="1490"/>
      <c r="AA27" s="1481"/>
    </row>
    <row r="28" spans="1:41">
      <c r="A28" s="1488"/>
      <c r="B28" s="1431" t="s">
        <v>1133</v>
      </c>
      <c r="C28" s="1447"/>
      <c r="F28" s="1423">
        <v>1</v>
      </c>
      <c r="G28" s="1423">
        <v>7</v>
      </c>
      <c r="H28" s="1563">
        <v>45</v>
      </c>
      <c r="I28" s="1643">
        <v>109</v>
      </c>
      <c r="J28" s="1423">
        <f>Diamond!C59</f>
        <v>127.219780118</v>
      </c>
      <c r="K28" s="1423">
        <f>Diamond!D59</f>
        <v>334.529506846</v>
      </c>
      <c r="L28" s="1423">
        <f>Diamond!E59</f>
        <v>544.36775728400005</v>
      </c>
      <c r="M28" s="1423">
        <f>Diamond!F59</f>
        <v>669.70390139999995</v>
      </c>
      <c r="N28" s="1423">
        <f>Diamond!G59</f>
        <v>321.67571608899999</v>
      </c>
      <c r="O28" s="1423">
        <f>Diamond!H59</f>
        <v>437.79597700400001</v>
      </c>
      <c r="P28" s="1423">
        <f>Diamond!I59</f>
        <v>318.83747788199997</v>
      </c>
      <c r="Q28" s="1423">
        <f>Diamond!J59</f>
        <v>-21.743250632999999</v>
      </c>
      <c r="R28" s="1423">
        <f>Diamond!K59</f>
        <v>201.66249543199999</v>
      </c>
      <c r="S28" s="1423">
        <f>S85</f>
        <v>214.2198175645801</v>
      </c>
      <c r="T28" s="1423">
        <f>T85</f>
        <v>256.69406345319624</v>
      </c>
      <c r="U28" s="1423">
        <f>U85</f>
        <v>307.52474818128559</v>
      </c>
      <c r="V28" s="1423">
        <f>V85</f>
        <v>408.26568888810255</v>
      </c>
      <c r="W28" s="1410"/>
      <c r="X28" s="1665"/>
      <c r="Y28" s="1489"/>
      <c r="Z28" s="1499"/>
      <c r="AA28" s="1488"/>
    </row>
    <row r="29" spans="1:41" s="1407" customFormat="1">
      <c r="A29" s="1481" t="s">
        <v>1603</v>
      </c>
      <c r="C29" s="1414" t="s">
        <v>1619</v>
      </c>
      <c r="F29" s="1650">
        <f>F26-F28</f>
        <v>57</v>
      </c>
      <c r="G29" s="1650">
        <f>G26-G28</f>
        <v>83</v>
      </c>
      <c r="H29" s="1651">
        <f t="shared" ref="H29:M29" si="24">H26-H28</f>
        <v>169</v>
      </c>
      <c r="I29" s="1650">
        <f t="shared" si="24"/>
        <v>337</v>
      </c>
      <c r="J29" s="1650">
        <f t="shared" si="24"/>
        <v>537.20353105000027</v>
      </c>
      <c r="K29" s="1650">
        <f t="shared" si="24"/>
        <v>750.89074550899977</v>
      </c>
      <c r="L29" s="1650">
        <f t="shared" si="24"/>
        <v>1178.4269852630005</v>
      </c>
      <c r="M29" s="1650">
        <f t="shared" si="24"/>
        <v>1216.5147559219997</v>
      </c>
      <c r="N29" s="1650">
        <f t="shared" ref="N29:V29" si="25">N26-N28</f>
        <v>-495.74539222399989</v>
      </c>
      <c r="O29" s="1650">
        <f t="shared" si="25"/>
        <v>1157.2603283309995</v>
      </c>
      <c r="P29" s="1650">
        <f t="shared" si="25"/>
        <v>214.86919022600074</v>
      </c>
      <c r="Q29" s="1650">
        <f t="shared" ref="Q29:R29" si="26">Q26-Q28</f>
        <v>171.98328923100024</v>
      </c>
      <c r="R29" s="1650">
        <f t="shared" si="26"/>
        <v>252.56232823599944</v>
      </c>
      <c r="S29" s="1650">
        <f t="shared" si="25"/>
        <v>579.38759867605995</v>
      </c>
      <c r="T29" s="1650">
        <f t="shared" si="25"/>
        <v>890.51224914955571</v>
      </c>
      <c r="U29" s="1650">
        <f t="shared" si="25"/>
        <v>5112.1787012982022</v>
      </c>
      <c r="V29" s="1650">
        <f t="shared" si="25"/>
        <v>6099.4004588320549</v>
      </c>
      <c r="W29" s="1524"/>
      <c r="X29" s="1652"/>
      <c r="Y29" s="1652"/>
      <c r="Z29" s="1490"/>
      <c r="AA29" s="1481"/>
    </row>
    <row r="30" spans="1:41">
      <c r="A30" s="1488"/>
      <c r="E30" s="1503"/>
      <c r="H30" s="1573"/>
      <c r="I30" s="1678"/>
      <c r="J30" s="2245">
        <f>J29-Diamond!C60</f>
        <v>0</v>
      </c>
      <c r="K30" s="2245">
        <f>K29-Diamond!D60</f>
        <v>0</v>
      </c>
      <c r="L30" s="2245">
        <f>L29-Diamond!E60</f>
        <v>0</v>
      </c>
      <c r="M30" s="2245">
        <f>M29-Diamond!F60</f>
        <v>0</v>
      </c>
      <c r="N30" s="2245">
        <f>N29-Diamond!G60</f>
        <v>0</v>
      </c>
      <c r="O30" s="2245">
        <f>O29-Diamond!H60</f>
        <v>0</v>
      </c>
      <c r="P30" s="2245">
        <f>P29-Diamond!I60</f>
        <v>7.3896444519050419E-13</v>
      </c>
      <c r="Q30" s="2245">
        <f>Q29-Diamond!J60</f>
        <v>2.5579538487363607E-13</v>
      </c>
      <c r="R30" s="2245">
        <f>R29-Diamond!K60</f>
        <v>-5.6843418860808015E-13</v>
      </c>
      <c r="Z30" s="1504"/>
      <c r="AA30" s="1504"/>
      <c r="AB30" s="1472"/>
    </row>
    <row r="31" spans="1:41">
      <c r="A31" s="1488"/>
      <c r="B31" s="1447" t="s">
        <v>1661</v>
      </c>
      <c r="F31" s="1592"/>
      <c r="G31" s="1592"/>
      <c r="H31" s="1664"/>
      <c r="I31" s="1592">
        <f>Equity!I32</f>
        <v>0</v>
      </c>
      <c r="J31" s="1592">
        <f>Equity!J32</f>
        <v>495.65</v>
      </c>
      <c r="K31" s="1592">
        <f>Equity!K32</f>
        <v>501</v>
      </c>
      <c r="L31" s="1592">
        <f>Equity!L32</f>
        <v>512</v>
      </c>
      <c r="M31" s="1592">
        <f>Equity!M32</f>
        <v>598</v>
      </c>
      <c r="N31" s="1592">
        <f>Equity!N32</f>
        <v>596</v>
      </c>
      <c r="O31" s="1592">
        <f>Equity!O32</f>
        <v>596.02556200000004</v>
      </c>
      <c r="P31" s="1592">
        <f>Equity!P32</f>
        <v>610.03151600000001</v>
      </c>
      <c r="Q31" s="1592">
        <f>Equity!Q32</f>
        <v>610.03151600000001</v>
      </c>
      <c r="R31" s="1592">
        <f>Equity!R32</f>
        <v>711.70343500000001</v>
      </c>
      <c r="S31" s="1592">
        <f>Equity!S32</f>
        <v>711.70343500000001</v>
      </c>
      <c r="T31" s="1592">
        <f>Equity!T32</f>
        <v>711.70343500000001</v>
      </c>
      <c r="U31" s="1592">
        <f>Equity!U32</f>
        <v>711.70343500000001</v>
      </c>
      <c r="V31" s="1592">
        <f>Equity!V32</f>
        <v>0</v>
      </c>
      <c r="W31" s="1592"/>
      <c r="X31" s="1489"/>
      <c r="Y31" s="1489" t="e">
        <f>RATE(4,0,-I31,M31)</f>
        <v>#NUM!</v>
      </c>
      <c r="Z31" s="1481"/>
      <c r="AA31" s="1481"/>
      <c r="AB31" s="1470"/>
    </row>
    <row r="32" spans="1:41">
      <c r="A32" s="1488"/>
      <c r="H32" s="1573"/>
      <c r="I32" s="1592"/>
      <c r="Z32" s="1504"/>
      <c r="AA32" s="1504"/>
    </row>
    <row r="33" spans="1:42" s="1414" customFormat="1">
      <c r="A33" s="1488" t="s">
        <v>1603</v>
      </c>
      <c r="C33" s="1414" t="s">
        <v>1209</v>
      </c>
      <c r="D33" s="1431"/>
      <c r="E33" s="1506"/>
      <c r="F33" s="1699"/>
      <c r="G33" s="1699"/>
      <c r="H33" s="1702"/>
      <c r="I33" s="1699" t="e">
        <f ca="1">Equity!I39</f>
        <v>#NUM!</v>
      </c>
      <c r="J33" s="1699" t="e">
        <f ca="1">Equity!J39</f>
        <v>#NUM!</v>
      </c>
      <c r="K33" s="1699" t="e">
        <f ca="1">Equity!K39</f>
        <v>#NUM!</v>
      </c>
      <c r="L33" s="1699" t="e">
        <f ca="1">Equity!L39</f>
        <v>#NUM!</v>
      </c>
      <c r="M33" s="1699" t="e">
        <f ca="1">Equity!M39</f>
        <v>#NUM!</v>
      </c>
      <c r="N33" s="1699">
        <f>Equity!N39</f>
        <v>-831.78757084563733</v>
      </c>
      <c r="O33" s="1699" t="e">
        <f ca="1">Equity!O39</f>
        <v>#NUM!</v>
      </c>
      <c r="P33" s="1699" t="e">
        <f ca="1">Equity!P39</f>
        <v>#NUM!</v>
      </c>
      <c r="Q33" s="1699" t="e">
        <f ca="1">Equity!Q39</f>
        <v>#NUM!</v>
      </c>
      <c r="R33" s="1699" t="e">
        <f ca="1">Equity!R39</f>
        <v>#NUM!</v>
      </c>
      <c r="S33" s="1699" t="e">
        <f ca="1">Equity!S39</f>
        <v>#NUM!</v>
      </c>
      <c r="T33" s="1699" t="e">
        <f ca="1">Equity!T39</f>
        <v>#NUM!</v>
      </c>
      <c r="U33" s="1699" t="e">
        <f ca="1">Equity!U39</f>
        <v>#NUM!</v>
      </c>
      <c r="V33" s="1699">
        <f>Equity!V39</f>
        <v>0</v>
      </c>
      <c r="W33" s="1699"/>
      <c r="X33" s="1489"/>
      <c r="Y33" s="1489" t="e">
        <f ca="1">RATE(4,0,-I33,M33)</f>
        <v>#NUM!</v>
      </c>
      <c r="Z33" s="1481"/>
      <c r="AA33" s="1490"/>
      <c r="AN33" s="1431"/>
      <c r="AO33" s="1431"/>
      <c r="AP33" s="1431"/>
    </row>
    <row r="34" spans="1:42">
      <c r="A34" s="1488"/>
      <c r="B34" s="1479" t="s">
        <v>1607</v>
      </c>
      <c r="F34" s="1507"/>
      <c r="G34" s="1507"/>
      <c r="H34" s="1466"/>
      <c r="I34" s="1507"/>
      <c r="K34" s="1508"/>
      <c r="L34" s="1506"/>
      <c r="M34" s="1509"/>
      <c r="N34" s="1509"/>
      <c r="O34" s="1509"/>
      <c r="P34" s="1509"/>
      <c r="Q34" s="1509"/>
      <c r="R34" s="1509"/>
      <c r="S34" s="1509"/>
      <c r="T34" s="1509"/>
      <c r="U34" s="1509"/>
      <c r="V34" s="1509"/>
      <c r="W34" s="1509"/>
      <c r="X34" s="1510"/>
      <c r="Y34" s="1510"/>
      <c r="AA34" s="1497"/>
      <c r="AN34" s="1487"/>
      <c r="AO34" s="1511"/>
    </row>
    <row r="35" spans="1:42">
      <c r="A35" s="1488"/>
      <c r="C35" s="1431" t="s">
        <v>197</v>
      </c>
      <c r="F35" s="1512">
        <f t="shared" ref="F35:O35" si="27">F9/F7</f>
        <v>0.4777227722772277</v>
      </c>
      <c r="G35" s="1512">
        <f t="shared" si="27"/>
        <v>0.6005830903790087</v>
      </c>
      <c r="H35" s="1566">
        <f t="shared" si="27"/>
        <v>0.59683794466403162</v>
      </c>
      <c r="I35" s="1512">
        <f t="shared" si="27"/>
        <v>0.4731182795698925</v>
      </c>
      <c r="J35" s="1512">
        <f t="shared" si="27"/>
        <v>0.41956121790885759</v>
      </c>
      <c r="K35" s="1512">
        <f t="shared" si="27"/>
        <v>0.6007837254853583</v>
      </c>
      <c r="L35" s="1512">
        <f t="shared" si="27"/>
        <v>0.56288371803650405</v>
      </c>
      <c r="M35" s="1512">
        <f t="shared" si="27"/>
        <v>0.5304138631256633</v>
      </c>
      <c r="N35" s="1512">
        <f t="shared" si="27"/>
        <v>0.64850575129631893</v>
      </c>
      <c r="O35" s="1512">
        <f t="shared" si="27"/>
        <v>0.55482003837248062</v>
      </c>
      <c r="P35" s="1512">
        <f t="shared" ref="P35:V35" si="28">P9/P7</f>
        <v>0.53885730834779211</v>
      </c>
      <c r="Q35" s="1512">
        <f t="shared" si="28"/>
        <v>0.45918436951612879</v>
      </c>
      <c r="R35" s="1512">
        <f t="shared" ref="R35" si="29">R9/R7</f>
        <v>0.48272457988062312</v>
      </c>
      <c r="S35" s="1512">
        <f t="shared" si="28"/>
        <v>0.40902793243099994</v>
      </c>
      <c r="T35" s="1512">
        <f t="shared" si="28"/>
        <v>0.43402536717135487</v>
      </c>
      <c r="U35" s="1512">
        <f t="shared" si="28"/>
        <v>0.62994540584736092</v>
      </c>
      <c r="V35" s="1512">
        <f t="shared" si="28"/>
        <v>0.68101671992407997</v>
      </c>
      <c r="W35" s="1512"/>
      <c r="X35" s="1513"/>
      <c r="Y35" s="1513"/>
      <c r="Z35" s="1488"/>
      <c r="AA35" s="1526"/>
      <c r="AB35" s="1514"/>
      <c r="AN35" s="1491"/>
      <c r="AO35" s="1496"/>
    </row>
    <row r="36" spans="1:42">
      <c r="A36" s="1488"/>
      <c r="C36" s="1431" t="s">
        <v>1608</v>
      </c>
      <c r="E36" s="1473"/>
      <c r="F36" s="1512">
        <f t="shared" ref="F36:Q36" si="30">F11/F7</f>
        <v>0.30445544554455445</v>
      </c>
      <c r="G36" s="1512">
        <f t="shared" si="30"/>
        <v>0.41982507288629739</v>
      </c>
      <c r="H36" s="1566">
        <f t="shared" si="30"/>
        <v>0.27075098814229248</v>
      </c>
      <c r="I36" s="1512">
        <f t="shared" si="30"/>
        <v>0.19354838709677419</v>
      </c>
      <c r="J36" s="1512">
        <f t="shared" si="30"/>
        <v>0.16299589934456277</v>
      </c>
      <c r="K36" s="1512">
        <f t="shared" si="30"/>
        <v>0.18877310286964341</v>
      </c>
      <c r="L36" s="1512">
        <f t="shared" si="30"/>
        <v>0.16785338210475606</v>
      </c>
      <c r="M36" s="1512">
        <f t="shared" si="30"/>
        <v>0.16936048189523917</v>
      </c>
      <c r="N36" s="1512">
        <f t="shared" si="30"/>
        <v>0.37451108017857787</v>
      </c>
      <c r="O36" s="1512">
        <f t="shared" si="30"/>
        <v>0.28595553234658749</v>
      </c>
      <c r="P36" s="1512">
        <f t="shared" si="30"/>
        <v>0.3882285029189555</v>
      </c>
      <c r="Q36" s="1512">
        <f t="shared" si="30"/>
        <v>0.26216936058565482</v>
      </c>
      <c r="R36" s="1512">
        <f t="shared" ref="R36" si="31">R11/R7</f>
        <v>0.2392248551092567</v>
      </c>
      <c r="S36" s="1415">
        <v>0.25</v>
      </c>
      <c r="T36" s="1415">
        <v>0.25</v>
      </c>
      <c r="U36" s="1415">
        <v>0.25</v>
      </c>
      <c r="V36" s="1415">
        <v>0.25</v>
      </c>
      <c r="W36" s="1512"/>
      <c r="X36" s="1513"/>
      <c r="Y36" s="1513"/>
      <c r="AN36" s="1499"/>
      <c r="AO36" s="1447"/>
    </row>
    <row r="37" spans="1:42">
      <c r="A37" s="1488"/>
      <c r="C37" s="1431" t="s">
        <v>452</v>
      </c>
      <c r="F37" s="1435">
        <f t="shared" ref="F37:O37" si="32">F15/F7</f>
        <v>0.17326732673267325</v>
      </c>
      <c r="G37" s="1435">
        <f t="shared" si="32"/>
        <v>0.18075801749271136</v>
      </c>
      <c r="H37" s="1566">
        <f t="shared" si="32"/>
        <v>0.32608695652173914</v>
      </c>
      <c r="I37" s="1435">
        <f t="shared" si="32"/>
        <v>0.27956989247311825</v>
      </c>
      <c r="J37" s="1435">
        <f t="shared" si="32"/>
        <v>0.25656531856429488</v>
      </c>
      <c r="K37" s="1435">
        <f t="shared" si="32"/>
        <v>0.41201062261571492</v>
      </c>
      <c r="L37" s="1435">
        <f t="shared" si="32"/>
        <v>0.39503033593174791</v>
      </c>
      <c r="M37" s="1435">
        <f t="shared" si="32"/>
        <v>0.36105338123042419</v>
      </c>
      <c r="N37" s="1435">
        <f t="shared" si="32"/>
        <v>0.27399467111774101</v>
      </c>
      <c r="O37" s="1435">
        <f t="shared" si="32"/>
        <v>0.26886450602589318</v>
      </c>
      <c r="P37" s="1435">
        <f t="shared" ref="P37:V37" si="33">P15/P7</f>
        <v>0.15062880542883664</v>
      </c>
      <c r="Q37" s="1435">
        <f t="shared" si="33"/>
        <v>0.19701500893047397</v>
      </c>
      <c r="R37" s="1435">
        <f t="shared" ref="R37" si="34">R15/R7</f>
        <v>0.24349972477136639</v>
      </c>
      <c r="S37" s="1435">
        <f t="shared" si="33"/>
        <v>0.15902793243099994</v>
      </c>
      <c r="T37" s="1435">
        <f t="shared" si="33"/>
        <v>0.18402536717135487</v>
      </c>
      <c r="U37" s="1435">
        <f t="shared" si="33"/>
        <v>0.37994540584736086</v>
      </c>
      <c r="V37" s="1435">
        <f t="shared" si="33"/>
        <v>0.43101671992407992</v>
      </c>
      <c r="W37" s="1435"/>
      <c r="X37" s="1481"/>
      <c r="Y37" s="1481"/>
      <c r="AL37" s="1511"/>
      <c r="AM37" s="1511"/>
    </row>
    <row r="38" spans="1:42">
      <c r="A38" s="1488"/>
      <c r="C38" s="1447" t="s">
        <v>1609</v>
      </c>
      <c r="F38" s="1435">
        <f t="shared" ref="F38:O38" si="35">F26/F7</f>
        <v>0.14356435643564355</v>
      </c>
      <c r="G38" s="1435">
        <f t="shared" si="35"/>
        <v>0.26239067055393583</v>
      </c>
      <c r="H38" s="1566">
        <f t="shared" si="35"/>
        <v>0.42292490118577075</v>
      </c>
      <c r="I38" s="1435">
        <f t="shared" si="35"/>
        <v>0.31971326164874553</v>
      </c>
      <c r="J38" s="1435">
        <f t="shared" si="35"/>
        <v>0.2650783333814476</v>
      </c>
      <c r="K38" s="1435">
        <f t="shared" si="35"/>
        <v>0.37698133131344708</v>
      </c>
      <c r="L38" s="1435">
        <f t="shared" si="35"/>
        <v>0.37086686722470236</v>
      </c>
      <c r="M38" s="1435">
        <f t="shared" si="35"/>
        <v>0.32445057833040419</v>
      </c>
      <c r="N38" s="1435">
        <f t="shared" si="35"/>
        <v>-6.0218097059260185E-2</v>
      </c>
      <c r="O38" s="1435">
        <f t="shared" si="35"/>
        <v>0.15809252464653217</v>
      </c>
      <c r="P38" s="1435">
        <f t="shared" ref="P38:V38" si="36">P26/P7</f>
        <v>9.683132262296841E-2</v>
      </c>
      <c r="Q38" s="1435">
        <f t="shared" si="36"/>
        <v>4.033478096505809E-2</v>
      </c>
      <c r="R38" s="1435">
        <f t="shared" ref="R38" si="37">R26/R7</f>
        <v>9.5965832602741774E-2</v>
      </c>
      <c r="S38" s="1435">
        <f t="shared" si="36"/>
        <v>0.11159374618714478</v>
      </c>
      <c r="T38" s="1435">
        <f t="shared" si="36"/>
        <v>0.12619420470726644</v>
      </c>
      <c r="U38" s="1435">
        <f t="shared" si="36"/>
        <v>0.28349619610740623</v>
      </c>
      <c r="V38" s="1435">
        <f t="shared" si="36"/>
        <v>0.32526338507164099</v>
      </c>
      <c r="W38" s="1435"/>
      <c r="X38" s="1481"/>
      <c r="Y38" s="1481"/>
      <c r="AL38" s="1511"/>
      <c r="AM38" s="1511"/>
    </row>
    <row r="39" spans="1:42">
      <c r="A39" s="1488"/>
      <c r="C39" s="1447" t="s">
        <v>1797</v>
      </c>
      <c r="F39" s="1435">
        <f t="shared" ref="F39:O39" si="38">F29/F7</f>
        <v>0.14108910891089108</v>
      </c>
      <c r="G39" s="1435">
        <f t="shared" si="38"/>
        <v>0.24198250728862974</v>
      </c>
      <c r="H39" s="1566">
        <f t="shared" si="38"/>
        <v>0.33399209486166009</v>
      </c>
      <c r="I39" s="1435">
        <f t="shared" si="38"/>
        <v>0.24157706093189965</v>
      </c>
      <c r="J39" s="1435">
        <f t="shared" si="38"/>
        <v>0.21432272815207792</v>
      </c>
      <c r="K39" s="1435">
        <f t="shared" si="38"/>
        <v>0.26079464824685017</v>
      </c>
      <c r="L39" s="1435">
        <f t="shared" si="38"/>
        <v>0.25368055374455983</v>
      </c>
      <c r="M39" s="1435">
        <f t="shared" si="38"/>
        <v>0.20925406212805983</v>
      </c>
      <c r="N39" s="1435">
        <f t="shared" si="38"/>
        <v>-0.17149939500360439</v>
      </c>
      <c r="O39" s="1435">
        <f t="shared" si="38"/>
        <v>0.11470078289223637</v>
      </c>
      <c r="P39" s="1435">
        <f t="shared" ref="P39:V39" si="39">P29/P7</f>
        <v>3.8984088308785268E-2</v>
      </c>
      <c r="Q39" s="1435">
        <f t="shared" si="39"/>
        <v>4.6172167988746522E-2</v>
      </c>
      <c r="R39" s="1435">
        <f t="shared" ref="R39" si="40">R29/R7</f>
        <v>5.3359818421042822E-2</v>
      </c>
      <c r="S39" s="1435">
        <f t="shared" si="39"/>
        <v>8.1471053958788023E-2</v>
      </c>
      <c r="T39" s="1435">
        <f t="shared" si="39"/>
        <v>9.7957519784343028E-2</v>
      </c>
      <c r="U39" s="1435">
        <f t="shared" si="39"/>
        <v>0.26741005834526432</v>
      </c>
      <c r="V39" s="1435">
        <f t="shared" si="39"/>
        <v>0.30485762408728689</v>
      </c>
      <c r="W39" s="1435"/>
      <c r="X39" s="1481"/>
      <c r="Y39" s="1481"/>
      <c r="AL39" s="1511"/>
      <c r="AM39" s="1511"/>
    </row>
    <row r="40" spans="1:42">
      <c r="A40" s="1488"/>
      <c r="F40" s="1433"/>
      <c r="G40" s="1433"/>
      <c r="H40" s="1577"/>
      <c r="I40" s="1433"/>
      <c r="J40" s="1425"/>
      <c r="K40" s="1433"/>
      <c r="L40" s="1433"/>
      <c r="M40" s="1433"/>
      <c r="N40" s="1433"/>
      <c r="O40" s="1433"/>
      <c r="P40" s="1433"/>
      <c r="Q40" s="1433"/>
      <c r="R40" s="1433"/>
      <c r="S40" s="1433"/>
      <c r="T40" s="1433"/>
      <c r="U40" s="1433"/>
      <c r="V40" s="1433"/>
      <c r="W40" s="1433"/>
      <c r="X40" s="1481"/>
      <c r="Y40" s="1481"/>
      <c r="AL40" s="1511"/>
      <c r="AM40" s="1511"/>
    </row>
    <row r="41" spans="1:42">
      <c r="A41" s="1488" t="s">
        <v>1603</v>
      </c>
      <c r="B41" s="1479" t="s">
        <v>1610</v>
      </c>
      <c r="H41" s="1466"/>
      <c r="J41" s="1447"/>
      <c r="X41" s="1510"/>
      <c r="Y41" s="1481"/>
    </row>
    <row r="42" spans="1:42">
      <c r="C42" s="1431" t="s">
        <v>1611</v>
      </c>
      <c r="F42" s="1515"/>
      <c r="G42" s="1515">
        <f t="shared" ref="G42:V42" si="41">G7/F7-1</f>
        <v>-0.15099009900990101</v>
      </c>
      <c r="H42" s="1578">
        <f t="shared" si="41"/>
        <v>0.47521865889212833</v>
      </c>
      <c r="I42" s="1515">
        <f t="shared" si="41"/>
        <v>1.7569169960474307</v>
      </c>
      <c r="J42" s="1515">
        <f t="shared" si="41"/>
        <v>0.79678627774910415</v>
      </c>
      <c r="K42" s="1515">
        <f t="shared" si="41"/>
        <v>0.1487021846183405</v>
      </c>
      <c r="L42" s="1515">
        <f t="shared" si="41"/>
        <v>0.61338280935781841</v>
      </c>
      <c r="M42" s="1515">
        <f t="shared" si="41"/>
        <v>0.2514917230669369</v>
      </c>
      <c r="N42" s="1515">
        <f t="shared" si="41"/>
        <v>-0.50277539632662638</v>
      </c>
      <c r="O42" s="1515">
        <f t="shared" si="41"/>
        <v>2.4903468708711252</v>
      </c>
      <c r="P42" s="1515">
        <f t="shared" si="41"/>
        <v>-0.45371147048010418</v>
      </c>
      <c r="Q42" s="1515">
        <f t="shared" si="41"/>
        <v>-0.32419839532903094</v>
      </c>
      <c r="R42" s="1515">
        <f t="shared" si="41"/>
        <v>0.2707152611207797</v>
      </c>
      <c r="S42" s="1515">
        <f t="shared" si="41"/>
        <v>0.50249014194634922</v>
      </c>
      <c r="T42" s="1515">
        <f t="shared" si="41"/>
        <v>0.27831020641977067</v>
      </c>
      <c r="U42" s="1515">
        <f t="shared" si="41"/>
        <v>1.1029365571069434</v>
      </c>
      <c r="V42" s="1515">
        <f t="shared" si="41"/>
        <v>4.6554379949449221E-2</v>
      </c>
      <c r="W42" s="1515"/>
      <c r="X42" s="1516"/>
      <c r="Y42" s="1510"/>
    </row>
    <row r="43" spans="1:42">
      <c r="A43" s="1488"/>
      <c r="C43" s="1431" t="s">
        <v>1612</v>
      </c>
      <c r="E43" s="1473"/>
      <c r="F43" s="1515"/>
      <c r="G43" s="1515">
        <f t="shared" ref="G43:V43" si="42">G15/F15-1</f>
        <v>-0.11428571428571432</v>
      </c>
      <c r="H43" s="1578">
        <f t="shared" si="42"/>
        <v>1.661290322580645</v>
      </c>
      <c r="I43" s="1515">
        <f t="shared" si="42"/>
        <v>1.3636363636363638</v>
      </c>
      <c r="J43" s="1515">
        <f t="shared" si="42"/>
        <v>0.64893665646410303</v>
      </c>
      <c r="K43" s="1515">
        <f t="shared" si="42"/>
        <v>0.84466671073484068</v>
      </c>
      <c r="L43" s="1515">
        <f t="shared" si="42"/>
        <v>0.54689009987388837</v>
      </c>
      <c r="M43" s="1515">
        <f t="shared" si="42"/>
        <v>0.14384966696146928</v>
      </c>
      <c r="N43" s="1515">
        <f t="shared" si="42"/>
        <v>-0.62266828442138655</v>
      </c>
      <c r="O43" s="1515">
        <f t="shared" si="42"/>
        <v>2.4249950317191558</v>
      </c>
      <c r="P43" s="1515">
        <f t="shared" si="42"/>
        <v>-0.69394700015504096</v>
      </c>
      <c r="Q43" s="1515">
        <f t="shared" si="42"/>
        <v>-0.11608500910284403</v>
      </c>
      <c r="R43" s="1515">
        <f t="shared" si="42"/>
        <v>0.57053423505859824</v>
      </c>
      <c r="S43" s="1515">
        <f t="shared" si="42"/>
        <v>-1.8734411317968269E-2</v>
      </c>
      <c r="T43" s="1515">
        <f t="shared" si="42"/>
        <v>0.47924645374709152</v>
      </c>
      <c r="U43" s="1515">
        <f t="shared" si="42"/>
        <v>3.3417986114776284</v>
      </c>
      <c r="V43" s="1515">
        <f t="shared" si="42"/>
        <v>0.1872296101645945</v>
      </c>
      <c r="W43" s="1515"/>
      <c r="X43" s="1513"/>
      <c r="Y43" s="1513"/>
      <c r="Z43" s="1447"/>
      <c r="AA43" s="1517"/>
      <c r="AD43" s="1474"/>
      <c r="AL43" s="1482"/>
      <c r="AM43" s="1447"/>
    </row>
    <row r="44" spans="1:42">
      <c r="A44" s="1488"/>
      <c r="C44" s="1447" t="s">
        <v>1804</v>
      </c>
      <c r="F44" s="1515"/>
      <c r="G44" s="1515">
        <f t="shared" ref="G44:V44" si="43">G29/F29-1</f>
        <v>0.45614035087719307</v>
      </c>
      <c r="H44" s="1578">
        <f t="shared" si="43"/>
        <v>1.036144578313253</v>
      </c>
      <c r="I44" s="1515">
        <f t="shared" si="43"/>
        <v>0.99408284023668636</v>
      </c>
      <c r="J44" s="1515">
        <f t="shared" si="43"/>
        <v>0.59407575979228566</v>
      </c>
      <c r="K44" s="1515">
        <f t="shared" si="43"/>
        <v>0.39777701021684186</v>
      </c>
      <c r="L44" s="1515">
        <f t="shared" si="43"/>
        <v>0.5693720988187041</v>
      </c>
      <c r="M44" s="1515">
        <f t="shared" si="43"/>
        <v>3.2320857495043542E-2</v>
      </c>
      <c r="N44" s="1515">
        <f t="shared" si="43"/>
        <v>-1.407512847510241</v>
      </c>
      <c r="O44" s="1515">
        <f t="shared" si="43"/>
        <v>-3.3343844370178184</v>
      </c>
      <c r="P44" s="1515">
        <f t="shared" si="43"/>
        <v>-0.81432942531099717</v>
      </c>
      <c r="Q44" s="1515">
        <f t="shared" si="43"/>
        <v>-0.19959074146411049</v>
      </c>
      <c r="R44" s="1515">
        <f t="shared" si="43"/>
        <v>0.46852830507718135</v>
      </c>
      <c r="S44" s="1515">
        <f t="shared" si="43"/>
        <v>1.2940380805116281</v>
      </c>
      <c r="T44" s="1515">
        <f t="shared" si="43"/>
        <v>0.53698879849074554</v>
      </c>
      <c r="U44" s="1515">
        <f t="shared" si="43"/>
        <v>4.7407168808518492</v>
      </c>
      <c r="V44" s="1515">
        <f t="shared" si="43"/>
        <v>0.19311174652074548</v>
      </c>
      <c r="W44" s="1515"/>
      <c r="Z44" s="1447"/>
      <c r="AA44" s="1447"/>
      <c r="AD44" s="1474"/>
      <c r="AM44" s="1447"/>
    </row>
    <row r="45" spans="1:42">
      <c r="A45" s="1488"/>
      <c r="C45" s="1431" t="s">
        <v>1613</v>
      </c>
      <c r="F45" s="1515"/>
      <c r="G45" s="1515"/>
      <c r="H45" s="1578"/>
      <c r="I45" s="1515"/>
      <c r="J45" s="1515" t="e">
        <f t="shared" ref="J45:V45" ca="1" si="44">J33/I33-1</f>
        <v>#NUM!</v>
      </c>
      <c r="K45" s="1515" t="e">
        <f t="shared" ca="1" si="44"/>
        <v>#NUM!</v>
      </c>
      <c r="L45" s="1515" t="e">
        <f t="shared" ca="1" si="44"/>
        <v>#NUM!</v>
      </c>
      <c r="M45" s="1515" t="e">
        <f t="shared" ca="1" si="44"/>
        <v>#NUM!</v>
      </c>
      <c r="N45" s="1515" t="e">
        <f t="shared" ca="1" si="44"/>
        <v>#NUM!</v>
      </c>
      <c r="O45" s="1515" t="e">
        <f t="shared" ca="1" si="44"/>
        <v>#NUM!</v>
      </c>
      <c r="P45" s="1515" t="e">
        <f t="shared" ca="1" si="44"/>
        <v>#NUM!</v>
      </c>
      <c r="Q45" s="1515" t="e">
        <f t="shared" ca="1" si="44"/>
        <v>#NUM!</v>
      </c>
      <c r="R45" s="1515" t="e">
        <f t="shared" ca="1" si="44"/>
        <v>#NUM!</v>
      </c>
      <c r="S45" s="1515" t="e">
        <f t="shared" ca="1" si="44"/>
        <v>#NUM!</v>
      </c>
      <c r="T45" s="1515" t="e">
        <f t="shared" ca="1" si="44"/>
        <v>#NUM!</v>
      </c>
      <c r="U45" s="1515" t="e">
        <f t="shared" ca="1" si="44"/>
        <v>#NUM!</v>
      </c>
      <c r="V45" s="1515" t="e">
        <f t="shared" ca="1" si="44"/>
        <v>#NUM!</v>
      </c>
      <c r="W45" s="1515"/>
      <c r="Z45" s="1481"/>
      <c r="AA45" s="1447"/>
      <c r="AD45" s="1474"/>
    </row>
    <row r="46" spans="1:42">
      <c r="A46" s="1488"/>
      <c r="C46" s="1475" t="s">
        <v>1446</v>
      </c>
      <c r="D46" s="1475"/>
      <c r="E46" s="1475"/>
      <c r="F46" s="1648">
        <f t="shared" ref="F46:Q46" si="45">F25/F23</f>
        <v>0.25641025641025639</v>
      </c>
      <c r="G46" s="1648">
        <f t="shared" si="45"/>
        <v>0.256198347107438</v>
      </c>
      <c r="H46" s="1692">
        <f t="shared" si="45"/>
        <v>0.19850187265917604</v>
      </c>
      <c r="I46" s="1648">
        <f t="shared" si="45"/>
        <v>0.1756007393715342</v>
      </c>
      <c r="J46" s="1648">
        <f t="shared" si="45"/>
        <v>0.19094927837839257</v>
      </c>
      <c r="K46" s="1648">
        <f t="shared" si="45"/>
        <v>0.18714602146534398</v>
      </c>
      <c r="L46" s="1648">
        <f t="shared" si="45"/>
        <v>0.18031808253561968</v>
      </c>
      <c r="M46" s="1648">
        <f t="shared" si="45"/>
        <v>0.21029608917063869</v>
      </c>
      <c r="N46" s="1648">
        <f t="shared" si="45"/>
        <v>7.4733305511669927</v>
      </c>
      <c r="O46" s="1648">
        <f t="shared" si="45"/>
        <v>0.36603972245999172</v>
      </c>
      <c r="P46" s="1648">
        <f t="shared" si="45"/>
        <v>0.30490444812121431</v>
      </c>
      <c r="Q46" s="1648">
        <f t="shared" si="45"/>
        <v>0.66845632093005869</v>
      </c>
      <c r="R46" s="1648">
        <f t="shared" ref="R46" si="46">R25/R23</f>
        <v>0.37579931803049466</v>
      </c>
      <c r="S46" s="1588">
        <f>'Opal Central Park'!P22</f>
        <v>0.2</v>
      </c>
      <c r="T46" s="1588">
        <f>'Opal Central Park'!Q22</f>
        <v>0.2</v>
      </c>
      <c r="U46" s="1588">
        <f>'Opal Central Park'!R22</f>
        <v>0.2</v>
      </c>
      <c r="V46" s="1588">
        <f>'Opal Central Park'!S22</f>
        <v>0.2</v>
      </c>
      <c r="W46" s="1595"/>
      <c r="X46" s="1513"/>
      <c r="Z46" s="1481"/>
      <c r="AA46" s="1481"/>
      <c r="AD46" s="1433"/>
    </row>
    <row r="47" spans="1:42">
      <c r="B47" s="1432"/>
    </row>
    <row r="48" spans="1:42">
      <c r="A48" s="1488" t="s">
        <v>1603</v>
      </c>
      <c r="B48" s="1488" t="s">
        <v>1629</v>
      </c>
    </row>
    <row r="49" spans="2:23">
      <c r="B49" s="1431" t="s">
        <v>26</v>
      </c>
      <c r="C49" s="1431" t="s">
        <v>642</v>
      </c>
      <c r="J49" s="1440">
        <f t="shared" ref="J49:V49" si="47">SUM(J50:J53)</f>
        <v>2507</v>
      </c>
      <c r="K49" s="1440">
        <f t="shared" si="47"/>
        <v>2101.4583039999998</v>
      </c>
      <c r="L49" s="1440">
        <f t="shared" si="47"/>
        <v>3816.0693759999999</v>
      </c>
      <c r="M49" s="1440">
        <f t="shared" si="47"/>
        <v>4444.4830000000002</v>
      </c>
      <c r="N49" s="1440">
        <f t="shared" si="47"/>
        <v>2873</v>
      </c>
      <c r="O49" s="1440">
        <f t="shared" si="47"/>
        <v>10009</v>
      </c>
      <c r="P49" s="1440">
        <f t="shared" si="47"/>
        <v>5555.8159999999998</v>
      </c>
      <c r="Q49" s="1440">
        <f t="shared" si="47"/>
        <v>3705.9569999999999</v>
      </c>
      <c r="R49" s="1440">
        <f t="shared" si="47"/>
        <v>2892.4041500000003</v>
      </c>
      <c r="S49" s="1440">
        <f t="shared" si="47"/>
        <v>7111.5760816000002</v>
      </c>
      <c r="T49" s="1440">
        <f t="shared" si="47"/>
        <v>9090.8002888400006</v>
      </c>
      <c r="U49" s="1440">
        <f t="shared" si="47"/>
        <v>19117.376260759997</v>
      </c>
      <c r="V49" s="1440">
        <f t="shared" si="47"/>
        <v>20007.373858839997</v>
      </c>
      <c r="W49" s="1440"/>
    </row>
    <row r="50" spans="2:23">
      <c r="C50" s="1431" t="s">
        <v>1839</v>
      </c>
      <c r="J50" s="1423">
        <v>1417</v>
      </c>
      <c r="K50" s="1463">
        <f>Projects!H5</f>
        <v>321.45830400000006</v>
      </c>
      <c r="L50" s="1463">
        <f>Projects!I5</f>
        <v>750.06937600000003</v>
      </c>
      <c r="M50" s="1463">
        <f>Projects!J5</f>
        <v>690.48299999999995</v>
      </c>
      <c r="N50" s="1423">
        <v>393</v>
      </c>
      <c r="O50" s="1423">
        <v>7524</v>
      </c>
      <c r="P50" s="2246">
        <v>2792.8090000000002</v>
      </c>
      <c r="Q50" s="2246">
        <v>2800.5219999999999</v>
      </c>
      <c r="R50" s="1463">
        <f>Projects!O5</f>
        <v>1721.68975</v>
      </c>
      <c r="S50" s="1463">
        <f>Projects!P5</f>
        <v>5729.3456016</v>
      </c>
      <c r="T50" s="1463">
        <f>Projects!Q5</f>
        <v>7456.6531928400009</v>
      </c>
      <c r="U50" s="1463">
        <f>Projects!R5</f>
        <v>17183.022173559999</v>
      </c>
      <c r="V50" s="1463">
        <f>Projects!S5</f>
        <v>17715.073624999997</v>
      </c>
      <c r="W50" s="1463"/>
    </row>
    <row r="51" spans="2:23">
      <c r="C51" s="1431" t="s">
        <v>654</v>
      </c>
      <c r="J51" s="1463">
        <f>Brokerage!M36</f>
        <v>811</v>
      </c>
      <c r="K51" s="1463">
        <f>Brokerage!N36</f>
        <v>1616</v>
      </c>
      <c r="L51" s="1463">
        <f>Brokerage!O36</f>
        <v>2420</v>
      </c>
      <c r="M51" s="1463">
        <f>Brokerage!P36</f>
        <v>2842</v>
      </c>
      <c r="N51" s="1423">
        <v>1932</v>
      </c>
      <c r="O51" s="1423">
        <v>2150</v>
      </c>
      <c r="P51" s="2246">
        <v>2017.951</v>
      </c>
      <c r="Q51" s="2246">
        <v>601.529</v>
      </c>
      <c r="R51" s="1463">
        <f>Brokerage!U36</f>
        <v>962.44640000000004</v>
      </c>
      <c r="S51" s="1463">
        <f>Brokerage!V36</f>
        <v>1154.93568</v>
      </c>
      <c r="T51" s="1463">
        <f>Brokerage!W36</f>
        <v>1385.922816</v>
      </c>
      <c r="U51" s="1463">
        <f>Brokerage!X36</f>
        <v>1663.1073792</v>
      </c>
      <c r="V51" s="1463">
        <f>Brokerage!Y36</f>
        <v>1995.7288550399999</v>
      </c>
      <c r="W51" s="1463"/>
    </row>
    <row r="52" spans="2:23">
      <c r="C52" s="1431" t="s">
        <v>662</v>
      </c>
      <c r="J52" s="1463">
        <f>Brokerage!M64</f>
        <v>207</v>
      </c>
      <c r="K52" s="1463">
        <f>Brokerage!N64</f>
        <v>159</v>
      </c>
      <c r="L52" s="1463">
        <f>Brokerage!O64</f>
        <v>628</v>
      </c>
      <c r="M52" s="1463">
        <f>Brokerage!P64</f>
        <v>894</v>
      </c>
      <c r="N52" s="1423">
        <v>530</v>
      </c>
      <c r="O52" s="1423">
        <v>317</v>
      </c>
      <c r="P52" s="2246">
        <v>490.23599999999999</v>
      </c>
      <c r="Q52" s="2246">
        <v>95.134</v>
      </c>
      <c r="R52" s="1463">
        <f>Brokerage!U64</f>
        <v>190.268</v>
      </c>
      <c r="S52" s="1463">
        <f>Brokerage!V64</f>
        <v>209.29480000000001</v>
      </c>
      <c r="T52" s="1463">
        <f>Brokerage!W64</f>
        <v>230.22428000000002</v>
      </c>
      <c r="U52" s="1463">
        <f>Brokerage!X64</f>
        <v>253.24670800000004</v>
      </c>
      <c r="V52" s="1463">
        <f>Brokerage!Y64</f>
        <v>278.57137880000005</v>
      </c>
      <c r="W52" s="1463"/>
    </row>
    <row r="53" spans="2:23">
      <c r="C53" s="1431" t="s">
        <v>589</v>
      </c>
      <c r="J53" s="1412">
        <v>72</v>
      </c>
      <c r="K53" s="1412">
        <v>5</v>
      </c>
      <c r="L53" s="1412">
        <v>18</v>
      </c>
      <c r="M53" s="1412">
        <v>18</v>
      </c>
      <c r="N53" s="1412">
        <v>18</v>
      </c>
      <c r="O53" s="1412">
        <v>18</v>
      </c>
      <c r="P53" s="2246">
        <v>254.82</v>
      </c>
      <c r="Q53" s="2246">
        <v>208.77199999999999</v>
      </c>
      <c r="R53" s="1412">
        <v>18</v>
      </c>
      <c r="S53" s="1412">
        <v>18</v>
      </c>
      <c r="T53" s="1412">
        <v>18</v>
      </c>
      <c r="U53" s="1412">
        <v>18</v>
      </c>
      <c r="V53" s="1412">
        <v>18</v>
      </c>
      <c r="W53" s="1412"/>
    </row>
    <row r="54" spans="2:23">
      <c r="O54" s="2245">
        <f>O49-O7</f>
        <v>-80.384737837999637</v>
      </c>
      <c r="P54" s="2245">
        <f>P49-P7</f>
        <v>44.100847805999365</v>
      </c>
      <c r="Q54" s="2245">
        <f>Q49-Q7</f>
        <v>-18.868944342000304</v>
      </c>
    </row>
    <row r="55" spans="2:23">
      <c r="B55" s="1431" t="s">
        <v>432</v>
      </c>
      <c r="C55" s="1407" t="s">
        <v>642</v>
      </c>
      <c r="D55" s="1407"/>
      <c r="E55" s="1407"/>
      <c r="F55" s="1407"/>
      <c r="G55" s="1407"/>
      <c r="H55" s="1407"/>
      <c r="I55" s="1407"/>
      <c r="J55" s="1407"/>
      <c r="K55" s="1407"/>
      <c r="L55" s="1407"/>
      <c r="M55" s="1407"/>
      <c r="N55" s="1407"/>
      <c r="O55" s="2247"/>
      <c r="P55" s="1427">
        <f t="shared" ref="P55" si="48">SUM(P56:P59)</f>
        <v>-2541.6849999999999</v>
      </c>
      <c r="Q55" s="1427">
        <f t="shared" ref="Q55" si="49">SUM(Q56:Q59)</f>
        <v>-2013.114</v>
      </c>
    </row>
    <row r="56" spans="2:23">
      <c r="C56" s="1431" t="s">
        <v>1839</v>
      </c>
      <c r="O56" s="1678"/>
      <c r="P56" s="2178">
        <v>-1392.453</v>
      </c>
      <c r="Q56" s="2178">
        <v>-1564.434</v>
      </c>
    </row>
    <row r="57" spans="2:23">
      <c r="C57" s="1431" t="s">
        <v>654</v>
      </c>
      <c r="O57" s="1678"/>
      <c r="P57" s="2178">
        <v>-525.67499999999995</v>
      </c>
      <c r="Q57" s="2178">
        <v>-193.63200000000001</v>
      </c>
    </row>
    <row r="58" spans="2:23">
      <c r="C58" s="1431" t="s">
        <v>662</v>
      </c>
      <c r="O58" s="1678"/>
      <c r="P58" s="2178">
        <v>-439.44600000000003</v>
      </c>
      <c r="Q58" s="2178">
        <v>-79.454999999999998</v>
      </c>
    </row>
    <row r="59" spans="2:23">
      <c r="C59" s="1431" t="s">
        <v>589</v>
      </c>
      <c r="O59" s="1678"/>
      <c r="P59" s="2178">
        <v>-184.11099999999999</v>
      </c>
      <c r="Q59" s="2178">
        <v>-175.59299999999999</v>
      </c>
    </row>
    <row r="60" spans="2:23">
      <c r="O60" s="1678"/>
      <c r="P60" s="1678"/>
      <c r="Q60" s="1678"/>
    </row>
    <row r="61" spans="2:23">
      <c r="B61" s="1431" t="s">
        <v>28</v>
      </c>
      <c r="C61" s="1431" t="str">
        <f>C49</f>
        <v>Total</v>
      </c>
      <c r="J61" s="1427">
        <f>SUM(J62:J65)</f>
        <v>1051.855</v>
      </c>
      <c r="K61" s="1427">
        <f t="shared" ref="K61:Q61" si="50">SUM(K62:K65)</f>
        <v>1429.7954147392002</v>
      </c>
      <c r="L61" s="1427">
        <f t="shared" si="50"/>
        <v>2208.1659677248003</v>
      </c>
      <c r="M61" s="1427">
        <f t="shared" si="50"/>
        <v>2290.3578284</v>
      </c>
      <c r="N61" s="1427">
        <f t="shared" si="50"/>
        <v>1459.5</v>
      </c>
      <c r="O61" s="1427">
        <f t="shared" si="50"/>
        <v>3282.1639393749997</v>
      </c>
      <c r="P61" s="1427">
        <f t="shared" si="50"/>
        <v>3014.1310000000003</v>
      </c>
      <c r="Q61" s="1427">
        <f t="shared" si="50"/>
        <v>1692.8430000000001</v>
      </c>
      <c r="R61" s="1440">
        <f>SUM(R62:R65)</f>
        <v>1402.003387875</v>
      </c>
      <c r="S61" s="1440">
        <f>SUM(S62:S65)</f>
        <v>2908.8332609826002</v>
      </c>
      <c r="T61" s="1440">
        <f>SUM(T62:T65)</f>
        <v>3945.6379332452402</v>
      </c>
      <c r="U61" s="1440">
        <f>SUM(U62:U65)</f>
        <v>12042.903347321158</v>
      </c>
      <c r="V61" s="1440">
        <f>SUM(V62:V65)</f>
        <v>13625.356119641998</v>
      </c>
      <c r="W61" s="1440"/>
    </row>
    <row r="62" spans="2:23">
      <c r="C62" s="1431" t="str">
        <f>C50</f>
        <v>Development</v>
      </c>
      <c r="J62" s="1423">
        <v>433</v>
      </c>
      <c r="K62" s="1463">
        <f>Projects!H7</f>
        <v>113.02541473920007</v>
      </c>
      <c r="L62" s="1463">
        <f>Projects!I7</f>
        <v>263.72596772480011</v>
      </c>
      <c r="M62" s="1463">
        <f>Projects!J7</f>
        <v>250.93782839999994</v>
      </c>
      <c r="N62" s="1463">
        <f>Projects!K7</f>
        <v>0</v>
      </c>
      <c r="O62" s="1463">
        <f>Projects!L7</f>
        <v>1690.053939375</v>
      </c>
      <c r="P62" s="2178">
        <f t="shared" ref="P62" si="51">P50+P56</f>
        <v>1400.3560000000002</v>
      </c>
      <c r="Q62" s="2178">
        <f>Q50+Q56</f>
        <v>1236.088</v>
      </c>
      <c r="R62" s="1463">
        <f>Projects!O7</f>
        <v>718.98286787500012</v>
      </c>
      <c r="S62" s="1463">
        <f>Projects!P7</f>
        <v>2090.4994409826004</v>
      </c>
      <c r="T62" s="1463">
        <f>Projects!Q7</f>
        <v>2964.98523364524</v>
      </c>
      <c r="U62" s="1463">
        <f>Projects!R7</f>
        <v>10867.530780641158</v>
      </c>
      <c r="V62" s="1463">
        <f>Projects!S7</f>
        <v>12216.388779749997</v>
      </c>
      <c r="W62" s="1463"/>
    </row>
    <row r="63" spans="2:23">
      <c r="C63" s="1431" t="str">
        <f>C51</f>
        <v>Brokerage</v>
      </c>
      <c r="J63" s="1423">
        <v>591</v>
      </c>
      <c r="K63" s="1463">
        <f>Brokerage!N49</f>
        <v>1311</v>
      </c>
      <c r="L63" s="1463">
        <f>Brokerage!O49</f>
        <v>1922</v>
      </c>
      <c r="M63" s="1463">
        <f>Brokerage!P49</f>
        <v>2009</v>
      </c>
      <c r="N63" s="1463">
        <f>Brokerage!Q49</f>
        <v>1440</v>
      </c>
      <c r="O63" s="1463">
        <f>Brokerage!R49</f>
        <v>1579</v>
      </c>
      <c r="P63" s="2178">
        <f t="shared" ref="P63:Q65" si="52">P51+P57</f>
        <v>1492.2760000000001</v>
      </c>
      <c r="Q63" s="2178">
        <f t="shared" si="52"/>
        <v>407.89699999999999</v>
      </c>
      <c r="R63" s="1463">
        <f>Brokerage!U49</f>
        <v>673.71247999999991</v>
      </c>
      <c r="S63" s="1463">
        <f>Brokerage!V49</f>
        <v>808.45497599999999</v>
      </c>
      <c r="T63" s="1463">
        <f>Brokerage!W49</f>
        <v>970.14597119999996</v>
      </c>
      <c r="U63" s="1463">
        <f>Brokerage!X49</f>
        <v>1164.17516544</v>
      </c>
      <c r="V63" s="1463">
        <f>Brokerage!Y49</f>
        <v>1397.0101985279998</v>
      </c>
      <c r="W63" s="1463"/>
    </row>
    <row r="64" spans="2:23">
      <c r="C64" s="1431" t="str">
        <f>C52</f>
        <v>Construction</v>
      </c>
      <c r="J64" s="1463">
        <f>Brokerage!M75</f>
        <v>13.454999999999984</v>
      </c>
      <c r="K64" s="1463">
        <f>Brokerage!N75</f>
        <v>4.7700000000000102</v>
      </c>
      <c r="L64" s="1463">
        <f>Brokerage!O75</f>
        <v>18.840000000000032</v>
      </c>
      <c r="M64" s="1463">
        <f>Brokerage!P75</f>
        <v>26.82000000000005</v>
      </c>
      <c r="N64" s="1463">
        <f>Brokerage!Q75</f>
        <v>15.899999999999977</v>
      </c>
      <c r="O64" s="1463">
        <f>Brokerage!R75</f>
        <v>9.5099999999999909</v>
      </c>
      <c r="P64" s="2178">
        <f t="shared" si="52"/>
        <v>50.789999999999964</v>
      </c>
      <c r="Q64" s="2178">
        <f t="shared" si="52"/>
        <v>15.679000000000002</v>
      </c>
      <c r="R64" s="1463">
        <f>Brokerage!U75</f>
        <v>5.7080400000000111</v>
      </c>
      <c r="S64" s="1463">
        <f>Brokerage!V75</f>
        <v>6.2788439999999923</v>
      </c>
      <c r="T64" s="1463">
        <f>Brokerage!W75</f>
        <v>6.90672840000002</v>
      </c>
      <c r="U64" s="1463">
        <f>Brokerage!X75</f>
        <v>7.5974012400000106</v>
      </c>
      <c r="V64" s="1463">
        <f>Brokerage!Y75</f>
        <v>8.3571413640000287</v>
      </c>
      <c r="W64" s="1463"/>
    </row>
    <row r="65" spans="2:24">
      <c r="C65" s="1431" t="str">
        <f>C53</f>
        <v>Others</v>
      </c>
      <c r="J65" s="1608">
        <f t="shared" ref="J65:T65" si="53">J53*$X$65</f>
        <v>14.4</v>
      </c>
      <c r="K65" s="1608">
        <f t="shared" si="53"/>
        <v>1</v>
      </c>
      <c r="L65" s="1608">
        <f t="shared" si="53"/>
        <v>3.6</v>
      </c>
      <c r="M65" s="1608">
        <f t="shared" si="53"/>
        <v>3.6</v>
      </c>
      <c r="N65" s="1608">
        <f t="shared" si="53"/>
        <v>3.6</v>
      </c>
      <c r="O65" s="1608">
        <f t="shared" si="53"/>
        <v>3.6</v>
      </c>
      <c r="P65" s="2178">
        <f t="shared" si="52"/>
        <v>70.709000000000003</v>
      </c>
      <c r="Q65" s="2178">
        <f t="shared" si="52"/>
        <v>33.179000000000002</v>
      </c>
      <c r="R65" s="1608">
        <f t="shared" si="53"/>
        <v>3.6</v>
      </c>
      <c r="S65" s="1608">
        <f t="shared" si="53"/>
        <v>3.6</v>
      </c>
      <c r="T65" s="1608">
        <f t="shared" si="53"/>
        <v>3.6</v>
      </c>
      <c r="U65" s="1608">
        <f>U53*$X$65</f>
        <v>3.6</v>
      </c>
      <c r="V65" s="1608">
        <f>V53*$X$65</f>
        <v>3.6</v>
      </c>
      <c r="W65" s="1608"/>
      <c r="X65" s="1443">
        <v>0.2</v>
      </c>
    </row>
    <row r="67" spans="2:24">
      <c r="B67" s="1431" t="s">
        <v>656</v>
      </c>
      <c r="C67" s="1431" t="str">
        <f>C61</f>
        <v>Total</v>
      </c>
      <c r="J67" s="1440">
        <f t="shared" ref="J67:V67" si="54">SUM(J68:J71)</f>
        <v>263.49999999999994</v>
      </c>
      <c r="K67" s="1440">
        <f t="shared" si="54"/>
        <v>536.70082688000002</v>
      </c>
      <c r="L67" s="1440">
        <f t="shared" si="54"/>
        <v>712.21526271999994</v>
      </c>
      <c r="M67" s="1440">
        <f t="shared" si="54"/>
        <v>507.74625999999995</v>
      </c>
      <c r="N67" s="1440">
        <f t="shared" si="54"/>
        <v>655.33000000000004</v>
      </c>
      <c r="O67" s="1440">
        <f t="shared" si="54"/>
        <v>1320.5987250000001</v>
      </c>
      <c r="P67" s="1440">
        <f t="shared" si="54"/>
        <v>1279.5560449999998</v>
      </c>
      <c r="Q67" s="1440">
        <f t="shared" si="54"/>
        <v>1046.2320899999997</v>
      </c>
      <c r="R67" s="1440">
        <f t="shared" si="54"/>
        <v>682.30566499999998</v>
      </c>
      <c r="S67" s="1440">
        <f t="shared" si="54"/>
        <v>1563.989952352</v>
      </c>
      <c r="T67" s="1440">
        <f t="shared" si="54"/>
        <v>2001.7444064248002</v>
      </c>
      <c r="U67" s="1440">
        <f t="shared" si="54"/>
        <v>4210.8417229832003</v>
      </c>
      <c r="V67" s="1440">
        <f t="shared" si="54"/>
        <v>3899.1161974999995</v>
      </c>
      <c r="W67" s="1440"/>
    </row>
    <row r="68" spans="2:24">
      <c r="C68" s="1431" t="str">
        <f>C62</f>
        <v>Development</v>
      </c>
      <c r="J68" s="1463">
        <f>Projects!G8</f>
        <v>0</v>
      </c>
      <c r="K68" s="1463">
        <f>Projects!H8</f>
        <v>70.720826880000018</v>
      </c>
      <c r="L68" s="1463">
        <f>Projects!I8</f>
        <v>165.01526272000001</v>
      </c>
      <c r="M68" s="1463">
        <f>Projects!J8</f>
        <v>151.90626</v>
      </c>
      <c r="N68" s="1463">
        <f>Projects!K8</f>
        <v>0</v>
      </c>
      <c r="O68" s="1463">
        <f>Projects!L8</f>
        <v>832.79872499999999</v>
      </c>
      <c r="P68" s="1463">
        <f>Projects!M8</f>
        <v>615.50923499999999</v>
      </c>
      <c r="Q68" s="1463">
        <f>Projects!N8</f>
        <v>651.43748999999991</v>
      </c>
      <c r="R68" s="1463">
        <f>Projects!O8</f>
        <v>378.77174500000001</v>
      </c>
      <c r="S68" s="1463">
        <f>Projects!P8</f>
        <v>1260.456032352</v>
      </c>
      <c r="T68" s="1463">
        <f>Projects!Q8</f>
        <v>1640.4637024248002</v>
      </c>
      <c r="U68" s="1463">
        <f>Projects!R8</f>
        <v>3780.2648781831999</v>
      </c>
      <c r="V68" s="1463">
        <f>Projects!S8</f>
        <v>3897.3161974999994</v>
      </c>
      <c r="W68" s="1463"/>
    </row>
    <row r="69" spans="2:24">
      <c r="C69" s="1431" t="str">
        <f>C63</f>
        <v>Brokerage</v>
      </c>
      <c r="J69" s="1463">
        <f>Brokerage!M38</f>
        <v>243.29999999999998</v>
      </c>
      <c r="K69" s="1463">
        <f>Brokerage!N38</f>
        <v>452.48</v>
      </c>
      <c r="L69" s="1463">
        <f>Brokerage!O38</f>
        <v>532.4</v>
      </c>
      <c r="M69" s="1463">
        <f>Brokerage!P38</f>
        <v>341.03999999999996</v>
      </c>
      <c r="N69" s="1463">
        <f>Brokerage!Q38</f>
        <v>640.53000000000009</v>
      </c>
      <c r="O69" s="1463">
        <f>Brokerage!R38</f>
        <v>473</v>
      </c>
      <c r="P69" s="1463">
        <f>Brokerage!S38</f>
        <v>625.56480999999997</v>
      </c>
      <c r="Q69" s="1463">
        <f>Brokerage!T38</f>
        <v>360.91739999999999</v>
      </c>
      <c r="R69" s="1463">
        <f>Brokerage!U38</f>
        <v>288.73392000000001</v>
      </c>
      <c r="S69" s="1463">
        <f>Brokerage!V38</f>
        <v>288.73392000000001</v>
      </c>
      <c r="T69" s="1463">
        <f>Brokerage!W38</f>
        <v>346.480704</v>
      </c>
      <c r="U69" s="1463">
        <f>Brokerage!X38</f>
        <v>415.77684479999999</v>
      </c>
      <c r="V69" s="1463">
        <f>Brokerage!AB38</f>
        <v>0</v>
      </c>
      <c r="W69" s="1463"/>
    </row>
    <row r="70" spans="2:24">
      <c r="C70" s="1431" t="str">
        <f>C64</f>
        <v>Construction</v>
      </c>
      <c r="J70" s="1463">
        <f>Brokerage!M81</f>
        <v>13</v>
      </c>
      <c r="K70" s="1463">
        <f>Brokerage!N81</f>
        <v>13</v>
      </c>
      <c r="L70" s="1463">
        <f>Brokerage!O81</f>
        <v>13</v>
      </c>
      <c r="M70" s="1463">
        <f>Brokerage!P81</f>
        <v>13</v>
      </c>
      <c r="N70" s="1463">
        <f>Brokerage!Q81</f>
        <v>13</v>
      </c>
      <c r="O70" s="1463">
        <f>Brokerage!R81</f>
        <v>13</v>
      </c>
      <c r="P70" s="1463">
        <f>Brokerage!S81</f>
        <v>13</v>
      </c>
      <c r="Q70" s="1463">
        <f>Brokerage!T81</f>
        <v>13</v>
      </c>
      <c r="R70" s="1463">
        <f>Brokerage!U81</f>
        <v>13</v>
      </c>
      <c r="S70" s="1463">
        <f>Brokerage!V81</f>
        <v>13</v>
      </c>
      <c r="T70" s="1463">
        <f>Brokerage!W81</f>
        <v>13</v>
      </c>
      <c r="U70" s="1463">
        <f>Brokerage!X81</f>
        <v>13</v>
      </c>
      <c r="V70" s="1463">
        <f>Brokerage!AB81</f>
        <v>0</v>
      </c>
      <c r="W70" s="1463"/>
    </row>
    <row r="71" spans="2:24">
      <c r="C71" s="1431" t="str">
        <f>C65</f>
        <v>Others</v>
      </c>
      <c r="J71" s="1608">
        <f t="shared" ref="J71:T71" si="55">J53*$X$71</f>
        <v>7.2</v>
      </c>
      <c r="K71" s="1608">
        <f t="shared" si="55"/>
        <v>0.5</v>
      </c>
      <c r="L71" s="1608">
        <f t="shared" si="55"/>
        <v>1.8</v>
      </c>
      <c r="M71" s="1608">
        <f t="shared" si="55"/>
        <v>1.8</v>
      </c>
      <c r="N71" s="1608">
        <f t="shared" si="55"/>
        <v>1.8</v>
      </c>
      <c r="O71" s="1608">
        <f t="shared" si="55"/>
        <v>1.8</v>
      </c>
      <c r="P71" s="1608">
        <f t="shared" si="55"/>
        <v>25.481999999999999</v>
      </c>
      <c r="Q71" s="1608">
        <f t="shared" si="55"/>
        <v>20.877200000000002</v>
      </c>
      <c r="R71" s="1608">
        <f t="shared" si="55"/>
        <v>1.8</v>
      </c>
      <c r="S71" s="1608">
        <f t="shared" si="55"/>
        <v>1.8</v>
      </c>
      <c r="T71" s="1608">
        <f t="shared" si="55"/>
        <v>1.8</v>
      </c>
      <c r="U71" s="1608">
        <f>U53*$X$71</f>
        <v>1.8</v>
      </c>
      <c r="V71" s="1608">
        <f>V53*$X$71</f>
        <v>1.8</v>
      </c>
      <c r="W71" s="1608"/>
      <c r="X71" s="1443">
        <v>0.1</v>
      </c>
    </row>
    <row r="73" spans="2:24">
      <c r="B73" s="1431" t="s">
        <v>288</v>
      </c>
      <c r="C73" s="1431" t="str">
        <f>C67</f>
        <v>Total</v>
      </c>
      <c r="J73" s="1440">
        <f t="shared" ref="J73:V73" si="56">J61-J67</f>
        <v>788.35500000000002</v>
      </c>
      <c r="K73" s="1440">
        <f t="shared" si="56"/>
        <v>893.09458785920015</v>
      </c>
      <c r="L73" s="1440">
        <f t="shared" si="56"/>
        <v>1495.9507050048005</v>
      </c>
      <c r="M73" s="1440">
        <f t="shared" si="56"/>
        <v>1782.6115684000001</v>
      </c>
      <c r="N73" s="1440">
        <f t="shared" si="56"/>
        <v>804.17</v>
      </c>
      <c r="O73" s="1440">
        <f t="shared" si="56"/>
        <v>1961.5652143749996</v>
      </c>
      <c r="P73" s="1440">
        <f t="shared" si="56"/>
        <v>1734.5749550000005</v>
      </c>
      <c r="Q73" s="1440">
        <f t="shared" si="56"/>
        <v>646.61091000000033</v>
      </c>
      <c r="R73" s="1440">
        <f t="shared" si="56"/>
        <v>719.69772287500007</v>
      </c>
      <c r="S73" s="1440">
        <f t="shared" si="56"/>
        <v>1344.8433086306002</v>
      </c>
      <c r="T73" s="1440">
        <f t="shared" si="56"/>
        <v>1943.89352682044</v>
      </c>
      <c r="U73" s="1440">
        <f t="shared" si="56"/>
        <v>7832.0616243379582</v>
      </c>
      <c r="V73" s="1440">
        <f t="shared" si="56"/>
        <v>9726.2399221419982</v>
      </c>
      <c r="W73" s="1440"/>
    </row>
    <row r="74" spans="2:24">
      <c r="C74" s="1431" t="str">
        <f>C68</f>
        <v>Development</v>
      </c>
      <c r="J74" s="1440">
        <f t="shared" ref="J74:V74" si="57">J62-J68</f>
        <v>433</v>
      </c>
      <c r="K74" s="1440">
        <f t="shared" si="57"/>
        <v>42.304587859200055</v>
      </c>
      <c r="L74" s="1440">
        <f t="shared" si="57"/>
        <v>98.710705004800104</v>
      </c>
      <c r="M74" s="1440">
        <f t="shared" si="57"/>
        <v>99.031568399999941</v>
      </c>
      <c r="N74" s="1440">
        <f t="shared" si="57"/>
        <v>0</v>
      </c>
      <c r="O74" s="1440">
        <f t="shared" si="57"/>
        <v>857.25521437500004</v>
      </c>
      <c r="P74" s="1440">
        <f t="shared" si="57"/>
        <v>784.84676500000023</v>
      </c>
      <c r="Q74" s="1440">
        <f t="shared" si="57"/>
        <v>584.65051000000005</v>
      </c>
      <c r="R74" s="1440">
        <f t="shared" si="57"/>
        <v>340.21112287500011</v>
      </c>
      <c r="S74" s="1440">
        <f t="shared" si="57"/>
        <v>830.04340863060042</v>
      </c>
      <c r="T74" s="1440">
        <f t="shared" si="57"/>
        <v>1324.5215312204398</v>
      </c>
      <c r="U74" s="1440">
        <f t="shared" si="57"/>
        <v>7087.2659024579589</v>
      </c>
      <c r="V74" s="1440">
        <f t="shared" si="57"/>
        <v>8319.072582249999</v>
      </c>
      <c r="W74" s="1440"/>
    </row>
    <row r="75" spans="2:24">
      <c r="C75" s="1431" t="str">
        <f>C69</f>
        <v>Brokerage</v>
      </c>
      <c r="J75" s="1440">
        <f t="shared" ref="J75:V75" si="58">J63-J69</f>
        <v>347.70000000000005</v>
      </c>
      <c r="K75" s="1440">
        <f t="shared" si="58"/>
        <v>858.52</v>
      </c>
      <c r="L75" s="1440">
        <f t="shared" si="58"/>
        <v>1389.6</v>
      </c>
      <c r="M75" s="1440">
        <f t="shared" si="58"/>
        <v>1667.96</v>
      </c>
      <c r="N75" s="1440">
        <f t="shared" si="58"/>
        <v>799.46999999999991</v>
      </c>
      <c r="O75" s="1440">
        <f t="shared" si="58"/>
        <v>1106</v>
      </c>
      <c r="P75" s="1440">
        <f t="shared" si="58"/>
        <v>866.7111900000001</v>
      </c>
      <c r="Q75" s="1440">
        <f t="shared" si="58"/>
        <v>46.979600000000005</v>
      </c>
      <c r="R75" s="1440">
        <f t="shared" si="58"/>
        <v>384.9785599999999</v>
      </c>
      <c r="S75" s="1440">
        <f t="shared" si="58"/>
        <v>519.72105599999998</v>
      </c>
      <c r="T75" s="1440">
        <f t="shared" si="58"/>
        <v>623.66526720000002</v>
      </c>
      <c r="U75" s="1440">
        <f t="shared" si="58"/>
        <v>748.39832064000007</v>
      </c>
      <c r="V75" s="1440">
        <f t="shared" si="58"/>
        <v>1397.0101985279998</v>
      </c>
      <c r="W75" s="1440"/>
    </row>
    <row r="76" spans="2:24">
      <c r="C76" s="1431" t="str">
        <f>C70</f>
        <v>Construction</v>
      </c>
      <c r="J76" s="1440">
        <f t="shared" ref="J76:V76" si="59">J64-J70</f>
        <v>0.45499999999998408</v>
      </c>
      <c r="K76" s="1440">
        <f t="shared" si="59"/>
        <v>-8.2299999999999898</v>
      </c>
      <c r="L76" s="1440">
        <f t="shared" si="59"/>
        <v>5.8400000000000318</v>
      </c>
      <c r="M76" s="1440">
        <f t="shared" si="59"/>
        <v>13.82000000000005</v>
      </c>
      <c r="N76" s="1440">
        <f t="shared" si="59"/>
        <v>2.8999999999999773</v>
      </c>
      <c r="O76" s="1440">
        <f t="shared" si="59"/>
        <v>-3.4900000000000091</v>
      </c>
      <c r="P76" s="1440">
        <f t="shared" si="59"/>
        <v>37.789999999999964</v>
      </c>
      <c r="Q76" s="1440">
        <f t="shared" si="59"/>
        <v>2.679000000000002</v>
      </c>
      <c r="R76" s="1440">
        <f t="shared" si="59"/>
        <v>-7.2919599999999889</v>
      </c>
      <c r="S76" s="1440">
        <f t="shared" si="59"/>
        <v>-6.7211560000000077</v>
      </c>
      <c r="T76" s="1440">
        <f t="shared" si="59"/>
        <v>-6.09327159999998</v>
      </c>
      <c r="U76" s="1440">
        <f t="shared" si="59"/>
        <v>-5.4025987599999894</v>
      </c>
      <c r="V76" s="1440">
        <f t="shared" si="59"/>
        <v>8.3571413640000287</v>
      </c>
      <c r="W76" s="1440"/>
    </row>
    <row r="77" spans="2:24">
      <c r="C77" s="1431" t="str">
        <f>C71</f>
        <v>Others</v>
      </c>
      <c r="J77" s="1440">
        <f t="shared" ref="J77:V77" si="60">J65-J71</f>
        <v>7.2</v>
      </c>
      <c r="K77" s="1440">
        <f t="shared" si="60"/>
        <v>0.5</v>
      </c>
      <c r="L77" s="1440">
        <f t="shared" si="60"/>
        <v>1.8</v>
      </c>
      <c r="M77" s="1440">
        <f t="shared" si="60"/>
        <v>1.8</v>
      </c>
      <c r="N77" s="1440">
        <f t="shared" si="60"/>
        <v>1.8</v>
      </c>
      <c r="O77" s="1440">
        <f t="shared" si="60"/>
        <v>1.8</v>
      </c>
      <c r="P77" s="1440">
        <f t="shared" si="60"/>
        <v>45.227000000000004</v>
      </c>
      <c r="Q77" s="1440">
        <f t="shared" si="60"/>
        <v>12.3018</v>
      </c>
      <c r="R77" s="1440">
        <f t="shared" si="60"/>
        <v>1.8</v>
      </c>
      <c r="S77" s="1440">
        <f t="shared" si="60"/>
        <v>1.8</v>
      </c>
      <c r="T77" s="1440">
        <f t="shared" si="60"/>
        <v>1.8</v>
      </c>
      <c r="U77" s="1440">
        <f t="shared" si="60"/>
        <v>1.8</v>
      </c>
      <c r="V77" s="1440">
        <f t="shared" si="60"/>
        <v>1.8</v>
      </c>
      <c r="W77" s="1440"/>
    </row>
    <row r="79" spans="2:24">
      <c r="B79" s="1431" t="s">
        <v>197</v>
      </c>
      <c r="C79" s="1431" t="str">
        <f>C73</f>
        <v>Total</v>
      </c>
      <c r="J79" s="1436">
        <f t="shared" ref="J79:V79" si="61">J61/J49</f>
        <v>0.41956721180694057</v>
      </c>
      <c r="K79" s="1436">
        <f t="shared" si="61"/>
        <v>0.68038248106929855</v>
      </c>
      <c r="L79" s="1436">
        <f t="shared" si="61"/>
        <v>0.57864932477705577</v>
      </c>
      <c r="M79" s="1436">
        <f t="shared" si="61"/>
        <v>0.51532604093659484</v>
      </c>
      <c r="N79" s="1436">
        <f t="shared" si="61"/>
        <v>0.50800556909154193</v>
      </c>
      <c r="O79" s="1436">
        <f t="shared" si="61"/>
        <v>0.32792126479918071</v>
      </c>
      <c r="P79" s="1436">
        <f t="shared" si="61"/>
        <v>0.54251814674928045</v>
      </c>
      <c r="Q79" s="1436">
        <f t="shared" si="61"/>
        <v>0.4567897037121586</v>
      </c>
      <c r="R79" s="1436">
        <f t="shared" si="61"/>
        <v>0.48471904864159454</v>
      </c>
      <c r="S79" s="1436">
        <f t="shared" si="61"/>
        <v>0.40902793243099994</v>
      </c>
      <c r="T79" s="1436">
        <f t="shared" si="61"/>
        <v>0.43402536717135487</v>
      </c>
      <c r="U79" s="1436">
        <f t="shared" si="61"/>
        <v>0.62994540584736092</v>
      </c>
      <c r="V79" s="1436">
        <f t="shared" si="61"/>
        <v>0.68101671992407997</v>
      </c>
      <c r="W79" s="1436"/>
    </row>
    <row r="80" spans="2:24">
      <c r="C80" s="1431" t="str">
        <f>C74</f>
        <v>Development</v>
      </c>
      <c r="J80" s="1436">
        <f t="shared" ref="J80:V80" si="62">J62/J50</f>
        <v>0.30557515878616798</v>
      </c>
      <c r="K80" s="1436">
        <f t="shared" si="62"/>
        <v>0.35160209997001679</v>
      </c>
      <c r="L80" s="1436">
        <f t="shared" si="62"/>
        <v>0.35160209997001679</v>
      </c>
      <c r="M80" s="1436">
        <f t="shared" si="62"/>
        <v>0.36342361564296294</v>
      </c>
      <c r="N80" s="1436">
        <f t="shared" si="62"/>
        <v>0</v>
      </c>
      <c r="O80" s="1436">
        <f t="shared" si="62"/>
        <v>0.22462173569577354</v>
      </c>
      <c r="P80" s="1436">
        <f t="shared" si="62"/>
        <v>0.5014148837245942</v>
      </c>
      <c r="Q80" s="1436">
        <f t="shared" si="62"/>
        <v>0.44137771458320985</v>
      </c>
      <c r="R80" s="1436">
        <f t="shared" si="62"/>
        <v>0.41760303671146332</v>
      </c>
      <c r="S80" s="1436">
        <f t="shared" si="62"/>
        <v>0.36487577925108922</v>
      </c>
      <c r="T80" s="1436">
        <f t="shared" si="62"/>
        <v>0.39762949368387773</v>
      </c>
      <c r="U80" s="1436">
        <f t="shared" si="62"/>
        <v>0.6324574728980642</v>
      </c>
      <c r="V80" s="1436">
        <f t="shared" si="62"/>
        <v>0.68960417768232674</v>
      </c>
      <c r="W80" s="1436"/>
    </row>
    <row r="81" spans="2:23">
      <c r="C81" s="1431" t="str">
        <f>C75</f>
        <v>Brokerage</v>
      </c>
      <c r="J81" s="1436">
        <f t="shared" ref="J81:V81" si="63">J63/J51</f>
        <v>0.72872996300863135</v>
      </c>
      <c r="K81" s="1436">
        <f t="shared" si="63"/>
        <v>0.81126237623762376</v>
      </c>
      <c r="L81" s="1436">
        <f t="shared" si="63"/>
        <v>0.79421487603305785</v>
      </c>
      <c r="M81" s="1436">
        <f t="shared" si="63"/>
        <v>0.7068965517241379</v>
      </c>
      <c r="N81" s="1436">
        <f t="shared" si="63"/>
        <v>0.74534161490683226</v>
      </c>
      <c r="O81" s="1436">
        <f t="shared" si="63"/>
        <v>0.73441860465116282</v>
      </c>
      <c r="P81" s="1436">
        <f t="shared" si="63"/>
        <v>0.73950061225470787</v>
      </c>
      <c r="Q81" s="1436">
        <f t="shared" si="63"/>
        <v>0.67810030771583751</v>
      </c>
      <c r="R81" s="1436">
        <f t="shared" si="63"/>
        <v>0.69999999999999984</v>
      </c>
      <c r="S81" s="1436">
        <f t="shared" si="63"/>
        <v>0.7</v>
      </c>
      <c r="T81" s="1436">
        <f t="shared" si="63"/>
        <v>0.7</v>
      </c>
      <c r="U81" s="1436">
        <f t="shared" si="63"/>
        <v>0.70000000000000007</v>
      </c>
      <c r="V81" s="1436">
        <f t="shared" si="63"/>
        <v>0.7</v>
      </c>
      <c r="W81" s="1436"/>
    </row>
    <row r="82" spans="2:23">
      <c r="C82" s="1431" t="str">
        <f>C76</f>
        <v>Construction</v>
      </c>
      <c r="J82" s="1436">
        <f t="shared" ref="J82:V82" si="64">J64/J52</f>
        <v>6.4999999999999919E-2</v>
      </c>
      <c r="K82" s="1436">
        <f t="shared" si="64"/>
        <v>3.0000000000000065E-2</v>
      </c>
      <c r="L82" s="1436">
        <f t="shared" si="64"/>
        <v>3.0000000000000051E-2</v>
      </c>
      <c r="M82" s="1436">
        <f t="shared" si="64"/>
        <v>3.0000000000000054E-2</v>
      </c>
      <c r="N82" s="1436">
        <f t="shared" si="64"/>
        <v>2.9999999999999957E-2</v>
      </c>
      <c r="O82" s="1436">
        <f t="shared" si="64"/>
        <v>2.9999999999999971E-2</v>
      </c>
      <c r="P82" s="1436">
        <f t="shared" si="64"/>
        <v>0.10360316255844117</v>
      </c>
      <c r="Q82" s="1436">
        <f t="shared" si="64"/>
        <v>0.16480963693316797</v>
      </c>
      <c r="R82" s="1436">
        <f t="shared" si="64"/>
        <v>3.0000000000000058E-2</v>
      </c>
      <c r="S82" s="1436">
        <f t="shared" si="64"/>
        <v>2.9999999999999961E-2</v>
      </c>
      <c r="T82" s="1436">
        <f t="shared" si="64"/>
        <v>3.0000000000000086E-2</v>
      </c>
      <c r="U82" s="1436">
        <f t="shared" si="64"/>
        <v>3.0000000000000037E-2</v>
      </c>
      <c r="V82" s="1436">
        <f t="shared" si="64"/>
        <v>3.00000000000001E-2</v>
      </c>
      <c r="W82" s="1436"/>
    </row>
    <row r="83" spans="2:23">
      <c r="C83" s="1431" t="str">
        <f>C77</f>
        <v>Others</v>
      </c>
      <c r="J83" s="1436">
        <f t="shared" ref="J83:V83" si="65">J65/J53</f>
        <v>0.2</v>
      </c>
      <c r="K83" s="1436">
        <f t="shared" si="65"/>
        <v>0.2</v>
      </c>
      <c r="L83" s="1436">
        <f t="shared" si="65"/>
        <v>0.2</v>
      </c>
      <c r="M83" s="1436">
        <f t="shared" si="65"/>
        <v>0.2</v>
      </c>
      <c r="N83" s="1436">
        <f t="shared" si="65"/>
        <v>0.2</v>
      </c>
      <c r="O83" s="1436">
        <f t="shared" si="65"/>
        <v>0.2</v>
      </c>
      <c r="P83" s="1436">
        <f t="shared" si="65"/>
        <v>0.27748606859744135</v>
      </c>
      <c r="Q83" s="1436">
        <f t="shared" si="65"/>
        <v>0.15892456842871652</v>
      </c>
      <c r="R83" s="1436">
        <f t="shared" si="65"/>
        <v>0.2</v>
      </c>
      <c r="S83" s="1436">
        <f t="shared" si="65"/>
        <v>0.2</v>
      </c>
      <c r="T83" s="1436">
        <f t="shared" si="65"/>
        <v>0.2</v>
      </c>
      <c r="U83" s="1436">
        <f t="shared" si="65"/>
        <v>0.2</v>
      </c>
      <c r="V83" s="1436">
        <f t="shared" si="65"/>
        <v>0.2</v>
      </c>
      <c r="W83" s="1436"/>
    </row>
    <row r="85" spans="2:23">
      <c r="B85" s="1431" t="s">
        <v>1264</v>
      </c>
      <c r="C85" s="1431" t="s">
        <v>642</v>
      </c>
      <c r="J85" s="1440">
        <f t="shared" ref="J85:O85" si="66">J28</f>
        <v>127.219780118</v>
      </c>
      <c r="K85" s="1440">
        <f t="shared" si="66"/>
        <v>334.529506846</v>
      </c>
      <c r="L85" s="1440">
        <f t="shared" si="66"/>
        <v>544.36775728400005</v>
      </c>
      <c r="M85" s="1440">
        <f t="shared" si="66"/>
        <v>669.70390139999995</v>
      </c>
      <c r="N85" s="1440">
        <f t="shared" si="66"/>
        <v>321.67571608899999</v>
      </c>
      <c r="O85" s="1440">
        <f t="shared" si="66"/>
        <v>437.79597700400001</v>
      </c>
      <c r="P85" s="1440">
        <f>P28</f>
        <v>318.83747788199997</v>
      </c>
      <c r="Q85" s="1440">
        <f t="shared" ref="Q85:V85" si="67">SUM(Q86:Q87)</f>
        <v>23.526531957706496</v>
      </c>
      <c r="R85" s="1440">
        <f t="shared" si="67"/>
        <v>147.48550715489932</v>
      </c>
      <c r="S85" s="1440">
        <f>SUM(S86:S87)</f>
        <v>214.2198175645801</v>
      </c>
      <c r="T85" s="1440">
        <f t="shared" si="67"/>
        <v>256.69406345319624</v>
      </c>
      <c r="U85" s="1440">
        <f t="shared" si="67"/>
        <v>307.52474818128559</v>
      </c>
      <c r="V85" s="1440">
        <f t="shared" si="67"/>
        <v>408.26568888810255</v>
      </c>
      <c r="W85" s="1440"/>
    </row>
    <row r="86" spans="2:23">
      <c r="C86" s="1431" t="s">
        <v>654</v>
      </c>
      <c r="J86" s="1463">
        <f>Brokerage!M47</f>
        <v>127</v>
      </c>
      <c r="K86" s="1463">
        <f>Brokerage!N47</f>
        <v>335</v>
      </c>
      <c r="L86" s="1463">
        <f>Brokerage!O47</f>
        <v>544</v>
      </c>
      <c r="M86" s="1463">
        <f>Brokerage!P47</f>
        <v>670</v>
      </c>
      <c r="N86" s="1463">
        <f>Brokerage!Q47</f>
        <v>305</v>
      </c>
      <c r="O86" s="1463">
        <f>Brokerage!R47</f>
        <v>430.12905256531315</v>
      </c>
      <c r="P86" s="1463">
        <f>95%*P85</f>
        <v>302.89560398789996</v>
      </c>
      <c r="Q86" s="1463">
        <f>Brokerage!T47</f>
        <v>6.7875643689014806</v>
      </c>
      <c r="R86" s="1463">
        <f>Brokerage!U47</f>
        <v>129.90959118665407</v>
      </c>
      <c r="S86" s="1463">
        <f>Brokerage!V47</f>
        <v>195.76510579792256</v>
      </c>
      <c r="T86" s="1463">
        <f>Brokerage!W47</f>
        <v>237.31661609820586</v>
      </c>
      <c r="U86" s="1463">
        <f>Brokerage!X47</f>
        <v>287.17842845854568</v>
      </c>
      <c r="V86" s="1463">
        <f>Brokerage!Y47</f>
        <v>386.90205317922562</v>
      </c>
      <c r="W86" s="1463"/>
    </row>
    <row r="87" spans="2:23">
      <c r="C87" s="1431" t="s">
        <v>1839</v>
      </c>
      <c r="J87" s="1463">
        <f>Projects!G13</f>
        <v>0</v>
      </c>
      <c r="K87" s="1463">
        <f>Projects!H13</f>
        <v>0</v>
      </c>
      <c r="L87" s="1463">
        <f>Projects!I13</f>
        <v>0</v>
      </c>
      <c r="M87" s="1463">
        <f>Projects!J13</f>
        <v>0</v>
      </c>
      <c r="N87" s="1463">
        <f>Projects!K13</f>
        <v>0</v>
      </c>
      <c r="O87" s="1463">
        <f>Projects!L13</f>
        <v>0</v>
      </c>
      <c r="P87" s="1463">
        <f>P85-P86</f>
        <v>15.941873894100013</v>
      </c>
      <c r="Q87" s="1463">
        <f t="shared" ref="Q87:V87" si="68">P87*1.05</f>
        <v>16.738967588805014</v>
      </c>
      <c r="R87" s="1463">
        <f t="shared" si="68"/>
        <v>17.575915968245265</v>
      </c>
      <c r="S87" s="1463">
        <f t="shared" si="68"/>
        <v>18.454711766657528</v>
      </c>
      <c r="T87" s="1463">
        <f t="shared" si="68"/>
        <v>19.377447354990405</v>
      </c>
      <c r="U87" s="1463">
        <f t="shared" si="68"/>
        <v>20.346319722739928</v>
      </c>
      <c r="V87" s="1463">
        <f t="shared" si="68"/>
        <v>21.363635708876924</v>
      </c>
      <c r="W87" s="1463"/>
    </row>
  </sheetData>
  <pageMargins left="0.45" right="0.45" top="0.5" bottom="0.5" header="0.3" footer="0.3"/>
  <pageSetup paperSize="9" scale="85" orientation="portrait" r:id="rId1"/>
  <colBreaks count="1" manualBreakCount="1">
    <brk id="25" max="1048575"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P113"/>
  <sheetViews>
    <sheetView zoomScale="130" zoomScaleNormal="130" zoomScaleSheetLayoutView="70" workbookViewId="0">
      <pane xSplit="2" ySplit="4" topLeftCell="C5" activePane="bottomRight" state="frozen"/>
      <selection pane="topRight" activeCell="C1" sqref="C1"/>
      <selection pane="bottomLeft" activeCell="A5" sqref="A5"/>
      <selection pane="bottomRight" activeCell="G24" sqref="G24"/>
    </sheetView>
  </sheetViews>
  <sheetFormatPr defaultColWidth="9.140625" defaultRowHeight="12"/>
  <cols>
    <col min="1" max="1" width="5.140625" style="1444" customWidth="1"/>
    <col min="2" max="2" width="31.7109375" style="1431" bestFit="1" customWidth="1"/>
    <col min="3" max="3" width="14.85546875" style="1431" customWidth="1"/>
    <col min="4" max="4" width="20.42578125" style="1431" bestFit="1" customWidth="1"/>
    <col min="5" max="5" width="11.28515625" style="1431" bestFit="1" customWidth="1"/>
    <col min="6" max="6" width="9.42578125" style="1431" customWidth="1"/>
    <col min="7" max="7" width="10.85546875" style="1431" customWidth="1"/>
    <col min="8" max="9" width="9.42578125" style="1431" customWidth="1"/>
    <col min="10" max="10" width="12.140625" style="1431" bestFit="1" customWidth="1"/>
    <col min="11" max="13" width="9.42578125" style="1431" customWidth="1"/>
    <col min="14" max="14" width="9.140625" style="1431"/>
    <col min="15" max="15" width="21.42578125" style="1431" customWidth="1"/>
    <col min="16" max="16" width="9.140625" style="1431" customWidth="1"/>
    <col min="17" max="16384" width="9.140625" style="1431"/>
  </cols>
  <sheetData>
    <row r="1" spans="1:16" ht="21">
      <c r="A1" s="1404" t="s">
        <v>1697</v>
      </c>
    </row>
    <row r="2" spans="1:16">
      <c r="A2" s="1405" t="s">
        <v>1731</v>
      </c>
      <c r="N2" s="1463"/>
    </row>
    <row r="3" spans="1:16">
      <c r="A3" s="1405"/>
      <c r="M3" s="1463"/>
      <c r="N3" s="1463"/>
    </row>
    <row r="4" spans="1:16" s="1407" customFormat="1">
      <c r="A4" s="1406"/>
      <c r="B4" s="1407" t="s">
        <v>1701</v>
      </c>
      <c r="E4" s="1455" t="s">
        <v>1720</v>
      </c>
      <c r="F4" s="1455" t="s">
        <v>636</v>
      </c>
      <c r="G4" s="1455" t="s">
        <v>1793</v>
      </c>
      <c r="H4" s="1455" t="s">
        <v>1601</v>
      </c>
      <c r="I4" s="1455" t="s">
        <v>1781</v>
      </c>
      <c r="J4" s="1455" t="s">
        <v>26</v>
      </c>
      <c r="K4" s="1407" t="s">
        <v>197</v>
      </c>
      <c r="L4" s="1407" t="s">
        <v>1779</v>
      </c>
      <c r="M4" s="1407" t="s">
        <v>1141</v>
      </c>
      <c r="N4" s="1407" t="s">
        <v>686</v>
      </c>
      <c r="O4" s="1451" t="s">
        <v>1777</v>
      </c>
    </row>
    <row r="5" spans="1:16">
      <c r="A5" s="1444">
        <f>Projects!A36</f>
        <v>1</v>
      </c>
      <c r="B5" s="1431" t="str">
        <f>Projects!B36</f>
        <v>Opal Central Park - Thuận An 1.0ha</v>
      </c>
      <c r="E5" s="1476">
        <f>'Opal Central Park'!N8</f>
        <v>0</v>
      </c>
      <c r="F5" s="1691">
        <f>'Opal Central Park'!I5</f>
        <v>1</v>
      </c>
      <c r="G5" s="1410">
        <f t="shared" ref="G5:G18" si="0">E5*F5</f>
        <v>0</v>
      </c>
      <c r="H5" s="1463">
        <f>'Opal Central Park'!N9</f>
        <v>0</v>
      </c>
      <c r="I5" s="1436" t="e">
        <f>E5/H5</f>
        <v>#DIV/0!</v>
      </c>
      <c r="J5" s="1463">
        <f>Projects!C86</f>
        <v>0</v>
      </c>
      <c r="K5" s="1581" t="str">
        <f>Projects!C171</f>
        <v/>
      </c>
      <c r="L5" s="1581" t="str">
        <f>Projects!C137</f>
        <v/>
      </c>
      <c r="M5" s="1463">
        <f>'Opal Central Park'!N10</f>
        <v>50000</v>
      </c>
      <c r="N5" s="1463">
        <f>'Opal Central Park'!N11</f>
        <v>550000</v>
      </c>
      <c r="O5" s="1463">
        <f>'Opal Central Park'!S5</f>
        <v>0</v>
      </c>
      <c r="P5" s="1423"/>
    </row>
    <row r="6" spans="1:16">
      <c r="A6" s="1444">
        <f>Projects!A37</f>
        <v>2</v>
      </c>
      <c r="B6" s="1431" t="str">
        <f>Projects!B37</f>
        <v>St Moritz - Opal Skyview</v>
      </c>
      <c r="E6" s="1463">
        <f>'St Moritz'!N8</f>
        <v>0</v>
      </c>
      <c r="F6" s="1596">
        <f>'St Moritz'!I5</f>
        <v>1</v>
      </c>
      <c r="G6" s="1440">
        <f t="shared" si="0"/>
        <v>0</v>
      </c>
      <c r="H6" s="1463">
        <f>'St Moritz'!N9</f>
        <v>122.28239999999998</v>
      </c>
      <c r="I6" s="1436">
        <f t="shared" ref="I6:I18" si="1">E6/H6</f>
        <v>0</v>
      </c>
      <c r="J6" s="1463">
        <f>Projects!C87</f>
        <v>526.5</v>
      </c>
      <c r="K6" s="1581">
        <f>Projects!C172</f>
        <v>0.39031908831908829</v>
      </c>
      <c r="L6" s="1581">
        <f>Projects!C138</f>
        <v>0.23225527065527063</v>
      </c>
      <c r="M6" s="1463">
        <f>'St Moritz'!N10</f>
        <v>2400</v>
      </c>
      <c r="N6" s="1463">
        <f>'St Moritz'!N11</f>
        <v>18000</v>
      </c>
      <c r="O6" s="1463">
        <f>'St Moritz'!S5</f>
        <v>170</v>
      </c>
      <c r="P6" s="1423"/>
    </row>
    <row r="7" spans="1:16">
      <c r="A7" s="1444">
        <f>Projects!A38</f>
        <v>3</v>
      </c>
      <c r="B7" s="1431" t="str">
        <f>Projects!B38</f>
        <v>Opal Riverside</v>
      </c>
      <c r="E7" s="1463">
        <f>'Opal Riverside'!N8</f>
        <v>0</v>
      </c>
      <c r="F7" s="1596">
        <f>'Opal Riverside'!I5</f>
        <v>1</v>
      </c>
      <c r="G7" s="1440">
        <f t="shared" si="0"/>
        <v>0</v>
      </c>
      <c r="H7" s="1463">
        <f>'Opal Riverside'!N9</f>
        <v>181.39000581120013</v>
      </c>
      <c r="I7" s="1436">
        <f t="shared" si="1"/>
        <v>0</v>
      </c>
      <c r="J7" s="1463">
        <f>Projects!C88</f>
        <v>1071.5276800000001</v>
      </c>
      <c r="K7" s="1581">
        <f>Projects!C173</f>
        <v>0.35160209997001685</v>
      </c>
      <c r="L7" s="1581">
        <f>Projects!C139</f>
        <v>0.1692816799760134</v>
      </c>
      <c r="M7" s="1463">
        <f>'Opal Riverside'!N10</f>
        <v>20097</v>
      </c>
      <c r="N7" s="1463">
        <f>'Opal Riverside'!N11</f>
        <v>68512</v>
      </c>
      <c r="O7" s="1463">
        <f>'Opal Riverside'!S5</f>
        <v>634</v>
      </c>
      <c r="P7" s="1423"/>
    </row>
    <row r="8" spans="1:16">
      <c r="A8" s="1444">
        <f>Projects!A39</f>
        <v>4</v>
      </c>
      <c r="B8" s="1431" t="str">
        <f>Projects!B39</f>
        <v>Opal Garden</v>
      </c>
      <c r="E8" s="1463">
        <f>'Opal Garden'!N8</f>
        <v>0</v>
      </c>
      <c r="F8" s="1596">
        <f>'Opal Garden'!I5</f>
        <v>1</v>
      </c>
      <c r="G8" s="1440">
        <f t="shared" si="0"/>
        <v>0</v>
      </c>
      <c r="H8" s="1463">
        <f>'Opal Garden'!N9</f>
        <v>123.41616671999995</v>
      </c>
      <c r="I8" s="1436">
        <f t="shared" si="1"/>
        <v>0</v>
      </c>
      <c r="J8" s="1463">
        <f>Projects!C89</f>
        <v>690.48299999999995</v>
      </c>
      <c r="K8" s="1581">
        <f>Projects!C174</f>
        <v>0.36342361564296294</v>
      </c>
      <c r="L8" s="1581">
        <f>Projects!C140</f>
        <v>0.17873889251437031</v>
      </c>
      <c r="M8" s="1463">
        <f>'Opal Garden'!N10</f>
        <v>8220</v>
      </c>
      <c r="N8" s="1463">
        <f>'Opal Garden'!N11</f>
        <v>50035</v>
      </c>
      <c r="O8" s="1463">
        <f>'Opal Garden'!S5</f>
        <v>420</v>
      </c>
      <c r="P8" s="1423"/>
    </row>
    <row r="9" spans="1:16">
      <c r="A9" s="1444">
        <f>Projects!A40</f>
        <v>5</v>
      </c>
      <c r="B9" s="1431" t="str">
        <f>Projects!B40</f>
        <v>Gem Sky World Long Thanh</v>
      </c>
      <c r="E9" s="1463">
        <f>'Long Thanh 92ha'!N8</f>
        <v>3349.1516923283139</v>
      </c>
      <c r="F9" s="1596">
        <f>'Long Thanh 92ha'!I5</f>
        <v>1</v>
      </c>
      <c r="G9" s="1440">
        <f t="shared" si="0"/>
        <v>3349.1516923283139</v>
      </c>
      <c r="H9" s="1463">
        <f>'Long Thanh 92ha'!N9</f>
        <v>1774.1418060000008</v>
      </c>
      <c r="I9" s="1436">
        <f t="shared" si="1"/>
        <v>1.8877587355203287</v>
      </c>
      <c r="J9" s="1463">
        <f>Projects!C90</f>
        <v>15141.795</v>
      </c>
      <c r="K9" s="1581">
        <f>Projects!C175</f>
        <v>0.44646065790086314</v>
      </c>
      <c r="L9" s="1581">
        <f>Projects!C141</f>
        <v>0.11716852632069057</v>
      </c>
      <c r="M9" s="1463">
        <f>'Long Thanh 92ha'!N10</f>
        <v>920000</v>
      </c>
      <c r="N9" s="1463">
        <f>'Long Thanh 92ha'!N11</f>
        <v>465000</v>
      </c>
      <c r="O9" s="1463">
        <f>'Long Thanh 92ha'!S5</f>
        <v>4000</v>
      </c>
      <c r="P9" s="1423"/>
    </row>
    <row r="10" spans="1:16">
      <c r="A10" s="1444">
        <f>Projects!A41</f>
        <v>6</v>
      </c>
      <c r="B10" s="1431" t="str">
        <f>Projects!B41</f>
        <v>Opal Luxury 8.6ha Binh Duong</v>
      </c>
      <c r="E10" s="1463">
        <f>'Opal Luxury 8.6ha BD'!N8</f>
        <v>2003.8397084711557</v>
      </c>
      <c r="F10" s="1596">
        <f>'Opal Luxury 8.6ha BD'!I5</f>
        <v>1</v>
      </c>
      <c r="G10" s="1440">
        <f t="shared" si="0"/>
        <v>2003.8397084711557</v>
      </c>
      <c r="H10" s="1463">
        <f>'Opal Luxury 8.6ha BD'!N9</f>
        <v>832.63578546239989</v>
      </c>
      <c r="I10" s="1436">
        <f t="shared" si="1"/>
        <v>2.4066221311378468</v>
      </c>
      <c r="J10" s="1463">
        <f>Projects!C91</f>
        <v>6002.1924479999998</v>
      </c>
      <c r="K10" s="1581">
        <f>Projects!C176</f>
        <v>0.27340242600431863</v>
      </c>
      <c r="L10" s="1581">
        <f>Projects!C142</f>
        <v>0.13872194080345487</v>
      </c>
      <c r="M10" s="1463">
        <f>'Opal Luxury 8.6ha BD'!N10</f>
        <v>86000</v>
      </c>
      <c r="N10" s="1463">
        <f>'Opal Luxury 8.6ha BD'!N11</f>
        <v>680000</v>
      </c>
      <c r="O10" s="1463">
        <f>'Opal Luxury 8.6ha BD'!S5</f>
        <v>3400</v>
      </c>
      <c r="P10" s="1423"/>
    </row>
    <row r="11" spans="1:16">
      <c r="A11" s="1444">
        <f>Projects!A42</f>
        <v>7</v>
      </c>
      <c r="B11" s="1431" t="str">
        <f>Projects!B42</f>
        <v>Opal Cityview</v>
      </c>
      <c r="E11" s="1463">
        <f>'Opal Cityview'!N8</f>
        <v>737.46146332860508</v>
      </c>
      <c r="F11" s="1596">
        <f>'Opal Cityview'!I5</f>
        <v>1</v>
      </c>
      <c r="G11" s="1440">
        <f t="shared" si="0"/>
        <v>737.46146332860508</v>
      </c>
      <c r="H11" s="1463">
        <f>'Opal Cityview'!N9</f>
        <v>739.83326052600034</v>
      </c>
      <c r="I11" s="1436">
        <f t="shared" si="1"/>
        <v>0.99679414629762797</v>
      </c>
      <c r="J11" s="1463">
        <f>Projects!C92</f>
        <v>3380.9618700000005</v>
      </c>
      <c r="K11" s="1581">
        <f>Projects!C177</f>
        <v>0.43383907312920988</v>
      </c>
      <c r="L11" s="1581">
        <f>Projects!C143</f>
        <v>0.21882330797359753</v>
      </c>
      <c r="M11" s="1463">
        <f>'Opal Cityview'!N10</f>
        <v>9700</v>
      </c>
      <c r="N11" s="1463">
        <f>'Opal Cityview'!N11</f>
        <v>130000</v>
      </c>
      <c r="O11" s="1463">
        <f>'Opal Cityview'!S5</f>
        <v>1500</v>
      </c>
      <c r="P11" s="1423"/>
    </row>
    <row r="12" spans="1:16">
      <c r="A12" s="1444">
        <f>Projects!A43</f>
        <v>8</v>
      </c>
      <c r="B12" s="1431" t="str">
        <f>Projects!B43</f>
        <v>Park View Thuận An 5ha</v>
      </c>
      <c r="E12" s="1463">
        <f>ParkViewThuanAn5ha!N8</f>
        <v>845.8716659548345</v>
      </c>
      <c r="F12" s="1596">
        <f>ParkViewThuanAn5ha!I5</f>
        <v>1</v>
      </c>
      <c r="G12" s="1440">
        <f t="shared" si="0"/>
        <v>845.8716659548345</v>
      </c>
      <c r="H12" s="1463">
        <f>ParkViewThuanAn5ha!N9</f>
        <v>2320.7666666666664</v>
      </c>
      <c r="I12" s="1436">
        <f t="shared" si="1"/>
        <v>0.3644794102328977</v>
      </c>
      <c r="J12" s="1463">
        <f>Projects!C93</f>
        <v>8750</v>
      </c>
      <c r="K12" s="1581">
        <f>Projects!C178</f>
        <v>0.48571428571428571</v>
      </c>
      <c r="L12" s="1581">
        <f>Projects!C144</f>
        <v>0.26523047619047618</v>
      </c>
      <c r="M12" s="1463">
        <f>ParkViewThuanAn5ha!N10</f>
        <v>50000</v>
      </c>
      <c r="N12" s="1463">
        <f>ParkViewThuanAn5ha!N11</f>
        <v>500000</v>
      </c>
      <c r="O12" s="1463">
        <f>ParkViewThuanAn5ha!S5</f>
        <v>6500</v>
      </c>
      <c r="P12" s="1423"/>
    </row>
    <row r="13" spans="1:16">
      <c r="A13" s="1444">
        <f>Projects!A44</f>
        <v>9</v>
      </c>
      <c r="B13" s="1431" t="str">
        <f>Projects!B44</f>
        <v>Lux Riverview - Lux Star Quận 7</v>
      </c>
      <c r="E13" s="1463">
        <f>'Lux Riverview Q7'!N8</f>
        <v>454.12525485327836</v>
      </c>
      <c r="F13" s="1596">
        <f>'Lux Riverview Q7'!I5</f>
        <v>1</v>
      </c>
      <c r="G13" s="1440">
        <f t="shared" si="0"/>
        <v>454.12525485327836</v>
      </c>
      <c r="H13" s="1463">
        <f>'Lux Riverview Q7'!N9</f>
        <v>1012.8000000000004</v>
      </c>
      <c r="I13" s="1436">
        <f t="shared" si="1"/>
        <v>0.44838591513949266</v>
      </c>
      <c r="J13" s="1463">
        <f>Projects!C94</f>
        <v>3264.0000000000005</v>
      </c>
      <c r="K13" s="1581">
        <f>Projects!C179</f>
        <v>0.52786764705882361</v>
      </c>
      <c r="L13" s="1581">
        <f>Projects!C145</f>
        <v>0.31029411764705889</v>
      </c>
      <c r="M13" s="1463">
        <f>'Lux Riverview Q7'!N10</f>
        <v>8526</v>
      </c>
      <c r="N13" s="1463">
        <f>'Lux Riverview Q7'!N11</f>
        <v>80000</v>
      </c>
      <c r="O13" s="1463">
        <f>'Lux Riverview Q7'!S5</f>
        <v>765</v>
      </c>
      <c r="P13" s="1423"/>
    </row>
    <row r="14" spans="1:16">
      <c r="A14" s="1444">
        <f>Projects!A45</f>
        <v>10</v>
      </c>
      <c r="B14" s="1431" t="str">
        <f>Projects!B45</f>
        <v>Gem Premium Thu Duc (Opal Premium)</v>
      </c>
      <c r="E14" s="1463">
        <f>'Gem Premium'!N8</f>
        <v>16853.814742579318</v>
      </c>
      <c r="F14" s="1596">
        <f>'Gem Premium'!I5</f>
        <v>0.75</v>
      </c>
      <c r="G14" s="1440">
        <f t="shared" si="0"/>
        <v>12640.361056934489</v>
      </c>
      <c r="H14" s="1463">
        <f>'Gem Premium'!N9</f>
        <v>21398.053199999995</v>
      </c>
      <c r="I14" s="1436">
        <f t="shared" si="1"/>
        <v>0.78763308909706431</v>
      </c>
      <c r="J14" s="1463">
        <f>Projects!C95</f>
        <v>60156</v>
      </c>
      <c r="K14" s="1581">
        <f>Projects!C180</f>
        <v>0.59463671952922392</v>
      </c>
      <c r="L14" s="1581">
        <f>Projects!C146</f>
        <v>0.35570937562337912</v>
      </c>
      <c r="M14" s="1463">
        <f>'Gem Premium'!N10</f>
        <v>120000</v>
      </c>
      <c r="N14" s="1463">
        <f>'Gem Premium'!N11</f>
        <v>370000</v>
      </c>
      <c r="O14" s="1463">
        <f>'Gem Premium'!S5</f>
        <v>3800</v>
      </c>
      <c r="P14" s="1423"/>
    </row>
    <row r="15" spans="1:16">
      <c r="A15" s="1444">
        <f>Projects!A46</f>
        <v>11</v>
      </c>
      <c r="B15" s="1431" t="str">
        <f>Projects!B46</f>
        <v>Gem City Q9 (Opal City old)</v>
      </c>
      <c r="E15" s="1463">
        <f>'Opal City'!N8</f>
        <v>2560.0609542581233</v>
      </c>
      <c r="F15" s="1596">
        <f>'Opal City'!I5</f>
        <v>1</v>
      </c>
      <c r="G15" s="1440">
        <f t="shared" si="0"/>
        <v>2560.0609542581233</v>
      </c>
      <c r="H15" s="1463">
        <f>'Opal City'!N9</f>
        <v>3799.5827029979509</v>
      </c>
      <c r="I15" s="1436">
        <f t="shared" si="1"/>
        <v>0.67377424163926769</v>
      </c>
      <c r="J15" s="1463">
        <f>Projects!C96</f>
        <v>12291.37778161095</v>
      </c>
      <c r="K15" s="1581">
        <f>Projects!C181</f>
        <v>0.52640732252596634</v>
      </c>
      <c r="L15" s="1581">
        <f>Projects!C147</f>
        <v>0.30912585802077303</v>
      </c>
      <c r="M15" s="1463">
        <f>'Opal City'!N10</f>
        <v>61521</v>
      </c>
      <c r="N15" s="1463">
        <f>'Opal City'!N11</f>
        <v>240000</v>
      </c>
      <c r="O15" s="1463">
        <f>'Opal City'!S5</f>
        <v>2500</v>
      </c>
      <c r="P15" s="1423"/>
    </row>
    <row r="16" spans="1:16">
      <c r="A16" s="1444">
        <f>Projects!A47</f>
        <v>12</v>
      </c>
      <c r="B16" s="1431" t="str">
        <f>Projects!B47</f>
        <v>Park City Thuận An 10ha</v>
      </c>
      <c r="E16" s="1463">
        <f>ParkCityThuanAn10ha!N8</f>
        <v>878.92957965082985</v>
      </c>
      <c r="F16" s="1596">
        <f>ParkCityThuanAn10ha!I5</f>
        <v>1</v>
      </c>
      <c r="G16" s="1440">
        <f t="shared" si="0"/>
        <v>878.92957965082985</v>
      </c>
      <c r="H16" s="1463">
        <f>ParkCityThuanAn10ha!N9</f>
        <v>1954.75</v>
      </c>
      <c r="I16" s="1436"/>
      <c r="J16" s="1463">
        <f>Projects!C97</f>
        <v>8750</v>
      </c>
      <c r="K16" s="1581">
        <f>Projects!C182</f>
        <v>0.41925000000000001</v>
      </c>
      <c r="L16" s="1581">
        <f>Projects!C148</f>
        <v>0.22339999999999999</v>
      </c>
      <c r="M16" s="1463">
        <f>ParkCityThuanAn10ha!N10</f>
        <v>100000</v>
      </c>
      <c r="N16" s="1463">
        <f>ParkCityThuanAn10ha!N11</f>
        <v>500000</v>
      </c>
      <c r="O16" s="1463">
        <f>ParkCityThuanAn10ha!S5</f>
        <v>6500</v>
      </c>
      <c r="P16" s="1423"/>
    </row>
    <row r="17" spans="1:16">
      <c r="A17" s="1444">
        <f>Projects!A48</f>
        <v>13</v>
      </c>
      <c r="B17" s="1431" t="str">
        <f>Projects!B48</f>
        <v>Opal Skyline</v>
      </c>
      <c r="E17" s="1463">
        <f>'Opal Skyline'!N8</f>
        <v>0</v>
      </c>
      <c r="F17" s="1596">
        <f>'Opal Skyline'!I5</f>
        <v>1</v>
      </c>
      <c r="G17" s="1440">
        <f t="shared" si="0"/>
        <v>0</v>
      </c>
      <c r="H17" s="1463">
        <f>'Opal Skyline'!N9</f>
        <v>0</v>
      </c>
      <c r="I17" s="1436"/>
      <c r="J17" s="1463">
        <f>Projects!C98</f>
        <v>2411.5</v>
      </c>
      <c r="K17" s="1581">
        <f>Projects!C183</f>
        <v>0.39495343147418621</v>
      </c>
      <c r="L17" s="1581">
        <f>Projects!C149</f>
        <v>0</v>
      </c>
      <c r="M17" s="1463">
        <f>'Opal Skyline'!N10</f>
        <v>11000</v>
      </c>
      <c r="N17" s="1463">
        <f>'Opal Skyline'!N11</f>
        <v>130000</v>
      </c>
      <c r="O17" s="1463">
        <f>'Opal Skyline'!S5</f>
        <v>1506</v>
      </c>
      <c r="P17" s="1423"/>
    </row>
    <row r="18" spans="1:16">
      <c r="A18" s="1444">
        <f>Projects!A49</f>
        <v>14</v>
      </c>
      <c r="B18" s="1431" t="str">
        <f>Projects!B49</f>
        <v>Prive</v>
      </c>
      <c r="E18" s="1463">
        <f>Prive!N8</f>
        <v>15114.853936687612</v>
      </c>
      <c r="F18" s="1596">
        <f>Prive!I5</f>
        <v>1</v>
      </c>
      <c r="G18" s="1440">
        <f t="shared" si="0"/>
        <v>15114.853936687612</v>
      </c>
      <c r="H18" s="1463">
        <f>Prive!N9</f>
        <v>15294.604377599995</v>
      </c>
      <c r="I18" s="1436">
        <f t="shared" si="1"/>
        <v>0.98824746057664359</v>
      </c>
      <c r="J18" s="1463">
        <f>Projects!C99</f>
        <v>35430.147249999995</v>
      </c>
      <c r="K18" s="1581">
        <f>Projects!C184</f>
        <v>0.68960417768232674</v>
      </c>
      <c r="L18" s="1581">
        <f>Projects!C150</f>
        <v>0.43168334214586129</v>
      </c>
      <c r="M18" s="1463">
        <f>Prive!N10</f>
        <v>67143</v>
      </c>
      <c r="N18" s="1463">
        <f>Prive!N11</f>
        <v>300000</v>
      </c>
      <c r="O18" s="1463">
        <f>Prive!S5</f>
        <v>3175</v>
      </c>
      <c r="P18" s="1423"/>
    </row>
    <row r="19" spans="1:16" s="1407" customFormat="1">
      <c r="A19" s="1421"/>
      <c r="B19" s="1432" t="str">
        <f>Projects!B50</f>
        <v>Total</v>
      </c>
      <c r="C19" s="2243"/>
      <c r="D19" s="2243"/>
      <c r="E19" s="1453">
        <f>SUM(E5:E18)</f>
        <v>42798.108998112068</v>
      </c>
      <c r="F19" s="1419"/>
      <c r="G19" s="1453">
        <f>SUM(G5:G18)</f>
        <v>38584.655312467243</v>
      </c>
      <c r="H19" s="1453">
        <f>SUM(H6:H18)</f>
        <v>49554.256371784206</v>
      </c>
      <c r="I19" s="1670">
        <f>E19/H19</f>
        <v>0.86366161318245438</v>
      </c>
      <c r="J19" s="1668">
        <f>SUM(J6:J18)</f>
        <v>157866.48502961095</v>
      </c>
      <c r="K19" s="1671">
        <f>Projects!C185</f>
        <v>0.5572370748619041</v>
      </c>
      <c r="L19" s="1671">
        <f>Projects!C151</f>
        <v>0.3138997891952135</v>
      </c>
      <c r="M19" s="1453">
        <f>SUM(M6:M18)</f>
        <v>1464607</v>
      </c>
      <c r="N19" s="1453">
        <f>SUM(N6:N18)</f>
        <v>3531547</v>
      </c>
      <c r="O19" s="1453">
        <f>SUM(O6:O18)</f>
        <v>34870</v>
      </c>
    </row>
    <row r="20" spans="1:16" s="1407" customFormat="1">
      <c r="A20" s="1406"/>
      <c r="C20" s="1427"/>
      <c r="E20" s="1427"/>
      <c r="F20" s="1427"/>
      <c r="G20" s="1683"/>
      <c r="H20" s="1684"/>
      <c r="I20" s="1685"/>
      <c r="J20" s="1685"/>
      <c r="K20" s="1427"/>
      <c r="L20" s="1427"/>
      <c r="M20" s="1427"/>
    </row>
    <row r="21" spans="1:16" s="1407" customFormat="1">
      <c r="A21" s="1406"/>
      <c r="C21" s="1427" t="s">
        <v>2442</v>
      </c>
      <c r="D21" s="1407" t="s">
        <v>2443</v>
      </c>
      <c r="E21" s="1427" t="s">
        <v>1831</v>
      </c>
      <c r="F21" s="1427"/>
      <c r="G21" s="1683"/>
      <c r="H21" s="1684"/>
      <c r="I21" s="1685"/>
      <c r="J21" s="1685"/>
      <c r="K21" s="1427"/>
      <c r="L21" s="1427"/>
      <c r="M21" s="1427">
        <f>M18+M14+M13</f>
        <v>195669</v>
      </c>
    </row>
    <row r="22" spans="1:16" s="1407" customFormat="1">
      <c r="A22" s="1406"/>
      <c r="B22" s="1407" t="s">
        <v>1733</v>
      </c>
      <c r="C22" s="1427">
        <v>4314</v>
      </c>
      <c r="D22" s="1427">
        <f>J27-J24</f>
        <v>1850.6289999999999</v>
      </c>
      <c r="E22" s="1427">
        <f>C22+D22</f>
        <v>6164.6289999999999</v>
      </c>
      <c r="F22" s="1686">
        <f>Brokerage!N93</f>
        <v>0.51</v>
      </c>
      <c r="G22" s="1427">
        <f>E22*F22</f>
        <v>3143.9607900000001</v>
      </c>
      <c r="H22" s="1427"/>
      <c r="I22" s="1685"/>
      <c r="J22" s="1685"/>
      <c r="K22" s="1427"/>
      <c r="L22" s="1427"/>
      <c r="M22" s="1427"/>
    </row>
    <row r="23" spans="1:16" s="1407" customFormat="1">
      <c r="A23" s="1406"/>
      <c r="B23" s="1407" t="s">
        <v>1835</v>
      </c>
      <c r="C23" s="1684"/>
      <c r="F23" s="1686"/>
      <c r="G23" s="1427">
        <f>G19+G22</f>
        <v>41728.61610246724</v>
      </c>
      <c r="H23" s="1427"/>
      <c r="I23" s="1685"/>
      <c r="J23" s="1685"/>
      <c r="K23" s="1427"/>
      <c r="L23" s="1427"/>
      <c r="M23" s="1427"/>
    </row>
    <row r="24" spans="1:16">
      <c r="B24" s="1431" t="s">
        <v>1774</v>
      </c>
      <c r="G24" s="1423">
        <v>5107</v>
      </c>
      <c r="I24" s="1431" t="s">
        <v>2440</v>
      </c>
      <c r="J24" s="1431">
        <f>206.5+96.9</f>
        <v>303.39999999999998</v>
      </c>
      <c r="M24" s="1463"/>
    </row>
    <row r="25" spans="1:16">
      <c r="B25" s="1431" t="s">
        <v>1794</v>
      </c>
      <c r="G25" s="1423">
        <f>4225+3320</f>
        <v>7545</v>
      </c>
      <c r="M25" s="1463"/>
    </row>
    <row r="26" spans="1:16">
      <c r="B26" s="1431" t="s">
        <v>1702</v>
      </c>
      <c r="G26" s="1440">
        <f>G23+G24-G25</f>
        <v>39290.61610246724</v>
      </c>
    </row>
    <row r="27" spans="1:16">
      <c r="B27" s="1431" t="s">
        <v>497</v>
      </c>
      <c r="G27" s="1411">
        <v>0</v>
      </c>
      <c r="H27" s="1442"/>
      <c r="I27" s="1431" t="s">
        <v>2441</v>
      </c>
      <c r="J27" s="1431">
        <f>1606.355+547.674</f>
        <v>2154.029</v>
      </c>
    </row>
    <row r="28" spans="1:16">
      <c r="B28" s="1431" t="s">
        <v>1795</v>
      </c>
      <c r="G28" s="1410">
        <f>G26*(1-G27)</f>
        <v>39290.61610246724</v>
      </c>
      <c r="H28" s="1440"/>
    </row>
    <row r="29" spans="1:16">
      <c r="B29" s="1431" t="s">
        <v>1796</v>
      </c>
      <c r="G29" s="1592">
        <v>1020.631</v>
      </c>
    </row>
    <row r="30" spans="1:16">
      <c r="B30" s="1419" t="s">
        <v>1852</v>
      </c>
      <c r="C30" s="1419"/>
      <c r="D30" s="2243"/>
      <c r="E30" s="2243"/>
      <c r="F30" s="2243"/>
      <c r="G30" s="1453">
        <f>G28/G29*1000</f>
        <v>38496.396937254736</v>
      </c>
      <c r="H30" s="1698">
        <f>F50</f>
        <v>0.45</v>
      </c>
    </row>
    <row r="31" spans="1:16">
      <c r="B31" s="1407"/>
      <c r="C31" s="1407"/>
      <c r="D31" s="1407"/>
      <c r="E31" s="1407"/>
      <c r="F31" s="1407"/>
      <c r="G31" s="1589"/>
      <c r="H31" s="1407"/>
    </row>
    <row r="32" spans="1:16">
      <c r="B32" s="1431" t="s">
        <v>1850</v>
      </c>
      <c r="D32" s="1407"/>
      <c r="E32" s="1407"/>
      <c r="G32" s="1701">
        <v>1.5</v>
      </c>
      <c r="H32" s="1407"/>
    </row>
    <row r="33" spans="1:8" s="1407" customFormat="1">
      <c r="A33" s="1406"/>
      <c r="B33" s="1431" t="s">
        <v>2549</v>
      </c>
      <c r="C33" s="1431"/>
      <c r="D33" s="1431"/>
      <c r="E33" s="1431"/>
      <c r="F33" s="1431"/>
      <c r="G33" s="1463">
        <f>Equity!R42</f>
        <v>15281.34263314185</v>
      </c>
      <c r="H33" s="1431"/>
    </row>
    <row r="34" spans="1:8" s="1407" customFormat="1">
      <c r="A34" s="1406"/>
      <c r="B34" s="1407" t="s">
        <v>1851</v>
      </c>
      <c r="G34" s="1427">
        <f>G32*G33</f>
        <v>22922.013949712775</v>
      </c>
      <c r="H34" s="1698">
        <f>F51</f>
        <v>0.4</v>
      </c>
    </row>
    <row r="35" spans="1:8" s="1407" customFormat="1">
      <c r="A35" s="1406"/>
      <c r="B35" s="1407" t="s">
        <v>1888</v>
      </c>
      <c r="G35" s="1700">
        <v>12</v>
      </c>
    </row>
    <row r="36" spans="1:8">
      <c r="B36" s="1407" t="s">
        <v>2550</v>
      </c>
      <c r="C36" s="1407"/>
      <c r="D36" s="1407"/>
      <c r="E36" s="1407"/>
      <c r="F36" s="1407"/>
      <c r="G36" s="1427" t="e">
        <f ca="1">L63</f>
        <v>#NUM!</v>
      </c>
      <c r="H36" s="1407"/>
    </row>
    <row r="37" spans="1:8" s="1407" customFormat="1">
      <c r="A37" s="1406"/>
      <c r="B37" s="1407" t="s">
        <v>1889</v>
      </c>
      <c r="G37" s="1427" t="e">
        <f ca="1">G35*G36</f>
        <v>#NUM!</v>
      </c>
      <c r="H37" s="1698">
        <f>F52</f>
        <v>0.15</v>
      </c>
    </row>
    <row r="38" spans="1:8" s="1407" customFormat="1">
      <c r="A38" s="1406"/>
      <c r="G38" s="1427"/>
    </row>
    <row r="39" spans="1:8" s="1407" customFormat="1">
      <c r="A39" s="1406"/>
      <c r="B39" s="1419" t="s">
        <v>1853</v>
      </c>
      <c r="C39" s="1419"/>
      <c r="D39" s="2243"/>
      <c r="E39" s="2243"/>
      <c r="F39" s="1419"/>
      <c r="G39" s="1453" t="e">
        <f ca="1">G30*H30+G34*H34+G37*H37</f>
        <v>#NUM!</v>
      </c>
    </row>
    <row r="40" spans="1:8" s="1407" customFormat="1">
      <c r="A40" s="1406"/>
      <c r="B40" s="1431" t="s">
        <v>1838</v>
      </c>
      <c r="C40" s="1431"/>
      <c r="D40" s="1431"/>
      <c r="E40" s="1431"/>
      <c r="F40" s="1431"/>
      <c r="G40" s="1423">
        <v>18100</v>
      </c>
      <c r="H40" s="1431"/>
    </row>
    <row r="41" spans="1:8" s="1407" customFormat="1">
      <c r="A41" s="1406"/>
      <c r="B41" s="1431" t="s">
        <v>732</v>
      </c>
      <c r="C41" s="1431"/>
      <c r="D41" s="1431"/>
      <c r="E41" s="1431"/>
      <c r="F41" s="1431"/>
      <c r="G41" s="1425" t="e">
        <f ca="1">G39/G40-1</f>
        <v>#NUM!</v>
      </c>
      <c r="H41" s="1431"/>
    </row>
    <row r="42" spans="1:8" s="1407" customFormat="1">
      <c r="A42" s="1406"/>
      <c r="B42" s="1407" t="s">
        <v>2229</v>
      </c>
      <c r="C42" s="1431"/>
      <c r="D42" s="1431"/>
      <c r="E42" s="1431"/>
      <c r="F42" s="1431"/>
      <c r="G42" s="1427" t="e">
        <f ca="1">G39</f>
        <v>#NUM!</v>
      </c>
      <c r="H42" s="1431"/>
    </row>
    <row r="43" spans="1:8" s="1407" customFormat="1">
      <c r="A43" s="1406"/>
      <c r="B43" s="1407" t="s">
        <v>732</v>
      </c>
      <c r="C43" s="1431"/>
      <c r="D43" s="1431"/>
      <c r="E43" s="1431"/>
      <c r="F43" s="1431"/>
      <c r="G43" s="1589" t="e">
        <f ca="1">G42/G40-1</f>
        <v>#NUM!</v>
      </c>
      <c r="H43" s="1431"/>
    </row>
    <row r="46" spans="1:8">
      <c r="A46" s="1431"/>
    </row>
    <row r="47" spans="1:8">
      <c r="A47" s="1431"/>
    </row>
    <row r="49" spans="1:12">
      <c r="D49" s="1705" t="s">
        <v>1858</v>
      </c>
      <c r="E49" s="1706" t="s">
        <v>1859</v>
      </c>
      <c r="F49" s="1706" t="s">
        <v>1860</v>
      </c>
      <c r="G49" s="1706" t="s">
        <v>1861</v>
      </c>
    </row>
    <row r="50" spans="1:12">
      <c r="D50" s="1707" t="s">
        <v>1702</v>
      </c>
      <c r="E50" s="1708">
        <f>G30</f>
        <v>38496.396937254736</v>
      </c>
      <c r="F50" s="1709">
        <v>0.45</v>
      </c>
      <c r="G50" s="1708">
        <f>E50*F50</f>
        <v>17323.37862176463</v>
      </c>
    </row>
    <row r="51" spans="1:12">
      <c r="D51" s="1710" t="s">
        <v>2520</v>
      </c>
      <c r="E51" s="1711">
        <f>G34</f>
        <v>22922.013949712775</v>
      </c>
      <c r="F51" s="1712">
        <v>0.4</v>
      </c>
      <c r="G51" s="1711">
        <f>E51*F51</f>
        <v>9168.805579885111</v>
      </c>
    </row>
    <row r="52" spans="1:12">
      <c r="D52" s="1707" t="s">
        <v>2521</v>
      </c>
      <c r="E52" s="1708" t="e">
        <f ca="1">G37</f>
        <v>#NUM!</v>
      </c>
      <c r="F52" s="1709">
        <v>0.15</v>
      </c>
      <c r="G52" s="1708" t="e">
        <f ca="1">E52*F52</f>
        <v>#NUM!</v>
      </c>
    </row>
    <row r="53" spans="1:12">
      <c r="D53" s="1710" t="s">
        <v>1910</v>
      </c>
      <c r="E53" s="1711" t="s">
        <v>1511</v>
      </c>
      <c r="F53" s="1712"/>
      <c r="G53" s="1711" t="e">
        <f ca="1">SUM(G50:G52)</f>
        <v>#NUM!</v>
      </c>
    </row>
    <row r="54" spans="1:12">
      <c r="D54" s="1707" t="s">
        <v>497</v>
      </c>
      <c r="E54" s="1713"/>
      <c r="F54" s="1714"/>
      <c r="G54" s="1742">
        <v>0</v>
      </c>
    </row>
    <row r="55" spans="1:12">
      <c r="D55" s="1710" t="s">
        <v>1908</v>
      </c>
      <c r="E55" s="1711"/>
      <c r="F55" s="1712"/>
      <c r="G55" s="1711" t="e">
        <f ca="1">G53*(1-G54)</f>
        <v>#NUM!</v>
      </c>
    </row>
    <row r="56" spans="1:12">
      <c r="D56" s="1707" t="s">
        <v>1894</v>
      </c>
      <c r="E56" s="1713"/>
      <c r="F56" s="1713"/>
      <c r="G56" s="1709" t="e">
        <f ca="1">G55/G40-1</f>
        <v>#NUM!</v>
      </c>
    </row>
    <row r="58" spans="1:12">
      <c r="A58" s="1431"/>
      <c r="D58" s="1705" t="s">
        <v>2219</v>
      </c>
      <c r="E58" s="1706">
        <v>2017</v>
      </c>
      <c r="F58" s="1706">
        <v>2018</v>
      </c>
      <c r="G58" s="1706">
        <v>2019</v>
      </c>
      <c r="H58" s="1706">
        <v>2020</v>
      </c>
      <c r="I58" s="1706" t="s">
        <v>1924</v>
      </c>
      <c r="J58" s="1706" t="s">
        <v>1939</v>
      </c>
      <c r="K58" s="1706" t="s">
        <v>2399</v>
      </c>
      <c r="L58" s="1706" t="s">
        <v>2413</v>
      </c>
    </row>
    <row r="59" spans="1:12">
      <c r="A59" s="1431"/>
      <c r="D59" s="1707" t="s">
        <v>1855</v>
      </c>
      <c r="E59" s="1708">
        <f>'Key Chart'!H5</f>
        <v>2879.2413899469998</v>
      </c>
      <c r="F59" s="1708">
        <f>'Key Chart'!I5</f>
        <v>4645.3185625320002</v>
      </c>
      <c r="G59" s="1708">
        <f>'Key Chart'!J5</f>
        <v>5813.5777320179996</v>
      </c>
      <c r="H59" s="1708">
        <f>'Key Chart'!K5</f>
        <v>2890.653883727</v>
      </c>
      <c r="I59" s="1708">
        <f>'Key Chart'!L5</f>
        <v>10089.384737838</v>
      </c>
      <c r="J59" s="1708">
        <f>'Key Chart'!M5</f>
        <v>5511.7151521940004</v>
      </c>
      <c r="K59" s="1708">
        <f>'Key Chart'!N5</f>
        <v>0</v>
      </c>
      <c r="L59" s="1708">
        <f>'Key Chart'!O5</f>
        <v>0</v>
      </c>
    </row>
    <row r="60" spans="1:12">
      <c r="A60" s="1431"/>
      <c r="D60" s="1710" t="s">
        <v>1912</v>
      </c>
      <c r="E60" s="1740">
        <f>'Key Chart'!H17*100</f>
        <v>14.87021846183405</v>
      </c>
      <c r="F60" s="1740">
        <f>'Key Chart'!I17*100</f>
        <v>61.338280935781839</v>
      </c>
      <c r="G60" s="1740">
        <f>'Key Chart'!J17*100</f>
        <v>25.149172306693689</v>
      </c>
      <c r="H60" s="1740">
        <f>'Key Chart'!K17*100</f>
        <v>-50.277539632662638</v>
      </c>
      <c r="I60" s="1740">
        <f>'Key Chart'!L17*100</f>
        <v>249.0346870871125</v>
      </c>
      <c r="J60" s="1740">
        <f>'Key Chart'!M17*100</f>
        <v>-45.371147048010421</v>
      </c>
      <c r="K60" s="1740">
        <f>'Key Chart'!N17*100</f>
        <v>0</v>
      </c>
      <c r="L60" s="1740">
        <f>'Key Chart'!O17*100</f>
        <v>0</v>
      </c>
    </row>
    <row r="61" spans="1:12">
      <c r="A61" s="1431"/>
      <c r="D61" s="1707" t="s">
        <v>1856</v>
      </c>
      <c r="E61" s="1715">
        <f>'Key Chart'!H9</f>
        <v>750.89074550899977</v>
      </c>
      <c r="F61" s="1715">
        <f>'Key Chart'!I9</f>
        <v>1178.4269852630005</v>
      </c>
      <c r="G61" s="1715">
        <f>'Key Chart'!J9</f>
        <v>1216.5147559219997</v>
      </c>
      <c r="H61" s="1715">
        <f>'Key Chart'!K9</f>
        <v>-495.74539222399989</v>
      </c>
      <c r="I61" s="1715">
        <f>'Key Chart'!L9</f>
        <v>1157.2603283309995</v>
      </c>
      <c r="J61" s="1715">
        <f>'Key Chart'!M9</f>
        <v>214.86919022600074</v>
      </c>
      <c r="K61" s="1715">
        <f>'Key Chart'!N9</f>
        <v>0</v>
      </c>
      <c r="L61" s="1715">
        <f>'Key Chart'!O9</f>
        <v>0</v>
      </c>
    </row>
    <row r="62" spans="1:12">
      <c r="A62" s="1431"/>
      <c r="D62" s="1710" t="s">
        <v>1913</v>
      </c>
      <c r="E62" s="1740">
        <f>'Key Chart'!H21*100</f>
        <v>39.777701021684187</v>
      </c>
      <c r="F62" s="1740">
        <f>'Key Chart'!I21*100</f>
        <v>56.937209881870409</v>
      </c>
      <c r="G62" s="1740">
        <f>'Key Chart'!J21*100</f>
        <v>3.2320857495043542</v>
      </c>
      <c r="H62" s="1740">
        <f>'Key Chart'!K21*100</f>
        <v>-140.75128475102409</v>
      </c>
      <c r="I62" s="1740">
        <f>'Key Chart'!L21*100</f>
        <v>-333.43844370178186</v>
      </c>
      <c r="J62" s="1740">
        <f>'Key Chart'!M21*100</f>
        <v>-81.432942531099712</v>
      </c>
      <c r="K62" s="1740">
        <f>'Key Chart'!N21*100</f>
        <v>0</v>
      </c>
      <c r="L62" s="1740">
        <f>'Key Chart'!O21*100</f>
        <v>0</v>
      </c>
    </row>
    <row r="63" spans="1:12">
      <c r="A63" s="1431"/>
      <c r="D63" s="1707" t="s">
        <v>1857</v>
      </c>
      <c r="E63" s="1708" t="e">
        <f ca="1">Equity!K39</f>
        <v>#NUM!</v>
      </c>
      <c r="F63" s="1708" t="e">
        <f ca="1">Equity!L39</f>
        <v>#NUM!</v>
      </c>
      <c r="G63" s="1708" t="e">
        <f ca="1">Equity!M39</f>
        <v>#NUM!</v>
      </c>
      <c r="H63" s="1708">
        <f>Equity!N39</f>
        <v>-831.78757084563733</v>
      </c>
      <c r="I63" s="1708" t="e">
        <f ca="1">Equity!O39</f>
        <v>#NUM!</v>
      </c>
      <c r="J63" s="1708" t="e">
        <f ca="1">Equity!P39</f>
        <v>#NUM!</v>
      </c>
      <c r="K63" s="1708" t="e">
        <f ca="1">Equity!Q39</f>
        <v>#NUM!</v>
      </c>
      <c r="L63" s="1708" t="e">
        <f ca="1">Equity!R39</f>
        <v>#NUM!</v>
      </c>
    </row>
    <row r="64" spans="1:12">
      <c r="A64" s="1431"/>
      <c r="D64" s="1710" t="s">
        <v>1914</v>
      </c>
      <c r="E64" s="1740" t="e">
        <f ca="1">Equity!K40*100</f>
        <v>#NUM!</v>
      </c>
      <c r="F64" s="1740" t="e">
        <f ca="1">Equity!L40*100</f>
        <v>#NUM!</v>
      </c>
      <c r="G64" s="1740" t="e">
        <f ca="1">Equity!M40*100</f>
        <v>#NUM!</v>
      </c>
      <c r="H64" s="1740" t="e">
        <f ca="1">Equity!N40*100</f>
        <v>#NUM!</v>
      </c>
      <c r="I64" s="1740" t="e">
        <f ca="1">Equity!O40*100</f>
        <v>#NUM!</v>
      </c>
      <c r="J64" s="1740" t="e">
        <f ca="1">Equity!P40*100</f>
        <v>#NUM!</v>
      </c>
      <c r="K64" s="1740" t="e">
        <f ca="1">Equity!Q40*100</f>
        <v>#NUM!</v>
      </c>
      <c r="L64" s="1740" t="e">
        <f ca="1">Equity!R40*100</f>
        <v>#NUM!</v>
      </c>
    </row>
    <row r="65" spans="1:12">
      <c r="A65" s="1431"/>
      <c r="D65" s="1707" t="s">
        <v>1915</v>
      </c>
      <c r="E65" s="1741" t="e">
        <f ca="1">Equity!K48</f>
        <v>#NUM!</v>
      </c>
      <c r="F65" s="1741" t="e">
        <f ca="1">Equity!L48</f>
        <v>#NUM!</v>
      </c>
      <c r="G65" s="1741" t="e">
        <f ca="1">Equity!M48</f>
        <v>#NUM!</v>
      </c>
      <c r="H65" s="1741">
        <f>Equity!N48</f>
        <v>-21.760363624571383</v>
      </c>
      <c r="I65" s="1741" t="e">
        <f ca="1">Equity!O48</f>
        <v>#NUM!</v>
      </c>
      <c r="J65" s="1741" t="e">
        <f ca="1">Equity!P48</f>
        <v>#NUM!</v>
      </c>
      <c r="K65" s="1741" t="e">
        <f ca="1">Equity!Q48</f>
        <v>#NUM!</v>
      </c>
      <c r="L65" s="1741" t="e">
        <f ca="1">Equity!R48</f>
        <v>#NUM!</v>
      </c>
    </row>
    <row r="66" spans="1:12">
      <c r="A66" s="1431"/>
      <c r="D66" s="1710" t="s">
        <v>1916</v>
      </c>
      <c r="E66" s="1740">
        <f>Equity!K47</f>
        <v>1.8825903231437044</v>
      </c>
      <c r="F66" s="1740">
        <f>Equity!L47</f>
        <v>1.9160326131534353</v>
      </c>
      <c r="G66" s="1740">
        <f>Equity!M47</f>
        <v>1.2406743399625717</v>
      </c>
      <c r="H66" s="1740">
        <f>Equity!N47</f>
        <v>1.752889012446992</v>
      </c>
      <c r="I66" s="1740">
        <f>Equity!O47</f>
        <v>1.2301823970012864</v>
      </c>
      <c r="J66" s="1740">
        <f>Equity!P47</f>
        <v>1.1943092266580619</v>
      </c>
      <c r="K66" s="1740">
        <f>Equity!Q47</f>
        <v>1.1742405724419223</v>
      </c>
      <c r="L66" s="1740">
        <f>Equity!R47</f>
        <v>1.1844508977074504</v>
      </c>
    </row>
    <row r="67" spans="1:12">
      <c r="A67" s="1431"/>
      <c r="D67" s="1707" t="s">
        <v>1917</v>
      </c>
      <c r="E67" s="1741">
        <f>BS!K55*100</f>
        <v>9.4756019444668418</v>
      </c>
      <c r="F67" s="1741">
        <f>BS!L55*100</f>
        <v>9.8141510347703083</v>
      </c>
      <c r="G67" s="1741">
        <f>BS!M55*100</f>
        <v>7.2345323615502455</v>
      </c>
      <c r="H67" s="1741">
        <f>BS!N55*100</f>
        <v>-2.294410845036174</v>
      </c>
      <c r="I67" s="1741">
        <f>BS!O55*100</f>
        <v>4.4866485429318121</v>
      </c>
      <c r="J67" s="1741">
        <f>BS!P55*100</f>
        <v>0.73352463308196247</v>
      </c>
      <c r="K67" s="1741">
        <f>BS!Q55*100</f>
        <v>0.58193776398863373</v>
      </c>
      <c r="L67" s="1741">
        <f>BS!R55*100</f>
        <v>0.88735463125335123</v>
      </c>
    </row>
    <row r="68" spans="1:12">
      <c r="A68" s="1431"/>
      <c r="D68" s="1710" t="s">
        <v>1918</v>
      </c>
      <c r="E68" s="1740">
        <f>BS!K56*100</f>
        <v>21.211747773680109</v>
      </c>
      <c r="F68" s="1740">
        <f>BS!L56*100</f>
        <v>26.676518193006821</v>
      </c>
      <c r="G68" s="1740">
        <f>BS!M56*100</f>
        <v>20.258108366355067</v>
      </c>
      <c r="H68" s="1740">
        <f>BS!N56*100</f>
        <v>-7.5315604007723582</v>
      </c>
      <c r="I68" s="1740">
        <f>BS!O56*100</f>
        <v>15.486900992914288</v>
      </c>
      <c r="J68" s="1740">
        <f>BS!P56*100</f>
        <v>2.3840828569723911</v>
      </c>
      <c r="K68" s="1740">
        <f>BS!Q56*100</f>
        <v>1.8444918825275263</v>
      </c>
      <c r="L68" s="1740">
        <f>BS!R56*100</f>
        <v>2.4908826026207911</v>
      </c>
    </row>
    <row r="69" spans="1:12">
      <c r="D69" s="1707" t="s">
        <v>1919</v>
      </c>
      <c r="E69" s="1741">
        <f>BS!K52*100</f>
        <v>54.224227044462317</v>
      </c>
      <c r="F69" s="1741">
        <f>BS!L52*100</f>
        <v>46.14876077991628</v>
      </c>
      <c r="G69" s="1741">
        <f>BS!M52*100</f>
        <v>47.623870941330146</v>
      </c>
      <c r="H69" s="1741">
        <f>BS!N52*100</f>
        <v>65.371086642453662</v>
      </c>
      <c r="I69" s="1741">
        <f>BS!O52*100</f>
        <v>33.451759179673857</v>
      </c>
      <c r="J69" s="1741">
        <f>BS!P52*100</f>
        <v>40.975452710278439</v>
      </c>
      <c r="K69" s="1741">
        <f>BS!Q52*100</f>
        <v>37.284382706366301</v>
      </c>
      <c r="L69" s="1741">
        <f>BS!R52*100</f>
        <v>30.196101444336843</v>
      </c>
    </row>
    <row r="73" spans="1:12">
      <c r="D73" s="2161" t="s">
        <v>2401</v>
      </c>
      <c r="E73" s="2162" t="s">
        <v>1145</v>
      </c>
      <c r="F73" s="2162" t="s">
        <v>497</v>
      </c>
      <c r="G73" s="2162" t="s">
        <v>1702</v>
      </c>
      <c r="H73" s="1412"/>
      <c r="I73" s="1518"/>
    </row>
    <row r="74" spans="1:12">
      <c r="D74" s="1431" t="s">
        <v>756</v>
      </c>
      <c r="E74" s="1447"/>
      <c r="F74" s="1447"/>
      <c r="G74" s="1410">
        <v>9000</v>
      </c>
      <c r="H74" s="1412"/>
      <c r="I74" s="1518">
        <f>(1150-358)*0.8+400</f>
        <v>1033.5999999999999</v>
      </c>
    </row>
    <row r="75" spans="1:12">
      <c r="D75" s="2163" t="s">
        <v>2396</v>
      </c>
      <c r="E75" s="2164">
        <v>5000</v>
      </c>
      <c r="F75" s="2165">
        <v>0.5</v>
      </c>
      <c r="G75" s="2166">
        <f t="shared" ref="G75:G84" si="2">E75*(1-F75)</f>
        <v>2500</v>
      </c>
    </row>
    <row r="76" spans="1:12">
      <c r="D76" s="1431" t="s">
        <v>1893</v>
      </c>
      <c r="E76" s="1583">
        <v>5000</v>
      </c>
      <c r="F76" s="1448">
        <v>0.3</v>
      </c>
      <c r="G76" s="1410">
        <f t="shared" si="2"/>
        <v>3500</v>
      </c>
    </row>
    <row r="77" spans="1:12">
      <c r="D77" s="1431" t="s">
        <v>1892</v>
      </c>
      <c r="E77" s="1583">
        <f>Pipeline!K24</f>
        <v>4000</v>
      </c>
      <c r="F77" s="1448">
        <v>0.5</v>
      </c>
      <c r="G77" s="1410">
        <f t="shared" si="2"/>
        <v>2000</v>
      </c>
    </row>
    <row r="78" spans="1:12">
      <c r="D78" s="1431" t="s">
        <v>2412</v>
      </c>
      <c r="E78" s="1583">
        <v>4000</v>
      </c>
      <c r="F78" s="1448">
        <v>0.5</v>
      </c>
      <c r="G78" s="1410">
        <f t="shared" si="2"/>
        <v>2000</v>
      </c>
    </row>
    <row r="79" spans="1:12">
      <c r="D79" s="2163" t="s">
        <v>2405</v>
      </c>
      <c r="E79" s="2164">
        <v>2500</v>
      </c>
      <c r="F79" s="2165">
        <v>0.5</v>
      </c>
      <c r="G79" s="2166">
        <f t="shared" si="2"/>
        <v>1250</v>
      </c>
    </row>
    <row r="80" spans="1:12">
      <c r="D80" s="1431" t="s">
        <v>2409</v>
      </c>
      <c r="E80" s="1583">
        <v>2000</v>
      </c>
      <c r="F80" s="1448">
        <v>0.5</v>
      </c>
      <c r="G80" s="1410">
        <f t="shared" si="2"/>
        <v>1000</v>
      </c>
      <c r="H80" s="1436"/>
      <c r="I80" s="1436"/>
    </row>
    <row r="81" spans="4:9">
      <c r="D81" s="2163" t="s">
        <v>2408</v>
      </c>
      <c r="E81" s="2164">
        <v>1000</v>
      </c>
      <c r="F81" s="2165">
        <v>0.1</v>
      </c>
      <c r="G81" s="2166">
        <f t="shared" si="2"/>
        <v>900</v>
      </c>
      <c r="H81" s="1423"/>
      <c r="I81" s="1518"/>
    </row>
    <row r="82" spans="4:9">
      <c r="D82" s="2163" t="s">
        <v>2387</v>
      </c>
      <c r="E82" s="2164">
        <v>400</v>
      </c>
      <c r="F82" s="2165">
        <v>0.3</v>
      </c>
      <c r="G82" s="2166">
        <f t="shared" si="2"/>
        <v>280</v>
      </c>
    </row>
    <row r="83" spans="4:9">
      <c r="D83" s="1431" t="s">
        <v>1920</v>
      </c>
      <c r="E83" s="1583">
        <v>200</v>
      </c>
      <c r="F83" s="1448">
        <v>0</v>
      </c>
      <c r="G83" s="1410">
        <f t="shared" si="2"/>
        <v>200</v>
      </c>
    </row>
    <row r="84" spans="4:9">
      <c r="D84" s="1431" t="s">
        <v>654</v>
      </c>
      <c r="E84" s="1583">
        <v>2000</v>
      </c>
      <c r="F84" s="1448">
        <v>0</v>
      </c>
      <c r="G84" s="1410">
        <f t="shared" si="2"/>
        <v>2000</v>
      </c>
    </row>
    <row r="85" spans="4:9">
      <c r="D85" s="2163" t="s">
        <v>2403</v>
      </c>
      <c r="E85" s="2163"/>
      <c r="F85" s="2163"/>
      <c r="G85" s="2167">
        <f>SUM(G74:G84)</f>
        <v>24630</v>
      </c>
    </row>
    <row r="86" spans="4:9">
      <c r="D86" s="1431" t="s">
        <v>497</v>
      </c>
      <c r="G86" s="1443">
        <v>0.3</v>
      </c>
    </row>
    <row r="87" spans="4:9">
      <c r="D87" s="2163" t="s">
        <v>1204</v>
      </c>
      <c r="E87" s="2168"/>
      <c r="F87" s="2168"/>
      <c r="G87" s="2167">
        <f>G85*(1-G86)</f>
        <v>17241</v>
      </c>
    </row>
    <row r="88" spans="4:9">
      <c r="D88" s="1431" t="s">
        <v>2397</v>
      </c>
      <c r="E88" s="1407"/>
      <c r="F88" s="1407"/>
      <c r="G88" s="1440">
        <f>G87/G29*1000</f>
        <v>16892.491017811531</v>
      </c>
    </row>
    <row r="89" spans="4:9">
      <c r="D89" s="2163" t="s">
        <v>2402</v>
      </c>
      <c r="E89" s="2163"/>
      <c r="F89" s="2163"/>
      <c r="G89" s="2169">
        <f>G40</f>
        <v>18100</v>
      </c>
    </row>
    <row r="90" spans="4:9">
      <c r="D90" s="1431" t="s">
        <v>732</v>
      </c>
      <c r="G90" s="1433">
        <f>G88/G40-1</f>
        <v>-6.6713203435826984E-2</v>
      </c>
    </row>
    <row r="103" spans="4:13" ht="23.25">
      <c r="D103" s="1766" t="s">
        <v>1941</v>
      </c>
      <c r="E103" s="1767">
        <f>G40*G29/1000</f>
        <v>18473.4211</v>
      </c>
      <c r="F103" s="1431">
        <v>23.245999999999999</v>
      </c>
      <c r="G103" s="1935"/>
      <c r="H103" s="1936" t="s">
        <v>764</v>
      </c>
      <c r="I103" s="1937">
        <v>2017</v>
      </c>
      <c r="J103" s="1937">
        <v>2018</v>
      </c>
      <c r="K103" s="1937">
        <v>2019</v>
      </c>
      <c r="L103" s="1937" t="s">
        <v>1849</v>
      </c>
      <c r="M103" s="1937" t="s">
        <v>1924</v>
      </c>
    </row>
    <row r="104" spans="4:13" ht="12.75">
      <c r="D104" s="1768" t="s">
        <v>1942</v>
      </c>
      <c r="E104" s="1769">
        <f>G25</f>
        <v>7545</v>
      </c>
      <c r="G104" s="1938" t="s">
        <v>2220</v>
      </c>
      <c r="H104" s="1939" t="s">
        <v>2221</v>
      </c>
      <c r="I104" s="1940">
        <f>E59/$F$103</f>
        <v>123.85964853940463</v>
      </c>
      <c r="J104" s="1940">
        <f>F59/$F$103</f>
        <v>199.83302772657663</v>
      </c>
      <c r="K104" s="1940">
        <f>G59/$F$103</f>
        <v>250.08938019521636</v>
      </c>
      <c r="L104" s="1940">
        <f>H59/$F$103</f>
        <v>124.35059295048612</v>
      </c>
      <c r="M104" s="1940">
        <f>I59/$F$103</f>
        <v>434.0267029956982</v>
      </c>
    </row>
    <row r="105" spans="4:13" ht="25.5">
      <c r="D105" s="1768" t="s">
        <v>1943</v>
      </c>
      <c r="E105" s="1773">
        <f>G24</f>
        <v>5107</v>
      </c>
      <c r="G105" s="1941" t="s">
        <v>2222</v>
      </c>
      <c r="H105" s="1942" t="s">
        <v>780</v>
      </c>
      <c r="I105" s="1946">
        <f>E60</f>
        <v>14.87021846183405</v>
      </c>
      <c r="J105" s="1946">
        <f>F60</f>
        <v>61.338280935781839</v>
      </c>
      <c r="K105" s="1946">
        <f>G60</f>
        <v>25.149172306693689</v>
      </c>
      <c r="L105" s="1946">
        <f>H60</f>
        <v>-50.277539632662638</v>
      </c>
      <c r="M105" s="1946">
        <f>I60</f>
        <v>249.0346870871125</v>
      </c>
    </row>
    <row r="106" spans="4:13" ht="12.75">
      <c r="D106" s="1768" t="s">
        <v>1944</v>
      </c>
      <c r="E106" s="1769">
        <v>1830</v>
      </c>
      <c r="G106" s="1938" t="s">
        <v>661</v>
      </c>
      <c r="H106" s="1939" t="s">
        <v>2221</v>
      </c>
      <c r="I106" s="1947">
        <f>E61/$F$103</f>
        <v>32.301933472812522</v>
      </c>
      <c r="J106" s="1947">
        <f>F61/$F$103</f>
        <v>50.693753130129934</v>
      </c>
      <c r="K106" s="1947">
        <f>G61/$F$103</f>
        <v>52.332218700937787</v>
      </c>
      <c r="L106" s="1947">
        <f>H61/$F$103</f>
        <v>-21.326051459347841</v>
      </c>
      <c r="M106" s="1947">
        <f>I61/$F$103</f>
        <v>49.783202629742732</v>
      </c>
    </row>
    <row r="107" spans="4:13" ht="25.5">
      <c r="D107" s="1768" t="s">
        <v>1945</v>
      </c>
      <c r="E107" s="1770">
        <f>E103+E104-E105+E106</f>
        <v>22741.4211</v>
      </c>
      <c r="G107" s="1941" t="s">
        <v>2223</v>
      </c>
      <c r="H107" s="1942" t="s">
        <v>780</v>
      </c>
      <c r="I107" s="1946">
        <f t="shared" ref="I107:M111" si="3">E62</f>
        <v>39.777701021684187</v>
      </c>
      <c r="J107" s="1946">
        <f t="shared" si="3"/>
        <v>56.937209881870409</v>
      </c>
      <c r="K107" s="1946">
        <f t="shared" si="3"/>
        <v>3.2320857495043542</v>
      </c>
      <c r="L107" s="1946">
        <f t="shared" si="3"/>
        <v>-140.75128475102409</v>
      </c>
      <c r="M107" s="1946">
        <f t="shared" si="3"/>
        <v>-333.43844370178186</v>
      </c>
    </row>
    <row r="108" spans="4:13" ht="12.75">
      <c r="D108" s="1768" t="s">
        <v>1946</v>
      </c>
      <c r="E108" s="1771">
        <v>0.03</v>
      </c>
      <c r="G108" s="1944" t="s">
        <v>2224</v>
      </c>
      <c r="H108" s="1939" t="s">
        <v>578</v>
      </c>
      <c r="I108" s="1940" t="e">
        <f t="shared" ca="1" si="3"/>
        <v>#NUM!</v>
      </c>
      <c r="J108" s="1940" t="e">
        <f t="shared" ca="1" si="3"/>
        <v>#NUM!</v>
      </c>
      <c r="K108" s="1940" t="e">
        <f t="shared" ca="1" si="3"/>
        <v>#NUM!</v>
      </c>
      <c r="L108" s="1940">
        <f t="shared" si="3"/>
        <v>-831.78757084563733</v>
      </c>
      <c r="M108" s="1940" t="e">
        <f t="shared" ca="1" si="3"/>
        <v>#NUM!</v>
      </c>
    </row>
    <row r="109" spans="4:13" ht="25.5">
      <c r="D109" s="1768" t="s">
        <v>1947</v>
      </c>
      <c r="E109" s="1774">
        <f>E103/23.2</f>
        <v>796.26815086206898</v>
      </c>
      <c r="G109" s="1945" t="s">
        <v>2225</v>
      </c>
      <c r="H109" s="1942" t="s">
        <v>780</v>
      </c>
      <c r="I109" s="1946" t="e">
        <f t="shared" ca="1" si="3"/>
        <v>#NUM!</v>
      </c>
      <c r="J109" s="1946" t="e">
        <f t="shared" ca="1" si="3"/>
        <v>#NUM!</v>
      </c>
      <c r="K109" s="1946" t="e">
        <f t="shared" ca="1" si="3"/>
        <v>#NUM!</v>
      </c>
      <c r="L109" s="1946" t="e">
        <f t="shared" ca="1" si="3"/>
        <v>#NUM!</v>
      </c>
      <c r="M109" s="1946" t="e">
        <f t="shared" ca="1" si="3"/>
        <v>#NUM!</v>
      </c>
    </row>
    <row r="110" spans="4:13" ht="12.75">
      <c r="D110" s="1768" t="s">
        <v>1948</v>
      </c>
      <c r="E110" s="1772">
        <v>1</v>
      </c>
      <c r="G110" s="1944" t="s">
        <v>2226</v>
      </c>
      <c r="H110" s="1939" t="s">
        <v>1603</v>
      </c>
      <c r="I110" s="1948" t="e">
        <f t="shared" ca="1" si="3"/>
        <v>#NUM!</v>
      </c>
      <c r="J110" s="1948" t="e">
        <f t="shared" ca="1" si="3"/>
        <v>#NUM!</v>
      </c>
      <c r="K110" s="1948" t="e">
        <f t="shared" ca="1" si="3"/>
        <v>#NUM!</v>
      </c>
      <c r="L110" s="1948">
        <f t="shared" si="3"/>
        <v>-21.760363624571383</v>
      </c>
      <c r="M110" s="1948" t="e">
        <f t="shared" ca="1" si="3"/>
        <v>#NUM!</v>
      </c>
    </row>
    <row r="111" spans="4:13" ht="12.75">
      <c r="G111" s="1945" t="s">
        <v>2227</v>
      </c>
      <c r="H111" s="1942" t="s">
        <v>1603</v>
      </c>
      <c r="I111" s="1946">
        <f t="shared" si="3"/>
        <v>1.8825903231437044</v>
      </c>
      <c r="J111" s="1946">
        <f t="shared" si="3"/>
        <v>1.9160326131534353</v>
      </c>
      <c r="K111" s="1946">
        <f t="shared" si="3"/>
        <v>1.2406743399625717</v>
      </c>
      <c r="L111" s="1946">
        <f t="shared" si="3"/>
        <v>1.752889012446992</v>
      </c>
      <c r="M111" s="1946">
        <f t="shared" si="3"/>
        <v>1.2301823970012864</v>
      </c>
    </row>
    <row r="112" spans="4:13" ht="12.75">
      <c r="G112" s="1944" t="s">
        <v>206</v>
      </c>
      <c r="H112" s="1939" t="s">
        <v>780</v>
      </c>
      <c r="I112" s="1948">
        <f>E68</f>
        <v>21.211747773680109</v>
      </c>
      <c r="J112" s="1948">
        <f>F68</f>
        <v>26.676518193006821</v>
      </c>
      <c r="K112" s="1948">
        <f>G68</f>
        <v>20.258108366355067</v>
      </c>
      <c r="L112" s="1948">
        <f>H68</f>
        <v>-7.5315604007723582</v>
      </c>
      <c r="M112" s="1948">
        <f>I68</f>
        <v>15.486900992914288</v>
      </c>
    </row>
    <row r="113" spans="7:13" ht="12.75">
      <c r="G113" s="1945" t="s">
        <v>2228</v>
      </c>
      <c r="H113" s="1942" t="s">
        <v>780</v>
      </c>
      <c r="I113" s="1943">
        <v>0</v>
      </c>
      <c r="J113" s="1943">
        <v>0</v>
      </c>
      <c r="K113" s="1943">
        <v>0</v>
      </c>
      <c r="L113" s="1943">
        <v>0</v>
      </c>
      <c r="M113" s="1943">
        <v>0</v>
      </c>
    </row>
  </sheetData>
  <pageMargins left="0.45" right="0.45" top="0.5" bottom="0.25" header="0.3" footer="0.3"/>
  <pageSetup paperSize="9" scale="80" orientation="portrait" r:id="rId1"/>
  <colBreaks count="1" manualBreakCount="1">
    <brk id="6" max="43" man="1"/>
  </colBreaks>
  <ignoredErrors>
    <ignoredError sqref="I105:M105 L106:M106" formula="1"/>
  </ignoredError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1:R101"/>
  <sheetViews>
    <sheetView zoomScale="70" zoomScaleNormal="70" workbookViewId="0"/>
  </sheetViews>
  <sheetFormatPr defaultColWidth="9.140625" defaultRowHeight="12"/>
  <cols>
    <col min="1" max="1" width="3.140625" style="1431" customWidth="1"/>
    <col min="2" max="2" width="15.140625" style="1431" customWidth="1"/>
    <col min="3" max="4" width="9.7109375" style="1431" customWidth="1"/>
    <col min="5" max="16384" width="9.140625" style="1431"/>
  </cols>
  <sheetData>
    <row r="1" spans="2:18" ht="21">
      <c r="B1" s="1404" t="s">
        <v>1844</v>
      </c>
      <c r="C1" s="1404"/>
    </row>
    <row r="2" spans="2:18">
      <c r="B2" s="1405" t="s">
        <v>1731</v>
      </c>
      <c r="C2" s="1405"/>
      <c r="R2" s="1463"/>
    </row>
    <row r="4" spans="2:18">
      <c r="C4" s="1431">
        <v>2012</v>
      </c>
      <c r="D4" s="1442">
        <v>2013</v>
      </c>
      <c r="E4" s="1442">
        <v>2014</v>
      </c>
      <c r="F4" s="1442">
        <v>2015</v>
      </c>
      <c r="G4" s="1442">
        <v>2016</v>
      </c>
      <c r="H4" s="1442">
        <v>2017</v>
      </c>
      <c r="I4" s="1442">
        <v>2018</v>
      </c>
      <c r="J4" s="1442">
        <v>2019</v>
      </c>
      <c r="K4" s="1442">
        <v>2020</v>
      </c>
      <c r="L4" s="1442" t="s">
        <v>1924</v>
      </c>
      <c r="M4" s="1442" t="s">
        <v>1939</v>
      </c>
      <c r="N4" s="1463"/>
      <c r="O4" s="1463"/>
      <c r="P4" s="1463"/>
    </row>
    <row r="5" spans="2:18">
      <c r="B5" s="1431" t="s">
        <v>26</v>
      </c>
      <c r="C5" s="1463">
        <f>IS!F7</f>
        <v>404</v>
      </c>
      <c r="D5" s="1463">
        <f>IS!G7</f>
        <v>343</v>
      </c>
      <c r="E5" s="1463">
        <f>IS!H7</f>
        <v>506</v>
      </c>
      <c r="F5" s="1463">
        <f>IS!I7</f>
        <v>1395</v>
      </c>
      <c r="G5" s="1463">
        <f>IS!J7</f>
        <v>2506.5168574600002</v>
      </c>
      <c r="H5" s="1463">
        <f>IS!K7</f>
        <v>2879.2413899469998</v>
      </c>
      <c r="I5" s="1463">
        <f>IS!L7</f>
        <v>4645.3185625320002</v>
      </c>
      <c r="J5" s="1463">
        <f>IS!M7</f>
        <v>5813.5777320179996</v>
      </c>
      <c r="K5" s="1463">
        <f>IS!N7</f>
        <v>2890.653883727</v>
      </c>
      <c r="L5" s="1463">
        <f>IS!O7</f>
        <v>10089.384737838</v>
      </c>
      <c r="M5" s="1463">
        <f>IS!P7</f>
        <v>5511.7151521940004</v>
      </c>
    </row>
    <row r="6" spans="2:18">
      <c r="B6" s="1431" t="s">
        <v>28</v>
      </c>
      <c r="C6" s="1519">
        <f>IS!F9</f>
        <v>193</v>
      </c>
      <c r="D6" s="1519">
        <f>IS!G9</f>
        <v>206</v>
      </c>
      <c r="E6" s="1519">
        <f>IS!H9</f>
        <v>302</v>
      </c>
      <c r="F6" s="1519">
        <f>IS!I9</f>
        <v>660</v>
      </c>
      <c r="G6" s="1519">
        <f>IS!J9</f>
        <v>1051.6372654250001</v>
      </c>
      <c r="H6" s="1519">
        <f>IS!K9</f>
        <v>1729.8013688239998</v>
      </c>
      <c r="I6" s="1519">
        <f>IS!L9</f>
        <v>2614.7741839420005</v>
      </c>
      <c r="J6" s="1519">
        <f>IS!M9</f>
        <v>3083.6022234209995</v>
      </c>
      <c r="K6" s="1519">
        <f>IS!N9</f>
        <v>1874.6056686040001</v>
      </c>
      <c r="L6" s="1519">
        <f>IS!O9</f>
        <v>5597.7928274019996</v>
      </c>
      <c r="M6" s="1519">
        <f>IS!P9</f>
        <v>2970.0279912910005</v>
      </c>
    </row>
    <row r="7" spans="2:18">
      <c r="B7" s="1431" t="s">
        <v>288</v>
      </c>
      <c r="C7" s="1519">
        <f>IS!F15</f>
        <v>70</v>
      </c>
      <c r="D7" s="1519">
        <f>IS!G15</f>
        <v>62</v>
      </c>
      <c r="E7" s="1519">
        <f>IS!H15</f>
        <v>165</v>
      </c>
      <c r="F7" s="1519">
        <f>IS!I15</f>
        <v>390</v>
      </c>
      <c r="G7" s="1519">
        <f>IS!J15</f>
        <v>643.0852960210002</v>
      </c>
      <c r="H7" s="1519">
        <f>IS!K15</f>
        <v>1186.2780377329998</v>
      </c>
      <c r="I7" s="1519">
        <f>IS!L15</f>
        <v>1835.0417522670004</v>
      </c>
      <c r="J7" s="1519">
        <f>IS!M15</f>
        <v>2099.0118971909997</v>
      </c>
      <c r="K7" s="1519">
        <f>IS!N15</f>
        <v>792.02376018700011</v>
      </c>
      <c r="L7" s="1519">
        <f>IS!O15</f>
        <v>2712.6774436439996</v>
      </c>
      <c r="M7" s="1519">
        <f>IS!P15</f>
        <v>830.22306923900078</v>
      </c>
    </row>
    <row r="8" spans="2:18">
      <c r="B8" s="1431" t="s">
        <v>661</v>
      </c>
      <c r="C8" s="1519">
        <f>IS!F26</f>
        <v>58</v>
      </c>
      <c r="D8" s="1519">
        <f>IS!G26</f>
        <v>90</v>
      </c>
      <c r="E8" s="1519">
        <f>IS!H26</f>
        <v>214</v>
      </c>
      <c r="F8" s="1519">
        <f>IS!I26</f>
        <v>446</v>
      </c>
      <c r="G8" s="1519">
        <f>IS!J26</f>
        <v>664.42331116800028</v>
      </c>
      <c r="H8" s="1519">
        <f>IS!K26</f>
        <v>1085.4202523549998</v>
      </c>
      <c r="I8" s="1519">
        <f>IS!L26</f>
        <v>1722.7947425470006</v>
      </c>
      <c r="J8" s="1519">
        <f>IS!M26</f>
        <v>1886.2186573219997</v>
      </c>
      <c r="K8" s="1519">
        <f>IS!N26</f>
        <v>-174.0696761349999</v>
      </c>
      <c r="L8" s="1519">
        <f>IS!O26</f>
        <v>1595.0563053349995</v>
      </c>
      <c r="M8" s="1519">
        <f>IS!P26</f>
        <v>533.70666810800071</v>
      </c>
    </row>
    <row r="9" spans="2:18">
      <c r="B9" s="1431" t="s">
        <v>1619</v>
      </c>
      <c r="C9" s="1463">
        <f>IS!F29</f>
        <v>57</v>
      </c>
      <c r="D9" s="1463">
        <f>IS!G29</f>
        <v>83</v>
      </c>
      <c r="E9" s="1463">
        <f>IS!H29</f>
        <v>169</v>
      </c>
      <c r="F9" s="1463">
        <f>IS!I29</f>
        <v>337</v>
      </c>
      <c r="G9" s="1463">
        <f>IS!J29</f>
        <v>537.20353105000027</v>
      </c>
      <c r="H9" s="1463">
        <f>IS!K29</f>
        <v>750.89074550899977</v>
      </c>
      <c r="I9" s="1463">
        <f>IS!L29</f>
        <v>1178.4269852630005</v>
      </c>
      <c r="J9" s="1463">
        <f>IS!M29</f>
        <v>1216.5147559219997</v>
      </c>
      <c r="K9" s="1463">
        <f>IS!N29</f>
        <v>-495.74539222399989</v>
      </c>
      <c r="L9" s="1463">
        <f>IS!O29</f>
        <v>1157.2603283309995</v>
      </c>
      <c r="M9" s="1463">
        <f>IS!P29</f>
        <v>214.86919022600074</v>
      </c>
    </row>
    <row r="10" spans="2:18">
      <c r="C10" s="1463"/>
      <c r="D10" s="1463"/>
      <c r="E10" s="1463"/>
      <c r="F10" s="1463"/>
      <c r="G10" s="1463"/>
      <c r="H10" s="1463"/>
      <c r="I10" s="1463"/>
      <c r="J10" s="1463"/>
      <c r="K10" s="1463"/>
      <c r="L10" s="1463"/>
      <c r="M10" s="1463"/>
    </row>
    <row r="11" spans="2:18">
      <c r="B11" s="1431" t="s">
        <v>197</v>
      </c>
      <c r="C11" s="1436">
        <f>C6/C$5</f>
        <v>0.4777227722772277</v>
      </c>
      <c r="D11" s="1436">
        <f t="shared" ref="D11:J11" si="0">D6/D$5</f>
        <v>0.6005830903790087</v>
      </c>
      <c r="E11" s="1436">
        <f t="shared" si="0"/>
        <v>0.59683794466403162</v>
      </c>
      <c r="F11" s="1436">
        <f t="shared" si="0"/>
        <v>0.4731182795698925</v>
      </c>
      <c r="G11" s="1436">
        <f t="shared" si="0"/>
        <v>0.41956121790885759</v>
      </c>
      <c r="H11" s="1436">
        <f t="shared" si="0"/>
        <v>0.6007837254853583</v>
      </c>
      <c r="I11" s="1436">
        <f t="shared" si="0"/>
        <v>0.56288371803650405</v>
      </c>
      <c r="J11" s="1436">
        <f t="shared" si="0"/>
        <v>0.5304138631256633</v>
      </c>
      <c r="K11" s="1436">
        <f t="shared" ref="K11:M14" si="1">K6/K$5</f>
        <v>0.64850575129631893</v>
      </c>
      <c r="L11" s="1436">
        <f t="shared" si="1"/>
        <v>0.55482003837248062</v>
      </c>
      <c r="M11" s="1436">
        <f t="shared" si="1"/>
        <v>0.53885730834779211</v>
      </c>
    </row>
    <row r="12" spans="2:18">
      <c r="B12" s="1431" t="s">
        <v>452</v>
      </c>
      <c r="C12" s="1436">
        <f t="shared" ref="C12:J12" si="2">C7/C$5</f>
        <v>0.17326732673267325</v>
      </c>
      <c r="D12" s="1436">
        <f t="shared" si="2"/>
        <v>0.18075801749271136</v>
      </c>
      <c r="E12" s="1436">
        <f t="shared" si="2"/>
        <v>0.32608695652173914</v>
      </c>
      <c r="F12" s="1436">
        <f t="shared" si="2"/>
        <v>0.27956989247311825</v>
      </c>
      <c r="G12" s="1436">
        <f t="shared" si="2"/>
        <v>0.25656531856429488</v>
      </c>
      <c r="H12" s="1436">
        <f t="shared" si="2"/>
        <v>0.41201062261571492</v>
      </c>
      <c r="I12" s="1436">
        <f t="shared" si="2"/>
        <v>0.39503033593174791</v>
      </c>
      <c r="J12" s="1436">
        <f t="shared" si="2"/>
        <v>0.36105338123042419</v>
      </c>
      <c r="K12" s="1436">
        <f t="shared" si="1"/>
        <v>0.27399467111774101</v>
      </c>
      <c r="L12" s="1436">
        <f t="shared" si="1"/>
        <v>0.26886450602589318</v>
      </c>
      <c r="M12" s="1436">
        <f t="shared" si="1"/>
        <v>0.15062880542883664</v>
      </c>
    </row>
    <row r="13" spans="2:18">
      <c r="B13" s="1431" t="s">
        <v>1842</v>
      </c>
      <c r="C13" s="1436">
        <f t="shared" ref="C13:J13" si="3">C8/C$5</f>
        <v>0.14356435643564355</v>
      </c>
      <c r="D13" s="1436">
        <f t="shared" si="3"/>
        <v>0.26239067055393583</v>
      </c>
      <c r="E13" s="1436">
        <f t="shared" si="3"/>
        <v>0.42292490118577075</v>
      </c>
      <c r="F13" s="1436">
        <f t="shared" si="3"/>
        <v>0.31971326164874553</v>
      </c>
      <c r="G13" s="1436">
        <f t="shared" si="3"/>
        <v>0.2650783333814476</v>
      </c>
      <c r="H13" s="1436">
        <f t="shared" si="3"/>
        <v>0.37698133131344708</v>
      </c>
      <c r="I13" s="1436">
        <f t="shared" si="3"/>
        <v>0.37086686722470236</v>
      </c>
      <c r="J13" s="1436">
        <f t="shared" si="3"/>
        <v>0.32445057833040419</v>
      </c>
      <c r="K13" s="1436">
        <f t="shared" si="1"/>
        <v>-6.0218097059260185E-2</v>
      </c>
      <c r="L13" s="1436">
        <f t="shared" si="1"/>
        <v>0.15809252464653217</v>
      </c>
      <c r="M13" s="1436">
        <f t="shared" si="1"/>
        <v>9.683132262296841E-2</v>
      </c>
    </row>
    <row r="14" spans="2:18">
      <c r="B14" s="1431" t="s">
        <v>1797</v>
      </c>
      <c r="C14" s="1436">
        <f t="shared" ref="C14:J14" si="4">C9/C$5</f>
        <v>0.14108910891089108</v>
      </c>
      <c r="D14" s="1436">
        <f t="shared" si="4"/>
        <v>0.24198250728862974</v>
      </c>
      <c r="E14" s="1436">
        <f t="shared" si="4"/>
        <v>0.33399209486166009</v>
      </c>
      <c r="F14" s="1436">
        <f t="shared" si="4"/>
        <v>0.24157706093189965</v>
      </c>
      <c r="G14" s="1436">
        <f t="shared" si="4"/>
        <v>0.21432272815207792</v>
      </c>
      <c r="H14" s="1436">
        <f t="shared" si="4"/>
        <v>0.26079464824685017</v>
      </c>
      <c r="I14" s="1436">
        <f t="shared" si="4"/>
        <v>0.25368055374455983</v>
      </c>
      <c r="J14" s="1436">
        <f t="shared" si="4"/>
        <v>0.20925406212805983</v>
      </c>
      <c r="K14" s="1436">
        <f t="shared" si="1"/>
        <v>-0.17149939500360439</v>
      </c>
      <c r="L14" s="1436">
        <f t="shared" si="1"/>
        <v>0.11470078289223637</v>
      </c>
      <c r="M14" s="1436">
        <f t="shared" si="1"/>
        <v>3.8984088308785268E-2</v>
      </c>
    </row>
    <row r="15" spans="2:18">
      <c r="C15" s="1436"/>
      <c r="D15" s="1436"/>
      <c r="E15" s="1436"/>
      <c r="F15" s="1436"/>
      <c r="G15" s="1436"/>
      <c r="H15" s="1436"/>
      <c r="I15" s="1436"/>
      <c r="J15" s="1436"/>
      <c r="K15" s="1436"/>
      <c r="L15" s="1436"/>
      <c r="M15" s="1436"/>
    </row>
    <row r="16" spans="2:18">
      <c r="B16" s="1431" t="s">
        <v>643</v>
      </c>
      <c r="C16" s="1436"/>
      <c r="D16" s="1436"/>
      <c r="E16" s="1436"/>
      <c r="F16" s="1436"/>
      <c r="G16" s="1436"/>
      <c r="H16" s="1436"/>
      <c r="I16" s="1436"/>
      <c r="J16" s="1436"/>
      <c r="K16" s="1436"/>
      <c r="L16" s="1436"/>
      <c r="M16" s="1436"/>
    </row>
    <row r="17" spans="2:13">
      <c r="B17" s="1431" t="str">
        <f>B5</f>
        <v>Revenue</v>
      </c>
      <c r="C17" s="1436"/>
      <c r="D17" s="1436">
        <f>D5/C5-1</f>
        <v>-0.15099009900990101</v>
      </c>
      <c r="E17" s="1436">
        <f t="shared" ref="E17:M17" si="5">E5/D5-1</f>
        <v>0.47521865889212833</v>
      </c>
      <c r="F17" s="1436">
        <f t="shared" si="5"/>
        <v>1.7569169960474307</v>
      </c>
      <c r="G17" s="1436">
        <f t="shared" si="5"/>
        <v>0.79678627774910415</v>
      </c>
      <c r="H17" s="1436">
        <f t="shared" si="5"/>
        <v>0.1487021846183405</v>
      </c>
      <c r="I17" s="1436">
        <f t="shared" si="5"/>
        <v>0.61338280935781841</v>
      </c>
      <c r="J17" s="1436">
        <f t="shared" si="5"/>
        <v>0.2514917230669369</v>
      </c>
      <c r="K17" s="1436">
        <f t="shared" si="5"/>
        <v>-0.50277539632662638</v>
      </c>
      <c r="L17" s="1436">
        <f t="shared" si="5"/>
        <v>2.4903468708711252</v>
      </c>
      <c r="M17" s="1436">
        <f t="shared" si="5"/>
        <v>-0.45371147048010418</v>
      </c>
    </row>
    <row r="18" spans="2:13">
      <c r="B18" s="1431" t="str">
        <f>B6</f>
        <v>Gross profit</v>
      </c>
      <c r="C18" s="1436"/>
      <c r="D18" s="1436">
        <f t="shared" ref="D18:M18" si="6">D6/C6-1</f>
        <v>6.7357512953367893E-2</v>
      </c>
      <c r="E18" s="1436">
        <f t="shared" si="6"/>
        <v>0.46601941747572817</v>
      </c>
      <c r="F18" s="1436">
        <f t="shared" si="6"/>
        <v>1.185430463576159</v>
      </c>
      <c r="G18" s="1436">
        <f t="shared" si="6"/>
        <v>0.59338979609848508</v>
      </c>
      <c r="H18" s="1436">
        <f t="shared" si="6"/>
        <v>0.64486503635351111</v>
      </c>
      <c r="I18" s="1436">
        <f t="shared" si="6"/>
        <v>0.51160371998066267</v>
      </c>
      <c r="J18" s="1436">
        <f t="shared" si="6"/>
        <v>0.17929962838022195</v>
      </c>
      <c r="K18" s="1436">
        <f t="shared" si="6"/>
        <v>-0.39207279902519931</v>
      </c>
      <c r="L18" s="1436">
        <f t="shared" si="6"/>
        <v>1.9861175185555795</v>
      </c>
      <c r="M18" s="1436">
        <f t="shared" si="6"/>
        <v>-0.4694287404220665</v>
      </c>
    </row>
    <row r="19" spans="2:13">
      <c r="B19" s="1431" t="str">
        <f>B7</f>
        <v>EBIT</v>
      </c>
      <c r="C19" s="1436"/>
      <c r="D19" s="1436">
        <f t="shared" ref="D19:M19" si="7">D7/C7-1</f>
        <v>-0.11428571428571432</v>
      </c>
      <c r="E19" s="1436">
        <f t="shared" si="7"/>
        <v>1.661290322580645</v>
      </c>
      <c r="F19" s="1436">
        <f t="shared" si="7"/>
        <v>1.3636363636363638</v>
      </c>
      <c r="G19" s="1436">
        <f t="shared" si="7"/>
        <v>0.64893665646410303</v>
      </c>
      <c r="H19" s="1436">
        <f t="shared" si="7"/>
        <v>0.84466671073484068</v>
      </c>
      <c r="I19" s="1436">
        <f t="shared" si="7"/>
        <v>0.54689009987388837</v>
      </c>
      <c r="J19" s="1436">
        <f t="shared" si="7"/>
        <v>0.14384966696146928</v>
      </c>
      <c r="K19" s="1436">
        <f t="shared" si="7"/>
        <v>-0.62266828442138655</v>
      </c>
      <c r="L19" s="1436">
        <f t="shared" si="7"/>
        <v>2.4249950317191558</v>
      </c>
      <c r="M19" s="1436">
        <f t="shared" si="7"/>
        <v>-0.69394700015504096</v>
      </c>
    </row>
    <row r="20" spans="2:13">
      <c r="B20" s="1431" t="str">
        <f>B8</f>
        <v>NPAT</v>
      </c>
      <c r="C20" s="1436"/>
      <c r="D20" s="1436">
        <f t="shared" ref="D20:M20" si="8">D8/C8-1</f>
        <v>0.55172413793103448</v>
      </c>
      <c r="E20" s="1436">
        <f t="shared" si="8"/>
        <v>1.3777777777777778</v>
      </c>
      <c r="F20" s="1436">
        <f t="shared" si="8"/>
        <v>1.0841121495327104</v>
      </c>
      <c r="G20" s="1436">
        <f t="shared" si="8"/>
        <v>0.48973836584753427</v>
      </c>
      <c r="H20" s="1436">
        <f t="shared" si="8"/>
        <v>0.63362758968664457</v>
      </c>
      <c r="I20" s="1436">
        <f t="shared" si="8"/>
        <v>0.58721448103544316</v>
      </c>
      <c r="J20" s="1436">
        <f t="shared" si="8"/>
        <v>9.4859771009859983E-2</v>
      </c>
      <c r="K20" s="1436">
        <f t="shared" si="8"/>
        <v>-1.0922849932903003</v>
      </c>
      <c r="L20" s="1436">
        <f t="shared" si="8"/>
        <v>-10.16332092269737</v>
      </c>
      <c r="M20" s="1436">
        <f t="shared" si="8"/>
        <v>-0.66539948068108501</v>
      </c>
    </row>
    <row r="21" spans="2:13">
      <c r="B21" s="1431" t="str">
        <f>B9</f>
        <v>NPATMI</v>
      </c>
      <c r="C21" s="1436"/>
      <c r="D21" s="1436">
        <f t="shared" ref="D21:M21" si="9">D9/C9-1</f>
        <v>0.45614035087719307</v>
      </c>
      <c r="E21" s="1436">
        <f t="shared" si="9"/>
        <v>1.036144578313253</v>
      </c>
      <c r="F21" s="1436">
        <f t="shared" si="9"/>
        <v>0.99408284023668636</v>
      </c>
      <c r="G21" s="1436">
        <f t="shared" si="9"/>
        <v>0.59407575979228566</v>
      </c>
      <c r="H21" s="1436">
        <f t="shared" si="9"/>
        <v>0.39777701021684186</v>
      </c>
      <c r="I21" s="1436">
        <f t="shared" si="9"/>
        <v>0.5693720988187041</v>
      </c>
      <c r="J21" s="1436">
        <f t="shared" si="9"/>
        <v>3.2320857495043542E-2</v>
      </c>
      <c r="K21" s="1436">
        <f t="shared" si="9"/>
        <v>-1.407512847510241</v>
      </c>
      <c r="L21" s="1436">
        <f t="shared" si="9"/>
        <v>-3.3343844370178184</v>
      </c>
      <c r="M21" s="1436">
        <f t="shared" si="9"/>
        <v>-0.81432942531099717</v>
      </c>
    </row>
    <row r="22" spans="2:13">
      <c r="C22" s="1436"/>
      <c r="D22" s="1436"/>
      <c r="E22" s="1436"/>
      <c r="F22" s="1436"/>
      <c r="G22" s="1436"/>
      <c r="H22" s="1436"/>
      <c r="I22" s="1436"/>
      <c r="J22" s="1436"/>
      <c r="K22" s="1436"/>
      <c r="L22" s="1436"/>
      <c r="M22" s="1436"/>
    </row>
    <row r="23" spans="2:13">
      <c r="B23" s="1431" t="s">
        <v>1644</v>
      </c>
      <c r="C23" s="1463">
        <f>BS!F49</f>
        <v>0</v>
      </c>
      <c r="D23" s="1463">
        <f>BS!G49</f>
        <v>70</v>
      </c>
      <c r="E23" s="1463">
        <f>BS!H49</f>
        <v>120</v>
      </c>
      <c r="F23" s="1463">
        <f>BS!I49</f>
        <v>439</v>
      </c>
      <c r="G23" s="1463">
        <f>BS!J49</f>
        <v>684.06242798100004</v>
      </c>
      <c r="H23" s="1463">
        <f>BS!K49</f>
        <v>2529.4046539680003</v>
      </c>
      <c r="I23" s="1463">
        <f>BS!L49</f>
        <v>2865.8205387260004</v>
      </c>
      <c r="J23" s="1463">
        <f>BS!M49</f>
        <v>4399.7310068309998</v>
      </c>
      <c r="K23" s="1463">
        <f>BS!N49</f>
        <v>5945.3164285040002</v>
      </c>
      <c r="L23" s="1463">
        <f>BS!O49</f>
        <v>4479.9108110770003</v>
      </c>
      <c r="M23" s="1463">
        <f>BS!P49</f>
        <v>5771.364507706</v>
      </c>
    </row>
    <row r="24" spans="2:13">
      <c r="B24" s="1431" t="s">
        <v>1843</v>
      </c>
      <c r="C24" s="1463">
        <f>BS!F50</f>
        <v>580</v>
      </c>
      <c r="D24" s="1463">
        <f>BS!G50</f>
        <v>664</v>
      </c>
      <c r="E24" s="1463">
        <f>BS!H50</f>
        <v>1072</v>
      </c>
      <c r="F24" s="1463">
        <f>BS!I50</f>
        <v>1771</v>
      </c>
      <c r="G24" s="1463">
        <f>BS!J50</f>
        <v>3548.2230539000002</v>
      </c>
      <c r="H24" s="1463">
        <f>BS!K50</f>
        <v>4664.7131583710006</v>
      </c>
      <c r="I24" s="1463">
        <f>BS!L50</f>
        <v>6209.9620667889994</v>
      </c>
      <c r="J24" s="1463">
        <f>BS!M50</f>
        <v>9238.49934889</v>
      </c>
      <c r="K24" s="1463">
        <f>BS!N50</f>
        <v>9094.7186804800003</v>
      </c>
      <c r="L24" s="1463">
        <f>BS!O50</f>
        <v>13392.153121200001</v>
      </c>
      <c r="M24" s="1463">
        <f>BS!P50</f>
        <v>14084.931650452001</v>
      </c>
    </row>
    <row r="25" spans="2:13">
      <c r="B25" s="1431" t="s">
        <v>1773</v>
      </c>
      <c r="C25" s="1596">
        <f>BS!F53</f>
        <v>-0.23448275862068965</v>
      </c>
      <c r="D25" s="1596">
        <f>BS!G53</f>
        <v>-4.5180722891566263E-3</v>
      </c>
      <c r="E25" s="1596">
        <f>BS!H53</f>
        <v>-0.61194029850746268</v>
      </c>
      <c r="F25" s="1596">
        <f>BS!I53</f>
        <v>-0.26538678712591757</v>
      </c>
      <c r="G25" s="1596">
        <f>BS!J53</f>
        <v>-0.31964012535046332</v>
      </c>
      <c r="H25" s="1596">
        <f>BS!K53</f>
        <v>0.18049713174604504</v>
      </c>
      <c r="I25" s="1596">
        <f>BS!L53</f>
        <v>0.27492104006390045</v>
      </c>
      <c r="J25" s="1596">
        <f>BS!M53</f>
        <v>0.39037058627257587</v>
      </c>
      <c r="K25" s="1596">
        <f>BS!N53</f>
        <v>0.45803346429415276</v>
      </c>
      <c r="L25" s="1596">
        <f>BS!O53</f>
        <v>0.13009364511387006</v>
      </c>
      <c r="M25" s="1596">
        <f>BS!P53</f>
        <v>0.34450899740612384</v>
      </c>
    </row>
    <row r="26" spans="2:13">
      <c r="B26" s="1431" t="s">
        <v>1492</v>
      </c>
      <c r="C26" s="1463">
        <f>BS!F10</f>
        <v>129</v>
      </c>
      <c r="D26" s="1463">
        <f>BS!G10</f>
        <v>433</v>
      </c>
      <c r="E26" s="1463">
        <f>BS!H10</f>
        <v>499</v>
      </c>
      <c r="F26" s="1463">
        <f>BS!I10</f>
        <v>1122</v>
      </c>
      <c r="G26" s="1463">
        <f>BS!J10</f>
        <v>915.502618676</v>
      </c>
      <c r="H26" s="1463">
        <f>BS!K10</f>
        <v>3400.5832179409999</v>
      </c>
      <c r="I26" s="1463">
        <f>BS!L10</f>
        <v>4605.1510868169999</v>
      </c>
      <c r="J26" s="1463">
        <f>BS!M10</f>
        <v>6791.4641813839999</v>
      </c>
      <c r="K26" s="1463">
        <f>BS!N10</f>
        <v>10251.68135067</v>
      </c>
      <c r="L26" s="1463">
        <f>BS!O10</f>
        <v>11238.340946889</v>
      </c>
      <c r="M26" s="1463">
        <f>BS!P10</f>
        <v>14030.955749291999</v>
      </c>
    </row>
    <row r="27" spans="2:13">
      <c r="B27" s="1431" t="s">
        <v>1646</v>
      </c>
      <c r="C27" s="1463">
        <f>BS!F29</f>
        <v>65</v>
      </c>
      <c r="D27" s="1463">
        <f>BS!G29</f>
        <v>158</v>
      </c>
      <c r="E27" s="1463">
        <f>BS!H29</f>
        <v>234</v>
      </c>
      <c r="F27" s="1463">
        <f>BS!I29</f>
        <v>832</v>
      </c>
      <c r="G27" s="1463">
        <f>BS!J29</f>
        <v>440.98335732300001</v>
      </c>
      <c r="H27" s="1463">
        <f>BS!K29</f>
        <v>1408.4873947369999</v>
      </c>
      <c r="I27" s="1463">
        <f>BS!L29</f>
        <v>1048.3442675429999</v>
      </c>
      <c r="J27" s="1463">
        <f>BS!M29</f>
        <v>943.84253429199998</v>
      </c>
      <c r="K27" s="1463">
        <f>BS!N29</f>
        <v>2968.982334322</v>
      </c>
      <c r="L27" s="1463">
        <f>BS!O29</f>
        <v>2242.6083924260001</v>
      </c>
      <c r="M27" s="1463">
        <f>BS!P29</f>
        <v>2550.280886819</v>
      </c>
    </row>
    <row r="28" spans="2:13">
      <c r="B28" s="1431" t="s">
        <v>1631</v>
      </c>
      <c r="C28" s="1463">
        <f>BS!F7</f>
        <v>136</v>
      </c>
      <c r="D28" s="1463">
        <f>BS!G7</f>
        <v>73</v>
      </c>
      <c r="E28" s="1463">
        <f>BS!H7</f>
        <v>776</v>
      </c>
      <c r="F28" s="1463">
        <f>BS!I7</f>
        <v>909</v>
      </c>
      <c r="G28" s="1463">
        <f>BS!J7</f>
        <v>1818.2168897009999</v>
      </c>
      <c r="H28" s="1463">
        <f>BS!K7</f>
        <v>1687.4373084639999</v>
      </c>
      <c r="I28" s="1463">
        <f>BS!L7</f>
        <v>1158.571308567</v>
      </c>
      <c r="J28" s="1463">
        <f>BS!M7</f>
        <v>793.29259972600005</v>
      </c>
      <c r="K28" s="1463">
        <f>BS!N7</f>
        <v>1779.630924503</v>
      </c>
      <c r="L28" s="1463">
        <f>BS!O7</f>
        <v>2737.6767956170002</v>
      </c>
      <c r="M28" s="1463">
        <f>BS!P7</f>
        <v>918.97882627499996</v>
      </c>
    </row>
    <row r="29" spans="2:13">
      <c r="B29" s="1431" t="s">
        <v>1727</v>
      </c>
      <c r="C29" s="1463">
        <f>BS!F23</f>
        <v>25</v>
      </c>
      <c r="D29" s="1463">
        <f>BS!G23</f>
        <v>24</v>
      </c>
      <c r="E29" s="1463">
        <f>BS!H23</f>
        <v>23</v>
      </c>
      <c r="F29" s="1463">
        <f>BS!I23</f>
        <v>23</v>
      </c>
      <c r="G29" s="1463">
        <f>BS!J23</f>
        <v>29.417932164</v>
      </c>
      <c r="H29" s="1463">
        <f>BS!K23</f>
        <v>103.603253013</v>
      </c>
      <c r="I29" s="1463">
        <f>BS!L23</f>
        <v>100.477001457</v>
      </c>
      <c r="J29" s="1463">
        <f>BS!M23</f>
        <v>88.255203152999997</v>
      </c>
      <c r="K29" s="1463">
        <f>BS!N23</f>
        <v>236.83682150199999</v>
      </c>
      <c r="L29" s="1463">
        <f>BS!O23</f>
        <v>209.766284434</v>
      </c>
      <c r="M29" s="1463">
        <f>BS!P23</f>
        <v>170.870763041</v>
      </c>
    </row>
    <row r="30" spans="2:13">
      <c r="B30" s="1431" t="s">
        <v>2239</v>
      </c>
      <c r="C30" s="1463"/>
      <c r="D30" s="1463">
        <f>Projects!D50</f>
        <v>0</v>
      </c>
      <c r="E30" s="1463">
        <f>Projects!E50</f>
        <v>0</v>
      </c>
      <c r="F30" s="1463">
        <f>Projects!F50</f>
        <v>0</v>
      </c>
      <c r="G30" s="1423">
        <v>1800</v>
      </c>
      <c r="H30" s="1423">
        <v>900</v>
      </c>
      <c r="I30" s="1463">
        <f>Projects!I50</f>
        <v>0</v>
      </c>
      <c r="J30" s="1423">
        <v>3000</v>
      </c>
      <c r="K30" s="1423">
        <v>6000</v>
      </c>
      <c r="L30" s="1423">
        <v>6000</v>
      </c>
      <c r="M30" s="1423">
        <v>10000</v>
      </c>
    </row>
    <row r="77" spans="2:4">
      <c r="B77" s="1431" t="s">
        <v>1019</v>
      </c>
      <c r="C77" s="1431" t="s">
        <v>1895</v>
      </c>
      <c r="D77" s="1431" t="s">
        <v>1777</v>
      </c>
    </row>
    <row r="78" spans="2:4">
      <c r="B78" s="1431" t="s">
        <v>666</v>
      </c>
      <c r="C78" s="1443">
        <v>1</v>
      </c>
      <c r="D78" s="1440">
        <v>1600</v>
      </c>
    </row>
    <row r="79" spans="2:4">
      <c r="B79" s="1431" t="s">
        <v>1896</v>
      </c>
      <c r="C79" s="1443">
        <v>1</v>
      </c>
      <c r="D79" s="1440">
        <v>500</v>
      </c>
    </row>
    <row r="80" spans="2:4">
      <c r="B80" s="1431" t="s">
        <v>1700</v>
      </c>
      <c r="C80" s="1443">
        <v>1</v>
      </c>
      <c r="D80" s="1440">
        <v>600</v>
      </c>
    </row>
    <row r="81" spans="2:4">
      <c r="B81" s="1431" t="s">
        <v>1816</v>
      </c>
      <c r="C81" s="1443">
        <v>1</v>
      </c>
      <c r="D81" s="1440">
        <v>400</v>
      </c>
    </row>
    <row r="82" spans="2:4">
      <c r="B82" s="1431" t="s">
        <v>1897</v>
      </c>
      <c r="C82" s="1443">
        <v>1</v>
      </c>
      <c r="D82" s="1440">
        <v>200</v>
      </c>
    </row>
    <row r="83" spans="2:4">
      <c r="B83" s="1431" t="s">
        <v>1817</v>
      </c>
      <c r="C83" s="1443">
        <v>0.4</v>
      </c>
      <c r="D83" s="1440">
        <v>500</v>
      </c>
    </row>
    <row r="97" spans="2:4">
      <c r="B97" s="1431" t="s">
        <v>2240</v>
      </c>
      <c r="C97" s="1431">
        <v>2019</v>
      </c>
      <c r="D97" s="1431">
        <v>2020</v>
      </c>
    </row>
    <row r="98" spans="2:4">
      <c r="B98" s="1431" t="s">
        <v>1839</v>
      </c>
      <c r="C98" s="1431">
        <v>230</v>
      </c>
      <c r="D98" s="1431">
        <v>500</v>
      </c>
    </row>
    <row r="99" spans="2:4">
      <c r="B99" s="1431" t="s">
        <v>654</v>
      </c>
      <c r="C99" s="1431">
        <v>670</v>
      </c>
      <c r="D99" s="1431">
        <v>780</v>
      </c>
    </row>
    <row r="100" spans="2:4">
      <c r="B100" s="1431" t="s">
        <v>1929</v>
      </c>
      <c r="C100" s="1431">
        <v>120</v>
      </c>
      <c r="D100" s="1431">
        <v>260</v>
      </c>
    </row>
    <row r="101" spans="2:4">
      <c r="B101" s="1431" t="s">
        <v>1930</v>
      </c>
      <c r="C101" s="1431">
        <v>180</v>
      </c>
    </row>
  </sheetData>
  <pageMargins left="0.7" right="0.7" top="0.75" bottom="0.75"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20"/>
  <sheetViews>
    <sheetView zoomScaleNormal="100" workbookViewId="0">
      <selection activeCell="G9" sqref="G9"/>
    </sheetView>
  </sheetViews>
  <sheetFormatPr defaultColWidth="9.140625" defaultRowHeight="12"/>
  <cols>
    <col min="1" max="2" width="15.140625" style="1431" bestFit="1" customWidth="1"/>
    <col min="3" max="16384" width="9.140625" style="1431"/>
  </cols>
  <sheetData>
    <row r="1" spans="1:14" ht="21">
      <c r="A1" s="1404" t="s">
        <v>1840</v>
      </c>
    </row>
    <row r="2" spans="1:14">
      <c r="A2" s="1405" t="s">
        <v>1731</v>
      </c>
      <c r="N2" s="1463"/>
    </row>
    <row r="4" spans="1:14">
      <c r="B4" s="1442">
        <v>2013</v>
      </c>
      <c r="C4" s="1442">
        <v>2014</v>
      </c>
      <c r="D4" s="1442">
        <v>2015</v>
      </c>
      <c r="E4" s="1442">
        <v>2016</v>
      </c>
      <c r="F4" s="1442" t="s">
        <v>1764</v>
      </c>
      <c r="G4" s="1442" t="s">
        <v>1810</v>
      </c>
      <c r="H4" s="1442" t="s">
        <v>1811</v>
      </c>
      <c r="I4" s="1442" t="s">
        <v>1849</v>
      </c>
      <c r="J4" s="1463"/>
      <c r="K4" s="1463"/>
      <c r="L4" s="1463"/>
    </row>
    <row r="5" spans="1:14">
      <c r="A5" s="1431" t="s">
        <v>1809</v>
      </c>
      <c r="B5" s="1463">
        <f>Projects!D50</f>
        <v>0</v>
      </c>
      <c r="C5" s="1463">
        <f>Projects!E50</f>
        <v>0</v>
      </c>
      <c r="D5" s="1463">
        <f>Projects!F50</f>
        <v>0</v>
      </c>
      <c r="E5" s="1463">
        <f>Projects!G50</f>
        <v>1762.0106800000001</v>
      </c>
      <c r="F5" s="1463">
        <f>Projects!H50</f>
        <v>0</v>
      </c>
      <c r="G5" s="1463">
        <f>Projects!I50</f>
        <v>0</v>
      </c>
      <c r="H5" s="1463">
        <f>Projects!J50</f>
        <v>0</v>
      </c>
      <c r="I5" s="1463">
        <f>Projects!K50</f>
        <v>4494.5874999999996</v>
      </c>
    </row>
    <row r="6" spans="1:14">
      <c r="A6" s="1428" t="s">
        <v>643</v>
      </c>
      <c r="B6" s="1463"/>
      <c r="C6" s="1417" t="e">
        <f>C5/B5-1</f>
        <v>#DIV/0!</v>
      </c>
      <c r="D6" s="1417" t="e">
        <f t="shared" ref="D6:I6" si="0">D5/C5-1</f>
        <v>#DIV/0!</v>
      </c>
      <c r="E6" s="1417" t="e">
        <f t="shared" si="0"/>
        <v>#DIV/0!</v>
      </c>
      <c r="F6" s="1417">
        <f t="shared" si="0"/>
        <v>-1</v>
      </c>
      <c r="G6" s="1417" t="e">
        <f t="shared" si="0"/>
        <v>#DIV/0!</v>
      </c>
      <c r="H6" s="1417" t="e">
        <f t="shared" si="0"/>
        <v>#DIV/0!</v>
      </c>
      <c r="I6" s="1417" t="e">
        <f t="shared" si="0"/>
        <v>#DIV/0!</v>
      </c>
    </row>
    <row r="7" spans="1:14">
      <c r="A7" s="1431" t="s">
        <v>1788</v>
      </c>
      <c r="B7" s="1463">
        <f>Projects!D83</f>
        <v>0</v>
      </c>
      <c r="C7" s="1463">
        <f>Projects!E83</f>
        <v>0</v>
      </c>
      <c r="D7" s="1463">
        <f>Projects!F83</f>
        <v>0</v>
      </c>
      <c r="E7" s="1463">
        <f>Projects!G83</f>
        <v>1054</v>
      </c>
      <c r="F7" s="1463">
        <f>Projects!H83</f>
        <v>0</v>
      </c>
      <c r="G7" s="1463">
        <f>Projects!I83</f>
        <v>0</v>
      </c>
      <c r="H7" s="1463">
        <f>Projects!J83</f>
        <v>0</v>
      </c>
      <c r="I7" s="1463">
        <f>Projects!K83</f>
        <v>581.20289899579279</v>
      </c>
    </row>
    <row r="8" spans="1:14">
      <c r="A8" s="1431" t="s">
        <v>26</v>
      </c>
      <c r="B8" s="1463">
        <f>Projects!D5</f>
        <v>0</v>
      </c>
      <c r="C8" s="1463">
        <f>Projects!E5</f>
        <v>0</v>
      </c>
      <c r="D8" s="1463">
        <f>Projects!F5</f>
        <v>0</v>
      </c>
      <c r="E8" s="1463">
        <f>Projects!G5</f>
        <v>0</v>
      </c>
      <c r="F8" s="1463">
        <f>Projects!H5</f>
        <v>321.45830400000006</v>
      </c>
      <c r="G8" s="1463">
        <f>Projects!I5</f>
        <v>750.06937600000003</v>
      </c>
      <c r="H8" s="1463">
        <f>Projects!J5</f>
        <v>690.48299999999995</v>
      </c>
      <c r="I8" s="1463">
        <f>Projects!K5</f>
        <v>0</v>
      </c>
    </row>
    <row r="9" spans="1:14">
      <c r="A9" s="1431" t="s">
        <v>28</v>
      </c>
      <c r="B9" s="1463">
        <f>Projects!D7</f>
        <v>0</v>
      </c>
      <c r="C9" s="1463">
        <f>Projects!E7</f>
        <v>0</v>
      </c>
      <c r="D9" s="1463">
        <f>Projects!F7</f>
        <v>0</v>
      </c>
      <c r="E9" s="1463">
        <f>Projects!G7</f>
        <v>0</v>
      </c>
      <c r="F9" s="1463">
        <f>Projects!H7</f>
        <v>113.02541473920007</v>
      </c>
      <c r="G9" s="1463">
        <f>Projects!I7</f>
        <v>263.72596772480011</v>
      </c>
      <c r="H9" s="1463">
        <f>Projects!J7</f>
        <v>250.93782839999994</v>
      </c>
      <c r="I9" s="1463">
        <f>Projects!K7</f>
        <v>0</v>
      </c>
    </row>
    <row r="10" spans="1:14">
      <c r="A10" s="1431" t="s">
        <v>1619</v>
      </c>
      <c r="B10" s="1463">
        <f>Projects!D12</f>
        <v>0</v>
      </c>
      <c r="C10" s="1463">
        <f>Projects!E12</f>
        <v>0</v>
      </c>
      <c r="D10" s="1463">
        <f>Projects!F12</f>
        <v>0</v>
      </c>
      <c r="E10" s="1463">
        <f>Projects!G12</f>
        <v>0</v>
      </c>
      <c r="F10" s="1463">
        <f>Projects!H12</f>
        <v>54.417001743360046</v>
      </c>
      <c r="G10" s="1463">
        <f>Projects!I12</f>
        <v>126.97300406784007</v>
      </c>
      <c r="H10" s="1463">
        <f>Projects!J12</f>
        <v>123.41616671999995</v>
      </c>
      <c r="I10" s="1463">
        <f>Projects!K12</f>
        <v>0</v>
      </c>
    </row>
    <row r="11" spans="1:14">
      <c r="A11" s="1431" t="s">
        <v>197</v>
      </c>
      <c r="B11" s="1433"/>
      <c r="C11" s="1433"/>
      <c r="D11" s="1433" t="e">
        <f t="shared" ref="D11:I11" si="1">D9/D8</f>
        <v>#DIV/0!</v>
      </c>
      <c r="E11" s="1433" t="e">
        <f t="shared" si="1"/>
        <v>#DIV/0!</v>
      </c>
      <c r="F11" s="1433">
        <f t="shared" si="1"/>
        <v>0.35160209997001679</v>
      </c>
      <c r="G11" s="1433">
        <f t="shared" si="1"/>
        <v>0.35160209997001679</v>
      </c>
      <c r="H11" s="1433">
        <f t="shared" si="1"/>
        <v>0.36342361564296294</v>
      </c>
      <c r="I11" s="1433" t="e">
        <f t="shared" si="1"/>
        <v>#DIV/0!</v>
      </c>
    </row>
    <row r="12" spans="1:14">
      <c r="A12" s="1431" t="s">
        <v>452</v>
      </c>
      <c r="C12" s="1596">
        <f>Projects!E16</f>
        <v>0</v>
      </c>
      <c r="D12" s="1596" t="e">
        <f>Projects!F16</f>
        <v>#DIV/0!</v>
      </c>
      <c r="E12" s="1596" t="e">
        <f>Projects!G16</f>
        <v>#DIV/0!</v>
      </c>
      <c r="F12" s="1596">
        <f>Projects!H16</f>
        <v>0.13160209997001679</v>
      </c>
      <c r="G12" s="1596">
        <f>Projects!I16</f>
        <v>0.13160209997001676</v>
      </c>
      <c r="H12" s="1596">
        <f>Projects!J16</f>
        <v>0</v>
      </c>
      <c r="I12" s="1596" t="e">
        <f>Projects!K16</f>
        <v>#DIV/0!</v>
      </c>
    </row>
    <row r="13" spans="1:14">
      <c r="A13" s="1431" t="s">
        <v>1797</v>
      </c>
      <c r="C13" s="1596">
        <f>IS!H39</f>
        <v>0.33399209486166009</v>
      </c>
      <c r="D13" s="1596">
        <f>IS!I39</f>
        <v>0.24157706093189965</v>
      </c>
      <c r="E13" s="1596">
        <f>IS!J39</f>
        <v>0.21432272815207792</v>
      </c>
      <c r="F13" s="1596">
        <f>IS!K39</f>
        <v>0.26079464824685017</v>
      </c>
      <c r="G13" s="1596">
        <f>IS!L39</f>
        <v>0.25368055374455983</v>
      </c>
      <c r="H13" s="1596">
        <f>IS!M39</f>
        <v>0.20925406212805983</v>
      </c>
      <c r="I13" s="1596">
        <f>IS!P39</f>
        <v>3.8984088308785268E-2</v>
      </c>
    </row>
    <row r="14" spans="1:14">
      <c r="A14" s="1431" t="s">
        <v>1644</v>
      </c>
      <c r="C14" s="1463">
        <f>BS!H49</f>
        <v>120</v>
      </c>
      <c r="D14" s="1463">
        <f>BS!I49</f>
        <v>439</v>
      </c>
      <c r="E14" s="1463">
        <f>BS!J49</f>
        <v>684.06242798100004</v>
      </c>
      <c r="F14" s="1463">
        <f>BS!K49</f>
        <v>2529.4046539680003</v>
      </c>
      <c r="G14" s="1463">
        <f>BS!L49</f>
        <v>2865.8205387260004</v>
      </c>
      <c r="H14" s="1463">
        <f>BS!M49</f>
        <v>4399.7310068309998</v>
      </c>
      <c r="I14" s="1463">
        <f>BS!N49</f>
        <v>5945.3164285040002</v>
      </c>
    </row>
    <row r="15" spans="1:14">
      <c r="A15" s="1431" t="s">
        <v>591</v>
      </c>
      <c r="C15" s="1463">
        <f>BS!H50</f>
        <v>1072</v>
      </c>
      <c r="D15" s="1463">
        <f>BS!I50</f>
        <v>1771</v>
      </c>
      <c r="E15" s="1463">
        <f>BS!J50</f>
        <v>3548.2230539000002</v>
      </c>
      <c r="F15" s="1463">
        <f>BS!K50</f>
        <v>4664.7131583710006</v>
      </c>
      <c r="G15" s="1463">
        <f>BS!L50</f>
        <v>6209.9620667889994</v>
      </c>
      <c r="H15" s="1463">
        <f>BS!M50</f>
        <v>9238.49934889</v>
      </c>
      <c r="I15" s="1463">
        <f>BS!N50</f>
        <v>9094.7186804800003</v>
      </c>
    </row>
    <row r="16" spans="1:14">
      <c r="A16" s="1431" t="s">
        <v>1773</v>
      </c>
      <c r="C16" s="1596">
        <f>BS!H53</f>
        <v>-0.61194029850746268</v>
      </c>
      <c r="D16" s="1596">
        <f>BS!I53</f>
        <v>-0.26538678712591757</v>
      </c>
      <c r="E16" s="1596">
        <f>BS!J53</f>
        <v>-0.31964012535046332</v>
      </c>
      <c r="F16" s="1596">
        <f>BS!K53</f>
        <v>0.18049713174604504</v>
      </c>
      <c r="G16" s="1596">
        <f>BS!L53</f>
        <v>0.27492104006390045</v>
      </c>
      <c r="H16" s="1596">
        <f>BS!M53</f>
        <v>0.39037058627257587</v>
      </c>
      <c r="I16" s="1596">
        <f>BS!N53</f>
        <v>0.45803346429415276</v>
      </c>
    </row>
    <row r="17" spans="1:9">
      <c r="A17" s="1431" t="s">
        <v>1492</v>
      </c>
      <c r="B17" s="1463"/>
      <c r="C17" s="1463">
        <f>BS!H10</f>
        <v>499</v>
      </c>
      <c r="D17" s="1463">
        <f>BS!I10</f>
        <v>1122</v>
      </c>
      <c r="E17" s="1463">
        <f>BS!J10</f>
        <v>915.502618676</v>
      </c>
      <c r="F17" s="1463">
        <f>BS!K10</f>
        <v>3400.5832179409999</v>
      </c>
      <c r="G17" s="1463">
        <f>BS!L10</f>
        <v>4605.1510868169999</v>
      </c>
      <c r="H17" s="1463">
        <f>BS!M10</f>
        <v>6791.4641813839999</v>
      </c>
      <c r="I17" s="1463">
        <f>BS!N10</f>
        <v>10251.68135067</v>
      </c>
    </row>
    <row r="18" spans="1:9">
      <c r="A18" s="1431" t="s">
        <v>1646</v>
      </c>
      <c r="B18" s="1463"/>
      <c r="C18" s="1463">
        <f>BS!H29</f>
        <v>234</v>
      </c>
      <c r="D18" s="1463">
        <f>BS!I29</f>
        <v>832</v>
      </c>
      <c r="E18" s="1463">
        <f>BS!J29</f>
        <v>440.98335732300001</v>
      </c>
      <c r="F18" s="1463">
        <f>BS!K29</f>
        <v>1408.4873947369999</v>
      </c>
      <c r="G18" s="1463">
        <f>BS!L29</f>
        <v>1048.3442675429999</v>
      </c>
      <c r="H18" s="1463">
        <f>BS!M29</f>
        <v>943.84253429199998</v>
      </c>
      <c r="I18" s="1463">
        <f>BS!N29</f>
        <v>2968.982334322</v>
      </c>
    </row>
    <row r="19" spans="1:9">
      <c r="A19" s="1431" t="s">
        <v>1175</v>
      </c>
      <c r="C19" s="1463">
        <f>Projects!E26</f>
        <v>0</v>
      </c>
      <c r="D19" s="1463">
        <f>Projects!F26</f>
        <v>0</v>
      </c>
      <c r="E19" s="1463">
        <f>Projects!G26</f>
        <v>283.35383600000006</v>
      </c>
      <c r="F19" s="1463">
        <f>Projects!H26</f>
        <v>1271.5119440000001</v>
      </c>
      <c r="G19" s="1463">
        <f>Projects!I26</f>
        <v>207.14490000000001</v>
      </c>
      <c r="H19" s="1463">
        <f>Projects!J26</f>
        <v>0</v>
      </c>
      <c r="I19" s="1463">
        <f>Projects!K26</f>
        <v>695.14250000000015</v>
      </c>
    </row>
    <row r="20" spans="1:9">
      <c r="A20" s="1431" t="s">
        <v>1841</v>
      </c>
      <c r="C20" s="1425" t="e">
        <f t="shared" ref="C20:I20" si="2">C19/C5</f>
        <v>#DIV/0!</v>
      </c>
      <c r="D20" s="1425" t="e">
        <f t="shared" si="2"/>
        <v>#DIV/0!</v>
      </c>
      <c r="E20" s="1425">
        <f t="shared" si="2"/>
        <v>0.16081278009052705</v>
      </c>
      <c r="F20" s="1425" t="e">
        <f t="shared" si="2"/>
        <v>#DIV/0!</v>
      </c>
      <c r="G20" s="1425" t="e">
        <f t="shared" si="2"/>
        <v>#DIV/0!</v>
      </c>
      <c r="H20" s="1425" t="e">
        <f t="shared" si="2"/>
        <v>#DIV/0!</v>
      </c>
      <c r="I20" s="1425">
        <f t="shared" si="2"/>
        <v>0.15466213529050224</v>
      </c>
    </row>
  </sheetData>
  <pageMargins left="0.7" right="0.7" top="0.75" bottom="0.75" header="0.3" footer="0.3"/>
  <pageSetup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2:AK27"/>
  <sheetViews>
    <sheetView zoomScale="115" zoomScaleNormal="115" workbookViewId="0"/>
  </sheetViews>
  <sheetFormatPr defaultColWidth="10.140625" defaultRowHeight="12.75"/>
  <cols>
    <col min="1" max="1" width="5.42578125" style="1750" customWidth="1"/>
    <col min="2" max="2" width="18.85546875" style="1750" customWidth="1"/>
    <col min="3" max="3" width="10.7109375" style="1751" customWidth="1"/>
    <col min="4" max="4" width="10.5703125" style="1750" customWidth="1"/>
    <col min="5" max="5" width="8.85546875" style="1750" hidden="1" customWidth="1"/>
    <col min="6" max="6" width="8.85546875" style="1750" customWidth="1"/>
    <col min="7" max="8" width="10.28515625" style="1750" customWidth="1"/>
    <col min="9" max="9" width="3" style="1750" customWidth="1"/>
    <col min="10" max="11" width="13" style="1750" customWidth="1"/>
    <col min="12" max="12" width="2.85546875" style="1750" customWidth="1"/>
    <col min="13" max="16" width="8.85546875" style="1750" customWidth="1"/>
    <col min="17" max="16384" width="10.140625" style="1750"/>
  </cols>
  <sheetData>
    <row r="2" spans="1:37">
      <c r="A2" s="1749" t="s">
        <v>1932</v>
      </c>
      <c r="O2" s="1752"/>
      <c r="P2" s="1752"/>
    </row>
    <row r="3" spans="1:37" ht="12.95" customHeight="1">
      <c r="G3" s="1753"/>
      <c r="H3" s="1753"/>
    </row>
    <row r="4" spans="1:37" s="1756" customFormat="1" ht="30" customHeight="1">
      <c r="A4" s="1754"/>
      <c r="B4" s="1754" t="s">
        <v>1019</v>
      </c>
      <c r="C4" s="1754" t="s">
        <v>675</v>
      </c>
      <c r="D4" s="1754" t="s">
        <v>2393</v>
      </c>
      <c r="E4" s="1754" t="s">
        <v>1933</v>
      </c>
      <c r="F4" s="1754" t="s">
        <v>1777</v>
      </c>
      <c r="G4" s="1754" t="s">
        <v>1934</v>
      </c>
      <c r="H4" s="1754" t="s">
        <v>2394</v>
      </c>
      <c r="I4" s="1755"/>
      <c r="J4" s="1754" t="s">
        <v>1935</v>
      </c>
      <c r="K4" s="1754" t="s">
        <v>2411</v>
      </c>
      <c r="L4" s="1755"/>
      <c r="M4" s="1754">
        <v>2019</v>
      </c>
      <c r="N4" s="1754">
        <v>2020</v>
      </c>
      <c r="O4" s="1754">
        <v>2021</v>
      </c>
      <c r="P4" s="1754" t="s">
        <v>1939</v>
      </c>
      <c r="Q4" s="1754" t="s">
        <v>2399</v>
      </c>
      <c r="R4" s="1754" t="s">
        <v>2413</v>
      </c>
    </row>
    <row r="5" spans="1:37" s="1762" customFormat="1" ht="15" customHeight="1">
      <c r="A5" s="1757" t="s">
        <v>2400</v>
      </c>
      <c r="B5" s="1758"/>
      <c r="C5" s="1759"/>
      <c r="D5" s="1758"/>
      <c r="E5" s="1758"/>
      <c r="F5" s="1758"/>
      <c r="G5" s="1758"/>
      <c r="H5" s="1758"/>
      <c r="I5" s="1760"/>
      <c r="J5" s="2110"/>
      <c r="K5" s="1761"/>
      <c r="L5" s="1760"/>
      <c r="M5" s="1761"/>
      <c r="N5" s="1761"/>
      <c r="O5" s="1761"/>
      <c r="P5" s="1761"/>
      <c r="Q5" s="1761"/>
      <c r="R5" s="1761"/>
    </row>
    <row r="6" spans="1:37" s="1762" customFormat="1" ht="15" customHeight="1">
      <c r="A6" s="2113">
        <v>1</v>
      </c>
      <c r="B6" s="2114" t="s">
        <v>1816</v>
      </c>
      <c r="C6" s="2115" t="s">
        <v>1936</v>
      </c>
      <c r="D6" s="2116">
        <v>0.5</v>
      </c>
      <c r="E6" s="2117">
        <v>1.6667000000000001</v>
      </c>
      <c r="F6" s="2116">
        <v>400</v>
      </c>
      <c r="G6" s="2115">
        <v>2017</v>
      </c>
      <c r="H6" s="2149">
        <v>1</v>
      </c>
      <c r="I6" s="1763"/>
      <c r="J6" s="2123">
        <v>25</v>
      </c>
      <c r="K6" s="2124">
        <v>200</v>
      </c>
      <c r="L6" s="1763"/>
      <c r="M6" s="2124">
        <v>200</v>
      </c>
      <c r="N6" s="2124"/>
      <c r="O6" s="2124"/>
      <c r="P6" s="2124"/>
      <c r="Q6" s="2124"/>
      <c r="R6" s="2124"/>
    </row>
    <row r="7" spans="1:37" s="1762" customFormat="1" ht="15" customHeight="1">
      <c r="A7" s="2110">
        <f t="shared" ref="A7:A13" si="0">A6+1</f>
        <v>2</v>
      </c>
      <c r="B7" s="1758" t="s">
        <v>1909</v>
      </c>
      <c r="C7" s="1759" t="s">
        <v>1936</v>
      </c>
      <c r="D7" s="2111">
        <v>2</v>
      </c>
      <c r="E7" s="2112">
        <v>2.7216999999999998</v>
      </c>
      <c r="F7" s="2111">
        <v>1500</v>
      </c>
      <c r="G7" s="1759" t="s">
        <v>1940</v>
      </c>
      <c r="H7" s="2150">
        <v>1</v>
      </c>
      <c r="I7" s="1760"/>
      <c r="J7" s="2122">
        <v>29</v>
      </c>
      <c r="K7" s="1761">
        <v>400</v>
      </c>
      <c r="L7" s="1760"/>
      <c r="M7" s="1761"/>
      <c r="N7" s="1761"/>
      <c r="O7" s="1761">
        <v>400</v>
      </c>
      <c r="P7" s="1761"/>
      <c r="Q7" s="1761"/>
      <c r="R7" s="1761"/>
    </row>
    <row r="8" spans="1:37" s="1762" customFormat="1" ht="15" customHeight="1">
      <c r="A8" s="2113">
        <f t="shared" si="0"/>
        <v>3</v>
      </c>
      <c r="B8" s="2114" t="s">
        <v>2408</v>
      </c>
      <c r="C8" s="2115" t="s">
        <v>2404</v>
      </c>
      <c r="D8" s="2116">
        <v>92</v>
      </c>
      <c r="E8" s="2117">
        <v>2.7216999999999998</v>
      </c>
      <c r="F8" s="2116">
        <v>4000</v>
      </c>
      <c r="G8" s="2115" t="s">
        <v>2388</v>
      </c>
      <c r="H8" s="2149">
        <v>0.7</v>
      </c>
      <c r="I8" s="1763"/>
      <c r="J8" s="2172">
        <v>25</v>
      </c>
      <c r="K8" s="2124">
        <v>1200</v>
      </c>
      <c r="L8" s="1763"/>
      <c r="M8" s="2124"/>
      <c r="N8" s="2124"/>
      <c r="O8" s="2124">
        <v>300</v>
      </c>
      <c r="P8" s="2124">
        <v>0</v>
      </c>
      <c r="Q8" s="2124">
        <v>200</v>
      </c>
      <c r="R8" s="2124">
        <v>400</v>
      </c>
    </row>
    <row r="9" spans="1:37" s="1762" customFormat="1" ht="15" customHeight="1">
      <c r="A9" s="2110">
        <f t="shared" si="0"/>
        <v>4</v>
      </c>
      <c r="B9" s="1758" t="s">
        <v>2391</v>
      </c>
      <c r="C9" s="1759" t="s">
        <v>1936</v>
      </c>
      <c r="D9" s="2111">
        <v>1</v>
      </c>
      <c r="E9" s="2112"/>
      <c r="F9" s="2111">
        <v>200</v>
      </c>
      <c r="G9" s="1759" t="s">
        <v>2388</v>
      </c>
      <c r="H9" s="2150">
        <v>1</v>
      </c>
      <c r="I9" s="1760"/>
      <c r="J9" s="2122">
        <v>50</v>
      </c>
      <c r="K9" s="1761">
        <v>50</v>
      </c>
      <c r="L9" s="1760"/>
      <c r="M9" s="1761"/>
      <c r="N9" s="1761"/>
      <c r="O9" s="1761"/>
      <c r="P9" s="1761">
        <v>50</v>
      </c>
      <c r="Q9" s="1761"/>
      <c r="R9" s="1761"/>
    </row>
    <row r="10" spans="1:37" s="1762" customFormat="1" ht="15" customHeight="1">
      <c r="A10" s="2113">
        <f t="shared" si="0"/>
        <v>5</v>
      </c>
      <c r="B10" s="2114" t="s">
        <v>1920</v>
      </c>
      <c r="C10" s="2115" t="s">
        <v>1936</v>
      </c>
      <c r="D10" s="2116">
        <v>1</v>
      </c>
      <c r="E10" s="2117">
        <v>5</v>
      </c>
      <c r="F10" s="2116">
        <v>1500</v>
      </c>
      <c r="G10" s="2115" t="s">
        <v>2389</v>
      </c>
      <c r="H10" s="2149">
        <v>1</v>
      </c>
      <c r="I10" s="1763"/>
      <c r="J10" s="2123">
        <v>27</v>
      </c>
      <c r="K10" s="2124">
        <v>200</v>
      </c>
      <c r="L10" s="1763"/>
      <c r="M10" s="2124"/>
      <c r="N10" s="2124"/>
      <c r="O10" s="2124"/>
      <c r="P10" s="2124"/>
      <c r="Q10" s="2124">
        <v>200</v>
      </c>
      <c r="R10" s="2124"/>
    </row>
    <row r="11" spans="1:37" s="1762" customFormat="1" ht="15" customHeight="1">
      <c r="A11" s="2110">
        <f t="shared" si="0"/>
        <v>6</v>
      </c>
      <c r="B11" s="1758" t="s">
        <v>1893</v>
      </c>
      <c r="C11" s="1759" t="s">
        <v>1936</v>
      </c>
      <c r="D11" s="2111">
        <v>7</v>
      </c>
      <c r="E11" s="2112">
        <v>1.8232999999999999</v>
      </c>
      <c r="F11" s="2111">
        <v>3000</v>
      </c>
      <c r="G11" s="1759">
        <v>2023</v>
      </c>
      <c r="H11" s="1759"/>
      <c r="I11" s="1760"/>
      <c r="J11" s="2122">
        <v>70</v>
      </c>
      <c r="K11" s="1761">
        <v>6000</v>
      </c>
      <c r="L11" s="1760"/>
      <c r="M11" s="1761"/>
      <c r="N11" s="1761"/>
      <c r="O11" s="1761"/>
      <c r="P11" s="1761"/>
      <c r="Q11" s="1761"/>
      <c r="R11" s="1761"/>
    </row>
    <row r="12" spans="1:37" s="1762" customFormat="1" ht="15" customHeight="1">
      <c r="A12" s="2110">
        <f t="shared" si="0"/>
        <v>7</v>
      </c>
      <c r="B12" s="2114" t="s">
        <v>2398</v>
      </c>
      <c r="C12" s="2115"/>
      <c r="D12" s="2130"/>
      <c r="E12" s="2130">
        <f>SUM(E6:E11)</f>
        <v>13.933399999999999</v>
      </c>
      <c r="F12" s="2130"/>
      <c r="G12" s="2114"/>
      <c r="H12" s="2114"/>
      <c r="I12" s="1763"/>
      <c r="J12" s="2125"/>
      <c r="K12" s="2124"/>
      <c r="L12" s="1763"/>
      <c r="M12" s="2124">
        <v>350</v>
      </c>
      <c r="N12" s="2160">
        <v>-800</v>
      </c>
      <c r="O12" s="2160"/>
      <c r="P12" s="2124">
        <v>300</v>
      </c>
      <c r="Q12" s="2124"/>
      <c r="R12" s="2124"/>
    </row>
    <row r="13" spans="1:37" s="1762" customFormat="1" ht="15" customHeight="1">
      <c r="A13" s="2110">
        <f t="shared" si="0"/>
        <v>8</v>
      </c>
      <c r="B13" s="1758" t="s">
        <v>654</v>
      </c>
      <c r="C13" s="1759"/>
      <c r="D13" s="2111"/>
      <c r="E13" s="2112">
        <v>68.267830000000004</v>
      </c>
      <c r="F13" s="2111"/>
      <c r="G13" s="1759"/>
      <c r="H13" s="1759"/>
      <c r="I13" s="1760"/>
      <c r="J13" s="2138"/>
      <c r="K13" s="1761"/>
      <c r="L13" s="1760"/>
      <c r="M13" s="1761">
        <v>650</v>
      </c>
      <c r="N13" s="1761">
        <v>300</v>
      </c>
      <c r="O13" s="1761">
        <v>450</v>
      </c>
      <c r="P13" s="1761">
        <v>300</v>
      </c>
      <c r="Q13" s="1761">
        <v>250</v>
      </c>
      <c r="R13" s="1761">
        <v>400</v>
      </c>
    </row>
    <row r="14" spans="1:37" s="1762" customFormat="1" ht="15" customHeight="1">
      <c r="A14" s="2110"/>
      <c r="B14" s="1758"/>
      <c r="C14" s="1759"/>
      <c r="D14" s="2111"/>
      <c r="E14" s="2112"/>
      <c r="F14" s="2111"/>
      <c r="G14" s="1759"/>
      <c r="H14" s="1759"/>
      <c r="I14" s="1760"/>
      <c r="J14" s="2138"/>
      <c r="K14" s="1761"/>
      <c r="L14" s="1760"/>
      <c r="M14" s="1761"/>
      <c r="N14" s="1761"/>
      <c r="O14" s="1761"/>
      <c r="P14" s="1761"/>
      <c r="Q14" s="1761"/>
      <c r="R14" s="1761"/>
    </row>
    <row r="15" spans="1:37" s="2127" customFormat="1" ht="15" customHeight="1">
      <c r="A15" s="2131"/>
      <c r="B15" s="2132" t="s">
        <v>1619</v>
      </c>
      <c r="C15" s="2133"/>
      <c r="D15" s="2134"/>
      <c r="E15" s="2134"/>
      <c r="F15" s="2134"/>
      <c r="G15" s="2134"/>
      <c r="H15" s="2134"/>
      <c r="I15" s="2126"/>
      <c r="J15" s="2139"/>
      <c r="K15" s="2140">
        <f>SUM(K6:K14)</f>
        <v>8050</v>
      </c>
      <c r="L15" s="2126"/>
      <c r="M15" s="2148">
        <f t="shared" ref="M15:R15" si="1">SUM(M6:M13)</f>
        <v>1200</v>
      </c>
      <c r="N15" s="2148">
        <f t="shared" si="1"/>
        <v>-500</v>
      </c>
      <c r="O15" s="2148">
        <f t="shared" si="1"/>
        <v>1150</v>
      </c>
      <c r="P15" s="2148">
        <f t="shared" si="1"/>
        <v>650</v>
      </c>
      <c r="Q15" s="2148">
        <f t="shared" si="1"/>
        <v>650</v>
      </c>
      <c r="R15" s="2148">
        <f t="shared" si="1"/>
        <v>800</v>
      </c>
      <c r="S15" s="2151"/>
      <c r="T15" s="2151"/>
      <c r="U15" s="2151"/>
      <c r="V15" s="2151"/>
      <c r="W15" s="2151"/>
      <c r="X15" s="2151"/>
      <c r="Y15" s="2151"/>
      <c r="Z15" s="2151"/>
      <c r="AA15" s="2151"/>
      <c r="AB15" s="2151"/>
      <c r="AC15" s="2151"/>
      <c r="AD15" s="2151"/>
      <c r="AE15" s="2151"/>
      <c r="AF15" s="2151"/>
      <c r="AG15" s="2151"/>
      <c r="AH15" s="2151"/>
      <c r="AI15" s="2151"/>
      <c r="AJ15" s="2151"/>
      <c r="AK15" s="2151"/>
    </row>
    <row r="16" spans="1:37" s="2129" customFormat="1" ht="15" customHeight="1">
      <c r="A16" s="2135"/>
      <c r="B16" s="2136"/>
      <c r="C16" s="2137"/>
      <c r="D16" s="2135"/>
      <c r="E16" s="2135"/>
      <c r="F16" s="2135"/>
      <c r="G16" s="2135"/>
      <c r="H16" s="2135"/>
      <c r="I16" s="2128"/>
      <c r="J16" s="2135"/>
      <c r="K16" s="2141"/>
      <c r="L16" s="2128"/>
      <c r="M16" s="2142"/>
      <c r="N16" s="2143"/>
      <c r="O16" s="2143"/>
      <c r="P16" s="2143"/>
      <c r="Q16" s="2143"/>
      <c r="R16" s="2143"/>
      <c r="S16" s="2152"/>
      <c r="T16" s="2152"/>
      <c r="U16" s="2152"/>
      <c r="V16" s="2152"/>
      <c r="W16" s="2152"/>
      <c r="X16" s="2152"/>
      <c r="Y16" s="2152"/>
      <c r="Z16" s="2152"/>
      <c r="AA16" s="2152"/>
      <c r="AB16" s="2152"/>
      <c r="AC16" s="2152"/>
      <c r="AD16" s="2152"/>
      <c r="AE16" s="2152"/>
      <c r="AF16" s="2152"/>
      <c r="AG16" s="2152"/>
      <c r="AH16" s="2152"/>
      <c r="AI16" s="2152"/>
      <c r="AJ16" s="2152"/>
      <c r="AK16" s="2152"/>
    </row>
    <row r="17" spans="1:18" hidden="1">
      <c r="K17" s="1750" t="s">
        <v>1937</v>
      </c>
      <c r="N17" s="1764" t="e">
        <f>M16*(1+#REF!)</f>
        <v>#REF!</v>
      </c>
      <c r="O17" s="1764" t="e">
        <f>N17*(1+#REF!)</f>
        <v>#REF!</v>
      </c>
      <c r="P17" s="1764" t="e">
        <f>O17*(1+#REF!)</f>
        <v>#REF!</v>
      </c>
      <c r="Q17" s="1764" t="e">
        <f>P17*(1+#REF!)</f>
        <v>#REF!</v>
      </c>
      <c r="R17" s="1764" t="e">
        <f>Q17*(1+#REF!)</f>
        <v>#REF!</v>
      </c>
    </row>
    <row r="18" spans="1:18" hidden="1">
      <c r="K18" s="1750" t="s">
        <v>1938</v>
      </c>
      <c r="N18" s="1764">
        <v>5500000</v>
      </c>
      <c r="O18" s="1764">
        <v>5500000</v>
      </c>
      <c r="P18" s="1764">
        <v>5500000</v>
      </c>
      <c r="Q18" s="1764">
        <v>5500000</v>
      </c>
      <c r="R18" s="1764">
        <v>5500000</v>
      </c>
    </row>
    <row r="19" spans="1:18" hidden="1">
      <c r="N19" s="1765" t="e">
        <f>N17/N18</f>
        <v>#REF!</v>
      </c>
      <c r="O19" s="1765" t="e">
        <f>O17/O18</f>
        <v>#REF!</v>
      </c>
      <c r="P19" s="1765" t="e">
        <f>P17/P18</f>
        <v>#REF!</v>
      </c>
      <c r="Q19" s="1765" t="e">
        <f>Q17/Q18</f>
        <v>#REF!</v>
      </c>
      <c r="R19" s="1765" t="e">
        <f>R17/R18</f>
        <v>#REF!</v>
      </c>
    </row>
    <row r="20" spans="1:18">
      <c r="A20" s="2144" t="s">
        <v>2392</v>
      </c>
      <c r="B20" s="2145"/>
      <c r="C20" s="2146"/>
      <c r="D20" s="2145"/>
      <c r="E20" s="2145"/>
      <c r="F20" s="2145"/>
      <c r="G20" s="2145"/>
      <c r="H20" s="2145"/>
      <c r="I20" s="2145"/>
      <c r="J20" s="2145"/>
      <c r="K20" s="2145"/>
      <c r="L20" s="2145"/>
      <c r="M20" s="2147"/>
      <c r="N20" s="2145"/>
      <c r="O20" s="2145"/>
      <c r="P20" s="2145"/>
      <c r="Q20" s="2145"/>
      <c r="R20" s="2145"/>
    </row>
    <row r="21" spans="1:18" s="1762" customFormat="1" ht="15" customHeight="1">
      <c r="A21" s="2110">
        <v>1</v>
      </c>
      <c r="B21" s="1758" t="s">
        <v>2387</v>
      </c>
      <c r="C21" s="1759" t="s">
        <v>1936</v>
      </c>
      <c r="D21" s="2111">
        <v>1</v>
      </c>
      <c r="E21" s="2112"/>
      <c r="F21" s="2111">
        <v>1600</v>
      </c>
      <c r="G21" s="1759">
        <v>2023</v>
      </c>
      <c r="H21" s="1759"/>
      <c r="I21" s="1760"/>
      <c r="J21" s="2122">
        <v>28</v>
      </c>
      <c r="K21" s="1761">
        <v>600</v>
      </c>
      <c r="L21" s="1760"/>
      <c r="M21" s="1761"/>
      <c r="N21" s="1761"/>
      <c r="O21" s="1761"/>
      <c r="P21" s="1761"/>
      <c r="Q21" s="1761"/>
      <c r="R21" s="1761"/>
    </row>
    <row r="22" spans="1:18" s="1762" customFormat="1" ht="15" customHeight="1">
      <c r="A22" s="2113">
        <f>A21+1</f>
        <v>2</v>
      </c>
      <c r="B22" s="2114" t="s">
        <v>2410</v>
      </c>
      <c r="C22" s="2115" t="s">
        <v>1936</v>
      </c>
      <c r="D22" s="2116">
        <v>5</v>
      </c>
      <c r="E22" s="2117">
        <v>5</v>
      </c>
      <c r="F22" s="2116">
        <v>6600</v>
      </c>
      <c r="G22" s="2115">
        <v>2023</v>
      </c>
      <c r="H22" s="2149"/>
      <c r="I22" s="1763"/>
      <c r="J22" s="2123">
        <v>27</v>
      </c>
      <c r="K22" s="2124">
        <v>2500</v>
      </c>
      <c r="L22" s="1763"/>
      <c r="M22" s="2124"/>
      <c r="N22" s="2124"/>
      <c r="O22" s="2124"/>
      <c r="P22" s="2124"/>
      <c r="Q22" s="2124">
        <v>0</v>
      </c>
      <c r="R22" s="2124">
        <v>0</v>
      </c>
    </row>
    <row r="23" spans="1:18" s="1762" customFormat="1" ht="15" customHeight="1">
      <c r="A23" s="2113">
        <f>A22+1</f>
        <v>3</v>
      </c>
      <c r="B23" s="1758" t="s">
        <v>2406</v>
      </c>
      <c r="C23" s="1759" t="s">
        <v>1936</v>
      </c>
      <c r="D23" s="2111">
        <v>10</v>
      </c>
      <c r="E23" s="2112"/>
      <c r="F23" s="2111">
        <v>8500</v>
      </c>
      <c r="G23" s="1759">
        <v>2024</v>
      </c>
      <c r="H23" s="1759"/>
      <c r="I23" s="1760"/>
      <c r="J23" s="2122">
        <v>27</v>
      </c>
      <c r="K23" s="1761">
        <v>3000</v>
      </c>
      <c r="L23" s="1760"/>
      <c r="M23" s="1761"/>
      <c r="N23" s="1761"/>
      <c r="O23" s="1761"/>
      <c r="P23" s="1761"/>
      <c r="Q23" s="1761"/>
      <c r="R23" s="1761"/>
    </row>
    <row r="24" spans="1:18" s="1762" customFormat="1" ht="15" customHeight="1">
      <c r="A24" s="2113">
        <f>A23+1</f>
        <v>4</v>
      </c>
      <c r="B24" s="2114" t="s">
        <v>1892</v>
      </c>
      <c r="C24" s="2115" t="s">
        <v>1936</v>
      </c>
      <c r="D24" s="2116">
        <v>6</v>
      </c>
      <c r="E24" s="2117">
        <v>4.3452999999999999</v>
      </c>
      <c r="F24" s="2116">
        <v>2500</v>
      </c>
      <c r="G24" s="2115">
        <v>2024</v>
      </c>
      <c r="H24" s="2115"/>
      <c r="I24" s="1763"/>
      <c r="J24" s="2123">
        <v>70</v>
      </c>
      <c r="K24" s="2124">
        <v>4000</v>
      </c>
      <c r="L24" s="1760"/>
      <c r="M24" s="2140"/>
      <c r="N24" s="2140"/>
      <c r="O24" s="2140"/>
      <c r="P24" s="2140"/>
      <c r="Q24" s="2140"/>
      <c r="R24" s="2140"/>
    </row>
    <row r="25" spans="1:18" s="1762" customFormat="1" ht="15" customHeight="1">
      <c r="A25" s="2113">
        <f>A24+1</f>
        <v>5</v>
      </c>
      <c r="B25" s="1758" t="s">
        <v>2396</v>
      </c>
      <c r="C25" s="1759" t="s">
        <v>1936</v>
      </c>
      <c r="D25" s="2111">
        <v>12</v>
      </c>
      <c r="E25" s="2112">
        <v>1.3464700000000001</v>
      </c>
      <c r="F25" s="2111">
        <v>4000</v>
      </c>
      <c r="G25" s="1759">
        <v>2025</v>
      </c>
      <c r="H25" s="1759"/>
      <c r="I25" s="1760"/>
      <c r="J25" s="2122">
        <v>80</v>
      </c>
      <c r="K25" s="1761">
        <v>8000</v>
      </c>
      <c r="L25" s="1760"/>
      <c r="M25" s="1761"/>
      <c r="N25" s="1761"/>
      <c r="O25" s="1761"/>
      <c r="P25" s="1761"/>
      <c r="Q25" s="1761"/>
      <c r="R25" s="1761"/>
    </row>
    <row r="26" spans="1:18" s="1762" customFormat="1" ht="15" customHeight="1">
      <c r="A26" s="2113"/>
      <c r="B26" s="2118" t="s">
        <v>642</v>
      </c>
      <c r="C26" s="2119"/>
      <c r="D26" s="2120">
        <f>SUM(D21:D25)</f>
        <v>34</v>
      </c>
      <c r="E26" s="2118"/>
      <c r="F26" s="2121">
        <f>SUM(F21:F25)</f>
        <v>23200</v>
      </c>
      <c r="G26" s="2118"/>
      <c r="H26" s="2118"/>
      <c r="I26" s="1763"/>
      <c r="J26" s="2125"/>
      <c r="K26" s="2124">
        <f>SUM(K21:K25)</f>
        <v>18100</v>
      </c>
      <c r="L26" s="1763"/>
      <c r="M26" s="2124"/>
      <c r="N26" s="2124"/>
      <c r="O26" s="2124"/>
      <c r="P26" s="2124"/>
      <c r="Q26" s="2124"/>
      <c r="R26" s="2124"/>
    </row>
    <row r="27" spans="1:18">
      <c r="I27" s="2109"/>
      <c r="L27" s="2109"/>
    </row>
  </sheetData>
  <conditionalFormatting sqref="K5:K15">
    <cfRule type="cellIs" dxfId="3" priority="2" stopIfTrue="1" operator="lessThan">
      <formula>0</formula>
    </cfRule>
  </conditionalFormatting>
  <conditionalFormatting sqref="K21:K26">
    <cfRule type="cellIs" dxfId="2" priority="1" stopIfTrue="1" operator="lessThan">
      <formula>0</formula>
    </cfRule>
  </conditionalFormatting>
  <conditionalFormatting sqref="M5:R26">
    <cfRule type="cellIs" dxfId="1" priority="5" stopIfTrue="1" operator="lessThan">
      <formula>0</formula>
    </cfRule>
  </conditionalFormatting>
  <conditionalFormatting sqref="O21:R23">
    <cfRule type="cellIs" dxfId="0" priority="9" stopIfTrue="1" operator="lessThan">
      <formula>0</formula>
    </cfRule>
  </conditionalFormatting>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A4E3-8B42-442D-B539-AF77F51225B9}">
  <dimension ref="A1:U16"/>
  <sheetViews>
    <sheetView workbookViewId="0"/>
  </sheetViews>
  <sheetFormatPr defaultRowHeight="12"/>
  <sheetData>
    <row r="1" spans="1:21">
      <c r="T1" s="813"/>
    </row>
    <row r="2" spans="1:21">
      <c r="T2" s="813"/>
    </row>
    <row r="3" spans="1:21">
      <c r="D3" s="2189"/>
      <c r="E3" s="813"/>
      <c r="F3" s="813"/>
      <c r="G3" s="2189"/>
      <c r="H3" s="2189"/>
      <c r="I3" s="2189"/>
      <c r="J3" s="2189"/>
      <c r="R3" s="830"/>
      <c r="S3" s="814"/>
    </row>
    <row r="4" spans="1:21">
      <c r="D4" s="2189"/>
      <c r="E4" s="813"/>
      <c r="F4" s="813"/>
      <c r="G4" s="2189"/>
      <c r="H4" s="2189"/>
      <c r="I4" s="2189"/>
      <c r="J4" s="2189"/>
      <c r="R4" s="830"/>
      <c r="S4" s="814"/>
    </row>
    <row r="5" spans="1:21">
      <c r="D5" s="2189"/>
      <c r="E5" s="813"/>
      <c r="F5" s="813"/>
      <c r="G5" s="2189"/>
      <c r="H5" s="2189"/>
      <c r="I5" s="2189"/>
      <c r="J5" s="2189"/>
      <c r="R5" s="830"/>
      <c r="S5" s="814"/>
    </row>
    <row r="6" spans="1:21">
      <c r="D6" s="2189"/>
      <c r="E6" s="813"/>
      <c r="F6" s="813"/>
      <c r="G6" s="2189"/>
      <c r="H6" s="2189"/>
      <c r="I6" s="2189"/>
      <c r="J6" s="2189"/>
      <c r="R6" s="830"/>
      <c r="S6" s="814"/>
    </row>
    <row r="7" spans="1:21">
      <c r="D7" s="2189"/>
      <c r="E7" s="813"/>
      <c r="F7" s="813"/>
      <c r="G7" s="2189"/>
      <c r="H7" s="2189"/>
      <c r="I7" s="2189"/>
      <c r="J7" s="2189"/>
      <c r="R7" s="830"/>
      <c r="S7" s="814"/>
    </row>
    <row r="11" spans="1:21">
      <c r="A11" t="s">
        <v>2565</v>
      </c>
      <c r="B11" t="s">
        <v>2566</v>
      </c>
      <c r="C11" t="s">
        <v>2567</v>
      </c>
      <c r="D11" t="s">
        <v>2568</v>
      </c>
      <c r="E11" t="s">
        <v>2569</v>
      </c>
      <c r="F11" t="s">
        <v>2570</v>
      </c>
      <c r="G11" t="s">
        <v>2571</v>
      </c>
      <c r="H11" t="s">
        <v>2572</v>
      </c>
      <c r="I11" t="s">
        <v>2573</v>
      </c>
      <c r="J11" t="s">
        <v>2574</v>
      </c>
      <c r="K11" t="s">
        <v>2575</v>
      </c>
      <c r="L11" t="s">
        <v>2576</v>
      </c>
      <c r="M11" t="s">
        <v>2577</v>
      </c>
      <c r="N11" t="s">
        <v>2578</v>
      </c>
      <c r="O11" t="s">
        <v>2579</v>
      </c>
      <c r="P11" t="s">
        <v>2580</v>
      </c>
      <c r="Q11" t="s">
        <v>2581</v>
      </c>
      <c r="R11" t="s">
        <v>2582</v>
      </c>
      <c r="S11" t="s">
        <v>2583</v>
      </c>
      <c r="T11" s="813" t="s">
        <v>2584</v>
      </c>
      <c r="U11" t="s">
        <v>2585</v>
      </c>
    </row>
    <row r="12" spans="1:21">
      <c r="C12" t="str">
        <f>Prive!A1</f>
        <v>Prive</v>
      </c>
      <c r="D12" s="2189">
        <f>Prive!S5</f>
        <v>3175</v>
      </c>
      <c r="E12" s="813">
        <f>Prive!S7</f>
        <v>120</v>
      </c>
      <c r="F12" s="813">
        <f>Prive!S6*Prive!S5</f>
        <v>238125</v>
      </c>
      <c r="G12" s="2189">
        <f>Prive!N11</f>
        <v>300000</v>
      </c>
      <c r="H12" s="2189">
        <f>Prive!N10</f>
        <v>67143</v>
      </c>
      <c r="I12" s="2189">
        <f>Prive!S10</f>
        <v>22</v>
      </c>
      <c r="J12" s="2189">
        <f>Prive!S8</f>
        <v>48.399192767674961</v>
      </c>
      <c r="K12">
        <f>Prive!D10</f>
        <v>2017</v>
      </c>
      <c r="L12">
        <f>Prive!D10</f>
        <v>2017</v>
      </c>
      <c r="M12">
        <v>2025</v>
      </c>
      <c r="N12">
        <f>Prive!D10+1</f>
        <v>2018</v>
      </c>
      <c r="O12">
        <f>Prive!D11</f>
        <v>2029</v>
      </c>
      <c r="P12">
        <f>O12-M12</f>
        <v>4</v>
      </c>
      <c r="Q12">
        <f>M12</f>
        <v>2025</v>
      </c>
      <c r="R12" s="830">
        <f>Prive!D46</f>
        <v>0.15</v>
      </c>
      <c r="S12" s="814">
        <f>Prive!P23</f>
        <v>0.10500000000000001</v>
      </c>
    </row>
    <row r="13" spans="1:21">
      <c r="C13" t="str">
        <f>'Long Thanh 92ha'!A1</f>
        <v>Gem Sky World Long Thanh</v>
      </c>
      <c r="D13" s="2189">
        <f>'Long Thanh 92ha'!S5</f>
        <v>4000</v>
      </c>
      <c r="E13" s="813">
        <f>'Long Thanh 92ha'!S7</f>
        <v>25</v>
      </c>
      <c r="F13" s="813">
        <f>'Long Thanh 92ha'!S6*'Long Thanh 92ha'!S5</f>
        <v>465000</v>
      </c>
      <c r="G13" s="2189">
        <f>'Long Thanh 92ha'!N11</f>
        <v>465000</v>
      </c>
      <c r="H13" s="2189">
        <f>'Long Thanh 92ha'!N10</f>
        <v>920000</v>
      </c>
      <c r="I13" s="2189">
        <f>'Long Thanh 92ha'!S10</f>
        <v>5</v>
      </c>
      <c r="J13" s="2189">
        <f>'Long Thanh 92ha'!S8</f>
        <v>3.3</v>
      </c>
      <c r="K13">
        <f>'Long Thanh 92ha'!D10</f>
        <v>2019</v>
      </c>
      <c r="L13">
        <f>'Long Thanh 92ha'!D10</f>
        <v>2019</v>
      </c>
      <c r="M13">
        <f>'Long Thanh 92ha'!D10+1</f>
        <v>2020</v>
      </c>
      <c r="N13">
        <f>'Long Thanh 92ha'!D10+1</f>
        <v>2020</v>
      </c>
      <c r="O13">
        <f>'Long Thanh 92ha'!D11</f>
        <v>2026</v>
      </c>
      <c r="P13">
        <f>O13-M13</f>
        <v>6</v>
      </c>
      <c r="Q13">
        <f>M13</f>
        <v>2020</v>
      </c>
      <c r="R13" s="830">
        <f>'Long Thanh 92ha'!D46</f>
        <v>0.3</v>
      </c>
      <c r="S13" s="814">
        <f>'Long Thanh 92ha'!P23</f>
        <v>0.125</v>
      </c>
    </row>
    <row r="14" spans="1:21">
      <c r="C14" t="str">
        <f>'Gem Premium'!A1</f>
        <v>Gem Premium Thu Duc (Opal Premium)</v>
      </c>
      <c r="D14" s="2189">
        <f>'Gem Premium'!S5</f>
        <v>3800</v>
      </c>
      <c r="E14" s="813">
        <f>'Gem Premium'!S7</f>
        <v>82</v>
      </c>
      <c r="F14" s="813">
        <f>'Gem Premium'!S6*'Gem Premium'!S5</f>
        <v>400000</v>
      </c>
      <c r="G14" s="2189">
        <f>'Gem Premium'!N11</f>
        <v>370000</v>
      </c>
      <c r="H14" s="2189">
        <f>'Gem Premium'!N10</f>
        <v>120000</v>
      </c>
      <c r="I14" s="2189">
        <f>'Gem Premium'!S10</f>
        <v>18</v>
      </c>
      <c r="J14" s="2189">
        <f>'Gem Premium'!S8</f>
        <v>35</v>
      </c>
      <c r="K14">
        <f>'Gem Premium'!D10</f>
        <v>2027</v>
      </c>
      <c r="L14">
        <f>'Gem Premium'!D10</f>
        <v>2027</v>
      </c>
      <c r="M14">
        <f>'Gem Premium'!D10+1</f>
        <v>2028</v>
      </c>
      <c r="N14">
        <f>'Gem Premium'!D10+1</f>
        <v>2028</v>
      </c>
      <c r="O14">
        <f>'Gem Premium'!D11</f>
        <v>2032</v>
      </c>
      <c r="P14">
        <f>O14-M14</f>
        <v>4</v>
      </c>
      <c r="Q14">
        <f>M14</f>
        <v>2028</v>
      </c>
      <c r="R14" s="830">
        <f>'Gem Premium'!D46</f>
        <v>0.15</v>
      </c>
      <c r="S14" s="814">
        <f>'Gem Premium'!P23</f>
        <v>0.125</v>
      </c>
    </row>
    <row r="15" spans="1:21">
      <c r="D15" s="2189"/>
      <c r="E15" s="813"/>
      <c r="F15" s="813"/>
      <c r="G15" s="2189"/>
      <c r="H15" s="2189"/>
      <c r="I15" s="2189"/>
      <c r="J15" s="2189"/>
      <c r="R15" s="830"/>
      <c r="S15" s="814"/>
    </row>
    <row r="16" spans="1:21">
      <c r="D16" s="2189"/>
      <c r="E16" s="813"/>
      <c r="F16" s="813"/>
      <c r="G16" s="2189"/>
      <c r="H16" s="2189"/>
      <c r="I16" s="2189"/>
      <c r="J16" s="2189"/>
      <c r="R16" s="830"/>
      <c r="S16" s="814"/>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J338"/>
  <sheetViews>
    <sheetView tabSelected="1" topLeftCell="A12" zoomScaleNormal="100" workbookViewId="0">
      <selection activeCell="P24" sqref="P24"/>
    </sheetView>
  </sheetViews>
  <sheetFormatPr defaultColWidth="9.140625" defaultRowHeight="12"/>
  <cols>
    <col min="1" max="1" width="3.85546875" style="1431" customWidth="1"/>
    <col min="2" max="2" width="24.85546875" style="1431" bestFit="1" customWidth="1"/>
    <col min="3" max="4" width="11.85546875" style="1431" bestFit="1" customWidth="1"/>
    <col min="5" max="5" width="13" style="1431" bestFit="1" customWidth="1"/>
    <col min="6" max="6" width="11.85546875" style="1431" bestFit="1" customWidth="1"/>
    <col min="7" max="9" width="12.7109375" style="1431" bestFit="1" customWidth="1"/>
    <col min="10" max="11" width="10.7109375" style="1431" customWidth="1"/>
    <col min="12" max="24" width="9.140625" style="1431"/>
    <col min="25" max="25" width="14.7109375" style="1431" customWidth="1"/>
    <col min="26" max="26" width="17.140625" style="1431" customWidth="1"/>
    <col min="27" max="30" width="7.7109375" style="1431" customWidth="1"/>
    <col min="31" max="16384" width="9.140625" style="1431"/>
  </cols>
  <sheetData>
    <row r="1" spans="1:24" ht="21">
      <c r="A1" s="1404" t="s">
        <v>1595</v>
      </c>
      <c r="E1" s="1440"/>
      <c r="F1" s="1440"/>
      <c r="G1" s="1440"/>
      <c r="I1" s="1440"/>
    </row>
    <row r="2" spans="1:24">
      <c r="A2" s="1405" t="s">
        <v>1731</v>
      </c>
      <c r="I2" s="1440"/>
    </row>
    <row r="4" spans="1:24">
      <c r="C4" s="1407" t="s">
        <v>878</v>
      </c>
      <c r="D4" s="1431">
        <v>2013</v>
      </c>
      <c r="E4" s="1431">
        <f t="shared" ref="E4:J4" si="0">D4+1</f>
        <v>2014</v>
      </c>
      <c r="F4" s="1431">
        <f t="shared" si="0"/>
        <v>2015</v>
      </c>
      <c r="G4" s="1431">
        <f t="shared" si="0"/>
        <v>2016</v>
      </c>
      <c r="H4" s="1431">
        <f t="shared" si="0"/>
        <v>2017</v>
      </c>
      <c r="I4" s="1431">
        <f t="shared" si="0"/>
        <v>2018</v>
      </c>
      <c r="J4" s="1431">
        <f t="shared" si="0"/>
        <v>2019</v>
      </c>
      <c r="K4" s="1431">
        <f t="shared" ref="K4:V4" si="1">J4+1</f>
        <v>2020</v>
      </c>
      <c r="L4" s="1431">
        <f t="shared" si="1"/>
        <v>2021</v>
      </c>
      <c r="M4" s="1431">
        <f t="shared" si="1"/>
        <v>2022</v>
      </c>
      <c r="N4" s="1431">
        <f t="shared" si="1"/>
        <v>2023</v>
      </c>
      <c r="O4" s="1431">
        <f t="shared" si="1"/>
        <v>2024</v>
      </c>
      <c r="P4" s="1431">
        <f t="shared" si="1"/>
        <v>2025</v>
      </c>
      <c r="Q4" s="1431">
        <f>P4+1</f>
        <v>2026</v>
      </c>
      <c r="R4" s="1431">
        <f t="shared" si="1"/>
        <v>2027</v>
      </c>
      <c r="S4" s="1431">
        <f t="shared" si="1"/>
        <v>2028</v>
      </c>
      <c r="T4" s="1431">
        <f t="shared" si="1"/>
        <v>2029</v>
      </c>
      <c r="U4" s="1431">
        <f t="shared" si="1"/>
        <v>2030</v>
      </c>
      <c r="V4" s="1431">
        <f t="shared" si="1"/>
        <v>2031</v>
      </c>
    </row>
    <row r="5" spans="1:24">
      <c r="C5" s="1432" t="s">
        <v>26</v>
      </c>
      <c r="D5" s="1408"/>
      <c r="E5" s="1408"/>
      <c r="F5" s="1408">
        <f t="shared" ref="F5:M5" si="2">F100</f>
        <v>0</v>
      </c>
      <c r="G5" s="1408">
        <f t="shared" si="2"/>
        <v>0</v>
      </c>
      <c r="H5" s="1408">
        <f t="shared" si="2"/>
        <v>321.45830400000006</v>
      </c>
      <c r="I5" s="1408">
        <f t="shared" si="2"/>
        <v>750.06937600000003</v>
      </c>
      <c r="J5" s="1408">
        <f t="shared" si="2"/>
        <v>690.48299999999995</v>
      </c>
      <c r="K5" s="1408">
        <f t="shared" si="2"/>
        <v>0</v>
      </c>
      <c r="L5" s="1408">
        <f t="shared" si="2"/>
        <v>3785.44875</v>
      </c>
      <c r="M5" s="1408">
        <f t="shared" si="2"/>
        <v>2797.7692499999998</v>
      </c>
      <c r="N5" s="1408">
        <f t="shared" ref="N5:V5" si="3">N100</f>
        <v>2961.0794999999998</v>
      </c>
      <c r="O5" s="1408">
        <f t="shared" si="3"/>
        <v>1721.68975</v>
      </c>
      <c r="P5" s="1408">
        <f t="shared" si="3"/>
        <v>5729.3456016</v>
      </c>
      <c r="Q5" s="1408">
        <f t="shared" si="3"/>
        <v>7456.6531928400009</v>
      </c>
      <c r="R5" s="1408">
        <f t="shared" si="3"/>
        <v>17183.022173559999</v>
      </c>
      <c r="S5" s="1408">
        <f t="shared" si="3"/>
        <v>17715.073624999997</v>
      </c>
      <c r="T5" s="1408">
        <f t="shared" si="3"/>
        <v>3543.0147249999995</v>
      </c>
      <c r="U5" s="1408">
        <f t="shared" si="3"/>
        <v>25176.888890805476</v>
      </c>
      <c r="V5" s="1408">
        <f t="shared" si="3"/>
        <v>44855.688890805475</v>
      </c>
      <c r="W5" s="1410"/>
    </row>
    <row r="6" spans="1:24">
      <c r="C6" s="1431" t="s">
        <v>432</v>
      </c>
      <c r="D6" s="1410"/>
      <c r="E6" s="1410"/>
      <c r="F6" s="1410">
        <f t="shared" ref="F6:M6" si="4">F5-F7</f>
        <v>0</v>
      </c>
      <c r="G6" s="1410">
        <f t="shared" si="4"/>
        <v>0</v>
      </c>
      <c r="H6" s="1410">
        <f t="shared" si="4"/>
        <v>208.43288926079998</v>
      </c>
      <c r="I6" s="1410">
        <f t="shared" si="4"/>
        <v>486.34340827519992</v>
      </c>
      <c r="J6" s="1410">
        <f t="shared" si="4"/>
        <v>439.5451716</v>
      </c>
      <c r="K6" s="1410">
        <f t="shared" si="4"/>
        <v>0</v>
      </c>
      <c r="L6" s="1410">
        <f t="shared" si="4"/>
        <v>2095.394810625</v>
      </c>
      <c r="M6" s="1410">
        <f t="shared" si="4"/>
        <v>1578.2338863749999</v>
      </c>
      <c r="N6" s="1410">
        <f t="shared" ref="N6:V6" si="5">N5-N7</f>
        <v>1713.5998042499996</v>
      </c>
      <c r="O6" s="1410">
        <f t="shared" si="5"/>
        <v>1002.7068821249999</v>
      </c>
      <c r="P6" s="1410">
        <f t="shared" si="5"/>
        <v>3638.8461606173996</v>
      </c>
      <c r="Q6" s="1410">
        <f t="shared" si="5"/>
        <v>4491.6679591947614</v>
      </c>
      <c r="R6" s="1410">
        <f t="shared" si="5"/>
        <v>6315.4913929188406</v>
      </c>
      <c r="S6" s="1410">
        <f t="shared" si="5"/>
        <v>5498.6848452499999</v>
      </c>
      <c r="T6" s="1410">
        <f t="shared" si="5"/>
        <v>1099.73696905</v>
      </c>
      <c r="U6" s="1410">
        <f t="shared" si="5"/>
        <v>11562.028706718989</v>
      </c>
      <c r="V6" s="1410">
        <f t="shared" si="5"/>
        <v>19648.058756718994</v>
      </c>
      <c r="W6" s="1410"/>
    </row>
    <row r="7" spans="1:24">
      <c r="C7" s="1431" t="s">
        <v>28</v>
      </c>
      <c r="D7" s="1410"/>
      <c r="E7" s="1410"/>
      <c r="F7" s="1410">
        <f t="shared" ref="F7:M7" si="6">F168</f>
        <v>0</v>
      </c>
      <c r="G7" s="1410">
        <f t="shared" si="6"/>
        <v>0</v>
      </c>
      <c r="H7" s="1410">
        <f t="shared" si="6"/>
        <v>113.02541473920007</v>
      </c>
      <c r="I7" s="1410">
        <f t="shared" si="6"/>
        <v>263.72596772480011</v>
      </c>
      <c r="J7" s="1410">
        <f t="shared" si="6"/>
        <v>250.93782839999994</v>
      </c>
      <c r="K7" s="1410">
        <f t="shared" si="6"/>
        <v>0</v>
      </c>
      <c r="L7" s="1410">
        <f t="shared" si="6"/>
        <v>1690.053939375</v>
      </c>
      <c r="M7" s="1410">
        <f t="shared" si="6"/>
        <v>1219.5353636249999</v>
      </c>
      <c r="N7" s="1410">
        <f t="shared" ref="N7:V7" si="7">N168</f>
        <v>1247.4796957500002</v>
      </c>
      <c r="O7" s="1410">
        <f t="shared" si="7"/>
        <v>718.98286787500012</v>
      </c>
      <c r="P7" s="1410">
        <f>P168</f>
        <v>2090.4994409826004</v>
      </c>
      <c r="Q7" s="1410">
        <f t="shared" si="7"/>
        <v>2964.98523364524</v>
      </c>
      <c r="R7" s="1410">
        <f t="shared" si="7"/>
        <v>10867.530780641158</v>
      </c>
      <c r="S7" s="1410">
        <f t="shared" si="7"/>
        <v>12216.388779749997</v>
      </c>
      <c r="T7" s="1410">
        <f t="shared" si="7"/>
        <v>2443.2777559499996</v>
      </c>
      <c r="U7" s="1410">
        <f t="shared" si="7"/>
        <v>13614.860184086487</v>
      </c>
      <c r="V7" s="1410">
        <f t="shared" si="7"/>
        <v>25207.630134086481</v>
      </c>
      <c r="W7" s="1410"/>
    </row>
    <row r="8" spans="1:24">
      <c r="C8" s="1431" t="s">
        <v>656</v>
      </c>
      <c r="D8" s="1410"/>
      <c r="E8" s="1410"/>
      <c r="F8" s="1410">
        <f t="shared" ref="F8:Q8" si="8">F5*$X$8</f>
        <v>0</v>
      </c>
      <c r="G8" s="1410">
        <f t="shared" si="8"/>
        <v>0</v>
      </c>
      <c r="H8" s="1410">
        <f t="shared" si="8"/>
        <v>70.720826880000018</v>
      </c>
      <c r="I8" s="1410">
        <f t="shared" si="8"/>
        <v>165.01526272000001</v>
      </c>
      <c r="J8" s="1410">
        <f t="shared" si="8"/>
        <v>151.90626</v>
      </c>
      <c r="K8" s="1410">
        <f t="shared" si="8"/>
        <v>0</v>
      </c>
      <c r="L8" s="1410">
        <f t="shared" si="8"/>
        <v>832.79872499999999</v>
      </c>
      <c r="M8" s="1410">
        <f t="shared" si="8"/>
        <v>615.50923499999999</v>
      </c>
      <c r="N8" s="1410">
        <f t="shared" si="8"/>
        <v>651.43748999999991</v>
      </c>
      <c r="O8" s="1410">
        <f t="shared" si="8"/>
        <v>378.77174500000001</v>
      </c>
      <c r="P8" s="1410">
        <f t="shared" si="8"/>
        <v>1260.456032352</v>
      </c>
      <c r="Q8" s="1410">
        <f t="shared" si="8"/>
        <v>1640.4637024248002</v>
      </c>
      <c r="R8" s="1410">
        <f>R5*$X$8</f>
        <v>3780.2648781831999</v>
      </c>
      <c r="S8" s="1410">
        <f>S5*$X$8</f>
        <v>3897.3161974999994</v>
      </c>
      <c r="T8" s="1410">
        <f>T5*$X$8</f>
        <v>779.46323949999987</v>
      </c>
      <c r="U8" s="1410">
        <f>U5*$X$8</f>
        <v>5538.9155559772043</v>
      </c>
      <c r="V8" s="1410">
        <f>V5*$X$8</f>
        <v>9868.2515559772055</v>
      </c>
      <c r="W8" s="1410"/>
      <c r="X8" s="1416">
        <v>0.22</v>
      </c>
    </row>
    <row r="9" spans="1:24">
      <c r="C9" s="1431" t="s">
        <v>805</v>
      </c>
      <c r="D9" s="1410"/>
      <c r="E9" s="1410"/>
      <c r="F9" s="1410"/>
      <c r="G9" s="1410"/>
      <c r="H9" s="1410"/>
      <c r="I9" s="1410"/>
      <c r="J9" s="1410"/>
      <c r="K9" s="1410"/>
      <c r="L9" s="1410"/>
      <c r="M9" s="1410"/>
      <c r="N9" s="1410"/>
      <c r="O9" s="1410"/>
      <c r="P9" s="1410"/>
      <c r="Q9" s="1410"/>
      <c r="R9" s="1410"/>
      <c r="S9" s="1410"/>
      <c r="T9" s="1410"/>
      <c r="U9" s="1410"/>
      <c r="V9" s="1410"/>
      <c r="W9" s="1410"/>
      <c r="X9" s="1431" t="s">
        <v>1815</v>
      </c>
    </row>
    <row r="10" spans="1:24">
      <c r="A10" s="1440"/>
      <c r="C10" s="1431" t="s">
        <v>822</v>
      </c>
      <c r="D10" s="1410"/>
      <c r="E10" s="1410"/>
      <c r="F10" s="1410">
        <f t="shared" ref="F10:M10" si="9">F7-F8-F9</f>
        <v>0</v>
      </c>
      <c r="G10" s="1410">
        <f t="shared" si="9"/>
        <v>0</v>
      </c>
      <c r="H10" s="1410">
        <f t="shared" si="9"/>
        <v>42.304587859200055</v>
      </c>
      <c r="I10" s="1410">
        <f t="shared" si="9"/>
        <v>98.710705004800104</v>
      </c>
      <c r="J10" s="1410">
        <f t="shared" si="9"/>
        <v>99.031568399999941</v>
      </c>
      <c r="K10" s="1410">
        <f t="shared" si="9"/>
        <v>0</v>
      </c>
      <c r="L10" s="1410">
        <f t="shared" si="9"/>
        <v>857.25521437500004</v>
      </c>
      <c r="M10" s="1410">
        <f t="shared" si="9"/>
        <v>604.02612862499996</v>
      </c>
      <c r="N10" s="1410">
        <f t="shared" ref="N10:V10" si="10">N7-N8-N9</f>
        <v>596.04220575000033</v>
      </c>
      <c r="O10" s="1410">
        <f t="shared" si="10"/>
        <v>340.21112287500011</v>
      </c>
      <c r="P10" s="1410">
        <f t="shared" si="10"/>
        <v>830.04340863060042</v>
      </c>
      <c r="Q10" s="1410">
        <f t="shared" si="10"/>
        <v>1324.5215312204398</v>
      </c>
      <c r="R10" s="1410">
        <f t="shared" si="10"/>
        <v>7087.2659024579589</v>
      </c>
      <c r="S10" s="1410">
        <f t="shared" si="10"/>
        <v>8319.072582249999</v>
      </c>
      <c r="T10" s="1410">
        <f t="shared" si="10"/>
        <v>1663.8145164499997</v>
      </c>
      <c r="U10" s="1410">
        <f t="shared" si="10"/>
        <v>8075.9446281092823</v>
      </c>
      <c r="V10" s="1410">
        <f t="shared" si="10"/>
        <v>15339.378578109276</v>
      </c>
      <c r="W10" s="1410"/>
    </row>
    <row r="11" spans="1:24">
      <c r="C11" s="1431" t="s">
        <v>290</v>
      </c>
      <c r="D11" s="1463"/>
      <c r="E11" s="1463"/>
      <c r="F11" s="1410">
        <f>F10-F12</f>
        <v>0</v>
      </c>
      <c r="G11" s="1410">
        <f t="shared" ref="G11:M11" si="11">G10-G12</f>
        <v>0</v>
      </c>
      <c r="H11" s="1410">
        <f t="shared" si="11"/>
        <v>-12.112413884159992</v>
      </c>
      <c r="I11" s="1410">
        <f t="shared" si="11"/>
        <v>-28.262299063039961</v>
      </c>
      <c r="J11" s="1410">
        <f t="shared" si="11"/>
        <v>-24.384598320000009</v>
      </c>
      <c r="K11" s="1410">
        <f t="shared" si="11"/>
        <v>0</v>
      </c>
      <c r="L11" s="1410">
        <f t="shared" si="11"/>
        <v>413.71976287499996</v>
      </c>
      <c r="M11" s="1410">
        <f t="shared" si="11"/>
        <v>215.62245772499995</v>
      </c>
      <c r="N11" s="1410">
        <f t="shared" ref="N11:V11" si="12">N10-N12</f>
        <v>123.51432915000032</v>
      </c>
      <c r="O11" s="1410">
        <f t="shared" si="12"/>
        <v>54.761568575000069</v>
      </c>
      <c r="P11" s="1410">
        <f t="shared" si="12"/>
        <v>100.52894397251998</v>
      </c>
      <c r="Q11" s="1410">
        <f t="shared" si="12"/>
        <v>263.76649085824783</v>
      </c>
      <c r="R11" s="1410">
        <f t="shared" si="12"/>
        <v>388.86079774983227</v>
      </c>
      <c r="S11" s="1410">
        <f t="shared" si="12"/>
        <v>671.77039345000048</v>
      </c>
      <c r="T11" s="1410">
        <f t="shared" si="12"/>
        <v>134.35407869000005</v>
      </c>
      <c r="U11" s="1410">
        <f t="shared" si="12"/>
        <v>100.11763661030545</v>
      </c>
      <c r="V11" s="1410">
        <f t="shared" si="12"/>
        <v>536.96895994363513</v>
      </c>
      <c r="W11" s="1410"/>
    </row>
    <row r="12" spans="1:24">
      <c r="C12" s="1431" t="s">
        <v>661</v>
      </c>
      <c r="D12" s="1410"/>
      <c r="E12" s="1410"/>
      <c r="F12" s="1410">
        <f t="shared" ref="F12:M12" si="13">F134</f>
        <v>0</v>
      </c>
      <c r="G12" s="1410">
        <f t="shared" si="13"/>
        <v>0</v>
      </c>
      <c r="H12" s="1410">
        <f t="shared" si="13"/>
        <v>54.417001743360046</v>
      </c>
      <c r="I12" s="1410">
        <f t="shared" si="13"/>
        <v>126.97300406784007</v>
      </c>
      <c r="J12" s="1410">
        <f t="shared" si="13"/>
        <v>123.41616671999995</v>
      </c>
      <c r="K12" s="1410">
        <f t="shared" si="13"/>
        <v>0</v>
      </c>
      <c r="L12" s="1410">
        <f t="shared" si="13"/>
        <v>443.53545150000008</v>
      </c>
      <c r="M12" s="1410">
        <f t="shared" si="13"/>
        <v>388.40367090000001</v>
      </c>
      <c r="N12" s="1410">
        <f t="shared" ref="N12:V12" si="14">N134</f>
        <v>472.52787660000001</v>
      </c>
      <c r="O12" s="1410">
        <f t="shared" si="14"/>
        <v>285.44955430000005</v>
      </c>
      <c r="P12" s="1410">
        <f t="shared" si="14"/>
        <v>729.51446465808044</v>
      </c>
      <c r="Q12" s="1410">
        <f t="shared" si="14"/>
        <v>1060.7550403621919</v>
      </c>
      <c r="R12" s="1410">
        <f t="shared" si="14"/>
        <v>6698.4051047081266</v>
      </c>
      <c r="S12" s="1410">
        <f t="shared" si="14"/>
        <v>7647.3021887999985</v>
      </c>
      <c r="T12" s="1410">
        <f t="shared" si="14"/>
        <v>1529.4604377599996</v>
      </c>
      <c r="U12" s="1410">
        <f t="shared" si="14"/>
        <v>7975.8269914989769</v>
      </c>
      <c r="V12" s="1410">
        <f t="shared" si="14"/>
        <v>14802.40961816564</v>
      </c>
      <c r="W12" s="1410"/>
    </row>
    <row r="13" spans="1:24">
      <c r="C13" s="1431" t="s">
        <v>1264</v>
      </c>
      <c r="D13" s="1410"/>
      <c r="E13" s="1410"/>
      <c r="F13" s="1410">
        <f t="shared" ref="F13:P13" si="15">AD134</f>
        <v>0</v>
      </c>
      <c r="G13" s="1410">
        <f t="shared" si="15"/>
        <v>0</v>
      </c>
      <c r="H13" s="1410">
        <f t="shared" si="15"/>
        <v>0</v>
      </c>
      <c r="I13" s="1410">
        <f t="shared" si="15"/>
        <v>0</v>
      </c>
      <c r="J13" s="1410">
        <f t="shared" si="15"/>
        <v>0</v>
      </c>
      <c r="K13" s="1410">
        <f t="shared" si="15"/>
        <v>0</v>
      </c>
      <c r="L13" s="1410">
        <f t="shared" si="15"/>
        <v>0</v>
      </c>
      <c r="M13" s="1410">
        <f t="shared" si="15"/>
        <v>0</v>
      </c>
      <c r="N13" s="1410">
        <f t="shared" si="15"/>
        <v>0</v>
      </c>
      <c r="O13" s="1410">
        <f t="shared" si="15"/>
        <v>0</v>
      </c>
      <c r="P13" s="1410">
        <f t="shared" si="15"/>
        <v>0</v>
      </c>
      <c r="Q13" s="1410">
        <f t="shared" ref="Q13" si="16">AO134</f>
        <v>0</v>
      </c>
      <c r="R13" s="1410">
        <f>AP134</f>
        <v>0</v>
      </c>
      <c r="S13" s="1410">
        <f>AQ134</f>
        <v>0</v>
      </c>
      <c r="T13" s="1410">
        <f>AR134</f>
        <v>0</v>
      </c>
      <c r="U13" s="1410">
        <f>AS134</f>
        <v>0</v>
      </c>
      <c r="V13" s="1410">
        <f>AT134</f>
        <v>0</v>
      </c>
      <c r="W13" s="1410"/>
    </row>
    <row r="14" spans="1:24">
      <c r="C14" s="1431" t="s">
        <v>1619</v>
      </c>
      <c r="D14" s="1410"/>
      <c r="E14" s="1410"/>
      <c r="F14" s="1410">
        <f>F12-F13</f>
        <v>0</v>
      </c>
      <c r="G14" s="1410">
        <f t="shared" ref="G14:M14" si="17">G12-G13</f>
        <v>0</v>
      </c>
      <c r="H14" s="1410">
        <f t="shared" si="17"/>
        <v>54.417001743360046</v>
      </c>
      <c r="I14" s="1410">
        <f t="shared" si="17"/>
        <v>126.97300406784007</v>
      </c>
      <c r="J14" s="1410">
        <f t="shared" si="17"/>
        <v>123.41616671999995</v>
      </c>
      <c r="K14" s="1410">
        <f t="shared" si="17"/>
        <v>0</v>
      </c>
      <c r="L14" s="1410">
        <f t="shared" si="17"/>
        <v>443.53545150000008</v>
      </c>
      <c r="M14" s="1410">
        <f t="shared" si="17"/>
        <v>388.40367090000001</v>
      </c>
      <c r="N14" s="1410">
        <f t="shared" ref="N14:V14" si="18">N12-N13</f>
        <v>472.52787660000001</v>
      </c>
      <c r="O14" s="1410">
        <f t="shared" si="18"/>
        <v>285.44955430000005</v>
      </c>
      <c r="P14" s="1410">
        <f t="shared" si="18"/>
        <v>729.51446465808044</v>
      </c>
      <c r="Q14" s="1410">
        <f t="shared" si="18"/>
        <v>1060.7550403621919</v>
      </c>
      <c r="R14" s="1410">
        <f t="shared" si="18"/>
        <v>6698.4051047081266</v>
      </c>
      <c r="S14" s="1410">
        <f t="shared" si="18"/>
        <v>7647.3021887999985</v>
      </c>
      <c r="T14" s="1410">
        <f t="shared" si="18"/>
        <v>1529.4604377599996</v>
      </c>
      <c r="U14" s="1410">
        <f t="shared" si="18"/>
        <v>7975.8269914989769</v>
      </c>
      <c r="V14" s="1410">
        <f t="shared" si="18"/>
        <v>14802.40961816564</v>
      </c>
      <c r="W14" s="1410"/>
    </row>
    <row r="15" spans="1:24">
      <c r="C15" s="1428" t="s">
        <v>1600</v>
      </c>
      <c r="D15" s="1425"/>
      <c r="E15" s="1425"/>
      <c r="F15" s="1425" t="e">
        <f t="shared" ref="F15:M15" si="19">F7/F5</f>
        <v>#DIV/0!</v>
      </c>
      <c r="G15" s="1425" t="e">
        <f t="shared" si="19"/>
        <v>#DIV/0!</v>
      </c>
      <c r="H15" s="1425">
        <f t="shared" si="19"/>
        <v>0.35160209997001679</v>
      </c>
      <c r="I15" s="1425">
        <f t="shared" si="19"/>
        <v>0.35160209997001679</v>
      </c>
      <c r="J15" s="1425"/>
      <c r="K15" s="1425" t="e">
        <f t="shared" si="19"/>
        <v>#DIV/0!</v>
      </c>
      <c r="L15" s="1425">
        <f t="shared" si="19"/>
        <v>0.44646065790086314</v>
      </c>
      <c r="M15" s="1425">
        <f t="shared" si="19"/>
        <v>0.43589562063597631</v>
      </c>
      <c r="N15" s="1425">
        <f t="shared" ref="N15:V15" si="20">N7/N5</f>
        <v>0.42129219960153058</v>
      </c>
      <c r="O15" s="1425">
        <f t="shared" si="20"/>
        <v>0.41760303671146332</v>
      </c>
      <c r="P15" s="1425">
        <f t="shared" si="20"/>
        <v>0.36487577925108922</v>
      </c>
      <c r="Q15" s="1425">
        <f t="shared" si="20"/>
        <v>0.39762949368387773</v>
      </c>
      <c r="R15" s="1425">
        <f t="shared" si="20"/>
        <v>0.6324574728980642</v>
      </c>
      <c r="S15" s="1425">
        <f t="shared" si="20"/>
        <v>0.68960417768232674</v>
      </c>
      <c r="T15" s="1425">
        <f t="shared" si="20"/>
        <v>0.68960417768232674</v>
      </c>
      <c r="U15" s="1425">
        <f t="shared" si="20"/>
        <v>0.54076817207778971</v>
      </c>
      <c r="V15" s="1425">
        <f t="shared" si="20"/>
        <v>0.56197175335888205</v>
      </c>
      <c r="W15" s="1425"/>
    </row>
    <row r="16" spans="1:24">
      <c r="C16" s="1428" t="s">
        <v>1806</v>
      </c>
      <c r="D16" s="1425"/>
      <c r="E16" s="1425"/>
      <c r="F16" s="1425" t="e">
        <f>(F7-F8)/F5</f>
        <v>#DIV/0!</v>
      </c>
      <c r="G16" s="1425" t="e">
        <f t="shared" ref="G16:M16" si="21">(G7-G8)/G5</f>
        <v>#DIV/0!</v>
      </c>
      <c r="H16" s="1425">
        <f t="shared" si="21"/>
        <v>0.13160209997001679</v>
      </c>
      <c r="I16" s="1425">
        <f t="shared" si="21"/>
        <v>0.13160209997001676</v>
      </c>
      <c r="J16" s="1425"/>
      <c r="K16" s="1425" t="e">
        <f t="shared" si="21"/>
        <v>#DIV/0!</v>
      </c>
      <c r="L16" s="1425">
        <f t="shared" si="21"/>
        <v>0.22646065790086314</v>
      </c>
      <c r="M16" s="1425">
        <f t="shared" si="21"/>
        <v>0.21589562063597631</v>
      </c>
      <c r="N16" s="1425">
        <f t="shared" ref="N16:V16" si="22">(N7-N8)/N5</f>
        <v>0.20129219960153058</v>
      </c>
      <c r="O16" s="1425">
        <f t="shared" si="22"/>
        <v>0.19760303671146331</v>
      </c>
      <c r="P16" s="1425">
        <f t="shared" si="22"/>
        <v>0.14487577925108919</v>
      </c>
      <c r="Q16" s="1425">
        <f t="shared" si="22"/>
        <v>0.17762949368387776</v>
      </c>
      <c r="R16" s="1425">
        <f t="shared" si="22"/>
        <v>0.41245747289806417</v>
      </c>
      <c r="S16" s="1425">
        <f t="shared" si="22"/>
        <v>0.46960417768232676</v>
      </c>
      <c r="T16" s="1425">
        <f t="shared" si="22"/>
        <v>0.46960417768232671</v>
      </c>
      <c r="U16" s="1425">
        <f t="shared" si="22"/>
        <v>0.32076817207778968</v>
      </c>
      <c r="V16" s="1425">
        <f t="shared" si="22"/>
        <v>0.34197175335888202</v>
      </c>
      <c r="W16" s="1425"/>
    </row>
    <row r="17" spans="3:23">
      <c r="C17" s="1428" t="s">
        <v>1798</v>
      </c>
      <c r="D17" s="1425"/>
      <c r="E17" s="1425"/>
      <c r="F17" s="1425" t="e">
        <f t="shared" ref="F17:M17" si="23">F12/F5</f>
        <v>#DIV/0!</v>
      </c>
      <c r="G17" s="1425" t="e">
        <f t="shared" si="23"/>
        <v>#DIV/0!</v>
      </c>
      <c r="H17" s="1425">
        <f t="shared" si="23"/>
        <v>0.16928167997601343</v>
      </c>
      <c r="I17" s="1425">
        <f t="shared" si="23"/>
        <v>0.1692816799760134</v>
      </c>
      <c r="J17" s="1425"/>
      <c r="K17" s="1425" t="e">
        <f t="shared" si="23"/>
        <v>#DIV/0!</v>
      </c>
      <c r="L17" s="1425">
        <f t="shared" si="23"/>
        <v>0.11716852632069054</v>
      </c>
      <c r="M17" s="1425">
        <f t="shared" si="23"/>
        <v>0.13882619908700478</v>
      </c>
      <c r="N17" s="1425">
        <f t="shared" ref="N17:V17" si="24">N12/N5</f>
        <v>0.15957959811616002</v>
      </c>
      <c r="O17" s="1425">
        <f t="shared" si="24"/>
        <v>0.16579616292656679</v>
      </c>
      <c r="P17" s="1425">
        <f t="shared" si="24"/>
        <v>0.12732945704206661</v>
      </c>
      <c r="Q17" s="1425">
        <f t="shared" si="24"/>
        <v>0.14225618557407849</v>
      </c>
      <c r="R17" s="1425">
        <f t="shared" si="24"/>
        <v>0.38982694877826274</v>
      </c>
      <c r="S17" s="1425">
        <f t="shared" si="24"/>
        <v>0.43168334214586135</v>
      </c>
      <c r="T17" s="1425">
        <f t="shared" si="24"/>
        <v>0.43168334214586135</v>
      </c>
      <c r="U17" s="1425">
        <f t="shared" si="24"/>
        <v>0.31679160304876769</v>
      </c>
      <c r="V17" s="1425">
        <f t="shared" si="24"/>
        <v>0.33000071973479023</v>
      </c>
      <c r="W17" s="1425"/>
    </row>
    <row r="18" spans="3:23">
      <c r="C18" s="1428"/>
      <c r="D18" s="1425"/>
      <c r="E18" s="1425"/>
      <c r="F18" s="1425"/>
      <c r="G18" s="1425"/>
      <c r="H18" s="1425"/>
      <c r="I18" s="1425"/>
      <c r="J18" s="1425"/>
      <c r="K18" s="1425"/>
      <c r="L18" s="1425"/>
      <c r="M18" s="1425"/>
      <c r="N18" s="1425"/>
      <c r="O18" s="1425"/>
      <c r="P18" s="1425"/>
      <c r="Q18" s="1425"/>
      <c r="R18" s="1425"/>
      <c r="S18" s="1425"/>
      <c r="T18" s="1425"/>
      <c r="U18" s="1425"/>
      <c r="V18" s="1425"/>
      <c r="W18" s="1425"/>
    </row>
    <row r="19" spans="3:23">
      <c r="C19" s="1431" t="s">
        <v>886</v>
      </c>
      <c r="D19" s="1425"/>
      <c r="E19" s="1425"/>
      <c r="F19" s="1410">
        <f>F50</f>
        <v>0</v>
      </c>
      <c r="G19" s="1410">
        <f t="shared" ref="G19:M19" si="25">G50</f>
        <v>1762.0106800000001</v>
      </c>
      <c r="H19" s="1410">
        <f t="shared" si="25"/>
        <v>0</v>
      </c>
      <c r="I19" s="1410">
        <f t="shared" si="25"/>
        <v>0</v>
      </c>
      <c r="J19" s="1410">
        <f t="shared" si="25"/>
        <v>0</v>
      </c>
      <c r="K19" s="1410">
        <f t="shared" si="25"/>
        <v>4494.5874999999996</v>
      </c>
      <c r="L19" s="1410">
        <f t="shared" si="25"/>
        <v>2993.4375</v>
      </c>
      <c r="M19" s="1410">
        <f t="shared" si="25"/>
        <v>3232.9124999999999</v>
      </c>
      <c r="N19" s="1410">
        <f t="shared" ref="N19:V19" si="26">N50</f>
        <v>0</v>
      </c>
      <c r="O19" s="1410">
        <f t="shared" si="26"/>
        <v>0</v>
      </c>
      <c r="P19" s="1410">
        <f t="shared" si="26"/>
        <v>17949.765899999999</v>
      </c>
      <c r="Q19" s="1410">
        <f t="shared" si="26"/>
        <v>19604.638668</v>
      </c>
      <c r="R19" s="1410">
        <f t="shared" si="26"/>
        <v>20841.264001192001</v>
      </c>
      <c r="S19" s="1410">
        <f t="shared" si="26"/>
        <v>23119.414880836921</v>
      </c>
      <c r="T19" s="1410">
        <f t="shared" si="26"/>
        <v>30875.247327262026</v>
      </c>
      <c r="U19" s="1410">
        <f t="shared" si="26"/>
        <v>32143.000000000004</v>
      </c>
      <c r="V19" s="1410">
        <f t="shared" si="26"/>
        <v>3500</v>
      </c>
      <c r="W19" s="1410"/>
    </row>
    <row r="22" spans="3:23">
      <c r="C22" s="1407" t="s">
        <v>350</v>
      </c>
      <c r="E22" s="1431">
        <f>E4</f>
        <v>2014</v>
      </c>
      <c r="F22" s="1431">
        <f t="shared" ref="F22:M22" si="27">F4</f>
        <v>2015</v>
      </c>
      <c r="G22" s="1431">
        <f t="shared" si="27"/>
        <v>2016</v>
      </c>
      <c r="H22" s="1431">
        <f t="shared" si="27"/>
        <v>2017</v>
      </c>
      <c r="I22" s="1431">
        <f t="shared" si="27"/>
        <v>2018</v>
      </c>
      <c r="J22" s="1431">
        <f t="shared" si="27"/>
        <v>2019</v>
      </c>
      <c r="K22" s="1431">
        <f t="shared" si="27"/>
        <v>2020</v>
      </c>
      <c r="L22" s="1431">
        <f t="shared" si="27"/>
        <v>2021</v>
      </c>
      <c r="M22" s="1431">
        <f t="shared" si="27"/>
        <v>2022</v>
      </c>
      <c r="N22" s="1431">
        <f t="shared" ref="N22:V22" si="28">N4</f>
        <v>2023</v>
      </c>
      <c r="O22" s="1431">
        <f t="shared" si="28"/>
        <v>2024</v>
      </c>
      <c r="P22" s="1431">
        <f t="shared" si="28"/>
        <v>2025</v>
      </c>
      <c r="Q22" s="1431">
        <f t="shared" si="28"/>
        <v>2026</v>
      </c>
      <c r="R22" s="1431">
        <f t="shared" si="28"/>
        <v>2027</v>
      </c>
      <c r="S22" s="1431">
        <f t="shared" si="28"/>
        <v>2028</v>
      </c>
      <c r="T22" s="1431">
        <f t="shared" si="28"/>
        <v>2029</v>
      </c>
      <c r="U22" s="1431">
        <f t="shared" si="28"/>
        <v>2030</v>
      </c>
      <c r="V22" s="1431">
        <f t="shared" si="28"/>
        <v>2031</v>
      </c>
    </row>
    <row r="23" spans="3:23">
      <c r="C23" s="1432" t="s">
        <v>1802</v>
      </c>
      <c r="D23" s="1408"/>
      <c r="E23" s="1408">
        <f>E270</f>
        <v>0</v>
      </c>
      <c r="F23" s="1408">
        <f t="shared" ref="F23:M23" si="29">F270</f>
        <v>0</v>
      </c>
      <c r="G23" s="1408">
        <f t="shared" si="29"/>
        <v>200.38839999999999</v>
      </c>
      <c r="H23" s="1408">
        <f t="shared" si="29"/>
        <v>3853.28</v>
      </c>
      <c r="I23" s="1408">
        <f t="shared" si="29"/>
        <v>3967.2060000000001</v>
      </c>
      <c r="J23" s="1408">
        <f t="shared" si="29"/>
        <v>5874.5060000000003</v>
      </c>
      <c r="K23" s="1408">
        <f t="shared" si="29"/>
        <v>8058.2060000000001</v>
      </c>
      <c r="L23" s="1408">
        <f t="shared" si="29"/>
        <v>7502.7060000000001</v>
      </c>
      <c r="M23" s="1408">
        <f t="shared" si="29"/>
        <v>7602.5560000000005</v>
      </c>
      <c r="N23" s="1408">
        <f t="shared" ref="N23:V23" si="30">N270</f>
        <v>8006.6669999999995</v>
      </c>
      <c r="O23" s="1408">
        <f t="shared" si="30"/>
        <v>7749.3669999999993</v>
      </c>
      <c r="P23" s="1408">
        <f t="shared" si="30"/>
        <v>8200.6669999999995</v>
      </c>
      <c r="Q23" s="1408">
        <f t="shared" si="30"/>
        <v>8895.0169999999998</v>
      </c>
      <c r="R23" s="1408">
        <f t="shared" si="30"/>
        <v>12480.2202</v>
      </c>
      <c r="S23" s="1408">
        <f t="shared" si="30"/>
        <v>15504.4267</v>
      </c>
      <c r="T23" s="1408">
        <f t="shared" si="30"/>
        <v>22160.959999999999</v>
      </c>
      <c r="U23" s="1408">
        <f t="shared" si="30"/>
        <v>19633.75</v>
      </c>
      <c r="V23" s="1408">
        <f t="shared" si="30"/>
        <v>7145.5200000000023</v>
      </c>
      <c r="W23" s="1410"/>
    </row>
    <row r="24" spans="3:23">
      <c r="C24" s="1431" t="s">
        <v>1646</v>
      </c>
      <c r="D24" s="1410"/>
      <c r="E24" s="1410">
        <f>E287</f>
        <v>0</v>
      </c>
      <c r="F24" s="1410">
        <f t="shared" ref="F24:M24" si="31">F287</f>
        <v>0</v>
      </c>
      <c r="G24" s="1410">
        <f t="shared" si="31"/>
        <v>283.35383600000006</v>
      </c>
      <c r="H24" s="1410">
        <f t="shared" si="31"/>
        <v>1233.4074760000001</v>
      </c>
      <c r="I24" s="1410">
        <f t="shared" si="31"/>
        <v>690.48299999999995</v>
      </c>
      <c r="J24" s="1410">
        <f t="shared" si="31"/>
        <v>0</v>
      </c>
      <c r="K24" s="1410">
        <f t="shared" si="31"/>
        <v>695.14250000000015</v>
      </c>
      <c r="L24" s="1410">
        <f t="shared" si="31"/>
        <v>1370.5250000000001</v>
      </c>
      <c r="M24" s="1410">
        <f t="shared" si="31"/>
        <v>1808.625</v>
      </c>
      <c r="N24" s="1410">
        <f t="shared" ref="N24:V24" si="32">N287</f>
        <v>964.60000000000014</v>
      </c>
      <c r="O24" s="1410">
        <f t="shared" si="32"/>
        <v>0</v>
      </c>
      <c r="P24" s="1410">
        <f t="shared" si="32"/>
        <v>4179.5887499999999</v>
      </c>
      <c r="Q24" s="1410">
        <f t="shared" si="32"/>
        <v>10423.306575000001</v>
      </c>
      <c r="R24" s="1410">
        <f t="shared" si="32"/>
        <v>8944.5168867560024</v>
      </c>
      <c r="S24" s="1410">
        <f t="shared" si="32"/>
        <v>14013.258156074458</v>
      </c>
      <c r="T24" s="1410">
        <f t="shared" si="32"/>
        <v>36142.754117979937</v>
      </c>
      <c r="U24" s="1410">
        <f t="shared" si="32"/>
        <v>40487.788890805481</v>
      </c>
      <c r="V24" s="1410">
        <f t="shared" si="32"/>
        <v>16201.600000000006</v>
      </c>
      <c r="W24" s="1410"/>
    </row>
    <row r="25" spans="3:23">
      <c r="D25" s="1463"/>
      <c r="E25" s="1463"/>
      <c r="F25" s="1463"/>
      <c r="G25" s="1463"/>
      <c r="H25" s="1463"/>
      <c r="I25" s="1463"/>
      <c r="J25" s="1463"/>
      <c r="K25" s="1463"/>
      <c r="L25" s="1463"/>
      <c r="M25" s="1463"/>
      <c r="N25" s="1463"/>
      <c r="O25" s="1463"/>
      <c r="P25" s="1463"/>
      <c r="Q25" s="1463"/>
      <c r="R25" s="1463"/>
      <c r="S25" s="1463"/>
      <c r="T25" s="1463"/>
      <c r="U25" s="1463"/>
      <c r="V25" s="1463"/>
      <c r="W25" s="1463"/>
    </row>
    <row r="26" spans="3:23">
      <c r="C26" s="1431" t="s">
        <v>1175</v>
      </c>
      <c r="D26" s="1410"/>
      <c r="E26" s="1410">
        <f t="shared" ref="E26:M26" si="33">E304</f>
        <v>0</v>
      </c>
      <c r="F26" s="1410">
        <f t="shared" si="33"/>
        <v>0</v>
      </c>
      <c r="G26" s="1410">
        <f t="shared" si="33"/>
        <v>283.35383600000006</v>
      </c>
      <c r="H26" s="1410">
        <f t="shared" si="33"/>
        <v>1271.5119440000001</v>
      </c>
      <c r="I26" s="1410">
        <f t="shared" si="33"/>
        <v>207.14490000000001</v>
      </c>
      <c r="J26" s="1410">
        <f t="shared" si="33"/>
        <v>0</v>
      </c>
      <c r="K26" s="1410">
        <f t="shared" si="33"/>
        <v>695.14250000000015</v>
      </c>
      <c r="L26" s="1410">
        <f t="shared" si="33"/>
        <v>2208.0225</v>
      </c>
      <c r="M26" s="1410">
        <f t="shared" si="33"/>
        <v>3431.1925000000001</v>
      </c>
      <c r="N26" s="1410">
        <f t="shared" ref="N26:V26" si="34">N304</f>
        <v>3093.415</v>
      </c>
      <c r="O26" s="1410">
        <f t="shared" si="34"/>
        <v>1293.165</v>
      </c>
      <c r="P26" s="1410">
        <f t="shared" si="34"/>
        <v>5206.3152300000002</v>
      </c>
      <c r="Q26" s="1410">
        <f t="shared" si="34"/>
        <v>12227.411709600001</v>
      </c>
      <c r="R26" s="1410">
        <f t="shared" si="34"/>
        <v>20270.014441092</v>
      </c>
      <c r="S26" s="1410">
        <f t="shared" si="34"/>
        <v>22634.574043382461</v>
      </c>
      <c r="T26" s="1410">
        <f t="shared" si="34"/>
        <v>30096.432904049474</v>
      </c>
      <c r="U26" s="1410">
        <f t="shared" si="34"/>
        <v>29521.923663631016</v>
      </c>
      <c r="V26" s="1410">
        <f t="shared" si="34"/>
        <v>20569.5</v>
      </c>
      <c r="W26" s="1410"/>
    </row>
    <row r="27" spans="3:23">
      <c r="C27" s="1431" t="s">
        <v>851</v>
      </c>
      <c r="D27" s="1410"/>
      <c r="E27" s="1410">
        <f t="shared" ref="E27:M27" si="35">E321</f>
        <v>0</v>
      </c>
      <c r="F27" s="1410">
        <f t="shared" si="35"/>
        <v>0</v>
      </c>
      <c r="G27" s="1410">
        <f t="shared" si="35"/>
        <v>200.38839999999999</v>
      </c>
      <c r="H27" s="1410">
        <f t="shared" si="35"/>
        <v>3881.27301299584</v>
      </c>
      <c r="I27" s="1410">
        <f t="shared" si="35"/>
        <v>646.81596365696009</v>
      </c>
      <c r="J27" s="1410">
        <f t="shared" si="35"/>
        <v>2392.57166168</v>
      </c>
      <c r="K27" s="1410">
        <f t="shared" si="35"/>
        <v>2183.6999999999998</v>
      </c>
      <c r="L27" s="1410">
        <f t="shared" si="35"/>
        <v>2031.2684878749999</v>
      </c>
      <c r="M27" s="1410">
        <f t="shared" si="35"/>
        <v>1999.1316927250002</v>
      </c>
      <c r="N27" s="1410">
        <f t="shared" ref="N27:V27" si="36">N321</f>
        <v>2426.1628191499995</v>
      </c>
      <c r="O27" s="1410">
        <f t="shared" si="36"/>
        <v>918.28331357499997</v>
      </c>
      <c r="P27" s="1410">
        <f t="shared" si="36"/>
        <v>4495.4849763245202</v>
      </c>
      <c r="Q27" s="1410">
        <f t="shared" si="36"/>
        <v>5871.3130667745481</v>
      </c>
      <c r="R27" s="1410">
        <f t="shared" si="36"/>
        <v>13061.545675933034</v>
      </c>
      <c r="S27" s="1410">
        <f t="shared" si="36"/>
        <v>12218.12659095</v>
      </c>
      <c r="T27" s="1410">
        <f t="shared" si="36"/>
        <v>8495.3173181900002</v>
      </c>
      <c r="U27" s="1410">
        <f t="shared" si="36"/>
        <v>12447.033192587511</v>
      </c>
      <c r="V27" s="1410">
        <f t="shared" si="36"/>
        <v>13193.678849254178</v>
      </c>
      <c r="W27" s="1410"/>
    </row>
    <row r="28" spans="3:23">
      <c r="C28" s="1431" t="s">
        <v>855</v>
      </c>
      <c r="D28" s="1410"/>
      <c r="E28" s="1410">
        <f>E26-E27</f>
        <v>0</v>
      </c>
      <c r="F28" s="1410">
        <f t="shared" ref="F28:M28" si="37">F26-F27</f>
        <v>0</v>
      </c>
      <c r="G28" s="1410">
        <f t="shared" si="37"/>
        <v>82.965436000000068</v>
      </c>
      <c r="H28" s="1410">
        <f t="shared" si="37"/>
        <v>-2609.7610689958401</v>
      </c>
      <c r="I28" s="1410">
        <f t="shared" si="37"/>
        <v>-439.67106365696009</v>
      </c>
      <c r="J28" s="1410">
        <f t="shared" si="37"/>
        <v>-2392.57166168</v>
      </c>
      <c r="K28" s="1410">
        <f t="shared" si="37"/>
        <v>-1488.5574999999997</v>
      </c>
      <c r="L28" s="1410">
        <f t="shared" si="37"/>
        <v>176.75401212500014</v>
      </c>
      <c r="M28" s="1410">
        <f t="shared" si="37"/>
        <v>1432.0608072749999</v>
      </c>
      <c r="N28" s="1410">
        <f t="shared" ref="N28:V28" si="38">N26-N27</f>
        <v>667.25218085000051</v>
      </c>
      <c r="O28" s="1410">
        <f t="shared" si="38"/>
        <v>374.881686425</v>
      </c>
      <c r="P28" s="1410">
        <f t="shared" si="38"/>
        <v>710.83025367547998</v>
      </c>
      <c r="Q28" s="1410">
        <f t="shared" si="38"/>
        <v>6356.0986428254528</v>
      </c>
      <c r="R28" s="1410">
        <f t="shared" si="38"/>
        <v>7208.4687651589666</v>
      </c>
      <c r="S28" s="1410">
        <f t="shared" si="38"/>
        <v>10416.447452432461</v>
      </c>
      <c r="T28" s="1410">
        <f t="shared" si="38"/>
        <v>21601.115585859472</v>
      </c>
      <c r="U28" s="1410">
        <f t="shared" si="38"/>
        <v>17074.890471043505</v>
      </c>
      <c r="V28" s="1410">
        <f t="shared" si="38"/>
        <v>7375.8211507458218</v>
      </c>
      <c r="W28" s="1410"/>
    </row>
    <row r="29" spans="3:23">
      <c r="D29" s="1463"/>
      <c r="E29" s="1463"/>
      <c r="F29" s="1463"/>
      <c r="G29" s="1463"/>
      <c r="H29" s="1463"/>
      <c r="I29" s="1463"/>
      <c r="J29" s="1463"/>
    </row>
    <row r="30" spans="3:23">
      <c r="C30" s="1444" t="s">
        <v>1801</v>
      </c>
      <c r="D30" s="1410"/>
      <c r="E30" s="1410">
        <f>E202</f>
        <v>0</v>
      </c>
      <c r="F30" s="1410">
        <f t="shared" ref="F30:M30" si="39">F202</f>
        <v>0</v>
      </c>
      <c r="G30" s="1410">
        <f t="shared" si="39"/>
        <v>585.17074760000003</v>
      </c>
      <c r="H30" s="1410">
        <f t="shared" si="39"/>
        <v>585.17074760000003</v>
      </c>
      <c r="I30" s="1410">
        <f t="shared" si="39"/>
        <v>79.162499999999994</v>
      </c>
      <c r="J30" s="1410">
        <f t="shared" si="39"/>
        <v>5792.23675</v>
      </c>
      <c r="K30" s="1410">
        <f t="shared" si="39"/>
        <v>5871.3992499999995</v>
      </c>
      <c r="L30" s="1410">
        <f t="shared" si="39"/>
        <v>4951.7692499999994</v>
      </c>
      <c r="M30" s="1410">
        <f t="shared" si="39"/>
        <v>3614.6959433599991</v>
      </c>
      <c r="N30" s="1410">
        <f t="shared" ref="N30:V30" si="40">N202</f>
        <v>2904.6555234399993</v>
      </c>
      <c r="O30" s="1410">
        <f t="shared" si="40"/>
        <v>2623.9995477000002</v>
      </c>
      <c r="P30" s="1410">
        <f t="shared" si="40"/>
        <v>11621.397045725</v>
      </c>
      <c r="Q30" s="1410">
        <f t="shared" si="40"/>
        <v>20618.794543750002</v>
      </c>
      <c r="R30" s="1410">
        <f t="shared" si="40"/>
        <v>21418.050494231382</v>
      </c>
      <c r="S30" s="1410">
        <f t="shared" si="40"/>
        <v>18620.739778046103</v>
      </c>
      <c r="T30" s="1410">
        <f t="shared" si="40"/>
        <v>10286.953222356384</v>
      </c>
      <c r="U30" s="1410">
        <f t="shared" si="40"/>
        <v>1453.666666666667</v>
      </c>
      <c r="V30" s="1410">
        <f t="shared" si="40"/>
        <v>-4445.5666666666666</v>
      </c>
      <c r="W30" s="1410"/>
    </row>
    <row r="31" spans="3:23">
      <c r="C31" s="1431" t="s">
        <v>1593</v>
      </c>
      <c r="D31" s="1410"/>
      <c r="E31" s="1410">
        <f>E219</f>
        <v>0</v>
      </c>
      <c r="F31" s="1410">
        <f t="shared" ref="F31:M31" si="41">F219</f>
        <v>0</v>
      </c>
      <c r="G31" s="1410">
        <f t="shared" si="41"/>
        <v>0</v>
      </c>
      <c r="H31" s="1410">
        <f t="shared" si="41"/>
        <v>0</v>
      </c>
      <c r="I31" s="1410">
        <f t="shared" si="41"/>
        <v>585.17074760000003</v>
      </c>
      <c r="J31" s="1410">
        <f t="shared" si="41"/>
        <v>0</v>
      </c>
      <c r="K31" s="1410">
        <f t="shared" si="41"/>
        <v>0</v>
      </c>
      <c r="L31" s="1410">
        <f t="shared" si="41"/>
        <v>919.63000000000011</v>
      </c>
      <c r="M31" s="1410">
        <f t="shared" si="41"/>
        <v>1650.5897499999999</v>
      </c>
      <c r="N31" s="1410">
        <f t="shared" ref="N31:V31" si="42">N219</f>
        <v>1650.5897499999999</v>
      </c>
      <c r="O31" s="1410">
        <f t="shared" si="42"/>
        <v>2173.1171555999999</v>
      </c>
      <c r="P31" s="1410">
        <f t="shared" si="42"/>
        <v>1311.9997738500001</v>
      </c>
      <c r="Q31" s="1410">
        <f t="shared" si="42"/>
        <v>1311.9997738500001</v>
      </c>
      <c r="R31" s="1410">
        <f t="shared" si="42"/>
        <v>3641.0472718749998</v>
      </c>
      <c r="S31" s="1410">
        <f t="shared" si="42"/>
        <v>8086.6139385416664</v>
      </c>
      <c r="T31" s="1410">
        <f t="shared" si="42"/>
        <v>8333.7865556897159</v>
      </c>
      <c r="U31" s="1410">
        <f t="shared" si="42"/>
        <v>8833.2865556897159</v>
      </c>
      <c r="V31" s="1410">
        <f t="shared" si="42"/>
        <v>5899.2333333333336</v>
      </c>
      <c r="W31" s="1410"/>
    </row>
    <row r="32" spans="3:23">
      <c r="C32" s="1431" t="s">
        <v>1800</v>
      </c>
      <c r="D32" s="1410"/>
      <c r="E32" s="1410">
        <f>E236</f>
        <v>0</v>
      </c>
      <c r="F32" s="1410">
        <f t="shared" ref="F32:M32" si="43">F236</f>
        <v>0</v>
      </c>
      <c r="G32" s="1410">
        <f t="shared" si="43"/>
        <v>70.220489712000003</v>
      </c>
      <c r="H32" s="1410">
        <f t="shared" si="43"/>
        <v>70.220489712000003</v>
      </c>
      <c r="I32" s="1410">
        <f t="shared" si="43"/>
        <v>79.719989712</v>
      </c>
      <c r="J32" s="1410">
        <f t="shared" si="43"/>
        <v>695.06840999999986</v>
      </c>
      <c r="K32" s="1410">
        <f t="shared" si="43"/>
        <v>704.56790999999987</v>
      </c>
      <c r="L32" s="1410">
        <f t="shared" si="43"/>
        <v>704.56790999999987</v>
      </c>
      <c r="M32" s="1410">
        <f t="shared" si="43"/>
        <v>634.96944763679994</v>
      </c>
      <c r="N32" s="1410">
        <f t="shared" ref="N32:V32" si="44">N236</f>
        <v>592.18188554719995</v>
      </c>
      <c r="O32" s="1410">
        <f t="shared" si="44"/>
        <v>623.62517142899992</v>
      </c>
      <c r="P32" s="1410">
        <f t="shared" si="44"/>
        <v>1499.2892229510003</v>
      </c>
      <c r="Q32" s="1410">
        <f t="shared" si="44"/>
        <v>2486.8985341005</v>
      </c>
      <c r="R32" s="1410">
        <f t="shared" si="44"/>
        <v>2893.5779824063302</v>
      </c>
      <c r="S32" s="1410">
        <f t="shared" si="44"/>
        <v>2756.4356195626597</v>
      </c>
      <c r="T32" s="1410">
        <f t="shared" si="44"/>
        <v>2065.0508378126597</v>
      </c>
      <c r="U32" s="1410">
        <f t="shared" si="44"/>
        <v>1159.4812522396633</v>
      </c>
      <c r="V32" s="1410">
        <f t="shared" si="44"/>
        <v>188.97666666666669</v>
      </c>
      <c r="W32" s="1410"/>
    </row>
    <row r="33" spans="1:29">
      <c r="D33" s="1463"/>
      <c r="E33" s="1463"/>
      <c r="F33" s="1463"/>
      <c r="G33" s="1463"/>
      <c r="H33" s="1463"/>
      <c r="I33" s="1463"/>
      <c r="J33" s="1463"/>
    </row>
    <row r="34" spans="1:29">
      <c r="B34" s="1407"/>
      <c r="C34" s="1463"/>
      <c r="D34" s="1463"/>
      <c r="E34" s="1463"/>
      <c r="F34" s="1463"/>
      <c r="G34" s="1463"/>
      <c r="H34" s="1463"/>
      <c r="I34" s="1463"/>
    </row>
    <row r="35" spans="1:29">
      <c r="B35" s="1407" t="s">
        <v>1814</v>
      </c>
      <c r="C35" s="1455" t="s">
        <v>642</v>
      </c>
      <c r="D35" s="1431">
        <v>2013</v>
      </c>
      <c r="E35" s="1431">
        <v>2014</v>
      </c>
      <c r="F35" s="1431">
        <v>2015</v>
      </c>
      <c r="G35" s="1431">
        <v>2016</v>
      </c>
      <c r="H35" s="1431">
        <v>2017</v>
      </c>
      <c r="I35" s="1431">
        <v>2018</v>
      </c>
      <c r="J35" s="1431">
        <v>2019</v>
      </c>
      <c r="K35" s="1431">
        <v>2020</v>
      </c>
      <c r="L35" s="1431">
        <v>2021</v>
      </c>
      <c r="M35" s="1431">
        <v>2022</v>
      </c>
      <c r="N35" s="1431">
        <v>2023</v>
      </c>
      <c r="O35" s="1431">
        <v>2024</v>
      </c>
      <c r="P35" s="1431">
        <v>2025</v>
      </c>
      <c r="Q35" s="1431">
        <v>2026</v>
      </c>
      <c r="R35" s="1431">
        <v>2027</v>
      </c>
      <c r="S35" s="1431">
        <v>2028</v>
      </c>
      <c r="T35" s="1431">
        <v>2029</v>
      </c>
      <c r="U35" s="1431">
        <v>2030</v>
      </c>
      <c r="V35" s="1431">
        <v>2031</v>
      </c>
      <c r="X35" s="1431" t="s">
        <v>1812</v>
      </c>
      <c r="Y35" s="1431" t="s">
        <v>876</v>
      </c>
    </row>
    <row r="36" spans="1:29">
      <c r="A36" s="2108">
        <v>1</v>
      </c>
      <c r="B36" s="1408" t="str">
        <f>'Opal Central Park'!A1</f>
        <v>Opal Central Park - Thuận An 1.0ha</v>
      </c>
      <c r="C36" s="1408">
        <f>'Opal Central Park'!C50</f>
        <v>0</v>
      </c>
      <c r="D36" s="1476">
        <f>'Opal Central Park'!D50</f>
        <v>0</v>
      </c>
      <c r="E36" s="1476">
        <f>'Opal Central Park'!E50</f>
        <v>0</v>
      </c>
      <c r="F36" s="1476">
        <f>'Opal Central Park'!F50</f>
        <v>0</v>
      </c>
      <c r="G36" s="1476">
        <f>'Opal Central Park'!G50</f>
        <v>0</v>
      </c>
      <c r="H36" s="1476">
        <f>'Opal Central Park'!H50</f>
        <v>0</v>
      </c>
      <c r="I36" s="1476">
        <f>'Opal Central Park'!I50</f>
        <v>0</v>
      </c>
      <c r="J36" s="1476">
        <f>'Opal Central Park'!J50</f>
        <v>0</v>
      </c>
      <c r="K36" s="1476">
        <f>'Opal Central Park'!K50</f>
        <v>0</v>
      </c>
      <c r="L36" s="1476">
        <f>'Opal Central Park'!L50</f>
        <v>0</v>
      </c>
      <c r="M36" s="1476">
        <f>'Opal Central Park'!M50</f>
        <v>0</v>
      </c>
      <c r="N36" s="1476">
        <f>'Opal Central Park'!N50</f>
        <v>0</v>
      </c>
      <c r="O36" s="1476">
        <f>'Opal Central Park'!O50</f>
        <v>0</v>
      </c>
      <c r="P36" s="1476">
        <f>'Opal Central Park'!P50</f>
        <v>0</v>
      </c>
      <c r="Q36" s="1476">
        <f>'Opal Central Park'!Q50</f>
        <v>0</v>
      </c>
      <c r="R36" s="1476">
        <f>'Opal Central Park'!R50</f>
        <v>0</v>
      </c>
      <c r="S36" s="1476">
        <f>'Opal Central Park'!S50</f>
        <v>0</v>
      </c>
      <c r="T36" s="1476">
        <f>'Opal Central Park'!T50</f>
        <v>0</v>
      </c>
      <c r="U36" s="1476">
        <f>'Opal Central Park'!U50</f>
        <v>0</v>
      </c>
      <c r="V36" s="1476">
        <f>'Opal Central Park'!V50</f>
        <v>0</v>
      </c>
      <c r="W36" s="2176"/>
      <c r="X36" s="1476">
        <f>'Opal Central Park'!S5</f>
        <v>0</v>
      </c>
      <c r="Y36" s="1476">
        <f>'Opal Central Park'!S7</f>
        <v>0</v>
      </c>
      <c r="Z36" s="1423"/>
      <c r="AA36" s="1423"/>
      <c r="AB36" s="1423"/>
      <c r="AC36" s="1423"/>
    </row>
    <row r="37" spans="1:29">
      <c r="A37" s="1431">
        <f>A36+1</f>
        <v>2</v>
      </c>
      <c r="B37" s="1410" t="str">
        <f>'St Moritz'!A1</f>
        <v>St Moritz - Opal Skyview</v>
      </c>
      <c r="C37" s="1410">
        <f>'St Moritz'!C50</f>
        <v>526.5</v>
      </c>
      <c r="D37" s="1463">
        <f>'St Moritz'!D50</f>
        <v>0</v>
      </c>
      <c r="E37" s="1463">
        <f>'St Moritz'!E50</f>
        <v>0</v>
      </c>
      <c r="F37" s="1463">
        <f>'St Moritz'!F50</f>
        <v>0</v>
      </c>
      <c r="G37" s="1463">
        <f>'St Moritz'!G50</f>
        <v>0</v>
      </c>
      <c r="H37" s="1463">
        <f>'St Moritz'!H50</f>
        <v>0</v>
      </c>
      <c r="I37" s="1463">
        <f>'St Moritz'!I50</f>
        <v>0</v>
      </c>
      <c r="J37" s="1463">
        <f>'St Moritz'!J50</f>
        <v>0</v>
      </c>
      <c r="K37" s="1463">
        <f>'St Moritz'!K50</f>
        <v>526.5</v>
      </c>
      <c r="L37" s="1463">
        <f>'St Moritz'!L50</f>
        <v>0</v>
      </c>
      <c r="M37" s="1463">
        <f>'St Moritz'!M50</f>
        <v>0</v>
      </c>
      <c r="N37" s="1463">
        <f>'St Moritz'!N50</f>
        <v>0</v>
      </c>
      <c r="O37" s="1463">
        <f>'St Moritz'!O50</f>
        <v>0</v>
      </c>
      <c r="P37" s="1463">
        <f>'St Moritz'!P50</f>
        <v>0</v>
      </c>
      <c r="Q37" s="1463">
        <f>'St Moritz'!Q50</f>
        <v>0</v>
      </c>
      <c r="R37" s="1463">
        <f>'St Moritz'!R50</f>
        <v>0</v>
      </c>
      <c r="S37" s="1463">
        <f>'St Moritz'!S50</f>
        <v>0</v>
      </c>
      <c r="T37" s="1463">
        <f>'St Moritz'!T50</f>
        <v>0</v>
      </c>
      <c r="U37" s="1463">
        <f>'St Moritz'!U50</f>
        <v>0</v>
      </c>
      <c r="V37" s="1463">
        <f>'St Moritz'!V50</f>
        <v>0</v>
      </c>
      <c r="W37" s="1463"/>
      <c r="X37" s="1463">
        <f>'St Moritz'!S5</f>
        <v>170</v>
      </c>
      <c r="Y37" s="1463">
        <f>'St Moritz'!S7</f>
        <v>45</v>
      </c>
      <c r="Z37" s="1423"/>
      <c r="AA37" s="1423"/>
      <c r="AB37" s="1423"/>
      <c r="AC37" s="1423"/>
    </row>
    <row r="38" spans="1:29">
      <c r="A38" s="1431">
        <f t="shared" ref="A38:A49" si="45">A37+1</f>
        <v>3</v>
      </c>
      <c r="B38" s="1410" t="str">
        <f>'Opal Riverside'!A1</f>
        <v>Opal Riverside</v>
      </c>
      <c r="C38" s="1410">
        <f>'Opal Riverside'!C50</f>
        <v>1071.5276800000001</v>
      </c>
      <c r="D38" s="1463">
        <f>'Opal Riverside'!D50</f>
        <v>0</v>
      </c>
      <c r="E38" s="1463">
        <f>'Opal Riverside'!E50</f>
        <v>0</v>
      </c>
      <c r="F38" s="1463">
        <f>'Opal Riverside'!F50</f>
        <v>0</v>
      </c>
      <c r="G38" s="1463">
        <f>'Opal Riverside'!G50</f>
        <v>1071.5276800000001</v>
      </c>
      <c r="H38" s="1463">
        <f>'Opal Riverside'!H50</f>
        <v>0</v>
      </c>
      <c r="I38" s="1463">
        <f>'Opal Riverside'!I50</f>
        <v>0</v>
      </c>
      <c r="J38" s="1463">
        <f>'Opal Riverside'!J50</f>
        <v>0</v>
      </c>
      <c r="K38" s="1463">
        <f>'Opal Riverside'!K50</f>
        <v>0</v>
      </c>
      <c r="L38" s="1463">
        <f>'Opal Riverside'!L50</f>
        <v>0</v>
      </c>
      <c r="M38" s="1463">
        <f>'Opal Riverside'!M50</f>
        <v>0</v>
      </c>
      <c r="N38" s="1463">
        <f>'Opal Riverside'!N50</f>
        <v>0</v>
      </c>
      <c r="O38" s="1463">
        <f>'Opal Riverside'!O50</f>
        <v>0</v>
      </c>
      <c r="P38" s="1463">
        <f>'Opal Riverside'!P50</f>
        <v>0</v>
      </c>
      <c r="Q38" s="1463">
        <f>'Opal Riverside'!Q50</f>
        <v>0</v>
      </c>
      <c r="R38" s="1463">
        <f>'Opal Riverside'!R50</f>
        <v>0</v>
      </c>
      <c r="S38" s="1463">
        <f>'Opal Riverside'!S50</f>
        <v>0</v>
      </c>
      <c r="T38" s="1463">
        <f>'Opal Riverside'!T50</f>
        <v>0</v>
      </c>
      <c r="U38" s="1463">
        <f>'Opal Riverside'!U50</f>
        <v>0</v>
      </c>
      <c r="V38" s="1463">
        <f>'Opal Riverside'!V50</f>
        <v>0</v>
      </c>
      <c r="W38" s="1463"/>
      <c r="X38" s="1463">
        <f>'Opal Riverside'!S5</f>
        <v>634</v>
      </c>
      <c r="Y38" s="1463">
        <f>'Opal Riverside'!S7</f>
        <v>23</v>
      </c>
      <c r="Z38" s="1423"/>
      <c r="AA38" s="1423"/>
      <c r="AB38" s="1423"/>
      <c r="AC38" s="1423"/>
    </row>
    <row r="39" spans="1:29">
      <c r="A39" s="1431">
        <f t="shared" si="45"/>
        <v>4</v>
      </c>
      <c r="B39" s="1410" t="str">
        <f>'Opal Garden'!A1</f>
        <v>Opal Garden</v>
      </c>
      <c r="C39" s="1410">
        <f>'Opal Garden'!C50</f>
        <v>690.48299999999995</v>
      </c>
      <c r="D39" s="1463">
        <f>'Opal Garden'!D50</f>
        <v>0</v>
      </c>
      <c r="E39" s="1463">
        <f>'Opal Garden'!E50</f>
        <v>0</v>
      </c>
      <c r="F39" s="1463">
        <f>'Opal Garden'!F50</f>
        <v>0</v>
      </c>
      <c r="G39" s="1463">
        <f>'Opal Garden'!G50</f>
        <v>690.48299999999995</v>
      </c>
      <c r="H39" s="1463">
        <f>'Opal Garden'!H50</f>
        <v>0</v>
      </c>
      <c r="I39" s="1463">
        <f>'Opal Garden'!I50</f>
        <v>0</v>
      </c>
      <c r="J39" s="1463">
        <f>'Opal Garden'!J50</f>
        <v>0</v>
      </c>
      <c r="K39" s="1463">
        <f>'Opal Garden'!K50</f>
        <v>0</v>
      </c>
      <c r="L39" s="1463">
        <f>'Opal Garden'!L50</f>
        <v>0</v>
      </c>
      <c r="M39" s="1463">
        <f>'Opal Garden'!M50</f>
        <v>0</v>
      </c>
      <c r="N39" s="1463">
        <f>'Opal Garden'!N50</f>
        <v>0</v>
      </c>
      <c r="O39" s="1463">
        <f>'Opal Garden'!O50</f>
        <v>0</v>
      </c>
      <c r="P39" s="1463">
        <f>'Opal Garden'!P50</f>
        <v>0</v>
      </c>
      <c r="Q39" s="1463">
        <f>'Opal Garden'!Q50</f>
        <v>0</v>
      </c>
      <c r="R39" s="1463">
        <f>'Opal Garden'!R50</f>
        <v>0</v>
      </c>
      <c r="S39" s="1463">
        <f>'Opal Garden'!S50</f>
        <v>0</v>
      </c>
      <c r="T39" s="1463">
        <f>'Opal Garden'!T50</f>
        <v>0</v>
      </c>
      <c r="U39" s="1463">
        <f>'Opal Garden'!U50</f>
        <v>0</v>
      </c>
      <c r="V39" s="1463">
        <f>'Opal Garden'!V50</f>
        <v>0</v>
      </c>
      <c r="W39" s="1463"/>
      <c r="X39" s="1463">
        <f>'Opal Garden'!S5</f>
        <v>420</v>
      </c>
      <c r="Y39" s="1463">
        <f>'Opal Garden'!S7</f>
        <v>23</v>
      </c>
      <c r="Z39" s="1423"/>
      <c r="AA39" s="1423"/>
      <c r="AB39" s="1423"/>
      <c r="AC39" s="1423"/>
    </row>
    <row r="40" spans="1:29">
      <c r="A40" s="2184">
        <f t="shared" si="45"/>
        <v>5</v>
      </c>
      <c r="B40" s="1410" t="str">
        <f>'Long Thanh 92ha'!A1</f>
        <v>Gem Sky World Long Thanh</v>
      </c>
      <c r="C40" s="1410">
        <f>'Long Thanh 92ha'!C50</f>
        <v>15141.795</v>
      </c>
      <c r="D40" s="1463">
        <f>'Long Thanh 92ha'!D50</f>
        <v>0</v>
      </c>
      <c r="E40" s="1463">
        <f>'Long Thanh 92ha'!E50</f>
        <v>0</v>
      </c>
      <c r="F40" s="1463">
        <f>'Long Thanh 92ha'!F50</f>
        <v>0</v>
      </c>
      <c r="G40" s="1463">
        <f>'Long Thanh 92ha'!G50</f>
        <v>0</v>
      </c>
      <c r="H40" s="1463">
        <f>'Long Thanh 92ha'!H50</f>
        <v>0</v>
      </c>
      <c r="I40" s="1463">
        <f>'Long Thanh 92ha'!I50</f>
        <v>0</v>
      </c>
      <c r="J40" s="1463">
        <f>'Long Thanh 92ha'!J50</f>
        <v>0</v>
      </c>
      <c r="K40" s="1463">
        <f>'Long Thanh 92ha'!K50</f>
        <v>1556.5875000000001</v>
      </c>
      <c r="L40" s="1463">
        <f>'Long Thanh 92ha'!L50</f>
        <v>2993.4375</v>
      </c>
      <c r="M40" s="1463">
        <f>'Long Thanh 92ha'!M50</f>
        <v>3232.9124999999999</v>
      </c>
      <c r="N40" s="1463">
        <f>'Long Thanh 92ha'!N50</f>
        <v>0</v>
      </c>
      <c r="O40" s="1463">
        <f>'Long Thanh 92ha'!O50</f>
        <v>0</v>
      </c>
      <c r="P40" s="1463">
        <f>'Long Thanh 92ha'!P50</f>
        <v>2162.25</v>
      </c>
      <c r="Q40" s="1463">
        <f>'Long Thanh 92ha'!Q50</f>
        <v>5196.6075000000001</v>
      </c>
      <c r="R40" s="1463">
        <f>'Long Thanh 92ha'!R50</f>
        <v>0</v>
      </c>
      <c r="S40" s="1463">
        <f>'Long Thanh 92ha'!S50</f>
        <v>0</v>
      </c>
      <c r="T40" s="1463">
        <f>'Long Thanh 92ha'!T50</f>
        <v>0</v>
      </c>
      <c r="U40" s="1463">
        <f>'Long Thanh 92ha'!U50</f>
        <v>0</v>
      </c>
      <c r="V40" s="1463">
        <f>'Long Thanh 92ha'!V50</f>
        <v>0</v>
      </c>
      <c r="W40" s="1463"/>
      <c r="X40" s="1463">
        <f>'Long Thanh 92ha'!S5</f>
        <v>4000</v>
      </c>
      <c r="Y40" s="1463">
        <f>'Long Thanh 92ha'!S7</f>
        <v>25</v>
      </c>
      <c r="Z40" s="1423"/>
      <c r="AA40" s="1423"/>
      <c r="AB40" s="1423"/>
      <c r="AC40" s="1423"/>
    </row>
    <row r="41" spans="1:29">
      <c r="A41" s="2184">
        <f t="shared" si="45"/>
        <v>6</v>
      </c>
      <c r="B41" s="1410" t="str">
        <f>'Opal Luxury 8.6ha BD'!A1</f>
        <v>Opal Luxury 8.6ha Binh Duong</v>
      </c>
      <c r="C41" s="1410">
        <f>'Opal Luxury 8.6ha BD'!C50</f>
        <v>6002.1924479999998</v>
      </c>
      <c r="D41" s="1463">
        <f>'Opal Luxury 8.6ha BD'!D50</f>
        <v>0</v>
      </c>
      <c r="E41" s="1463">
        <f>'Opal Luxury 8.6ha BD'!E50</f>
        <v>0</v>
      </c>
      <c r="F41" s="1463">
        <f>'Opal Luxury 8.6ha BD'!F50</f>
        <v>0</v>
      </c>
      <c r="G41" s="1463">
        <f>'Opal Luxury 8.6ha BD'!G50</f>
        <v>0</v>
      </c>
      <c r="H41" s="1463">
        <f>'Opal Luxury 8.6ha BD'!H50</f>
        <v>0</v>
      </c>
      <c r="I41" s="1463">
        <f>'Opal Luxury 8.6ha BD'!I50</f>
        <v>0</v>
      </c>
      <c r="J41" s="1463">
        <f>'Opal Luxury 8.6ha BD'!J50</f>
        <v>0</v>
      </c>
      <c r="K41" s="1463">
        <f>'Opal Luxury 8.6ha BD'!K50</f>
        <v>0</v>
      </c>
      <c r="L41" s="1463">
        <f>'Opal Luxury 8.6ha BD'!L50</f>
        <v>0</v>
      </c>
      <c r="M41" s="1463">
        <f>'Opal Luxury 8.6ha BD'!M50</f>
        <v>0</v>
      </c>
      <c r="N41" s="1463">
        <f>'Opal Luxury 8.6ha BD'!N50</f>
        <v>0</v>
      </c>
      <c r="O41" s="1463">
        <f>'Opal Luxury 8.6ha BD'!O50</f>
        <v>0</v>
      </c>
      <c r="P41" s="1463">
        <f>'Opal Luxury 8.6ha BD'!P50</f>
        <v>2971.3824</v>
      </c>
      <c r="Q41" s="1463">
        <f>'Opal Luxury 8.6ha BD'!Q50</f>
        <v>3030.8100480000003</v>
      </c>
      <c r="R41" s="1463">
        <f>'Opal Luxury 8.6ha BD'!R50</f>
        <v>2649.7939276800003</v>
      </c>
      <c r="S41" s="1463">
        <f>'Opal Luxury 8.6ha BD'!S50</f>
        <v>0</v>
      </c>
      <c r="T41" s="1463">
        <f>'Opal Luxury 8.6ha BD'!T50</f>
        <v>0</v>
      </c>
      <c r="U41" s="1463">
        <f>'Opal Luxury 8.6ha BD'!U50</f>
        <v>0</v>
      </c>
      <c r="V41" s="1463">
        <f>'Opal Luxury 8.6ha BD'!V50</f>
        <v>0</v>
      </c>
      <c r="W41" s="1463"/>
      <c r="X41" s="1463">
        <f>'Opal Luxury 8.6ha BD'!S5</f>
        <v>3400</v>
      </c>
      <c r="Y41" s="1463">
        <f>'Opal Luxury 8.6ha BD'!S7</f>
        <v>30</v>
      </c>
      <c r="Z41" s="1423"/>
      <c r="AA41" s="1423"/>
      <c r="AB41" s="1423"/>
      <c r="AC41" s="1423"/>
    </row>
    <row r="42" spans="1:29">
      <c r="A42" s="2184">
        <f t="shared" si="45"/>
        <v>7</v>
      </c>
      <c r="B42" s="1410" t="str">
        <f>'Opal Cityview'!A1</f>
        <v>Opal Cityview</v>
      </c>
      <c r="C42" s="1410">
        <f>'Opal Cityview'!C50</f>
        <v>3380.9618700000005</v>
      </c>
      <c r="D42" s="1463">
        <f>'Opal Cityview'!D50</f>
        <v>0</v>
      </c>
      <c r="E42" s="1463">
        <f>'Opal Cityview'!E50</f>
        <v>0</v>
      </c>
      <c r="F42" s="1463">
        <f>'Opal Cityview'!F50</f>
        <v>0</v>
      </c>
      <c r="G42" s="1463">
        <f>'Opal Cityview'!G50</f>
        <v>0</v>
      </c>
      <c r="H42" s="1463">
        <f>'Opal Cityview'!H50</f>
        <v>0</v>
      </c>
      <c r="I42" s="1463">
        <f>'Opal Cityview'!I50</f>
        <v>0</v>
      </c>
      <c r="J42" s="1463">
        <f>'Opal Cityview'!J50</f>
        <v>0</v>
      </c>
      <c r="K42" s="1463">
        <f>'Opal Cityview'!K50</f>
        <v>0</v>
      </c>
      <c r="L42" s="1463">
        <f>'Opal Cityview'!L50</f>
        <v>0</v>
      </c>
      <c r="M42" s="1463">
        <f>'Opal Cityview'!M50</f>
        <v>0</v>
      </c>
      <c r="N42" s="1463">
        <f>'Opal Cityview'!N50</f>
        <v>0</v>
      </c>
      <c r="O42" s="1463">
        <f>'Opal Cityview'!O50</f>
        <v>0</v>
      </c>
      <c r="P42" s="1463">
        <f>'Opal Cityview'!P50</f>
        <v>1673.7435000000003</v>
      </c>
      <c r="Q42" s="1463">
        <f>'Opal Cityview'!Q50</f>
        <v>1707.2183700000003</v>
      </c>
      <c r="R42" s="1463">
        <f>'Opal Cityview'!R50</f>
        <v>0</v>
      </c>
      <c r="S42" s="1463">
        <f>'Opal Cityview'!S50</f>
        <v>0</v>
      </c>
      <c r="T42" s="1463">
        <f>'Opal Cityview'!T50</f>
        <v>0</v>
      </c>
      <c r="U42" s="1463">
        <f>'Opal Cityview'!U50</f>
        <v>0</v>
      </c>
      <c r="V42" s="1463">
        <f>'Opal Cityview'!V50</f>
        <v>0</v>
      </c>
      <c r="W42" s="1463"/>
      <c r="X42" s="1463">
        <f>'Opal Cityview'!S5</f>
        <v>1500</v>
      </c>
      <c r="Y42" s="1463">
        <f>'Opal Cityview'!S7</f>
        <v>33</v>
      </c>
      <c r="Z42" s="1423"/>
      <c r="AA42" s="1423"/>
      <c r="AB42" s="1423"/>
      <c r="AC42" s="1423"/>
    </row>
    <row r="43" spans="1:29">
      <c r="A43" s="2184">
        <f t="shared" si="45"/>
        <v>8</v>
      </c>
      <c r="B43" s="1410" t="str">
        <f>ParkViewThuanAn5ha!A1</f>
        <v>Park View Thuận An 5ha</v>
      </c>
      <c r="C43" s="1410">
        <f>ParkViewThuanAn5ha!C50</f>
        <v>8750</v>
      </c>
      <c r="D43" s="1463">
        <f>ParkViewThuanAn5ha!D50</f>
        <v>0</v>
      </c>
      <c r="E43" s="1463">
        <f>ParkViewThuanAn5ha!E50</f>
        <v>0</v>
      </c>
      <c r="F43" s="1463">
        <f>ParkViewThuanAn5ha!F50</f>
        <v>0</v>
      </c>
      <c r="G43" s="1463">
        <f>ParkViewThuanAn5ha!G50</f>
        <v>0</v>
      </c>
      <c r="H43" s="1463">
        <f>ParkViewThuanAn5ha!H50</f>
        <v>0</v>
      </c>
      <c r="I43" s="1463">
        <f>ParkViewThuanAn5ha!I50</f>
        <v>0</v>
      </c>
      <c r="J43" s="1463">
        <f>ParkViewThuanAn5ha!J50</f>
        <v>0</v>
      </c>
      <c r="K43" s="1463">
        <f>ParkViewThuanAn5ha!K50</f>
        <v>0</v>
      </c>
      <c r="L43" s="1463">
        <f>ParkViewThuanAn5ha!L50</f>
        <v>0</v>
      </c>
      <c r="M43" s="1463">
        <f>ParkViewThuanAn5ha!M50</f>
        <v>0</v>
      </c>
      <c r="N43" s="1463">
        <f>ParkViewThuanAn5ha!N50</f>
        <v>0</v>
      </c>
      <c r="O43" s="1463">
        <f>ParkViewThuanAn5ha!O50</f>
        <v>0</v>
      </c>
      <c r="P43" s="1463">
        <f>ParkViewThuanAn5ha!P50</f>
        <v>0</v>
      </c>
      <c r="Q43" s="1463">
        <f>ParkViewThuanAn5ha!Q50</f>
        <v>0</v>
      </c>
      <c r="R43" s="1463">
        <f>ParkViewThuanAn5ha!R50</f>
        <v>0</v>
      </c>
      <c r="S43" s="1463">
        <f>ParkViewThuanAn5ha!S50</f>
        <v>2625</v>
      </c>
      <c r="T43" s="1463">
        <f>ParkViewThuanAn5ha!T50</f>
        <v>4375</v>
      </c>
      <c r="U43" s="1463">
        <f>ParkViewThuanAn5ha!U50</f>
        <v>1750</v>
      </c>
      <c r="V43" s="1463">
        <f>ParkViewThuanAn5ha!V50</f>
        <v>0</v>
      </c>
      <c r="W43" s="1463"/>
      <c r="X43" s="1463">
        <f>ParkViewThuanAn5ha!S5</f>
        <v>6500</v>
      </c>
      <c r="Y43" s="1463">
        <f>ParkViewThuanAn5ha!S7</f>
        <v>25</v>
      </c>
      <c r="Z43" s="1423"/>
      <c r="AA43" s="1423"/>
      <c r="AB43" s="1423"/>
      <c r="AC43" s="1423"/>
    </row>
    <row r="44" spans="1:29">
      <c r="A44" s="2184">
        <f t="shared" si="45"/>
        <v>9</v>
      </c>
      <c r="B44" s="1410" t="str">
        <f>'Lux Riverview Q7'!A1</f>
        <v>Lux Riverview - Lux Star Quận 7</v>
      </c>
      <c r="C44" s="1410">
        <f>'Lux Riverview Q7'!C50</f>
        <v>3264.0000000000005</v>
      </c>
      <c r="D44" s="1463">
        <f>'Lux Riverview Q7'!D50</f>
        <v>0</v>
      </c>
      <c r="E44" s="1463">
        <f>'Lux Riverview Q7'!E50</f>
        <v>0</v>
      </c>
      <c r="F44" s="1463">
        <f>'Lux Riverview Q7'!F50</f>
        <v>0</v>
      </c>
      <c r="G44" s="1463">
        <f>'Lux Riverview Q7'!G50</f>
        <v>0</v>
      </c>
      <c r="H44" s="1463">
        <f>'Lux Riverview Q7'!H50</f>
        <v>0</v>
      </c>
      <c r="I44" s="1463">
        <f>'Lux Riverview Q7'!I50</f>
        <v>0</v>
      </c>
      <c r="J44" s="1463">
        <f>'Lux Riverview Q7'!J50</f>
        <v>0</v>
      </c>
      <c r="K44" s="1463">
        <f>'Lux Riverview Q7'!K50</f>
        <v>0</v>
      </c>
      <c r="L44" s="1463">
        <f>'Lux Riverview Q7'!L50</f>
        <v>0</v>
      </c>
      <c r="M44" s="1463">
        <f>'Lux Riverview Q7'!M50</f>
        <v>0</v>
      </c>
      <c r="N44" s="1463">
        <f>'Lux Riverview Q7'!N50</f>
        <v>0</v>
      </c>
      <c r="O44" s="1463">
        <f>'Lux Riverview Q7'!O50</f>
        <v>0</v>
      </c>
      <c r="P44" s="1463">
        <f>'Lux Riverview Q7'!P50</f>
        <v>0</v>
      </c>
      <c r="Q44" s="1463">
        <f>'Lux Riverview Q7'!Q50</f>
        <v>0</v>
      </c>
      <c r="R44" s="1463">
        <f>'Lux Riverview Q7'!R50</f>
        <v>0</v>
      </c>
      <c r="S44" s="1463">
        <f>'Lux Riverview Q7'!S50</f>
        <v>0</v>
      </c>
      <c r="T44" s="1463">
        <f>'Lux Riverview Q7'!T50</f>
        <v>1632.0000000000002</v>
      </c>
      <c r="U44" s="1463">
        <f>'Lux Riverview Q7'!U50</f>
        <v>1632.0000000000002</v>
      </c>
      <c r="V44" s="1463">
        <f>'Lux Riverview Q7'!V50</f>
        <v>0</v>
      </c>
      <c r="W44" s="1463"/>
      <c r="X44" s="1463">
        <f>'Lux Riverview Q7'!S5</f>
        <v>765</v>
      </c>
      <c r="Y44" s="1463">
        <f>'Lux Riverview Q7'!S7</f>
        <v>60</v>
      </c>
      <c r="Z44" s="1423"/>
      <c r="AA44" s="1423"/>
      <c r="AB44" s="1423"/>
      <c r="AC44" s="1423"/>
    </row>
    <row r="45" spans="1:29">
      <c r="A45" s="2184">
        <f t="shared" si="45"/>
        <v>10</v>
      </c>
      <c r="B45" s="1410" t="str">
        <f>'Gem Premium'!A1</f>
        <v>Gem Premium Thu Duc (Opal Premium)</v>
      </c>
      <c r="C45" s="1410">
        <f>'Gem Premium'!C50</f>
        <v>60156</v>
      </c>
      <c r="D45" s="1463">
        <f>'Gem Premium'!D50</f>
        <v>0</v>
      </c>
      <c r="E45" s="1463">
        <f>'Gem Premium'!E50</f>
        <v>0</v>
      </c>
      <c r="F45" s="1463">
        <f>'Gem Premium'!F50</f>
        <v>0</v>
      </c>
      <c r="G45" s="1463">
        <f>'Gem Premium'!G50</f>
        <v>0</v>
      </c>
      <c r="H45" s="1463">
        <f>'Gem Premium'!H50</f>
        <v>0</v>
      </c>
      <c r="I45" s="1463">
        <f>'Gem Premium'!I50</f>
        <v>0</v>
      </c>
      <c r="J45" s="1463">
        <f>'Gem Premium'!J50</f>
        <v>0</v>
      </c>
      <c r="K45" s="1463">
        <f>'Gem Premium'!K50</f>
        <v>0</v>
      </c>
      <c r="L45" s="1463">
        <f>'Gem Premium'!L50</f>
        <v>0</v>
      </c>
      <c r="M45" s="1463">
        <f>'Gem Premium'!M50</f>
        <v>0</v>
      </c>
      <c r="N45" s="1463">
        <f>'Gem Premium'!N50</f>
        <v>0</v>
      </c>
      <c r="O45" s="1463">
        <f>'Gem Premium'!O50</f>
        <v>0</v>
      </c>
      <c r="P45" s="1463">
        <f>'Gem Premium'!P50</f>
        <v>0</v>
      </c>
      <c r="Q45" s="1463">
        <f>'Gem Premium'!Q50</f>
        <v>0</v>
      </c>
      <c r="R45" s="1463">
        <f>'Gem Premium'!R50</f>
        <v>0</v>
      </c>
      <c r="S45" s="1463">
        <f>'Gem Premium'!S50</f>
        <v>16200</v>
      </c>
      <c r="T45" s="1463">
        <f>'Gem Premium'!T50</f>
        <v>17820</v>
      </c>
      <c r="U45" s="1463">
        <f>'Gem Premium'!U50</f>
        <v>26136.000000000004</v>
      </c>
      <c r="V45" s="1463">
        <f>'Gem Premium'!V50</f>
        <v>0</v>
      </c>
      <c r="W45" s="1463"/>
      <c r="X45" s="1463">
        <f>'Gem Premium'!S5</f>
        <v>3800</v>
      </c>
      <c r="Y45" s="1463">
        <f>'Gem Premium'!S7</f>
        <v>82</v>
      </c>
      <c r="Z45" s="1423"/>
      <c r="AA45" s="1423"/>
      <c r="AB45" s="1423"/>
      <c r="AC45" s="1423"/>
    </row>
    <row r="46" spans="1:29">
      <c r="A46" s="2184">
        <f t="shared" si="45"/>
        <v>11</v>
      </c>
      <c r="B46" s="1410" t="str">
        <f>'Opal City'!A1</f>
        <v>Gem City Q9 (Opal City old)</v>
      </c>
      <c r="C46" s="1410">
        <f>'Opal City'!C50</f>
        <v>12291.37778161095</v>
      </c>
      <c r="D46" s="1463">
        <f>'Opal City'!D50</f>
        <v>0</v>
      </c>
      <c r="E46" s="1463">
        <f>'Opal City'!E50</f>
        <v>0</v>
      </c>
      <c r="F46" s="1463">
        <f>'Opal City'!F50</f>
        <v>0</v>
      </c>
      <c r="G46" s="1463">
        <f>'Opal City'!G50</f>
        <v>0</v>
      </c>
      <c r="H46" s="1463">
        <f>'Opal City'!H50</f>
        <v>0</v>
      </c>
      <c r="I46" s="1463">
        <f>'Opal City'!I50</f>
        <v>0</v>
      </c>
      <c r="J46" s="1463">
        <f>'Opal City'!J50</f>
        <v>0</v>
      </c>
      <c r="K46" s="1463">
        <f>'Opal City'!K50</f>
        <v>0</v>
      </c>
      <c r="L46" s="1463">
        <f>'Opal City'!L50</f>
        <v>0</v>
      </c>
      <c r="M46" s="1463">
        <f>'Opal City'!M50</f>
        <v>0</v>
      </c>
      <c r="N46" s="1463">
        <f>'Opal City'!N50</f>
        <v>0</v>
      </c>
      <c r="O46" s="1463">
        <f>'Opal City'!O50</f>
        <v>0</v>
      </c>
      <c r="P46" s="1463">
        <f>'Opal City'!P50</f>
        <v>0</v>
      </c>
      <c r="Q46" s="1463">
        <f>'Opal City'!Q50</f>
        <v>0</v>
      </c>
      <c r="R46" s="1463">
        <f>'Opal City'!R50</f>
        <v>3573.7155735120004</v>
      </c>
      <c r="S46" s="1463">
        <f>'Opal City'!S50</f>
        <v>4294.4148808369209</v>
      </c>
      <c r="T46" s="1463">
        <f>'Opal City'!T50</f>
        <v>4423.2473272620282</v>
      </c>
      <c r="U46" s="1463">
        <f>'Opal City'!U50</f>
        <v>0</v>
      </c>
      <c r="V46" s="1463">
        <f>'Opal City'!V50</f>
        <v>0</v>
      </c>
      <c r="W46" s="1463"/>
      <c r="X46" s="1463">
        <f>'Opal City'!S5</f>
        <v>2500</v>
      </c>
      <c r="Y46" s="1463">
        <f>'Opal City'!S7</f>
        <v>65</v>
      </c>
      <c r="Z46" s="1423"/>
      <c r="AA46" s="1423"/>
      <c r="AB46" s="1423"/>
      <c r="AC46" s="1423"/>
    </row>
    <row r="47" spans="1:29">
      <c r="A47" s="2184">
        <f t="shared" si="45"/>
        <v>12</v>
      </c>
      <c r="B47" s="1410" t="str">
        <f>ParkCityThuanAn10ha!A1</f>
        <v>Park City Thuận An 10ha</v>
      </c>
      <c r="C47" s="1410">
        <f>ParkCityThuanAn10ha!C50</f>
        <v>8750</v>
      </c>
      <c r="D47" s="1463">
        <f>ParkCityThuanAn10ha!D50</f>
        <v>0</v>
      </c>
      <c r="E47" s="1463">
        <f>ParkCityThuanAn10ha!E50</f>
        <v>0</v>
      </c>
      <c r="F47" s="1463">
        <f>ParkCityThuanAn10ha!F50</f>
        <v>0</v>
      </c>
      <c r="G47" s="1463">
        <f>ParkCityThuanAn10ha!G50</f>
        <v>0</v>
      </c>
      <c r="H47" s="1463">
        <f>ParkCityThuanAn10ha!H50</f>
        <v>0</v>
      </c>
      <c r="I47" s="1463">
        <f>ParkCityThuanAn10ha!I50</f>
        <v>0</v>
      </c>
      <c r="J47" s="1463">
        <f>ParkCityThuanAn10ha!J50</f>
        <v>0</v>
      </c>
      <c r="K47" s="1463">
        <f>ParkCityThuanAn10ha!K50</f>
        <v>0</v>
      </c>
      <c r="L47" s="1463">
        <f>ParkCityThuanAn10ha!L50</f>
        <v>0</v>
      </c>
      <c r="M47" s="1463">
        <f>ParkCityThuanAn10ha!M50</f>
        <v>0</v>
      </c>
      <c r="N47" s="1463">
        <f>ParkCityThuanAn10ha!N50</f>
        <v>0</v>
      </c>
      <c r="O47" s="1463">
        <f>ParkCityThuanAn10ha!O50</f>
        <v>0</v>
      </c>
      <c r="P47" s="1463">
        <f>ParkCityThuanAn10ha!P50</f>
        <v>0</v>
      </c>
      <c r="Q47" s="1463">
        <f>ParkCityThuanAn10ha!Q50</f>
        <v>0</v>
      </c>
      <c r="R47" s="1463">
        <f>ParkCityThuanAn10ha!R50</f>
        <v>0</v>
      </c>
      <c r="S47" s="1463">
        <f>ParkCityThuanAn10ha!S50</f>
        <v>0</v>
      </c>
      <c r="T47" s="1463">
        <f>ParkCityThuanAn10ha!T50</f>
        <v>2625</v>
      </c>
      <c r="U47" s="1463">
        <f>ParkCityThuanAn10ha!U50</f>
        <v>2625</v>
      </c>
      <c r="V47" s="1463">
        <f>ParkCityThuanAn10ha!V50</f>
        <v>3500</v>
      </c>
      <c r="W47" s="1463"/>
      <c r="X47" s="1463">
        <f>ParkCityThuanAn10ha!S5</f>
        <v>6500</v>
      </c>
      <c r="Y47" s="1463">
        <f>ParkCityThuanAn10ha!S7</f>
        <v>25</v>
      </c>
      <c r="Z47" s="1423"/>
      <c r="AA47" s="1423"/>
      <c r="AB47" s="1423"/>
      <c r="AC47" s="1423"/>
    </row>
    <row r="48" spans="1:29">
      <c r="A48" s="2184">
        <f t="shared" si="45"/>
        <v>13</v>
      </c>
      <c r="B48" s="1410" t="str">
        <f>'Opal Skyline'!A1</f>
        <v>Opal Skyline</v>
      </c>
      <c r="C48" s="1410">
        <f>'Opal Skyline'!C50</f>
        <v>2411.5</v>
      </c>
      <c r="D48" s="1463">
        <f>'Opal Skyline'!D50</f>
        <v>0</v>
      </c>
      <c r="E48" s="1463">
        <f>'Opal Skyline'!E50</f>
        <v>0</v>
      </c>
      <c r="F48" s="1463">
        <f>'Opal Skyline'!F50</f>
        <v>0</v>
      </c>
      <c r="G48" s="1463">
        <f>'Opal Skyline'!G50</f>
        <v>0</v>
      </c>
      <c r="H48" s="1463">
        <f>'Opal Skyline'!H50</f>
        <v>0</v>
      </c>
      <c r="I48" s="1463">
        <f>'Opal Skyline'!I50</f>
        <v>0</v>
      </c>
      <c r="J48" s="1463">
        <f>'Opal Skyline'!J50</f>
        <v>0</v>
      </c>
      <c r="K48" s="1463">
        <f>'Opal Skyline'!K50</f>
        <v>2411.5</v>
      </c>
      <c r="L48" s="1463">
        <f>'Opal Skyline'!L50</f>
        <v>0</v>
      </c>
      <c r="M48" s="1463">
        <f>'Opal Skyline'!M50</f>
        <v>0</v>
      </c>
      <c r="N48" s="1463">
        <f>'Opal Skyline'!N50</f>
        <v>0</v>
      </c>
      <c r="O48" s="1463">
        <f>'Opal Skyline'!O50</f>
        <v>0</v>
      </c>
      <c r="P48" s="1463">
        <f>'Opal Skyline'!P50</f>
        <v>0</v>
      </c>
      <c r="Q48" s="1463">
        <f>'Opal Skyline'!Q50</f>
        <v>0</v>
      </c>
      <c r="R48" s="1463">
        <f>'Opal Skyline'!R50</f>
        <v>0</v>
      </c>
      <c r="S48" s="1463">
        <f>'Opal Skyline'!S50</f>
        <v>0</v>
      </c>
      <c r="T48" s="1463">
        <f>'Opal Skyline'!T50</f>
        <v>0</v>
      </c>
      <c r="U48" s="1463">
        <f>'Opal Skyline'!U50</f>
        <v>0</v>
      </c>
      <c r="V48" s="1463">
        <f>'Opal Skyline'!V50</f>
        <v>0</v>
      </c>
      <c r="W48" s="1463"/>
      <c r="X48" s="1463">
        <f>'Opal Skyline'!S5</f>
        <v>1506</v>
      </c>
      <c r="Y48" s="1463">
        <f>'Opal Skyline'!S7</f>
        <v>26.5</v>
      </c>
      <c r="Z48" s="1423"/>
      <c r="AA48" s="1423"/>
      <c r="AB48" s="1423"/>
      <c r="AC48" s="1423"/>
    </row>
    <row r="49" spans="1:29">
      <c r="A49" s="2184">
        <f t="shared" si="45"/>
        <v>14</v>
      </c>
      <c r="B49" s="1410" t="str">
        <f>Prive!A1</f>
        <v>Prive</v>
      </c>
      <c r="C49" s="1410">
        <f>Prive!C50</f>
        <v>35430.147249999995</v>
      </c>
      <c r="D49" s="1463">
        <f>Prive!D50</f>
        <v>0</v>
      </c>
      <c r="E49" s="1463">
        <f>Prive!E50</f>
        <v>0</v>
      </c>
      <c r="F49" s="1463">
        <f>Prive!F50</f>
        <v>0</v>
      </c>
      <c r="G49" s="1463">
        <f>Prive!G50</f>
        <v>0</v>
      </c>
      <c r="H49" s="1463">
        <f>Prive!H50</f>
        <v>0</v>
      </c>
      <c r="I49" s="1463">
        <f>Prive!I50</f>
        <v>0</v>
      </c>
      <c r="J49" s="1463">
        <f>Prive!J50</f>
        <v>0</v>
      </c>
      <c r="K49" s="1463">
        <f>Prive!K50</f>
        <v>0</v>
      </c>
      <c r="L49" s="1463">
        <f>Prive!L50</f>
        <v>0</v>
      </c>
      <c r="M49" s="1463">
        <f>Prive!M50</f>
        <v>0</v>
      </c>
      <c r="N49" s="1463">
        <f>Prive!N50</f>
        <v>0</v>
      </c>
      <c r="O49" s="1463">
        <f>Prive!O50</f>
        <v>0</v>
      </c>
      <c r="P49" s="1463">
        <f>Prive!P50</f>
        <v>11142.39</v>
      </c>
      <c r="Q49" s="1463">
        <f>Prive!Q50</f>
        <v>9670.0027499999997</v>
      </c>
      <c r="R49" s="1463">
        <f>Prive!R50</f>
        <v>14617.754499999999</v>
      </c>
      <c r="S49" s="1463">
        <f>Prive!S50</f>
        <v>0</v>
      </c>
      <c r="T49" s="1463">
        <f>Prive!T50</f>
        <v>0</v>
      </c>
      <c r="U49" s="1463">
        <f>Prive!U50</f>
        <v>0</v>
      </c>
      <c r="V49" s="1463">
        <f>Prive!V50</f>
        <v>0</v>
      </c>
      <c r="W49" s="1463"/>
      <c r="X49" s="1463">
        <f>Prive!S5</f>
        <v>3175</v>
      </c>
      <c r="Y49" s="1463">
        <f>Prive!S7</f>
        <v>120</v>
      </c>
      <c r="Z49" s="1423"/>
      <c r="AA49" s="1423"/>
      <c r="AB49" s="1423"/>
      <c r="AC49" s="1423"/>
    </row>
    <row r="50" spans="1:29">
      <c r="A50" s="1457"/>
      <c r="B50" s="1457" t="s">
        <v>642</v>
      </c>
      <c r="C50" s="1408">
        <f t="shared" ref="C50:X50" si="46">SUM(C36:C49)</f>
        <v>157866.48502961095</v>
      </c>
      <c r="D50" s="1408">
        <f t="shared" si="46"/>
        <v>0</v>
      </c>
      <c r="E50" s="1408">
        <f t="shared" si="46"/>
        <v>0</v>
      </c>
      <c r="F50" s="1408">
        <f t="shared" si="46"/>
        <v>0</v>
      </c>
      <c r="G50" s="1408">
        <f t="shared" si="46"/>
        <v>1762.0106800000001</v>
      </c>
      <c r="H50" s="1408">
        <f t="shared" si="46"/>
        <v>0</v>
      </c>
      <c r="I50" s="1408">
        <f t="shared" si="46"/>
        <v>0</v>
      </c>
      <c r="J50" s="1408">
        <f t="shared" si="46"/>
        <v>0</v>
      </c>
      <c r="K50" s="1408">
        <f t="shared" si="46"/>
        <v>4494.5874999999996</v>
      </c>
      <c r="L50" s="1408">
        <f t="shared" si="46"/>
        <v>2993.4375</v>
      </c>
      <c r="M50" s="1408">
        <f t="shared" si="46"/>
        <v>3232.9124999999999</v>
      </c>
      <c r="N50" s="1408">
        <f t="shared" ref="N50:V50" si="47">SUM(N36:N49)</f>
        <v>0</v>
      </c>
      <c r="O50" s="1408">
        <f t="shared" si="47"/>
        <v>0</v>
      </c>
      <c r="P50" s="1408">
        <f t="shared" si="47"/>
        <v>17949.765899999999</v>
      </c>
      <c r="Q50" s="1408">
        <f t="shared" si="47"/>
        <v>19604.638668</v>
      </c>
      <c r="R50" s="1408">
        <f t="shared" si="47"/>
        <v>20841.264001192001</v>
      </c>
      <c r="S50" s="1408">
        <f t="shared" si="47"/>
        <v>23119.414880836921</v>
      </c>
      <c r="T50" s="1408">
        <f t="shared" si="47"/>
        <v>30875.247327262026</v>
      </c>
      <c r="U50" s="1408">
        <f t="shared" si="47"/>
        <v>32143.000000000004</v>
      </c>
      <c r="V50" s="1408">
        <f t="shared" si="47"/>
        <v>3500</v>
      </c>
      <c r="W50" s="2177"/>
      <c r="X50" s="1408">
        <f t="shared" si="46"/>
        <v>34870</v>
      </c>
      <c r="Y50" s="1408"/>
    </row>
    <row r="51" spans="1:29">
      <c r="B51" s="1410"/>
      <c r="C51" s="1410"/>
      <c r="D51" s="1410"/>
      <c r="E51" s="1410"/>
      <c r="F51" s="1410"/>
      <c r="G51" s="1410"/>
      <c r="H51" s="1410"/>
      <c r="I51" s="1410"/>
      <c r="J51" s="1410"/>
      <c r="K51" s="1410"/>
      <c r="L51" s="1410"/>
      <c r="M51" s="1410"/>
      <c r="N51" s="1410"/>
      <c r="O51" s="1410"/>
      <c r="P51" s="1410"/>
      <c r="Q51" s="1410"/>
      <c r="R51" s="1410"/>
      <c r="S51" s="1410"/>
      <c r="T51" s="1410"/>
      <c r="U51" s="1410"/>
      <c r="V51" s="1410"/>
      <c r="W51" s="1410"/>
    </row>
    <row r="52" spans="1:29">
      <c r="B52" s="1407" t="s">
        <v>1728</v>
      </c>
      <c r="C52" s="1455" t="s">
        <v>642</v>
      </c>
      <c r="D52" s="1431">
        <f t="shared" ref="D52:M52" si="48">D35</f>
        <v>2013</v>
      </c>
      <c r="E52" s="1431">
        <f t="shared" si="48"/>
        <v>2014</v>
      </c>
      <c r="F52" s="1431">
        <f t="shared" si="48"/>
        <v>2015</v>
      </c>
      <c r="G52" s="1431">
        <f t="shared" si="48"/>
        <v>2016</v>
      </c>
      <c r="H52" s="1431">
        <f t="shared" si="48"/>
        <v>2017</v>
      </c>
      <c r="I52" s="1431">
        <f t="shared" si="48"/>
        <v>2018</v>
      </c>
      <c r="J52" s="1431">
        <f t="shared" si="48"/>
        <v>2019</v>
      </c>
      <c r="K52" s="1431">
        <f t="shared" si="48"/>
        <v>2020</v>
      </c>
      <c r="L52" s="1431">
        <f t="shared" si="48"/>
        <v>2021</v>
      </c>
      <c r="M52" s="1431">
        <f t="shared" si="48"/>
        <v>2022</v>
      </c>
      <c r="N52" s="1431">
        <f t="shared" ref="N52:V52" si="49">N35</f>
        <v>2023</v>
      </c>
      <c r="O52" s="1431">
        <f t="shared" si="49"/>
        <v>2024</v>
      </c>
      <c r="P52" s="1431">
        <f t="shared" si="49"/>
        <v>2025</v>
      </c>
      <c r="Q52" s="1431">
        <f t="shared" si="49"/>
        <v>2026</v>
      </c>
      <c r="R52" s="1431">
        <f t="shared" si="49"/>
        <v>2027</v>
      </c>
      <c r="S52" s="1431">
        <f t="shared" si="49"/>
        <v>2028</v>
      </c>
      <c r="T52" s="1431">
        <f t="shared" si="49"/>
        <v>2029</v>
      </c>
      <c r="U52" s="1431">
        <f t="shared" si="49"/>
        <v>2030</v>
      </c>
      <c r="V52" s="1431">
        <f t="shared" si="49"/>
        <v>2031</v>
      </c>
    </row>
    <row r="53" spans="1:29">
      <c r="A53" s="1431">
        <f t="shared" ref="A53:B66" si="50">A36</f>
        <v>1</v>
      </c>
      <c r="B53" s="1432" t="str">
        <f t="shared" si="50"/>
        <v>Opal Central Park - Thuận An 1.0ha</v>
      </c>
      <c r="C53" s="1658">
        <f>SUM(D53:M53)</f>
        <v>0</v>
      </c>
      <c r="D53" s="1658" t="str">
        <f>IF($C36&gt;0,D36/$C36,"")</f>
        <v/>
      </c>
      <c r="E53" s="1658" t="str">
        <f t="shared" ref="E53:M53" si="51">IF($C36&gt;0,E36/$C36,"")</f>
        <v/>
      </c>
      <c r="F53" s="1658" t="str">
        <f t="shared" si="51"/>
        <v/>
      </c>
      <c r="G53" s="1658" t="str">
        <f t="shared" si="51"/>
        <v/>
      </c>
      <c r="H53" s="1658" t="str">
        <f t="shared" si="51"/>
        <v/>
      </c>
      <c r="I53" s="1658" t="str">
        <f t="shared" si="51"/>
        <v/>
      </c>
      <c r="J53" s="1658" t="str">
        <f t="shared" si="51"/>
        <v/>
      </c>
      <c r="K53" s="1658" t="str">
        <f t="shared" si="51"/>
        <v/>
      </c>
      <c r="L53" s="1658" t="str">
        <f t="shared" si="51"/>
        <v/>
      </c>
      <c r="M53" s="1658" t="str">
        <f t="shared" si="51"/>
        <v/>
      </c>
      <c r="N53" s="1658" t="str">
        <f t="shared" ref="N53:P53" si="52">IF($C36&gt;0,N36/$C36,"")</f>
        <v/>
      </c>
      <c r="O53" s="1658" t="str">
        <f t="shared" si="52"/>
        <v/>
      </c>
      <c r="P53" s="1658" t="str">
        <f t="shared" si="52"/>
        <v/>
      </c>
      <c r="Q53" s="1658" t="str">
        <f t="shared" ref="Q53:V53" si="53">IF($C36&gt;0,Q36/$C36,"")</f>
        <v/>
      </c>
      <c r="R53" s="1658" t="str">
        <f t="shared" si="53"/>
        <v/>
      </c>
      <c r="S53" s="1658" t="str">
        <f t="shared" si="53"/>
        <v/>
      </c>
      <c r="T53" s="1658" t="str">
        <f t="shared" si="53"/>
        <v/>
      </c>
      <c r="U53" s="1658" t="str">
        <f t="shared" si="53"/>
        <v/>
      </c>
      <c r="V53" s="1658" t="str">
        <f t="shared" si="53"/>
        <v/>
      </c>
      <c r="W53" s="1417"/>
    </row>
    <row r="54" spans="1:29">
      <c r="A54" s="1431">
        <f t="shared" si="50"/>
        <v>2</v>
      </c>
      <c r="B54" s="1431" t="str">
        <f t="shared" si="50"/>
        <v>St Moritz - Opal Skyview</v>
      </c>
      <c r="C54" s="1417">
        <f t="shared" ref="C54:C66" si="54">SUM(D54:M54)</f>
        <v>1</v>
      </c>
      <c r="D54" s="1417" t="str">
        <f t="shared" ref="D54:D60" si="55">IF(D37/$C37&gt;0,D37/$C37,"")</f>
        <v/>
      </c>
      <c r="E54" s="1417" t="str">
        <f t="shared" ref="E54:M54" si="56">IF(E37/$C37&gt;0,E37/$C37,"")</f>
        <v/>
      </c>
      <c r="F54" s="1417" t="str">
        <f t="shared" si="56"/>
        <v/>
      </c>
      <c r="G54" s="1417" t="str">
        <f t="shared" si="56"/>
        <v/>
      </c>
      <c r="H54" s="1417" t="str">
        <f t="shared" si="56"/>
        <v/>
      </c>
      <c r="I54" s="1417" t="str">
        <f t="shared" si="56"/>
        <v/>
      </c>
      <c r="J54" s="1417" t="str">
        <f t="shared" si="56"/>
        <v/>
      </c>
      <c r="K54" s="1417">
        <f t="shared" si="56"/>
        <v>1</v>
      </c>
      <c r="L54" s="1417" t="str">
        <f t="shared" si="56"/>
        <v/>
      </c>
      <c r="M54" s="1417" t="str">
        <f t="shared" si="56"/>
        <v/>
      </c>
      <c r="N54" s="1417" t="str">
        <f t="shared" ref="N54:P54" si="57">IF(N37/$C37&gt;0,N37/$C37,"")</f>
        <v/>
      </c>
      <c r="O54" s="1417" t="str">
        <f t="shared" si="57"/>
        <v/>
      </c>
      <c r="P54" s="1417" t="str">
        <f t="shared" si="57"/>
        <v/>
      </c>
      <c r="Q54" s="1417" t="str">
        <f t="shared" ref="Q54:V63" si="58">IF(Q37/$C37&gt;0,Q37/$C37,"")</f>
        <v/>
      </c>
      <c r="R54" s="1417" t="str">
        <f t="shared" si="58"/>
        <v/>
      </c>
      <c r="S54" s="1417" t="str">
        <f t="shared" si="58"/>
        <v/>
      </c>
      <c r="T54" s="1417" t="str">
        <f t="shared" si="58"/>
        <v/>
      </c>
      <c r="U54" s="1417" t="str">
        <f t="shared" si="58"/>
        <v/>
      </c>
      <c r="V54" s="1417" t="str">
        <f t="shared" si="58"/>
        <v/>
      </c>
      <c r="W54" s="1417"/>
    </row>
    <row r="55" spans="1:29">
      <c r="A55" s="1431">
        <f t="shared" si="50"/>
        <v>3</v>
      </c>
      <c r="B55" s="1431" t="str">
        <f t="shared" si="50"/>
        <v>Opal Riverside</v>
      </c>
      <c r="C55" s="1417">
        <f t="shared" si="54"/>
        <v>1</v>
      </c>
      <c r="D55" s="1417" t="str">
        <f t="shared" si="55"/>
        <v/>
      </c>
      <c r="E55" s="1417" t="str">
        <f t="shared" ref="E55:M55" si="59">IF(E38/$C38&gt;0,E38/$C38,"")</f>
        <v/>
      </c>
      <c r="F55" s="1417" t="str">
        <f t="shared" si="59"/>
        <v/>
      </c>
      <c r="G55" s="1417">
        <f t="shared" si="59"/>
        <v>1</v>
      </c>
      <c r="H55" s="1417" t="str">
        <f t="shared" si="59"/>
        <v/>
      </c>
      <c r="I55" s="1417" t="str">
        <f t="shared" si="59"/>
        <v/>
      </c>
      <c r="J55" s="1417" t="str">
        <f t="shared" si="59"/>
        <v/>
      </c>
      <c r="K55" s="1417" t="str">
        <f t="shared" si="59"/>
        <v/>
      </c>
      <c r="L55" s="1417" t="str">
        <f t="shared" si="59"/>
        <v/>
      </c>
      <c r="M55" s="1417" t="str">
        <f t="shared" si="59"/>
        <v/>
      </c>
      <c r="N55" s="1417" t="str">
        <f t="shared" ref="N55:P55" si="60">IF(N38/$C38&gt;0,N38/$C38,"")</f>
        <v/>
      </c>
      <c r="O55" s="1417" t="str">
        <f t="shared" si="60"/>
        <v/>
      </c>
      <c r="P55" s="1417" t="str">
        <f t="shared" si="60"/>
        <v/>
      </c>
      <c r="Q55" s="1417" t="str">
        <f t="shared" si="58"/>
        <v/>
      </c>
      <c r="R55" s="1417" t="str">
        <f t="shared" si="58"/>
        <v/>
      </c>
      <c r="S55" s="1417" t="str">
        <f t="shared" si="58"/>
        <v/>
      </c>
      <c r="T55" s="1417" t="str">
        <f t="shared" si="58"/>
        <v/>
      </c>
      <c r="U55" s="1417" t="str">
        <f t="shared" si="58"/>
        <v/>
      </c>
      <c r="V55" s="1417" t="str">
        <f t="shared" si="58"/>
        <v/>
      </c>
      <c r="W55" s="1417"/>
    </row>
    <row r="56" spans="1:29">
      <c r="A56" s="1431">
        <f t="shared" si="50"/>
        <v>4</v>
      </c>
      <c r="B56" s="1431" t="str">
        <f t="shared" si="50"/>
        <v>Opal Garden</v>
      </c>
      <c r="C56" s="1417">
        <f t="shared" si="54"/>
        <v>1</v>
      </c>
      <c r="D56" s="1417" t="str">
        <f t="shared" si="55"/>
        <v/>
      </c>
      <c r="E56" s="1417" t="str">
        <f t="shared" ref="E56:M56" si="61">IF(E39/$C39&gt;0,E39/$C39,"")</f>
        <v/>
      </c>
      <c r="F56" s="1417" t="str">
        <f t="shared" si="61"/>
        <v/>
      </c>
      <c r="G56" s="1417">
        <f t="shared" si="61"/>
        <v>1</v>
      </c>
      <c r="H56" s="1417" t="str">
        <f t="shared" si="61"/>
        <v/>
      </c>
      <c r="I56" s="1417" t="str">
        <f t="shared" si="61"/>
        <v/>
      </c>
      <c r="J56" s="1417" t="str">
        <f t="shared" si="61"/>
        <v/>
      </c>
      <c r="K56" s="1417" t="str">
        <f t="shared" si="61"/>
        <v/>
      </c>
      <c r="L56" s="1417" t="str">
        <f t="shared" si="61"/>
        <v/>
      </c>
      <c r="M56" s="1417" t="str">
        <f t="shared" si="61"/>
        <v/>
      </c>
      <c r="N56" s="1417" t="str">
        <f t="shared" ref="N56:P56" si="62">IF(N39/$C39&gt;0,N39/$C39,"")</f>
        <v/>
      </c>
      <c r="O56" s="1417" t="str">
        <f t="shared" si="62"/>
        <v/>
      </c>
      <c r="P56" s="1417" t="str">
        <f t="shared" si="62"/>
        <v/>
      </c>
      <c r="Q56" s="1417" t="str">
        <f t="shared" si="58"/>
        <v/>
      </c>
      <c r="R56" s="1417" t="str">
        <f t="shared" si="58"/>
        <v/>
      </c>
      <c r="S56" s="1417" t="str">
        <f t="shared" si="58"/>
        <v/>
      </c>
      <c r="T56" s="1417" t="str">
        <f t="shared" si="58"/>
        <v/>
      </c>
      <c r="U56" s="1417" t="str">
        <f t="shared" si="58"/>
        <v/>
      </c>
      <c r="V56" s="1417" t="str">
        <f t="shared" si="58"/>
        <v/>
      </c>
      <c r="W56" s="1417"/>
    </row>
    <row r="57" spans="1:29">
      <c r="A57" s="1431">
        <f t="shared" si="50"/>
        <v>5</v>
      </c>
      <c r="B57" s="1431" t="str">
        <f t="shared" si="50"/>
        <v>Gem Sky World Long Thanh</v>
      </c>
      <c r="C57" s="1417">
        <f t="shared" si="54"/>
        <v>0.51400362374474096</v>
      </c>
      <c r="D57" s="1417" t="str">
        <f t="shared" si="55"/>
        <v/>
      </c>
      <c r="E57" s="1417" t="str">
        <f t="shared" ref="E57:M57" si="63">IF(E40/$C40&gt;0,E40/$C40,"")</f>
        <v/>
      </c>
      <c r="F57" s="1417" t="str">
        <f t="shared" si="63"/>
        <v/>
      </c>
      <c r="G57" s="1417" t="str">
        <f t="shared" si="63"/>
        <v/>
      </c>
      <c r="H57" s="1417" t="str">
        <f t="shared" si="63"/>
        <v/>
      </c>
      <c r="I57" s="1417" t="str">
        <f t="shared" si="63"/>
        <v/>
      </c>
      <c r="J57" s="1417" t="str">
        <f t="shared" si="63"/>
        <v/>
      </c>
      <c r="K57" s="1417">
        <f t="shared" si="63"/>
        <v>0.10280072474894821</v>
      </c>
      <c r="L57" s="1417">
        <f t="shared" si="63"/>
        <v>0.19769370144028497</v>
      </c>
      <c r="M57" s="1417">
        <f t="shared" si="63"/>
        <v>0.21350919755550779</v>
      </c>
      <c r="N57" s="1417" t="str">
        <f t="shared" ref="N57:P57" si="64">IF(N40/$C40&gt;0,N40/$C40,"")</f>
        <v/>
      </c>
      <c r="O57" s="1417" t="str">
        <f t="shared" si="64"/>
        <v/>
      </c>
      <c r="P57" s="1417">
        <f t="shared" si="64"/>
        <v>0.14280011055492431</v>
      </c>
      <c r="Q57" s="1417">
        <f t="shared" si="58"/>
        <v>0.34319626570033474</v>
      </c>
      <c r="R57" s="1417" t="str">
        <f t="shared" si="58"/>
        <v/>
      </c>
      <c r="S57" s="1417" t="str">
        <f t="shared" si="58"/>
        <v/>
      </c>
      <c r="T57" s="1417" t="str">
        <f t="shared" si="58"/>
        <v/>
      </c>
      <c r="U57" s="1417" t="str">
        <f t="shared" si="58"/>
        <v/>
      </c>
      <c r="V57" s="1417" t="str">
        <f t="shared" si="58"/>
        <v/>
      </c>
      <c r="W57" s="1417"/>
    </row>
    <row r="58" spans="1:29">
      <c r="A58" s="1431">
        <f t="shared" si="50"/>
        <v>6</v>
      </c>
      <c r="B58" s="1431" t="str">
        <f t="shared" si="50"/>
        <v>Opal Luxury 8.6ha Binh Duong</v>
      </c>
      <c r="C58" s="1417">
        <f t="shared" si="54"/>
        <v>0</v>
      </c>
      <c r="D58" s="1417" t="str">
        <f t="shared" si="55"/>
        <v/>
      </c>
      <c r="E58" s="1417" t="str">
        <f t="shared" ref="E58:M58" si="65">IF(E41/$C41&gt;0,E41/$C41,"")</f>
        <v/>
      </c>
      <c r="F58" s="1417" t="str">
        <f t="shared" si="65"/>
        <v/>
      </c>
      <c r="G58" s="1417" t="str">
        <f t="shared" si="65"/>
        <v/>
      </c>
      <c r="H58" s="1417" t="str">
        <f t="shared" si="65"/>
        <v/>
      </c>
      <c r="I58" s="1417" t="str">
        <f t="shared" si="65"/>
        <v/>
      </c>
      <c r="J58" s="1417" t="str">
        <f t="shared" si="65"/>
        <v/>
      </c>
      <c r="K58" s="1417" t="str">
        <f t="shared" si="65"/>
        <v/>
      </c>
      <c r="L58" s="1417" t="str">
        <f t="shared" si="65"/>
        <v/>
      </c>
      <c r="M58" s="1417" t="str">
        <f t="shared" si="65"/>
        <v/>
      </c>
      <c r="N58" s="1417" t="str">
        <f t="shared" ref="N58:P58" si="66">IF(N41/$C41&gt;0,N41/$C41,"")</f>
        <v/>
      </c>
      <c r="O58" s="1417" t="str">
        <f t="shared" si="66"/>
        <v/>
      </c>
      <c r="P58" s="1417">
        <f t="shared" si="66"/>
        <v>0.49504950495049505</v>
      </c>
      <c r="Q58" s="1417">
        <f t="shared" si="58"/>
        <v>0.50495049504950507</v>
      </c>
      <c r="R58" s="1417">
        <f t="shared" si="58"/>
        <v>0.44147100424328151</v>
      </c>
      <c r="S58" s="1417" t="str">
        <f t="shared" si="58"/>
        <v/>
      </c>
      <c r="T58" s="1417" t="str">
        <f t="shared" si="58"/>
        <v/>
      </c>
      <c r="U58" s="1417" t="str">
        <f t="shared" si="58"/>
        <v/>
      </c>
      <c r="V58" s="1417" t="str">
        <f t="shared" si="58"/>
        <v/>
      </c>
      <c r="W58" s="1417"/>
    </row>
    <row r="59" spans="1:29">
      <c r="A59" s="1431">
        <f t="shared" si="50"/>
        <v>7</v>
      </c>
      <c r="B59" s="1431" t="str">
        <f t="shared" si="50"/>
        <v>Opal Cityview</v>
      </c>
      <c r="C59" s="1417">
        <f t="shared" si="54"/>
        <v>0</v>
      </c>
      <c r="D59" s="1417" t="str">
        <f t="shared" si="55"/>
        <v/>
      </c>
      <c r="E59" s="1417" t="str">
        <f t="shared" ref="E59:M59" si="67">IF(E42/$C42&gt;0,E42/$C42,"")</f>
        <v/>
      </c>
      <c r="F59" s="1417" t="str">
        <f t="shared" si="67"/>
        <v/>
      </c>
      <c r="G59" s="1417" t="str">
        <f t="shared" si="67"/>
        <v/>
      </c>
      <c r="H59" s="1417" t="str">
        <f t="shared" si="67"/>
        <v/>
      </c>
      <c r="I59" s="1417" t="str">
        <f t="shared" si="67"/>
        <v/>
      </c>
      <c r="J59" s="1417" t="str">
        <f t="shared" si="67"/>
        <v/>
      </c>
      <c r="K59" s="1417" t="str">
        <f t="shared" si="67"/>
        <v/>
      </c>
      <c r="L59" s="1417" t="str">
        <f t="shared" si="67"/>
        <v/>
      </c>
      <c r="M59" s="1417" t="str">
        <f t="shared" si="67"/>
        <v/>
      </c>
      <c r="N59" s="1417" t="str">
        <f t="shared" ref="N59:P59" si="68">IF(N42/$C42&gt;0,N42/$C42,"")</f>
        <v/>
      </c>
      <c r="O59" s="1417" t="str">
        <f t="shared" si="68"/>
        <v/>
      </c>
      <c r="P59" s="1417">
        <f t="shared" si="68"/>
        <v>0.49504950495049505</v>
      </c>
      <c r="Q59" s="1417">
        <f t="shared" si="58"/>
        <v>0.50495049504950495</v>
      </c>
      <c r="R59" s="1417" t="str">
        <f t="shared" si="58"/>
        <v/>
      </c>
      <c r="S59" s="1417" t="str">
        <f t="shared" si="58"/>
        <v/>
      </c>
      <c r="T59" s="1417" t="str">
        <f t="shared" si="58"/>
        <v/>
      </c>
      <c r="U59" s="1417" t="str">
        <f t="shared" si="58"/>
        <v/>
      </c>
      <c r="V59" s="1417" t="str">
        <f t="shared" si="58"/>
        <v/>
      </c>
      <c r="W59" s="1417"/>
    </row>
    <row r="60" spans="1:29">
      <c r="A60" s="1431">
        <f t="shared" si="50"/>
        <v>8</v>
      </c>
      <c r="B60" s="1431" t="str">
        <f t="shared" si="50"/>
        <v>Park View Thuận An 5ha</v>
      </c>
      <c r="C60" s="1417">
        <f t="shared" si="54"/>
        <v>0</v>
      </c>
      <c r="D60" s="1417" t="str">
        <f t="shared" si="55"/>
        <v/>
      </c>
      <c r="E60" s="1417" t="str">
        <f t="shared" ref="E60:M60" si="69">IF(E43/$C43&gt;0,E43/$C43,"")</f>
        <v/>
      </c>
      <c r="F60" s="1417" t="str">
        <f t="shared" si="69"/>
        <v/>
      </c>
      <c r="G60" s="1417" t="str">
        <f t="shared" si="69"/>
        <v/>
      </c>
      <c r="H60" s="1417" t="str">
        <f t="shared" si="69"/>
        <v/>
      </c>
      <c r="I60" s="1417" t="str">
        <f t="shared" si="69"/>
        <v/>
      </c>
      <c r="J60" s="1417" t="str">
        <f t="shared" si="69"/>
        <v/>
      </c>
      <c r="K60" s="1417" t="str">
        <f t="shared" si="69"/>
        <v/>
      </c>
      <c r="L60" s="1417" t="str">
        <f t="shared" si="69"/>
        <v/>
      </c>
      <c r="M60" s="1417" t="str">
        <f t="shared" si="69"/>
        <v/>
      </c>
      <c r="N60" s="1417" t="str">
        <f t="shared" ref="N60:P60" si="70">IF(N43/$C43&gt;0,N43/$C43,"")</f>
        <v/>
      </c>
      <c r="O60" s="1417" t="str">
        <f t="shared" si="70"/>
        <v/>
      </c>
      <c r="P60" s="1417" t="str">
        <f t="shared" si="70"/>
        <v/>
      </c>
      <c r="Q60" s="1417" t="str">
        <f t="shared" si="58"/>
        <v/>
      </c>
      <c r="R60" s="1417" t="str">
        <f t="shared" si="58"/>
        <v/>
      </c>
      <c r="S60" s="1417">
        <f t="shared" si="58"/>
        <v>0.3</v>
      </c>
      <c r="T60" s="1417">
        <f t="shared" si="58"/>
        <v>0.5</v>
      </c>
      <c r="U60" s="1417">
        <f t="shared" si="58"/>
        <v>0.2</v>
      </c>
      <c r="V60" s="1417" t="str">
        <f t="shared" si="58"/>
        <v/>
      </c>
      <c r="W60" s="1417"/>
    </row>
    <row r="61" spans="1:29">
      <c r="A61" s="1431">
        <f t="shared" si="50"/>
        <v>9</v>
      </c>
      <c r="B61" s="1431" t="str">
        <f t="shared" si="50"/>
        <v>Lux Riverview - Lux Star Quận 7</v>
      </c>
      <c r="C61" s="1417">
        <f t="shared" si="54"/>
        <v>0</v>
      </c>
      <c r="D61" s="1417" t="str">
        <f t="shared" ref="D61:M63" si="71">IF(D44/$C44&gt;0,D44/$C44,"")</f>
        <v/>
      </c>
      <c r="E61" s="1417" t="str">
        <f t="shared" ref="E61:M61" si="72">IF(E44/$C44&gt;0,E44/$C44,"")</f>
        <v/>
      </c>
      <c r="F61" s="1417" t="str">
        <f t="shared" si="72"/>
        <v/>
      </c>
      <c r="G61" s="1417" t="str">
        <f t="shared" si="72"/>
        <v/>
      </c>
      <c r="H61" s="1417" t="str">
        <f t="shared" si="72"/>
        <v/>
      </c>
      <c r="I61" s="1417" t="str">
        <f t="shared" si="72"/>
        <v/>
      </c>
      <c r="J61" s="1417" t="str">
        <f t="shared" si="72"/>
        <v/>
      </c>
      <c r="K61" s="1417" t="str">
        <f t="shared" si="72"/>
        <v/>
      </c>
      <c r="L61" s="1417" t="str">
        <f t="shared" si="72"/>
        <v/>
      </c>
      <c r="M61" s="1417" t="str">
        <f t="shared" si="72"/>
        <v/>
      </c>
      <c r="N61" s="1417" t="str">
        <f t="shared" ref="N61:P61" si="73">IF(N44/$C44&gt;0,N44/$C44,"")</f>
        <v/>
      </c>
      <c r="O61" s="1417" t="str">
        <f t="shared" si="73"/>
        <v/>
      </c>
      <c r="P61" s="1417" t="str">
        <f t="shared" si="73"/>
        <v/>
      </c>
      <c r="Q61" s="1417" t="str">
        <f t="shared" si="58"/>
        <v/>
      </c>
      <c r="R61" s="1417" t="str">
        <f t="shared" si="58"/>
        <v/>
      </c>
      <c r="S61" s="1417" t="str">
        <f t="shared" si="58"/>
        <v/>
      </c>
      <c r="T61" s="1417">
        <f t="shared" si="58"/>
        <v>0.5</v>
      </c>
      <c r="U61" s="1417">
        <f t="shared" si="58"/>
        <v>0.5</v>
      </c>
      <c r="V61" s="1417" t="str">
        <f t="shared" si="58"/>
        <v/>
      </c>
      <c r="W61" s="1417"/>
    </row>
    <row r="62" spans="1:29">
      <c r="A62" s="1431">
        <f t="shared" si="50"/>
        <v>10</v>
      </c>
      <c r="B62" s="1431" t="str">
        <f t="shared" si="50"/>
        <v>Gem Premium Thu Duc (Opal Premium)</v>
      </c>
      <c r="C62" s="1417">
        <f>SUM(D62:M62)</f>
        <v>0</v>
      </c>
      <c r="D62" s="1417" t="str">
        <f t="shared" si="71"/>
        <v/>
      </c>
      <c r="E62" s="1417" t="str">
        <f t="shared" si="71"/>
        <v/>
      </c>
      <c r="F62" s="1417" t="str">
        <f t="shared" si="71"/>
        <v/>
      </c>
      <c r="G62" s="1417" t="str">
        <f t="shared" si="71"/>
        <v/>
      </c>
      <c r="H62" s="1417" t="str">
        <f t="shared" si="71"/>
        <v/>
      </c>
      <c r="I62" s="1417" t="str">
        <f t="shared" si="71"/>
        <v/>
      </c>
      <c r="J62" s="1417" t="str">
        <f t="shared" si="71"/>
        <v/>
      </c>
      <c r="K62" s="1417" t="str">
        <f t="shared" si="71"/>
        <v/>
      </c>
      <c r="L62" s="1417" t="str">
        <f t="shared" si="71"/>
        <v/>
      </c>
      <c r="M62" s="1417" t="str">
        <f t="shared" si="71"/>
        <v/>
      </c>
      <c r="N62" s="1417" t="str">
        <f t="shared" ref="N62:P62" si="74">IF(N45/$C45&gt;0,N45/$C45,"")</f>
        <v/>
      </c>
      <c r="O62" s="1417" t="str">
        <f t="shared" si="74"/>
        <v/>
      </c>
      <c r="P62" s="1417" t="str">
        <f t="shared" si="74"/>
        <v/>
      </c>
      <c r="Q62" s="1417" t="str">
        <f t="shared" si="58"/>
        <v/>
      </c>
      <c r="R62" s="1417" t="str">
        <f t="shared" si="58"/>
        <v/>
      </c>
      <c r="S62" s="1417">
        <f t="shared" si="58"/>
        <v>0.26929982046678635</v>
      </c>
      <c r="T62" s="1417">
        <f t="shared" si="58"/>
        <v>0.29622980251346498</v>
      </c>
      <c r="U62" s="1417">
        <f t="shared" si="58"/>
        <v>0.43447037701974872</v>
      </c>
      <c r="V62" s="1417" t="str">
        <f t="shared" si="58"/>
        <v/>
      </c>
      <c r="W62" s="1417"/>
    </row>
    <row r="63" spans="1:29">
      <c r="A63" s="1431">
        <f t="shared" si="50"/>
        <v>11</v>
      </c>
      <c r="B63" s="1431" t="str">
        <f t="shared" si="50"/>
        <v>Gem City Q9 (Opal City old)</v>
      </c>
      <c r="C63" s="1417">
        <f>SUM(D63:M63)</f>
        <v>0</v>
      </c>
      <c r="D63" s="1417" t="str">
        <f t="shared" si="71"/>
        <v/>
      </c>
      <c r="E63" s="1417" t="str">
        <f t="shared" si="71"/>
        <v/>
      </c>
      <c r="F63" s="1417" t="str">
        <f t="shared" si="71"/>
        <v/>
      </c>
      <c r="G63" s="1417" t="str">
        <f t="shared" si="71"/>
        <v/>
      </c>
      <c r="H63" s="1417" t="str">
        <f t="shared" si="71"/>
        <v/>
      </c>
      <c r="I63" s="1417" t="str">
        <f t="shared" si="71"/>
        <v/>
      </c>
      <c r="J63" s="1417" t="str">
        <f t="shared" si="71"/>
        <v/>
      </c>
      <c r="K63" s="1417" t="str">
        <f t="shared" si="71"/>
        <v/>
      </c>
      <c r="L63" s="1417" t="str">
        <f t="shared" si="71"/>
        <v/>
      </c>
      <c r="M63" s="1417" t="str">
        <f t="shared" si="71"/>
        <v/>
      </c>
      <c r="N63" s="1417" t="str">
        <f t="shared" ref="N63:P63" si="75">IF(N46/$C46&gt;0,N46/$C46,"")</f>
        <v/>
      </c>
      <c r="O63" s="1417" t="str">
        <f t="shared" si="75"/>
        <v/>
      </c>
      <c r="P63" s="1417" t="str">
        <f t="shared" si="75"/>
        <v/>
      </c>
      <c r="Q63" s="1417" t="str">
        <f t="shared" si="58"/>
        <v/>
      </c>
      <c r="R63" s="1417">
        <f t="shared" si="58"/>
        <v>0.29074979526368583</v>
      </c>
      <c r="S63" s="1417">
        <f t="shared" si="58"/>
        <v>0.34938433730852914</v>
      </c>
      <c r="T63" s="1417">
        <f t="shared" si="58"/>
        <v>0.35986586742778498</v>
      </c>
      <c r="U63" s="1417" t="str">
        <f t="shared" si="58"/>
        <v/>
      </c>
      <c r="V63" s="1417" t="str">
        <f t="shared" si="58"/>
        <v/>
      </c>
      <c r="W63" s="1417"/>
    </row>
    <row r="64" spans="1:29">
      <c r="A64" s="1431">
        <f t="shared" si="50"/>
        <v>12</v>
      </c>
      <c r="B64" s="1431" t="str">
        <f t="shared" si="50"/>
        <v>Park City Thuận An 10ha</v>
      </c>
      <c r="C64" s="1417">
        <f t="shared" si="54"/>
        <v>0</v>
      </c>
      <c r="D64" s="1417"/>
      <c r="E64" s="1417"/>
      <c r="F64" s="1417"/>
      <c r="G64" s="1417"/>
      <c r="H64" s="1417"/>
      <c r="I64" s="1417"/>
      <c r="J64" s="1417"/>
      <c r="K64" s="1417"/>
      <c r="L64" s="1417"/>
      <c r="M64" s="1417"/>
      <c r="N64" s="1417"/>
      <c r="O64" s="1417"/>
      <c r="P64" s="1417"/>
      <c r="Q64" s="1417"/>
      <c r="R64" s="1417"/>
      <c r="S64" s="1417"/>
      <c r="T64" s="1417"/>
      <c r="U64" s="1417"/>
      <c r="V64" s="1417"/>
      <c r="W64" s="1417"/>
    </row>
    <row r="65" spans="1:23">
      <c r="A65" s="1431">
        <f t="shared" si="50"/>
        <v>13</v>
      </c>
      <c r="B65" s="1431" t="str">
        <f t="shared" si="50"/>
        <v>Opal Skyline</v>
      </c>
      <c r="C65" s="1417">
        <f t="shared" si="54"/>
        <v>0</v>
      </c>
      <c r="D65" s="1417"/>
      <c r="E65" s="1417"/>
      <c r="F65" s="1417"/>
      <c r="G65" s="1417"/>
      <c r="H65" s="1417"/>
      <c r="I65" s="1417"/>
      <c r="J65" s="1417"/>
      <c r="K65" s="1417"/>
      <c r="L65" s="1417"/>
      <c r="M65" s="1417"/>
      <c r="N65" s="1417"/>
      <c r="O65" s="1417"/>
      <c r="P65" s="1417"/>
      <c r="Q65" s="1417"/>
      <c r="R65" s="1417"/>
      <c r="S65" s="1417"/>
      <c r="T65" s="1417"/>
      <c r="U65" s="1417"/>
      <c r="V65" s="1417"/>
      <c r="W65" s="1417"/>
    </row>
    <row r="66" spans="1:23">
      <c r="A66" s="1431">
        <f t="shared" si="50"/>
        <v>14</v>
      </c>
      <c r="B66" s="1431" t="str">
        <f t="shared" si="50"/>
        <v>Prive</v>
      </c>
      <c r="C66" s="1417">
        <f t="shared" si="54"/>
        <v>0</v>
      </c>
      <c r="D66" s="1417" t="str">
        <f>IF(D49/$C49&gt;0,D49/$C49,"")</f>
        <v/>
      </c>
      <c r="E66" s="1417" t="str">
        <f t="shared" ref="E66:M66" si="76">IF(E49/$C49&gt;0,E49/$C49,"")</f>
        <v/>
      </c>
      <c r="F66" s="1417" t="str">
        <f t="shared" si="76"/>
        <v/>
      </c>
      <c r="G66" s="1417" t="str">
        <f t="shared" si="76"/>
        <v/>
      </c>
      <c r="H66" s="1417" t="str">
        <f t="shared" si="76"/>
        <v/>
      </c>
      <c r="I66" s="1417" t="str">
        <f t="shared" si="76"/>
        <v/>
      </c>
      <c r="J66" s="1417" t="str">
        <f t="shared" si="76"/>
        <v/>
      </c>
      <c r="K66" s="1417" t="str">
        <f t="shared" si="76"/>
        <v/>
      </c>
      <c r="L66" s="1417" t="str">
        <f t="shared" si="76"/>
        <v/>
      </c>
      <c r="M66" s="1417" t="str">
        <f t="shared" si="76"/>
        <v/>
      </c>
      <c r="N66" s="1417" t="str">
        <f t="shared" ref="N66:P66" si="77">IF(N49/$C49&gt;0,N49/$C49,"")</f>
        <v/>
      </c>
      <c r="O66" s="1417" t="str">
        <f t="shared" si="77"/>
        <v/>
      </c>
      <c r="P66" s="1417">
        <f t="shared" si="77"/>
        <v>0.31448895544739802</v>
      </c>
      <c r="Q66" s="1417">
        <f t="shared" ref="Q66:V66" si="78">IF(Q49/$C49&gt;0,Q49/$C49,"")</f>
        <v>0.27293148633470615</v>
      </c>
      <c r="R66" s="1417">
        <f t="shared" si="78"/>
        <v>0.41257955821789594</v>
      </c>
      <c r="S66" s="1417" t="str">
        <f t="shared" si="78"/>
        <v/>
      </c>
      <c r="T66" s="1417" t="str">
        <f t="shared" si="78"/>
        <v/>
      </c>
      <c r="U66" s="1417" t="str">
        <f t="shared" si="78"/>
        <v/>
      </c>
      <c r="V66" s="1417" t="str">
        <f t="shared" si="78"/>
        <v/>
      </c>
      <c r="W66" s="1417"/>
    </row>
    <row r="67" spans="1:23">
      <c r="A67" s="1457"/>
      <c r="B67" s="1457"/>
      <c r="C67" s="1408"/>
      <c r="D67" s="1408"/>
      <c r="E67" s="1408"/>
      <c r="F67" s="1408"/>
      <c r="G67" s="1408"/>
      <c r="H67" s="1408"/>
      <c r="I67" s="1408"/>
      <c r="J67" s="1408"/>
      <c r="K67" s="1408"/>
      <c r="L67" s="1408"/>
      <c r="M67" s="1408"/>
      <c r="N67" s="1408"/>
      <c r="O67" s="1408"/>
      <c r="P67" s="1408"/>
      <c r="Q67" s="1408"/>
      <c r="R67" s="1408"/>
      <c r="S67" s="1408"/>
      <c r="T67" s="1408"/>
      <c r="U67" s="1408"/>
      <c r="V67" s="1408"/>
      <c r="W67" s="1410"/>
    </row>
    <row r="68" spans="1:23">
      <c r="B68" s="1407" t="s">
        <v>1813</v>
      </c>
      <c r="C68" s="1455" t="s">
        <v>642</v>
      </c>
      <c r="D68" s="1431">
        <f>D52</f>
        <v>2013</v>
      </c>
      <c r="E68" s="1431">
        <f t="shared" ref="E68:M68" si="79">E52</f>
        <v>2014</v>
      </c>
      <c r="F68" s="1431">
        <f t="shared" si="79"/>
        <v>2015</v>
      </c>
      <c r="G68" s="1431">
        <f t="shared" si="79"/>
        <v>2016</v>
      </c>
      <c r="H68" s="1431">
        <f t="shared" si="79"/>
        <v>2017</v>
      </c>
      <c r="I68" s="1431">
        <f t="shared" si="79"/>
        <v>2018</v>
      </c>
      <c r="J68" s="1431">
        <f t="shared" si="79"/>
        <v>2019</v>
      </c>
      <c r="K68" s="1431">
        <f t="shared" si="79"/>
        <v>2020</v>
      </c>
      <c r="L68" s="1431">
        <f t="shared" si="79"/>
        <v>2021</v>
      </c>
      <c r="M68" s="1431">
        <f t="shared" si="79"/>
        <v>2022</v>
      </c>
      <c r="N68" s="1431">
        <f t="shared" ref="N68:V68" si="80">N52</f>
        <v>2023</v>
      </c>
      <c r="O68" s="1431">
        <f t="shared" si="80"/>
        <v>2024</v>
      </c>
      <c r="P68" s="1431">
        <f t="shared" si="80"/>
        <v>2025</v>
      </c>
      <c r="Q68" s="1431">
        <f t="shared" si="80"/>
        <v>2026</v>
      </c>
      <c r="R68" s="1431">
        <f t="shared" si="80"/>
        <v>2027</v>
      </c>
      <c r="S68" s="1431">
        <f t="shared" si="80"/>
        <v>2028</v>
      </c>
      <c r="T68" s="1431">
        <f t="shared" si="80"/>
        <v>2029</v>
      </c>
      <c r="U68" s="1431">
        <f t="shared" si="80"/>
        <v>2030</v>
      </c>
      <c r="V68" s="1431">
        <f t="shared" si="80"/>
        <v>2031</v>
      </c>
    </row>
    <row r="69" spans="1:23">
      <c r="A69" s="1431">
        <f t="shared" ref="A69:B82" si="81">A53</f>
        <v>1</v>
      </c>
      <c r="B69" s="1432" t="str">
        <f t="shared" si="81"/>
        <v>Opal Central Park - Thuận An 1.0ha</v>
      </c>
      <c r="C69" s="1408">
        <f t="shared" ref="C69:C82" si="82">X36</f>
        <v>0</v>
      </c>
      <c r="D69" s="1408">
        <f t="shared" ref="D69:M69" si="83">IF(D53="",0,$C69*D53)</f>
        <v>0</v>
      </c>
      <c r="E69" s="1408">
        <f t="shared" si="83"/>
        <v>0</v>
      </c>
      <c r="F69" s="1408">
        <f t="shared" si="83"/>
        <v>0</v>
      </c>
      <c r="G69" s="1408">
        <f t="shared" si="83"/>
        <v>0</v>
      </c>
      <c r="H69" s="1408">
        <f t="shared" si="83"/>
        <v>0</v>
      </c>
      <c r="I69" s="1408">
        <f t="shared" si="83"/>
        <v>0</v>
      </c>
      <c r="J69" s="1408">
        <f t="shared" si="83"/>
        <v>0</v>
      </c>
      <c r="K69" s="1408">
        <f t="shared" si="83"/>
        <v>0</v>
      </c>
      <c r="L69" s="1408">
        <f t="shared" si="83"/>
        <v>0</v>
      </c>
      <c r="M69" s="1408">
        <f t="shared" si="83"/>
        <v>0</v>
      </c>
      <c r="N69" s="1408">
        <f t="shared" ref="N69:P69" si="84">IF(N53="",0,$C69*N53)</f>
        <v>0</v>
      </c>
      <c r="O69" s="1408">
        <f t="shared" si="84"/>
        <v>0</v>
      </c>
      <c r="P69" s="1408">
        <f t="shared" si="84"/>
        <v>0</v>
      </c>
      <c r="Q69" s="1408">
        <f t="shared" ref="Q69:V82" si="85">IF(Q53="",0,$C69*Q53)</f>
        <v>0</v>
      </c>
      <c r="R69" s="1408">
        <f t="shared" si="85"/>
        <v>0</v>
      </c>
      <c r="S69" s="1408">
        <f t="shared" si="85"/>
        <v>0</v>
      </c>
      <c r="T69" s="1408">
        <f t="shared" si="85"/>
        <v>0</v>
      </c>
      <c r="U69" s="1408">
        <f t="shared" si="85"/>
        <v>0</v>
      </c>
      <c r="V69" s="1408">
        <f t="shared" si="85"/>
        <v>0</v>
      </c>
      <c r="W69" s="1410"/>
    </row>
    <row r="70" spans="1:23">
      <c r="A70" s="1431">
        <f t="shared" si="81"/>
        <v>2</v>
      </c>
      <c r="B70" s="1431" t="str">
        <f t="shared" si="81"/>
        <v>St Moritz - Opal Skyview</v>
      </c>
      <c r="C70" s="1410">
        <f t="shared" si="82"/>
        <v>170</v>
      </c>
      <c r="D70" s="1410">
        <f t="shared" ref="D70:M70" si="86">IF(D54="",0,$C70*D54)</f>
        <v>0</v>
      </c>
      <c r="E70" s="1410">
        <f t="shared" si="86"/>
        <v>0</v>
      </c>
      <c r="F70" s="1410">
        <f t="shared" si="86"/>
        <v>0</v>
      </c>
      <c r="G70" s="1410">
        <f t="shared" si="86"/>
        <v>0</v>
      </c>
      <c r="H70" s="1410">
        <f t="shared" si="86"/>
        <v>0</v>
      </c>
      <c r="I70" s="1410">
        <f t="shared" si="86"/>
        <v>0</v>
      </c>
      <c r="J70" s="1410">
        <f t="shared" si="86"/>
        <v>0</v>
      </c>
      <c r="K70" s="1410">
        <f t="shared" si="86"/>
        <v>170</v>
      </c>
      <c r="L70" s="1410">
        <f t="shared" si="86"/>
        <v>0</v>
      </c>
      <c r="M70" s="1410">
        <f t="shared" si="86"/>
        <v>0</v>
      </c>
      <c r="N70" s="1410">
        <f t="shared" ref="N70:P70" si="87">IF(N54="",0,$C70*N54)</f>
        <v>0</v>
      </c>
      <c r="O70" s="1410">
        <f t="shared" si="87"/>
        <v>0</v>
      </c>
      <c r="P70" s="1410">
        <f t="shared" si="87"/>
        <v>0</v>
      </c>
      <c r="Q70" s="1410">
        <f t="shared" si="85"/>
        <v>0</v>
      </c>
      <c r="R70" s="1410">
        <f t="shared" si="85"/>
        <v>0</v>
      </c>
      <c r="S70" s="1410">
        <f t="shared" si="85"/>
        <v>0</v>
      </c>
      <c r="T70" s="1410">
        <f t="shared" si="85"/>
        <v>0</v>
      </c>
      <c r="U70" s="1410">
        <f t="shared" si="85"/>
        <v>0</v>
      </c>
      <c r="V70" s="1410">
        <f t="shared" si="85"/>
        <v>0</v>
      </c>
      <c r="W70" s="1410"/>
    </row>
    <row r="71" spans="1:23">
      <c r="A71" s="1431">
        <f t="shared" si="81"/>
        <v>3</v>
      </c>
      <c r="B71" s="1431" t="str">
        <f t="shared" si="81"/>
        <v>Opal Riverside</v>
      </c>
      <c r="C71" s="1410">
        <f t="shared" si="82"/>
        <v>634</v>
      </c>
      <c r="D71" s="1410">
        <f t="shared" ref="D71:M71" si="88">IF(D55="",0,$C71*D55)</f>
        <v>0</v>
      </c>
      <c r="E71" s="1410">
        <f t="shared" si="88"/>
        <v>0</v>
      </c>
      <c r="F71" s="1410">
        <f t="shared" si="88"/>
        <v>0</v>
      </c>
      <c r="G71" s="1410">
        <f t="shared" si="88"/>
        <v>634</v>
      </c>
      <c r="H71" s="1410">
        <f t="shared" si="88"/>
        <v>0</v>
      </c>
      <c r="I71" s="1410">
        <f t="shared" si="88"/>
        <v>0</v>
      </c>
      <c r="J71" s="1410">
        <f t="shared" si="88"/>
        <v>0</v>
      </c>
      <c r="K71" s="1410">
        <f t="shared" si="88"/>
        <v>0</v>
      </c>
      <c r="L71" s="1410">
        <f t="shared" si="88"/>
        <v>0</v>
      </c>
      <c r="M71" s="1410">
        <f t="shared" si="88"/>
        <v>0</v>
      </c>
      <c r="N71" s="1410">
        <f t="shared" ref="N71:P71" si="89">IF(N55="",0,$C71*N55)</f>
        <v>0</v>
      </c>
      <c r="O71" s="1410">
        <f t="shared" si="89"/>
        <v>0</v>
      </c>
      <c r="P71" s="1410">
        <f t="shared" si="89"/>
        <v>0</v>
      </c>
      <c r="Q71" s="1410">
        <f t="shared" si="85"/>
        <v>0</v>
      </c>
      <c r="R71" s="1410">
        <f t="shared" si="85"/>
        <v>0</v>
      </c>
      <c r="S71" s="1410">
        <f t="shared" si="85"/>
        <v>0</v>
      </c>
      <c r="T71" s="1410">
        <f t="shared" si="85"/>
        <v>0</v>
      </c>
      <c r="U71" s="1410">
        <f t="shared" si="85"/>
        <v>0</v>
      </c>
      <c r="V71" s="1410">
        <f t="shared" si="85"/>
        <v>0</v>
      </c>
      <c r="W71" s="1410"/>
    </row>
    <row r="72" spans="1:23">
      <c r="A72" s="1431">
        <f t="shared" si="81"/>
        <v>4</v>
      </c>
      <c r="B72" s="1431" t="str">
        <f t="shared" si="81"/>
        <v>Opal Garden</v>
      </c>
      <c r="C72" s="1410">
        <f t="shared" si="82"/>
        <v>420</v>
      </c>
      <c r="D72" s="1410">
        <f t="shared" ref="D72:M72" si="90">IF(D56="",0,$C72*D56)</f>
        <v>0</v>
      </c>
      <c r="E72" s="1410">
        <f t="shared" si="90"/>
        <v>0</v>
      </c>
      <c r="F72" s="1410">
        <f t="shared" si="90"/>
        <v>0</v>
      </c>
      <c r="G72" s="1410">
        <f t="shared" si="90"/>
        <v>420</v>
      </c>
      <c r="H72" s="1410">
        <f t="shared" si="90"/>
        <v>0</v>
      </c>
      <c r="I72" s="1410">
        <f t="shared" si="90"/>
        <v>0</v>
      </c>
      <c r="J72" s="1410">
        <f t="shared" si="90"/>
        <v>0</v>
      </c>
      <c r="K72" s="1410">
        <f t="shared" si="90"/>
        <v>0</v>
      </c>
      <c r="L72" s="1410">
        <f t="shared" si="90"/>
        <v>0</v>
      </c>
      <c r="M72" s="1410">
        <f t="shared" si="90"/>
        <v>0</v>
      </c>
      <c r="N72" s="1410">
        <f t="shared" ref="N72:P72" si="91">IF(N56="",0,$C72*N56)</f>
        <v>0</v>
      </c>
      <c r="O72" s="1410">
        <f t="shared" si="91"/>
        <v>0</v>
      </c>
      <c r="P72" s="1410">
        <f t="shared" si="91"/>
        <v>0</v>
      </c>
      <c r="Q72" s="1410">
        <f t="shared" si="85"/>
        <v>0</v>
      </c>
      <c r="R72" s="1410">
        <f t="shared" si="85"/>
        <v>0</v>
      </c>
      <c r="S72" s="1410">
        <f t="shared" si="85"/>
        <v>0</v>
      </c>
      <c r="T72" s="1410">
        <f t="shared" si="85"/>
        <v>0</v>
      </c>
      <c r="U72" s="1410">
        <f t="shared" si="85"/>
        <v>0</v>
      </c>
      <c r="V72" s="1410">
        <f t="shared" si="85"/>
        <v>0</v>
      </c>
      <c r="W72" s="1410"/>
    </row>
    <row r="73" spans="1:23">
      <c r="A73" s="1431">
        <f t="shared" si="81"/>
        <v>5</v>
      </c>
      <c r="B73" s="1431" t="str">
        <f t="shared" si="81"/>
        <v>Gem Sky World Long Thanh</v>
      </c>
      <c r="C73" s="1410">
        <f t="shared" si="82"/>
        <v>4000</v>
      </c>
      <c r="D73" s="1410">
        <f t="shared" ref="D73:M73" si="92">IF(D57="",0,$C73*D57)</f>
        <v>0</v>
      </c>
      <c r="E73" s="1410">
        <f t="shared" si="92"/>
        <v>0</v>
      </c>
      <c r="F73" s="1410">
        <f t="shared" si="92"/>
        <v>0</v>
      </c>
      <c r="G73" s="1410">
        <f t="shared" si="92"/>
        <v>0</v>
      </c>
      <c r="H73" s="1410">
        <f t="shared" si="92"/>
        <v>0</v>
      </c>
      <c r="I73" s="1410">
        <f t="shared" si="92"/>
        <v>0</v>
      </c>
      <c r="J73" s="1410">
        <f t="shared" si="92"/>
        <v>0</v>
      </c>
      <c r="K73" s="1410">
        <f t="shared" si="92"/>
        <v>411.20289899579279</v>
      </c>
      <c r="L73" s="1410">
        <f t="shared" si="92"/>
        <v>790.77480576113987</v>
      </c>
      <c r="M73" s="1410">
        <f t="shared" si="92"/>
        <v>854.03679022203119</v>
      </c>
      <c r="N73" s="1410">
        <f t="shared" ref="N73:P73" si="93">IF(N57="",0,$C73*N57)</f>
        <v>0</v>
      </c>
      <c r="O73" s="1410">
        <f t="shared" si="93"/>
        <v>0</v>
      </c>
      <c r="P73" s="1410">
        <f t="shared" si="93"/>
        <v>571.20044221969727</v>
      </c>
      <c r="Q73" s="1410">
        <f t="shared" si="85"/>
        <v>1372.7850628013389</v>
      </c>
      <c r="R73" s="1410">
        <f t="shared" si="85"/>
        <v>0</v>
      </c>
      <c r="S73" s="1410">
        <f t="shared" si="85"/>
        <v>0</v>
      </c>
      <c r="T73" s="1410">
        <f t="shared" si="85"/>
        <v>0</v>
      </c>
      <c r="U73" s="1410">
        <f t="shared" si="85"/>
        <v>0</v>
      </c>
      <c r="V73" s="1410">
        <f t="shared" si="85"/>
        <v>0</v>
      </c>
      <c r="W73" s="1410"/>
    </row>
    <row r="74" spans="1:23">
      <c r="A74" s="1431">
        <f t="shared" si="81"/>
        <v>6</v>
      </c>
      <c r="B74" s="1431" t="str">
        <f t="shared" si="81"/>
        <v>Opal Luxury 8.6ha Binh Duong</v>
      </c>
      <c r="C74" s="1410">
        <f t="shared" si="82"/>
        <v>3400</v>
      </c>
      <c r="D74" s="1410">
        <f t="shared" ref="D74:M74" si="94">IF(D58="",0,$C74*D58)</f>
        <v>0</v>
      </c>
      <c r="E74" s="1410">
        <f t="shared" si="94"/>
        <v>0</v>
      </c>
      <c r="F74" s="1410">
        <f t="shared" si="94"/>
        <v>0</v>
      </c>
      <c r="G74" s="1410">
        <f t="shared" si="94"/>
        <v>0</v>
      </c>
      <c r="H74" s="1410">
        <f t="shared" si="94"/>
        <v>0</v>
      </c>
      <c r="I74" s="1410">
        <f t="shared" si="94"/>
        <v>0</v>
      </c>
      <c r="J74" s="1410">
        <f t="shared" si="94"/>
        <v>0</v>
      </c>
      <c r="K74" s="1410">
        <f t="shared" si="94"/>
        <v>0</v>
      </c>
      <c r="L74" s="1410">
        <f t="shared" si="94"/>
        <v>0</v>
      </c>
      <c r="M74" s="1410">
        <f t="shared" si="94"/>
        <v>0</v>
      </c>
      <c r="N74" s="1410">
        <f t="shared" ref="N74:P74" si="95">IF(N58="",0,$C74*N58)</f>
        <v>0</v>
      </c>
      <c r="O74" s="1410">
        <f t="shared" si="95"/>
        <v>0</v>
      </c>
      <c r="P74" s="1410">
        <f t="shared" si="95"/>
        <v>1683.1683168316831</v>
      </c>
      <c r="Q74" s="1410">
        <f t="shared" si="85"/>
        <v>1716.8316831683171</v>
      </c>
      <c r="R74" s="1410">
        <f t="shared" si="85"/>
        <v>1501.0014144271572</v>
      </c>
      <c r="S74" s="1410">
        <f t="shared" si="85"/>
        <v>0</v>
      </c>
      <c r="T74" s="1410">
        <f t="shared" si="85"/>
        <v>0</v>
      </c>
      <c r="U74" s="1410">
        <f t="shared" si="85"/>
        <v>0</v>
      </c>
      <c r="V74" s="1410">
        <f t="shared" si="85"/>
        <v>0</v>
      </c>
      <c r="W74" s="1410"/>
    </row>
    <row r="75" spans="1:23">
      <c r="A75" s="1431">
        <f t="shared" si="81"/>
        <v>7</v>
      </c>
      <c r="B75" s="1431" t="str">
        <f t="shared" si="81"/>
        <v>Opal Cityview</v>
      </c>
      <c r="C75" s="1410">
        <f t="shared" si="82"/>
        <v>1500</v>
      </c>
      <c r="D75" s="1410">
        <f t="shared" ref="D75:M75" si="96">IF(D59="",0,$C75*D59)</f>
        <v>0</v>
      </c>
      <c r="E75" s="1410">
        <f t="shared" si="96"/>
        <v>0</v>
      </c>
      <c r="F75" s="1410">
        <f t="shared" si="96"/>
        <v>0</v>
      </c>
      <c r="G75" s="1410">
        <f t="shared" si="96"/>
        <v>0</v>
      </c>
      <c r="H75" s="1410">
        <f t="shared" si="96"/>
        <v>0</v>
      </c>
      <c r="I75" s="1410">
        <f t="shared" si="96"/>
        <v>0</v>
      </c>
      <c r="J75" s="1410">
        <f t="shared" si="96"/>
        <v>0</v>
      </c>
      <c r="K75" s="1410">
        <f t="shared" si="96"/>
        <v>0</v>
      </c>
      <c r="L75" s="1410">
        <f t="shared" si="96"/>
        <v>0</v>
      </c>
      <c r="M75" s="1410">
        <f t="shared" si="96"/>
        <v>0</v>
      </c>
      <c r="N75" s="1410">
        <f t="shared" ref="N75:P75" si="97">IF(N59="",0,$C75*N59)</f>
        <v>0</v>
      </c>
      <c r="O75" s="1410">
        <f t="shared" si="97"/>
        <v>0</v>
      </c>
      <c r="P75" s="1410">
        <f t="shared" si="97"/>
        <v>742.57425742574253</v>
      </c>
      <c r="Q75" s="1410">
        <f t="shared" si="85"/>
        <v>757.42574257425747</v>
      </c>
      <c r="R75" s="1410">
        <f t="shared" si="85"/>
        <v>0</v>
      </c>
      <c r="S75" s="1410">
        <f t="shared" si="85"/>
        <v>0</v>
      </c>
      <c r="T75" s="1410">
        <f t="shared" si="85"/>
        <v>0</v>
      </c>
      <c r="U75" s="1410">
        <f t="shared" si="85"/>
        <v>0</v>
      </c>
      <c r="V75" s="1410">
        <f t="shared" si="85"/>
        <v>0</v>
      </c>
      <c r="W75" s="1410"/>
    </row>
    <row r="76" spans="1:23">
      <c r="A76" s="1431">
        <f t="shared" si="81"/>
        <v>8</v>
      </c>
      <c r="B76" s="1431" t="str">
        <f t="shared" si="81"/>
        <v>Park View Thuận An 5ha</v>
      </c>
      <c r="C76" s="1410">
        <f t="shared" si="82"/>
        <v>6500</v>
      </c>
      <c r="D76" s="1410">
        <f t="shared" ref="D76:M76" si="98">IF(D60="",0,$C76*D60)</f>
        <v>0</v>
      </c>
      <c r="E76" s="1410">
        <f t="shared" si="98"/>
        <v>0</v>
      </c>
      <c r="F76" s="1410">
        <f t="shared" si="98"/>
        <v>0</v>
      </c>
      <c r="G76" s="1410">
        <f t="shared" si="98"/>
        <v>0</v>
      </c>
      <c r="H76" s="1410">
        <f t="shared" si="98"/>
        <v>0</v>
      </c>
      <c r="I76" s="1410">
        <f t="shared" si="98"/>
        <v>0</v>
      </c>
      <c r="J76" s="1410">
        <f t="shared" si="98"/>
        <v>0</v>
      </c>
      <c r="K76" s="1410">
        <f t="shared" si="98"/>
        <v>0</v>
      </c>
      <c r="L76" s="1410">
        <f t="shared" si="98"/>
        <v>0</v>
      </c>
      <c r="M76" s="1410">
        <f t="shared" si="98"/>
        <v>0</v>
      </c>
      <c r="N76" s="1410">
        <f t="shared" ref="N76:P76" si="99">IF(N60="",0,$C76*N60)</f>
        <v>0</v>
      </c>
      <c r="O76" s="1410">
        <f t="shared" si="99"/>
        <v>0</v>
      </c>
      <c r="P76" s="1410">
        <f t="shared" si="99"/>
        <v>0</v>
      </c>
      <c r="Q76" s="1410">
        <f t="shared" si="85"/>
        <v>0</v>
      </c>
      <c r="R76" s="1410">
        <f t="shared" si="85"/>
        <v>0</v>
      </c>
      <c r="S76" s="1410">
        <f t="shared" si="85"/>
        <v>1950</v>
      </c>
      <c r="T76" s="1410">
        <f t="shared" si="85"/>
        <v>3250</v>
      </c>
      <c r="U76" s="1410">
        <f t="shared" si="85"/>
        <v>1300</v>
      </c>
      <c r="V76" s="1410">
        <f t="shared" si="85"/>
        <v>0</v>
      </c>
      <c r="W76" s="1410"/>
    </row>
    <row r="77" spans="1:23">
      <c r="A77" s="1431">
        <f t="shared" si="81"/>
        <v>9</v>
      </c>
      <c r="B77" s="1431" t="str">
        <f t="shared" si="81"/>
        <v>Lux Riverview - Lux Star Quận 7</v>
      </c>
      <c r="C77" s="1410">
        <f t="shared" si="82"/>
        <v>765</v>
      </c>
      <c r="D77" s="1410">
        <f t="shared" ref="D77:M79" si="100">IF(D61="",0,$C77*D61)</f>
        <v>0</v>
      </c>
      <c r="E77" s="1410">
        <f t="shared" si="100"/>
        <v>0</v>
      </c>
      <c r="F77" s="1410">
        <f t="shared" si="100"/>
        <v>0</v>
      </c>
      <c r="G77" s="1410">
        <f t="shared" si="100"/>
        <v>0</v>
      </c>
      <c r="H77" s="1410">
        <f t="shared" si="100"/>
        <v>0</v>
      </c>
      <c r="I77" s="1410">
        <f t="shared" si="100"/>
        <v>0</v>
      </c>
      <c r="J77" s="1410">
        <f t="shared" si="100"/>
        <v>0</v>
      </c>
      <c r="K77" s="1410">
        <f t="shared" si="100"/>
        <v>0</v>
      </c>
      <c r="L77" s="1410">
        <f t="shared" si="100"/>
        <v>0</v>
      </c>
      <c r="M77" s="1410">
        <f t="shared" si="100"/>
        <v>0</v>
      </c>
      <c r="N77" s="1410">
        <f t="shared" ref="N77:P77" si="101">IF(N61="",0,$C77*N61)</f>
        <v>0</v>
      </c>
      <c r="O77" s="1410">
        <f t="shared" si="101"/>
        <v>0</v>
      </c>
      <c r="P77" s="1410">
        <f t="shared" si="101"/>
        <v>0</v>
      </c>
      <c r="Q77" s="1410">
        <f t="shared" si="85"/>
        <v>0</v>
      </c>
      <c r="R77" s="1410">
        <f t="shared" si="85"/>
        <v>0</v>
      </c>
      <c r="S77" s="1410">
        <f t="shared" si="85"/>
        <v>0</v>
      </c>
      <c r="T77" s="1410">
        <f t="shared" si="85"/>
        <v>382.5</v>
      </c>
      <c r="U77" s="1410">
        <f t="shared" si="85"/>
        <v>382.5</v>
      </c>
      <c r="V77" s="1410">
        <f t="shared" si="85"/>
        <v>0</v>
      </c>
      <c r="W77" s="1410"/>
    </row>
    <row r="78" spans="1:23">
      <c r="A78" s="1431">
        <f t="shared" si="81"/>
        <v>10</v>
      </c>
      <c r="B78" s="1431" t="str">
        <f t="shared" si="81"/>
        <v>Gem Premium Thu Duc (Opal Premium)</v>
      </c>
      <c r="C78" s="1410">
        <f>X45</f>
        <v>3800</v>
      </c>
      <c r="D78" s="1410">
        <f t="shared" si="100"/>
        <v>0</v>
      </c>
      <c r="E78" s="1410">
        <f t="shared" si="100"/>
        <v>0</v>
      </c>
      <c r="F78" s="1410">
        <f t="shared" si="100"/>
        <v>0</v>
      </c>
      <c r="G78" s="1410">
        <f t="shared" si="100"/>
        <v>0</v>
      </c>
      <c r="H78" s="1410">
        <f t="shared" si="100"/>
        <v>0</v>
      </c>
      <c r="I78" s="1410">
        <f t="shared" si="100"/>
        <v>0</v>
      </c>
      <c r="J78" s="1410">
        <f t="shared" si="100"/>
        <v>0</v>
      </c>
      <c r="K78" s="1410">
        <f t="shared" si="100"/>
        <v>0</v>
      </c>
      <c r="L78" s="1410">
        <f t="shared" si="100"/>
        <v>0</v>
      </c>
      <c r="M78" s="1410">
        <f t="shared" si="100"/>
        <v>0</v>
      </c>
      <c r="N78" s="1410">
        <f t="shared" ref="N78:P78" si="102">IF(N62="",0,$C78*N62)</f>
        <v>0</v>
      </c>
      <c r="O78" s="1410">
        <f t="shared" si="102"/>
        <v>0</v>
      </c>
      <c r="P78" s="1410">
        <f t="shared" si="102"/>
        <v>0</v>
      </c>
      <c r="Q78" s="1410">
        <f t="shared" si="85"/>
        <v>0</v>
      </c>
      <c r="R78" s="1410">
        <f t="shared" si="85"/>
        <v>0</v>
      </c>
      <c r="S78" s="1410">
        <f t="shared" si="85"/>
        <v>1023.3393177737881</v>
      </c>
      <c r="T78" s="1410">
        <f t="shared" si="85"/>
        <v>1125.6732495511669</v>
      </c>
      <c r="U78" s="1410">
        <f t="shared" si="85"/>
        <v>1650.9874326750451</v>
      </c>
      <c r="V78" s="1410">
        <f t="shared" si="85"/>
        <v>0</v>
      </c>
      <c r="W78" s="1410"/>
    </row>
    <row r="79" spans="1:23">
      <c r="A79" s="1431">
        <f t="shared" si="81"/>
        <v>11</v>
      </c>
      <c r="B79" s="1431" t="str">
        <f t="shared" si="81"/>
        <v>Gem City Q9 (Opal City old)</v>
      </c>
      <c r="C79" s="1410">
        <f>X46</f>
        <v>2500</v>
      </c>
      <c r="D79" s="1410">
        <f t="shared" si="100"/>
        <v>0</v>
      </c>
      <c r="E79" s="1410">
        <f t="shared" si="100"/>
        <v>0</v>
      </c>
      <c r="F79" s="1410">
        <f t="shared" si="100"/>
        <v>0</v>
      </c>
      <c r="G79" s="1410">
        <f t="shared" si="100"/>
        <v>0</v>
      </c>
      <c r="H79" s="1410">
        <f t="shared" si="100"/>
        <v>0</v>
      </c>
      <c r="I79" s="1410">
        <f t="shared" si="100"/>
        <v>0</v>
      </c>
      <c r="J79" s="1410">
        <f t="shared" si="100"/>
        <v>0</v>
      </c>
      <c r="K79" s="1410">
        <f t="shared" si="100"/>
        <v>0</v>
      </c>
      <c r="L79" s="1410">
        <f t="shared" si="100"/>
        <v>0</v>
      </c>
      <c r="M79" s="1410">
        <f t="shared" si="100"/>
        <v>0</v>
      </c>
      <c r="N79" s="1410">
        <f t="shared" ref="N79:P79" si="103">IF(N63="",0,$C79*N63)</f>
        <v>0</v>
      </c>
      <c r="O79" s="1410">
        <f t="shared" si="103"/>
        <v>0</v>
      </c>
      <c r="P79" s="1410">
        <f t="shared" si="103"/>
        <v>0</v>
      </c>
      <c r="Q79" s="1410">
        <f t="shared" si="85"/>
        <v>0</v>
      </c>
      <c r="R79" s="1410">
        <f t="shared" si="85"/>
        <v>726.87448815921459</v>
      </c>
      <c r="S79" s="1410">
        <f t="shared" si="85"/>
        <v>873.4608432713228</v>
      </c>
      <c r="T79" s="1410">
        <f t="shared" si="85"/>
        <v>899.66466856946249</v>
      </c>
      <c r="U79" s="1410">
        <f t="shared" si="85"/>
        <v>0</v>
      </c>
      <c r="V79" s="1410">
        <f t="shared" si="85"/>
        <v>0</v>
      </c>
      <c r="W79" s="1410"/>
    </row>
    <row r="80" spans="1:23">
      <c r="A80" s="1431">
        <f t="shared" si="81"/>
        <v>12</v>
      </c>
      <c r="B80" s="1431" t="str">
        <f t="shared" si="81"/>
        <v>Park City Thuận An 10ha</v>
      </c>
      <c r="C80" s="1410">
        <f t="shared" si="82"/>
        <v>6500</v>
      </c>
      <c r="D80" s="1410">
        <f t="shared" ref="D80:M80" si="104">IF(D64="",0,$C80*D64)</f>
        <v>0</v>
      </c>
      <c r="E80" s="1410">
        <f t="shared" si="104"/>
        <v>0</v>
      </c>
      <c r="F80" s="1410">
        <f t="shared" si="104"/>
        <v>0</v>
      </c>
      <c r="G80" s="1410">
        <f t="shared" si="104"/>
        <v>0</v>
      </c>
      <c r="H80" s="1410">
        <f t="shared" si="104"/>
        <v>0</v>
      </c>
      <c r="I80" s="1410">
        <f t="shared" si="104"/>
        <v>0</v>
      </c>
      <c r="J80" s="1410">
        <f t="shared" si="104"/>
        <v>0</v>
      </c>
      <c r="K80" s="1410">
        <f t="shared" si="104"/>
        <v>0</v>
      </c>
      <c r="L80" s="1410">
        <f t="shared" si="104"/>
        <v>0</v>
      </c>
      <c r="M80" s="1410">
        <f t="shared" si="104"/>
        <v>0</v>
      </c>
      <c r="N80" s="1410">
        <f t="shared" ref="N80:P80" si="105">IF(N64="",0,$C80*N64)</f>
        <v>0</v>
      </c>
      <c r="O80" s="1410">
        <f t="shared" si="105"/>
        <v>0</v>
      </c>
      <c r="P80" s="1410">
        <f t="shared" si="105"/>
        <v>0</v>
      </c>
      <c r="Q80" s="1410">
        <f t="shared" si="85"/>
        <v>0</v>
      </c>
      <c r="R80" s="1410">
        <f t="shared" si="85"/>
        <v>0</v>
      </c>
      <c r="S80" s="1410">
        <f t="shared" si="85"/>
        <v>0</v>
      </c>
      <c r="T80" s="1410">
        <f t="shared" si="85"/>
        <v>0</v>
      </c>
      <c r="U80" s="1410">
        <f t="shared" si="85"/>
        <v>0</v>
      </c>
      <c r="V80" s="1410">
        <f t="shared" si="85"/>
        <v>0</v>
      </c>
      <c r="W80" s="1410"/>
    </row>
    <row r="81" spans="1:29">
      <c r="A81" s="1431">
        <f t="shared" si="81"/>
        <v>13</v>
      </c>
      <c r="B81" s="1431" t="str">
        <f t="shared" si="81"/>
        <v>Opal Skyline</v>
      </c>
      <c r="C81" s="1410">
        <f t="shared" si="82"/>
        <v>1506</v>
      </c>
      <c r="D81" s="1410">
        <f t="shared" ref="D81:M81" si="106">IF(D65="",0,$C81*D65)</f>
        <v>0</v>
      </c>
      <c r="E81" s="1410">
        <f t="shared" si="106"/>
        <v>0</v>
      </c>
      <c r="F81" s="1410">
        <f t="shared" si="106"/>
        <v>0</v>
      </c>
      <c r="G81" s="1410">
        <f t="shared" si="106"/>
        <v>0</v>
      </c>
      <c r="H81" s="1410">
        <f t="shared" si="106"/>
        <v>0</v>
      </c>
      <c r="I81" s="1410">
        <f t="shared" si="106"/>
        <v>0</v>
      </c>
      <c r="J81" s="1410">
        <f t="shared" si="106"/>
        <v>0</v>
      </c>
      <c r="K81" s="1410">
        <f t="shared" si="106"/>
        <v>0</v>
      </c>
      <c r="L81" s="1410">
        <f t="shared" si="106"/>
        <v>0</v>
      </c>
      <c r="M81" s="1410">
        <f t="shared" si="106"/>
        <v>0</v>
      </c>
      <c r="N81" s="1410">
        <f t="shared" ref="N81:P81" si="107">IF(N65="",0,$C81*N65)</f>
        <v>0</v>
      </c>
      <c r="O81" s="1410">
        <f t="shared" si="107"/>
        <v>0</v>
      </c>
      <c r="P81" s="1410">
        <f t="shared" si="107"/>
        <v>0</v>
      </c>
      <c r="Q81" s="1410">
        <f t="shared" si="85"/>
        <v>0</v>
      </c>
      <c r="R81" s="1410">
        <f t="shared" si="85"/>
        <v>0</v>
      </c>
      <c r="S81" s="1410">
        <f t="shared" si="85"/>
        <v>0</v>
      </c>
      <c r="T81" s="1410">
        <f t="shared" si="85"/>
        <v>0</v>
      </c>
      <c r="U81" s="1410">
        <f t="shared" si="85"/>
        <v>0</v>
      </c>
      <c r="V81" s="1410">
        <f t="shared" si="85"/>
        <v>0</v>
      </c>
      <c r="W81" s="1410"/>
    </row>
    <row r="82" spans="1:29">
      <c r="A82" s="1431">
        <f t="shared" si="81"/>
        <v>14</v>
      </c>
      <c r="B82" s="1431" t="str">
        <f t="shared" si="81"/>
        <v>Prive</v>
      </c>
      <c r="C82" s="1410">
        <f t="shared" si="82"/>
        <v>3175</v>
      </c>
      <c r="D82" s="1410">
        <f t="shared" ref="D82:M82" si="108">IF(D66="",0,$C82*D66)</f>
        <v>0</v>
      </c>
      <c r="E82" s="1410">
        <f t="shared" si="108"/>
        <v>0</v>
      </c>
      <c r="F82" s="1410">
        <f t="shared" si="108"/>
        <v>0</v>
      </c>
      <c r="G82" s="1410">
        <f t="shared" si="108"/>
        <v>0</v>
      </c>
      <c r="H82" s="1410">
        <f t="shared" si="108"/>
        <v>0</v>
      </c>
      <c r="I82" s="1410">
        <f t="shared" si="108"/>
        <v>0</v>
      </c>
      <c r="J82" s="1410">
        <f t="shared" si="108"/>
        <v>0</v>
      </c>
      <c r="K82" s="1410">
        <f t="shared" si="108"/>
        <v>0</v>
      </c>
      <c r="L82" s="1410">
        <f t="shared" si="108"/>
        <v>0</v>
      </c>
      <c r="M82" s="1410">
        <f t="shared" si="108"/>
        <v>0</v>
      </c>
      <c r="N82" s="1410">
        <f t="shared" ref="N82:P82" si="109">IF(N66="",0,$C82*N66)</f>
        <v>0</v>
      </c>
      <c r="O82" s="1410">
        <f t="shared" si="109"/>
        <v>0</v>
      </c>
      <c r="P82" s="1410">
        <f t="shared" si="109"/>
        <v>998.50243354548877</v>
      </c>
      <c r="Q82" s="1410">
        <f t="shared" si="85"/>
        <v>866.55746911269205</v>
      </c>
      <c r="R82" s="1410">
        <f t="shared" si="85"/>
        <v>1309.9400973418196</v>
      </c>
      <c r="S82" s="1410">
        <f t="shared" si="85"/>
        <v>0</v>
      </c>
      <c r="T82" s="1410">
        <f t="shared" si="85"/>
        <v>0</v>
      </c>
      <c r="U82" s="1410">
        <f t="shared" si="85"/>
        <v>0</v>
      </c>
      <c r="V82" s="1410">
        <f t="shared" si="85"/>
        <v>0</v>
      </c>
      <c r="W82" s="1410"/>
    </row>
    <row r="83" spans="1:29">
      <c r="A83" s="1457"/>
      <c r="B83" s="1457" t="s">
        <v>642</v>
      </c>
      <c r="C83" s="1408">
        <f t="shared" ref="C83:V83" si="110">SUM(C69:C82)</f>
        <v>34870</v>
      </c>
      <c r="D83" s="1408">
        <f t="shared" si="110"/>
        <v>0</v>
      </c>
      <c r="E83" s="1408">
        <f t="shared" si="110"/>
        <v>0</v>
      </c>
      <c r="F83" s="1408">
        <f t="shared" si="110"/>
        <v>0</v>
      </c>
      <c r="G83" s="1408">
        <f t="shared" si="110"/>
        <v>1054</v>
      </c>
      <c r="H83" s="1408">
        <f t="shared" si="110"/>
        <v>0</v>
      </c>
      <c r="I83" s="1408">
        <f t="shared" si="110"/>
        <v>0</v>
      </c>
      <c r="J83" s="1408">
        <f t="shared" si="110"/>
        <v>0</v>
      </c>
      <c r="K83" s="1408">
        <f t="shared" si="110"/>
        <v>581.20289899579279</v>
      </c>
      <c r="L83" s="1408">
        <f t="shared" si="110"/>
        <v>790.77480576113987</v>
      </c>
      <c r="M83" s="1408">
        <f t="shared" si="110"/>
        <v>854.03679022203119</v>
      </c>
      <c r="N83" s="1408">
        <f t="shared" si="110"/>
        <v>0</v>
      </c>
      <c r="O83" s="1408">
        <f t="shared" si="110"/>
        <v>0</v>
      </c>
      <c r="P83" s="1408">
        <f t="shared" si="110"/>
        <v>3995.4454500226116</v>
      </c>
      <c r="Q83" s="1408">
        <f t="shared" si="110"/>
        <v>4713.5999576566055</v>
      </c>
      <c r="R83" s="1408">
        <f t="shared" si="110"/>
        <v>3537.8159999281916</v>
      </c>
      <c r="S83" s="1408">
        <f t="shared" si="110"/>
        <v>3846.8001610451111</v>
      </c>
      <c r="T83" s="1408">
        <f t="shared" si="110"/>
        <v>5657.8379181206292</v>
      </c>
      <c r="U83" s="1408">
        <f t="shared" si="110"/>
        <v>3333.4874326750451</v>
      </c>
      <c r="V83" s="1408">
        <f t="shared" si="110"/>
        <v>0</v>
      </c>
      <c r="W83" s="1410"/>
    </row>
    <row r="84" spans="1:29">
      <c r="A84" s="1447"/>
      <c r="B84" s="1447"/>
      <c r="C84" s="1495"/>
      <c r="D84" s="1495"/>
      <c r="E84" s="1495"/>
      <c r="F84" s="1495"/>
      <c r="G84" s="1495"/>
      <c r="H84" s="1495"/>
      <c r="I84" s="1495"/>
      <c r="J84" s="1495"/>
      <c r="K84" s="1495"/>
      <c r="L84" s="1495"/>
      <c r="M84" s="1495"/>
      <c r="N84" s="1495"/>
      <c r="O84" s="1495"/>
      <c r="P84" s="1495"/>
      <c r="Q84" s="1495"/>
      <c r="R84" s="1495"/>
      <c r="S84" s="1495"/>
      <c r="T84" s="1495"/>
      <c r="U84" s="1495"/>
      <c r="V84" s="1495"/>
      <c r="W84" s="1495"/>
    </row>
    <row r="85" spans="1:29">
      <c r="B85" s="1407" t="s">
        <v>26</v>
      </c>
      <c r="C85" s="1455" t="str">
        <f t="shared" ref="C85:M85" si="111">C52</f>
        <v>Total</v>
      </c>
      <c r="D85" s="1455">
        <f t="shared" si="111"/>
        <v>2013</v>
      </c>
      <c r="E85" s="1455">
        <f t="shared" si="111"/>
        <v>2014</v>
      </c>
      <c r="F85" s="1455">
        <f t="shared" si="111"/>
        <v>2015</v>
      </c>
      <c r="G85" s="1455">
        <f t="shared" si="111"/>
        <v>2016</v>
      </c>
      <c r="H85" s="1455">
        <f t="shared" si="111"/>
        <v>2017</v>
      </c>
      <c r="I85" s="1455">
        <f t="shared" si="111"/>
        <v>2018</v>
      </c>
      <c r="J85" s="1455">
        <f t="shared" si="111"/>
        <v>2019</v>
      </c>
      <c r="K85" s="1455">
        <f t="shared" si="111"/>
        <v>2020</v>
      </c>
      <c r="L85" s="1455">
        <f t="shared" si="111"/>
        <v>2021</v>
      </c>
      <c r="M85" s="1455">
        <f t="shared" si="111"/>
        <v>2022</v>
      </c>
      <c r="N85" s="1455">
        <f t="shared" ref="N85:V85" si="112">N52</f>
        <v>2023</v>
      </c>
      <c r="O85" s="1455">
        <f t="shared" si="112"/>
        <v>2024</v>
      </c>
      <c r="P85" s="1455">
        <f t="shared" si="112"/>
        <v>2025</v>
      </c>
      <c r="Q85" s="1455">
        <f t="shared" si="112"/>
        <v>2026</v>
      </c>
      <c r="R85" s="1455">
        <f t="shared" si="112"/>
        <v>2027</v>
      </c>
      <c r="S85" s="1455">
        <f t="shared" si="112"/>
        <v>2028</v>
      </c>
      <c r="T85" s="1455">
        <f t="shared" si="112"/>
        <v>2029</v>
      </c>
      <c r="U85" s="1455">
        <f t="shared" si="112"/>
        <v>2030</v>
      </c>
      <c r="V85" s="1455">
        <f t="shared" si="112"/>
        <v>2031</v>
      </c>
      <c r="W85" s="1455"/>
      <c r="AC85" s="1423"/>
    </row>
    <row r="86" spans="1:29">
      <c r="A86" s="1431">
        <v>1</v>
      </c>
      <c r="B86" s="1432" t="str">
        <f t="shared" ref="B86:B99" si="113">B36</f>
        <v>Opal Central Park - Thuận An 1.0ha</v>
      </c>
      <c r="C86" s="1476">
        <f>'Opal Central Park'!C83</f>
        <v>0</v>
      </c>
      <c r="D86" s="1476">
        <f>'Opal Central Park'!D83</f>
        <v>0</v>
      </c>
      <c r="E86" s="1476">
        <f>'Opal Central Park'!E83</f>
        <v>0</v>
      </c>
      <c r="F86" s="1476">
        <f>'Opal Central Park'!F83</f>
        <v>0</v>
      </c>
      <c r="G86" s="1476">
        <f>'Opal Central Park'!G83</f>
        <v>0</v>
      </c>
      <c r="H86" s="1476">
        <f>'Opal Central Park'!H83</f>
        <v>0</v>
      </c>
      <c r="I86" s="1476">
        <f>'Opal Central Park'!I83</f>
        <v>0</v>
      </c>
      <c r="J86" s="1476">
        <f>'Opal Central Park'!J83</f>
        <v>0</v>
      </c>
      <c r="K86" s="1476">
        <f>'Opal Central Park'!K83</f>
        <v>0</v>
      </c>
      <c r="L86" s="1476">
        <f>'Opal Central Park'!L83</f>
        <v>0</v>
      </c>
      <c r="M86" s="1476">
        <f>'Opal Central Park'!M83</f>
        <v>0</v>
      </c>
      <c r="N86" s="1476">
        <f>'Opal Central Park'!N83</f>
        <v>0</v>
      </c>
      <c r="O86" s="1476">
        <f>'Opal Central Park'!O83</f>
        <v>0</v>
      </c>
      <c r="P86" s="1476">
        <f>'Opal Central Park'!P83</f>
        <v>0</v>
      </c>
      <c r="Q86" s="1476">
        <f>'Opal Central Park'!Q83</f>
        <v>0</v>
      </c>
      <c r="R86" s="1476">
        <f>'Opal Central Park'!R83</f>
        <v>0</v>
      </c>
      <c r="S86" s="1476">
        <f>'Opal Central Park'!S83</f>
        <v>0</v>
      </c>
      <c r="T86" s="1476">
        <f>'Opal Central Park'!T83</f>
        <v>0</v>
      </c>
      <c r="U86" s="1476">
        <f>'Opal Central Park'!U83</f>
        <v>0</v>
      </c>
      <c r="V86" s="1476">
        <f>'Opal Central Park'!V83</f>
        <v>0</v>
      </c>
      <c r="W86" s="1463"/>
      <c r="Z86" s="1440"/>
      <c r="AB86" s="1424"/>
      <c r="AC86" s="1440"/>
    </row>
    <row r="87" spans="1:29">
      <c r="A87" s="1431">
        <f>A86+1</f>
        <v>2</v>
      </c>
      <c r="B87" s="1431" t="str">
        <f t="shared" si="113"/>
        <v>St Moritz - Opal Skyview</v>
      </c>
      <c r="C87" s="1463">
        <f>'St Moritz'!C83</f>
        <v>526.5</v>
      </c>
      <c r="D87" s="1463">
        <f>'St Moritz'!D83</f>
        <v>0</v>
      </c>
      <c r="E87" s="1463">
        <f>'St Moritz'!E83</f>
        <v>0</v>
      </c>
      <c r="F87" s="1463">
        <f>'St Moritz'!F83</f>
        <v>0</v>
      </c>
      <c r="G87" s="1463">
        <f>'St Moritz'!G83</f>
        <v>0</v>
      </c>
      <c r="H87" s="1463">
        <f>'St Moritz'!H83</f>
        <v>0</v>
      </c>
      <c r="I87" s="1463">
        <f>'St Moritz'!I83</f>
        <v>0</v>
      </c>
      <c r="J87" s="1463">
        <f>'St Moritz'!J83</f>
        <v>0</v>
      </c>
      <c r="K87" s="1463">
        <f>'St Moritz'!K83</f>
        <v>0</v>
      </c>
      <c r="L87" s="1463">
        <f>'St Moritz'!L83</f>
        <v>0</v>
      </c>
      <c r="M87" s="1463">
        <f>'St Moritz'!M83</f>
        <v>526.5</v>
      </c>
      <c r="N87" s="1463">
        <f>'St Moritz'!N83</f>
        <v>0</v>
      </c>
      <c r="O87" s="1463">
        <f>'St Moritz'!O83</f>
        <v>0</v>
      </c>
      <c r="P87" s="1463">
        <f>'St Moritz'!P83</f>
        <v>0</v>
      </c>
      <c r="Q87" s="1463">
        <f>'St Moritz'!Q83</f>
        <v>0</v>
      </c>
      <c r="R87" s="1463">
        <f>'St Moritz'!R83</f>
        <v>0</v>
      </c>
      <c r="S87" s="1463">
        <f>'St Moritz'!S83</f>
        <v>0</v>
      </c>
      <c r="T87" s="1463">
        <f>'St Moritz'!T83</f>
        <v>0</v>
      </c>
      <c r="U87" s="1463">
        <f>'St Moritz'!U83</f>
        <v>0</v>
      </c>
      <c r="V87" s="1463">
        <f>'St Moritz'!V83</f>
        <v>0</v>
      </c>
      <c r="W87" s="1463"/>
      <c r="Z87" s="1440"/>
      <c r="AB87" s="1424"/>
      <c r="AC87" s="1440"/>
    </row>
    <row r="88" spans="1:29">
      <c r="A88" s="1431">
        <f t="shared" ref="A88:A99" si="114">A87+1</f>
        <v>3</v>
      </c>
      <c r="B88" s="1431" t="str">
        <f t="shared" si="113"/>
        <v>Opal Riverside</v>
      </c>
      <c r="C88" s="1463">
        <f>'Opal Riverside'!C83</f>
        <v>1071.5276800000001</v>
      </c>
      <c r="D88" s="1463">
        <f>'Opal Riverside'!D83</f>
        <v>0</v>
      </c>
      <c r="E88" s="1463">
        <f>'Opal Riverside'!E83</f>
        <v>0</v>
      </c>
      <c r="F88" s="1463">
        <f>'Opal Riverside'!F83</f>
        <v>0</v>
      </c>
      <c r="G88" s="1463">
        <f>'Opal Riverside'!G83</f>
        <v>0</v>
      </c>
      <c r="H88" s="1463">
        <f>'Opal Riverside'!H83</f>
        <v>321.45830400000006</v>
      </c>
      <c r="I88" s="1463">
        <f>'Opal Riverside'!I83</f>
        <v>750.06937600000003</v>
      </c>
      <c r="J88" s="1463">
        <f>'Opal Riverside'!J83</f>
        <v>0</v>
      </c>
      <c r="K88" s="1463">
        <f>'Opal Riverside'!K83</f>
        <v>0</v>
      </c>
      <c r="L88" s="1463">
        <f>'Opal Riverside'!L83</f>
        <v>0</v>
      </c>
      <c r="M88" s="1463">
        <f>'Opal Riverside'!M83</f>
        <v>0</v>
      </c>
      <c r="N88" s="1463">
        <f>'Opal Riverside'!N83</f>
        <v>0</v>
      </c>
      <c r="O88" s="1463">
        <f>'Opal Riverside'!O83</f>
        <v>0</v>
      </c>
      <c r="P88" s="1463">
        <f>'Opal Riverside'!P83</f>
        <v>0</v>
      </c>
      <c r="Q88" s="1463">
        <f>'Opal Riverside'!Q83</f>
        <v>0</v>
      </c>
      <c r="R88" s="1463">
        <f>'Opal Riverside'!R83</f>
        <v>0</v>
      </c>
      <c r="S88" s="1463">
        <f>'Opal Riverside'!S83</f>
        <v>0</v>
      </c>
      <c r="T88" s="1463">
        <f>'Opal Riverside'!T83</f>
        <v>0</v>
      </c>
      <c r="U88" s="1463">
        <f>'Opal Riverside'!U83</f>
        <v>0</v>
      </c>
      <c r="V88" s="1463">
        <f>'Opal Riverside'!V83</f>
        <v>0</v>
      </c>
      <c r="W88" s="1463"/>
      <c r="Z88" s="1440"/>
      <c r="AB88" s="1424"/>
      <c r="AC88" s="1440"/>
    </row>
    <row r="89" spans="1:29">
      <c r="A89" s="1431">
        <f t="shared" si="114"/>
        <v>4</v>
      </c>
      <c r="B89" s="1431" t="str">
        <f t="shared" si="113"/>
        <v>Opal Garden</v>
      </c>
      <c r="C89" s="1463">
        <f>'Opal Garden'!C83</f>
        <v>690.48299999999995</v>
      </c>
      <c r="D89" s="1463">
        <f>'Opal Garden'!D83</f>
        <v>0</v>
      </c>
      <c r="E89" s="1463">
        <f>'Opal Garden'!E83</f>
        <v>0</v>
      </c>
      <c r="F89" s="1463">
        <f>'Opal Garden'!F83</f>
        <v>0</v>
      </c>
      <c r="G89" s="1463">
        <f>'Opal Garden'!G83</f>
        <v>0</v>
      </c>
      <c r="H89" s="1463">
        <f>'Opal Garden'!H83</f>
        <v>0</v>
      </c>
      <c r="I89" s="1463">
        <f>'Opal Garden'!I83</f>
        <v>0</v>
      </c>
      <c r="J89" s="1463">
        <f>'Opal Garden'!J83</f>
        <v>690.48299999999995</v>
      </c>
      <c r="K89" s="1463">
        <f>'Opal Garden'!K83</f>
        <v>0</v>
      </c>
      <c r="L89" s="1463">
        <f>'Opal Garden'!L83</f>
        <v>0</v>
      </c>
      <c r="M89" s="1463">
        <f>'Opal Garden'!M83</f>
        <v>0</v>
      </c>
      <c r="N89" s="1463">
        <f>'Opal Garden'!N83</f>
        <v>0</v>
      </c>
      <c r="O89" s="1463">
        <f>'Opal Garden'!O83</f>
        <v>0</v>
      </c>
      <c r="P89" s="1463">
        <f>'Opal Garden'!P83</f>
        <v>0</v>
      </c>
      <c r="Q89" s="1463">
        <f>'Opal Garden'!Q83</f>
        <v>0</v>
      </c>
      <c r="R89" s="1463">
        <f>'Opal Garden'!R83</f>
        <v>0</v>
      </c>
      <c r="S89" s="1463">
        <f>'Opal Garden'!S83</f>
        <v>0</v>
      </c>
      <c r="T89" s="1463">
        <f>'Opal Garden'!T83</f>
        <v>0</v>
      </c>
      <c r="U89" s="1463">
        <f>'Opal Garden'!U83</f>
        <v>0</v>
      </c>
      <c r="V89" s="1463">
        <f>'Opal Garden'!V83</f>
        <v>0</v>
      </c>
      <c r="W89" s="1463"/>
      <c r="Z89" s="1440"/>
      <c r="AB89" s="1424"/>
      <c r="AC89" s="1440"/>
    </row>
    <row r="90" spans="1:29">
      <c r="A90" s="1431">
        <f t="shared" si="114"/>
        <v>5</v>
      </c>
      <c r="B90" s="1431" t="str">
        <f t="shared" si="113"/>
        <v>Gem Sky World Long Thanh</v>
      </c>
      <c r="C90" s="1463">
        <f>'Long Thanh 92ha'!C83</f>
        <v>15141.795</v>
      </c>
      <c r="D90" s="1463">
        <f>'Long Thanh 92ha'!D83</f>
        <v>0</v>
      </c>
      <c r="E90" s="1463">
        <f>'Long Thanh 92ha'!E83</f>
        <v>0</v>
      </c>
      <c r="F90" s="1463">
        <f>'Long Thanh 92ha'!F83</f>
        <v>0</v>
      </c>
      <c r="G90" s="1463">
        <f>'Long Thanh 92ha'!G83</f>
        <v>0</v>
      </c>
      <c r="H90" s="1463">
        <f>'Long Thanh 92ha'!H83</f>
        <v>0</v>
      </c>
      <c r="I90" s="1463">
        <f>'Long Thanh 92ha'!I83</f>
        <v>0</v>
      </c>
      <c r="J90" s="1463">
        <f>'Long Thanh 92ha'!J83</f>
        <v>0</v>
      </c>
      <c r="K90" s="1463">
        <f>'Long Thanh 92ha'!K83</f>
        <v>0</v>
      </c>
      <c r="L90" s="1463">
        <f>'Long Thanh 92ha'!L83</f>
        <v>3785.44875</v>
      </c>
      <c r="M90" s="1463">
        <f>'Long Thanh 92ha'!M83</f>
        <v>2271.2692499999998</v>
      </c>
      <c r="N90" s="1463">
        <f>'Long Thanh 92ha'!N83</f>
        <v>1514.1795000000002</v>
      </c>
      <c r="O90" s="1463">
        <f>'Long Thanh 92ha'!O83</f>
        <v>757.08975000000009</v>
      </c>
      <c r="P90" s="1463">
        <f>'Long Thanh 92ha'!P83</f>
        <v>3028.3590000000004</v>
      </c>
      <c r="Q90" s="1463">
        <f>'Long Thanh 92ha'!Q83</f>
        <v>3785.44875</v>
      </c>
      <c r="R90" s="1463">
        <f>'Long Thanh 92ha'!R83</f>
        <v>0</v>
      </c>
      <c r="S90" s="1463">
        <f>'Long Thanh 92ha'!S83</f>
        <v>0</v>
      </c>
      <c r="T90" s="1463">
        <f>'Long Thanh 92ha'!T83</f>
        <v>0</v>
      </c>
      <c r="U90" s="1463">
        <f>'Long Thanh 92ha'!U83</f>
        <v>0</v>
      </c>
      <c r="V90" s="1463">
        <f>'Long Thanh 92ha'!V83</f>
        <v>0</v>
      </c>
      <c r="W90" s="1463"/>
      <c r="Z90" s="1440"/>
      <c r="AB90" s="1424"/>
      <c r="AC90" s="1440"/>
    </row>
    <row r="91" spans="1:29">
      <c r="A91" s="1431">
        <f t="shared" si="114"/>
        <v>6</v>
      </c>
      <c r="B91" s="1431" t="str">
        <f t="shared" si="113"/>
        <v>Opal Luxury 8.6ha Binh Duong</v>
      </c>
      <c r="C91" s="1463">
        <f>'Opal Luxury 8.6ha BD'!C83</f>
        <v>6002.1924479999998</v>
      </c>
      <c r="D91" s="1463">
        <f>'Opal Luxury 8.6ha BD'!D83</f>
        <v>0</v>
      </c>
      <c r="E91" s="1463">
        <f>'Opal Luxury 8.6ha BD'!E83</f>
        <v>0</v>
      </c>
      <c r="F91" s="1463">
        <f>'Opal Luxury 8.6ha BD'!F83</f>
        <v>0</v>
      </c>
      <c r="G91" s="1463">
        <f>'Opal Luxury 8.6ha BD'!G83</f>
        <v>0</v>
      </c>
      <c r="H91" s="1463">
        <f>'Opal Luxury 8.6ha BD'!H83</f>
        <v>0</v>
      </c>
      <c r="I91" s="1463">
        <f>'Opal Luxury 8.6ha BD'!I83</f>
        <v>0</v>
      </c>
      <c r="J91" s="1463">
        <f>'Opal Luxury 8.6ha BD'!J83</f>
        <v>0</v>
      </c>
      <c r="K91" s="1463">
        <f>'Opal Luxury 8.6ha BD'!K83</f>
        <v>0</v>
      </c>
      <c r="L91" s="1463">
        <f>'Opal Luxury 8.6ha BD'!L83</f>
        <v>0</v>
      </c>
      <c r="M91" s="1463">
        <f>'Opal Luxury 8.6ha BD'!M83</f>
        <v>0</v>
      </c>
      <c r="N91" s="1463">
        <f>'Opal Luxury 8.6ha BD'!N83</f>
        <v>0</v>
      </c>
      <c r="O91" s="1463">
        <f>'Opal Luxury 8.6ha BD'!O83</f>
        <v>0</v>
      </c>
      <c r="P91" s="1463">
        <f>'Opal Luxury 8.6ha BD'!P83</f>
        <v>2700.9866016000001</v>
      </c>
      <c r="Q91" s="1463">
        <f>'Opal Luxury 8.6ha BD'!Q83</f>
        <v>1980.7235078399999</v>
      </c>
      <c r="R91" s="1463">
        <f>'Opal Luxury 8.6ha BD'!R83</f>
        <v>1320.48233856</v>
      </c>
      <c r="S91" s="1463">
        <f>'Opal Luxury 8.6ha BD'!S83</f>
        <v>0</v>
      </c>
      <c r="T91" s="1463">
        <f>'Opal Luxury 8.6ha BD'!T83</f>
        <v>0</v>
      </c>
      <c r="U91" s="1463">
        <f>'Opal Luxury 8.6ha BD'!U83</f>
        <v>0</v>
      </c>
      <c r="V91" s="1463">
        <f>'Opal Luxury 8.6ha BD'!V83</f>
        <v>0</v>
      </c>
      <c r="W91" s="1463"/>
      <c r="Z91" s="1440"/>
      <c r="AB91" s="1424"/>
      <c r="AC91" s="1440"/>
    </row>
    <row r="92" spans="1:29">
      <c r="A92" s="1431">
        <f t="shared" si="114"/>
        <v>7</v>
      </c>
      <c r="B92" s="1431" t="str">
        <f t="shared" si="113"/>
        <v>Opal Cityview</v>
      </c>
      <c r="C92" s="1463">
        <f>'Opal Cityview'!C83</f>
        <v>3380.9618700000005</v>
      </c>
      <c r="D92" s="1463">
        <f>'Opal Cityview'!D83</f>
        <v>0</v>
      </c>
      <c r="E92" s="1463">
        <f>'Opal Cityview'!E83</f>
        <v>0</v>
      </c>
      <c r="F92" s="1463">
        <f>'Opal Cityview'!F83</f>
        <v>0</v>
      </c>
      <c r="G92" s="1463">
        <f>'Opal Cityview'!G83</f>
        <v>0</v>
      </c>
      <c r="H92" s="1463">
        <f>'Opal Cityview'!H83</f>
        <v>0</v>
      </c>
      <c r="I92" s="1463">
        <f>'Opal Cityview'!I83</f>
        <v>0</v>
      </c>
      <c r="J92" s="1463">
        <f>'Opal Cityview'!J83</f>
        <v>0</v>
      </c>
      <c r="K92" s="1463">
        <f>'Opal Cityview'!K83</f>
        <v>0</v>
      </c>
      <c r="L92" s="1463">
        <f>'Opal Cityview'!L83</f>
        <v>0</v>
      </c>
      <c r="M92" s="1463">
        <f>'Opal Cityview'!M83</f>
        <v>0</v>
      </c>
      <c r="N92" s="1463">
        <f>'Opal Cityview'!N83</f>
        <v>0</v>
      </c>
      <c r="O92" s="1463">
        <f>'Opal Cityview'!O83</f>
        <v>0</v>
      </c>
      <c r="P92" s="1463">
        <f>'Opal Cityview'!P83</f>
        <v>0</v>
      </c>
      <c r="Q92" s="1463">
        <f>'Opal Cityview'!Q83</f>
        <v>1690.4809350000003</v>
      </c>
      <c r="R92" s="1463">
        <f>'Opal Cityview'!R83</f>
        <v>1690.4809350000003</v>
      </c>
      <c r="S92" s="1463">
        <f>'Opal Cityview'!S83</f>
        <v>0</v>
      </c>
      <c r="T92" s="1463">
        <f>'Opal Cityview'!T83</f>
        <v>0</v>
      </c>
      <c r="U92" s="1463">
        <f>'Opal Cityview'!U83</f>
        <v>0</v>
      </c>
      <c r="V92" s="1463">
        <f>'Opal Cityview'!V83</f>
        <v>0</v>
      </c>
      <c r="W92" s="1463"/>
      <c r="Z92" s="1440"/>
      <c r="AB92" s="1424"/>
      <c r="AC92" s="1440"/>
    </row>
    <row r="93" spans="1:29">
      <c r="A93" s="1431">
        <f t="shared" si="114"/>
        <v>8</v>
      </c>
      <c r="B93" s="1431" t="str">
        <f t="shared" si="113"/>
        <v>Park View Thuận An 5ha</v>
      </c>
      <c r="C93" s="1463">
        <f>ParkViewThuanAn5ha!C83</f>
        <v>8750</v>
      </c>
      <c r="D93" s="1463">
        <f>ParkViewThuanAn5ha!D83</f>
        <v>0</v>
      </c>
      <c r="E93" s="1463">
        <f>ParkViewThuanAn5ha!E83</f>
        <v>0</v>
      </c>
      <c r="F93" s="1463">
        <f>ParkViewThuanAn5ha!F83</f>
        <v>0</v>
      </c>
      <c r="G93" s="1463">
        <f>ParkViewThuanAn5ha!G83</f>
        <v>0</v>
      </c>
      <c r="H93" s="1463">
        <f>ParkViewThuanAn5ha!H83</f>
        <v>0</v>
      </c>
      <c r="I93" s="1463">
        <f>ParkViewThuanAn5ha!I83</f>
        <v>0</v>
      </c>
      <c r="J93" s="1463">
        <f>ParkViewThuanAn5ha!J83</f>
        <v>0</v>
      </c>
      <c r="K93" s="1463">
        <f>ParkViewThuanAn5ha!K83</f>
        <v>0</v>
      </c>
      <c r="L93" s="1463">
        <f>ParkViewThuanAn5ha!L83</f>
        <v>0</v>
      </c>
      <c r="M93" s="1463">
        <f>ParkViewThuanAn5ha!M83</f>
        <v>0</v>
      </c>
      <c r="N93" s="1463">
        <f>ParkViewThuanAn5ha!N83</f>
        <v>0</v>
      </c>
      <c r="O93" s="1463">
        <f>ParkViewThuanAn5ha!O83</f>
        <v>0</v>
      </c>
      <c r="P93" s="1463">
        <f>ParkViewThuanAn5ha!P83</f>
        <v>0</v>
      </c>
      <c r="Q93" s="1463">
        <f>ParkViewThuanAn5ha!Q83</f>
        <v>0</v>
      </c>
      <c r="R93" s="1463">
        <f>ParkViewThuanAn5ha!R83</f>
        <v>0</v>
      </c>
      <c r="S93" s="1463">
        <f>ParkViewThuanAn5ha!S83</f>
        <v>0</v>
      </c>
      <c r="T93" s="1463">
        <f>ParkViewThuanAn5ha!T83</f>
        <v>0</v>
      </c>
      <c r="U93" s="1463">
        <f>ParkViewThuanAn5ha!U83</f>
        <v>4375</v>
      </c>
      <c r="V93" s="1463">
        <f>ParkViewThuanAn5ha!V83</f>
        <v>4375</v>
      </c>
      <c r="W93" s="1463"/>
      <c r="Z93" s="1440"/>
      <c r="AB93" s="1424"/>
      <c r="AC93" s="1440"/>
    </row>
    <row r="94" spans="1:29">
      <c r="A94" s="1431">
        <f t="shared" si="114"/>
        <v>9</v>
      </c>
      <c r="B94" s="1431" t="str">
        <f t="shared" si="113"/>
        <v>Lux Riverview - Lux Star Quận 7</v>
      </c>
      <c r="C94" s="1463">
        <f>'Lux Riverview Q7'!C83</f>
        <v>3264.0000000000005</v>
      </c>
      <c r="D94" s="1463">
        <f>'Lux Riverview Q7'!D83</f>
        <v>0</v>
      </c>
      <c r="E94" s="1463">
        <f>'Lux Riverview Q7'!E83</f>
        <v>0</v>
      </c>
      <c r="F94" s="1463">
        <f>'Lux Riverview Q7'!F83</f>
        <v>0</v>
      </c>
      <c r="G94" s="1463">
        <f>'Lux Riverview Q7'!G83</f>
        <v>0</v>
      </c>
      <c r="H94" s="1463">
        <f>'Lux Riverview Q7'!H83</f>
        <v>0</v>
      </c>
      <c r="I94" s="1463">
        <f>'Lux Riverview Q7'!I83</f>
        <v>0</v>
      </c>
      <c r="J94" s="1463">
        <f>'Lux Riverview Q7'!J83</f>
        <v>0</v>
      </c>
      <c r="K94" s="1463">
        <f>'Lux Riverview Q7'!K83</f>
        <v>0</v>
      </c>
      <c r="L94" s="1463">
        <f>'Lux Riverview Q7'!L83</f>
        <v>0</v>
      </c>
      <c r="M94" s="1463">
        <f>'Lux Riverview Q7'!M83</f>
        <v>0</v>
      </c>
      <c r="N94" s="1463">
        <f>'Lux Riverview Q7'!N83</f>
        <v>0</v>
      </c>
      <c r="O94" s="1463">
        <f>'Lux Riverview Q7'!O83</f>
        <v>0</v>
      </c>
      <c r="P94" s="1463">
        <f>'Lux Riverview Q7'!P83</f>
        <v>0</v>
      </c>
      <c r="Q94" s="1463">
        <f>'Lux Riverview Q7'!Q83</f>
        <v>0</v>
      </c>
      <c r="R94" s="1463">
        <f>'Lux Riverview Q7'!R83</f>
        <v>0</v>
      </c>
      <c r="S94" s="1463">
        <f>'Lux Riverview Q7'!S83</f>
        <v>0</v>
      </c>
      <c r="T94" s="1463">
        <f>'Lux Riverview Q7'!T83</f>
        <v>0</v>
      </c>
      <c r="U94" s="1463">
        <f>'Lux Riverview Q7'!U83</f>
        <v>0</v>
      </c>
      <c r="V94" s="1463">
        <f>'Lux Riverview Q7'!V83</f>
        <v>1632.0000000000002</v>
      </c>
      <c r="W94" s="1463"/>
      <c r="Z94" s="1440"/>
      <c r="AB94" s="1433"/>
      <c r="AC94" s="1463"/>
    </row>
    <row r="95" spans="1:29">
      <c r="A95" s="1431">
        <f t="shared" si="114"/>
        <v>10</v>
      </c>
      <c r="B95" s="1431" t="str">
        <f t="shared" si="113"/>
        <v>Gem Premium Thu Duc (Opal Premium)</v>
      </c>
      <c r="C95" s="1463">
        <f>'Gem Premium'!C83</f>
        <v>60156</v>
      </c>
      <c r="D95" s="1463">
        <f>'Gem Premium'!D83</f>
        <v>0</v>
      </c>
      <c r="E95" s="1463">
        <f>'Gem Premium'!E83</f>
        <v>0</v>
      </c>
      <c r="F95" s="1463">
        <f>'Gem Premium'!F83</f>
        <v>0</v>
      </c>
      <c r="G95" s="1463">
        <f>'Gem Premium'!G83</f>
        <v>0</v>
      </c>
      <c r="H95" s="1463">
        <f>'Gem Premium'!H83</f>
        <v>0</v>
      </c>
      <c r="I95" s="1463">
        <f>'Gem Premium'!I83</f>
        <v>0</v>
      </c>
      <c r="J95" s="1463">
        <f>'Gem Premium'!J83</f>
        <v>0</v>
      </c>
      <c r="K95" s="1463">
        <f>'Gem Premium'!K83</f>
        <v>0</v>
      </c>
      <c r="L95" s="1463">
        <f>'Gem Premium'!L83</f>
        <v>0</v>
      </c>
      <c r="M95" s="1463">
        <f>'Gem Premium'!M83</f>
        <v>0</v>
      </c>
      <c r="N95" s="1463">
        <f>'Gem Premium'!N83</f>
        <v>0</v>
      </c>
      <c r="O95" s="1463">
        <f>'Gem Premium'!O83</f>
        <v>0</v>
      </c>
      <c r="P95" s="1463">
        <f>'Gem Premium'!P83</f>
        <v>0</v>
      </c>
      <c r="Q95" s="1463">
        <f>'Gem Premium'!Q83</f>
        <v>0</v>
      </c>
      <c r="R95" s="1463">
        <f>'Gem Premium'!R83</f>
        <v>0</v>
      </c>
      <c r="S95" s="1463">
        <f>'Gem Premium'!S83</f>
        <v>0</v>
      </c>
      <c r="T95" s="1463">
        <f>'Gem Premium'!T83</f>
        <v>0</v>
      </c>
      <c r="U95" s="1463">
        <f>'Gem Premium'!U83</f>
        <v>12031.2</v>
      </c>
      <c r="V95" s="1463">
        <f>'Gem Premium'!V83</f>
        <v>30078</v>
      </c>
      <c r="W95" s="1463"/>
      <c r="Z95" s="1440"/>
    </row>
    <row r="96" spans="1:29">
      <c r="A96" s="1431">
        <f t="shared" si="114"/>
        <v>11</v>
      </c>
      <c r="B96" s="1431" t="str">
        <f t="shared" si="113"/>
        <v>Gem City Q9 (Opal City old)</v>
      </c>
      <c r="C96" s="1463">
        <f>'Opal City'!C83</f>
        <v>12291.37778161095</v>
      </c>
      <c r="D96" s="1463">
        <f>'Opal City'!D83</f>
        <v>0</v>
      </c>
      <c r="E96" s="1463">
        <f>'Opal City'!E83</f>
        <v>0</v>
      </c>
      <c r="F96" s="1463">
        <f>'Opal City'!F83</f>
        <v>0</v>
      </c>
      <c r="G96" s="1463">
        <f>'Opal City'!G83</f>
        <v>0</v>
      </c>
      <c r="H96" s="1463">
        <f>'Opal City'!H83</f>
        <v>0</v>
      </c>
      <c r="I96" s="1463">
        <f>'Opal City'!I83</f>
        <v>0</v>
      </c>
      <c r="J96" s="1463">
        <f>'Opal City'!J83</f>
        <v>0</v>
      </c>
      <c r="K96" s="1463">
        <f>'Opal City'!K83</f>
        <v>0</v>
      </c>
      <c r="L96" s="1463">
        <f>'Opal City'!L83</f>
        <v>0</v>
      </c>
      <c r="M96" s="1463">
        <f>'Opal City'!M83</f>
        <v>0</v>
      </c>
      <c r="N96" s="1463">
        <f>'Opal City'!N83</f>
        <v>0</v>
      </c>
      <c r="O96" s="1463">
        <f>'Opal City'!O83</f>
        <v>0</v>
      </c>
      <c r="P96" s="1463">
        <f>'Opal City'!P83</f>
        <v>0</v>
      </c>
      <c r="Q96" s="1463">
        <f>'Opal City'!Q83</f>
        <v>0</v>
      </c>
      <c r="R96" s="1463">
        <f>'Opal City'!R83</f>
        <v>0</v>
      </c>
      <c r="S96" s="1463">
        <f>'Opal City'!S83</f>
        <v>0</v>
      </c>
      <c r="T96" s="1463">
        <f>'Opal City'!T83</f>
        <v>0</v>
      </c>
      <c r="U96" s="1463">
        <f>'Opal City'!U83</f>
        <v>6145.6888908054752</v>
      </c>
      <c r="V96" s="1463">
        <f>'Opal City'!V83</f>
        <v>6145.6888908054752</v>
      </c>
      <c r="W96" s="1463"/>
      <c r="Z96" s="1440"/>
    </row>
    <row r="97" spans="1:26">
      <c r="A97" s="1431">
        <f t="shared" si="114"/>
        <v>12</v>
      </c>
      <c r="B97" s="1431" t="str">
        <f t="shared" si="113"/>
        <v>Park City Thuận An 10ha</v>
      </c>
      <c r="C97" s="1463">
        <f>ParkCityThuanAn10ha!C83</f>
        <v>8750</v>
      </c>
      <c r="D97" s="1463">
        <f>ParkCityThuanAn10ha!D83</f>
        <v>0</v>
      </c>
      <c r="E97" s="1463">
        <f>ParkCityThuanAn10ha!E83</f>
        <v>0</v>
      </c>
      <c r="F97" s="1463">
        <f>ParkCityThuanAn10ha!F83</f>
        <v>0</v>
      </c>
      <c r="G97" s="1463">
        <f>ParkCityThuanAn10ha!G83</f>
        <v>0</v>
      </c>
      <c r="H97" s="1463">
        <f>ParkCityThuanAn10ha!H83</f>
        <v>0</v>
      </c>
      <c r="I97" s="1463">
        <f>ParkCityThuanAn10ha!I83</f>
        <v>0</v>
      </c>
      <c r="J97" s="1463">
        <f>ParkCityThuanAn10ha!J83</f>
        <v>0</v>
      </c>
      <c r="K97" s="1463">
        <f>ParkCityThuanAn10ha!K83</f>
        <v>0</v>
      </c>
      <c r="L97" s="1463">
        <f>ParkCityThuanAn10ha!L83</f>
        <v>0</v>
      </c>
      <c r="M97" s="1463">
        <f>ParkCityThuanAn10ha!M83</f>
        <v>0</v>
      </c>
      <c r="N97" s="1463">
        <f>ParkCityThuanAn10ha!N83</f>
        <v>0</v>
      </c>
      <c r="O97" s="1463">
        <f>ParkCityThuanAn10ha!O83</f>
        <v>0</v>
      </c>
      <c r="P97" s="1463">
        <f>ParkCityThuanAn10ha!P83</f>
        <v>0</v>
      </c>
      <c r="Q97" s="1463">
        <f>ParkCityThuanAn10ha!Q83</f>
        <v>0</v>
      </c>
      <c r="R97" s="1463">
        <f>ParkCityThuanAn10ha!R83</f>
        <v>0</v>
      </c>
      <c r="S97" s="1463">
        <f>ParkCityThuanAn10ha!S83</f>
        <v>0</v>
      </c>
      <c r="T97" s="1463">
        <f>ParkCityThuanAn10ha!T83</f>
        <v>0</v>
      </c>
      <c r="U97" s="1463">
        <f>ParkCityThuanAn10ha!U83</f>
        <v>2625</v>
      </c>
      <c r="V97" s="1463">
        <f>ParkCityThuanAn10ha!V83</f>
        <v>2625</v>
      </c>
      <c r="W97" s="1463"/>
      <c r="Z97" s="1440"/>
    </row>
    <row r="98" spans="1:26">
      <c r="A98" s="1431">
        <f t="shared" si="114"/>
        <v>13</v>
      </c>
      <c r="B98" s="1431" t="str">
        <f t="shared" si="113"/>
        <v>Opal Skyline</v>
      </c>
      <c r="C98" s="1463">
        <f>'Opal Skyline'!C84</f>
        <v>2411.5</v>
      </c>
      <c r="D98" s="1463">
        <f>'Opal Skyline'!D84</f>
        <v>0</v>
      </c>
      <c r="E98" s="1463">
        <f>'Opal Skyline'!E84</f>
        <v>0</v>
      </c>
      <c r="F98" s="1463">
        <f>'Opal Skyline'!F84</f>
        <v>0</v>
      </c>
      <c r="G98" s="1463">
        <f>'Opal Skyline'!G84</f>
        <v>0</v>
      </c>
      <c r="H98" s="1463">
        <f>'Opal Skyline'!H84</f>
        <v>0</v>
      </c>
      <c r="I98" s="1463">
        <f>'Opal Skyline'!I84</f>
        <v>0</v>
      </c>
      <c r="J98" s="1463">
        <f>'Opal Skyline'!J84</f>
        <v>0</v>
      </c>
      <c r="K98" s="1463">
        <f>'Opal Skyline'!K84</f>
        <v>0</v>
      </c>
      <c r="L98" s="1463">
        <f>'Opal Skyline'!L84</f>
        <v>0</v>
      </c>
      <c r="M98" s="1463">
        <f>'Opal Skyline'!M84</f>
        <v>0</v>
      </c>
      <c r="N98" s="1463">
        <f>'Opal Skyline'!N84</f>
        <v>1446.8999999999999</v>
      </c>
      <c r="O98" s="1463">
        <f>'Opal Skyline'!O84</f>
        <v>964.6</v>
      </c>
      <c r="P98" s="1463">
        <f>'Opal Skyline'!P84</f>
        <v>0</v>
      </c>
      <c r="Q98" s="1463">
        <f>'Opal Skyline'!Q84</f>
        <v>0</v>
      </c>
      <c r="R98" s="1463">
        <f>'Opal Skyline'!R84</f>
        <v>0</v>
      </c>
      <c r="S98" s="1463">
        <f>'Opal Skyline'!S84</f>
        <v>0</v>
      </c>
      <c r="T98" s="1463">
        <f>'Opal Skyline'!T84</f>
        <v>0</v>
      </c>
      <c r="U98" s="1463">
        <f>'Opal Skyline'!U84</f>
        <v>0</v>
      </c>
      <c r="V98" s="1463">
        <f>'Opal Skyline'!V84</f>
        <v>0</v>
      </c>
      <c r="W98" s="1463"/>
      <c r="Z98" s="1440"/>
    </row>
    <row r="99" spans="1:26">
      <c r="A99" s="1431">
        <f t="shared" si="114"/>
        <v>14</v>
      </c>
      <c r="B99" s="1431" t="str">
        <f t="shared" si="113"/>
        <v>Prive</v>
      </c>
      <c r="C99" s="1463">
        <f>Prive!C83</f>
        <v>35430.147249999995</v>
      </c>
      <c r="D99" s="1463">
        <f>Prive!D83</f>
        <v>0</v>
      </c>
      <c r="E99" s="1463">
        <f>Prive!E83</f>
        <v>0</v>
      </c>
      <c r="F99" s="1463">
        <f>Prive!F83</f>
        <v>0</v>
      </c>
      <c r="G99" s="1463">
        <f>Prive!G83</f>
        <v>0</v>
      </c>
      <c r="H99" s="1463">
        <f>Prive!H83</f>
        <v>0</v>
      </c>
      <c r="I99" s="1463">
        <f>Prive!I83</f>
        <v>0</v>
      </c>
      <c r="J99" s="1463">
        <f>Prive!J83</f>
        <v>0</v>
      </c>
      <c r="K99" s="1463">
        <f>Prive!K83</f>
        <v>0</v>
      </c>
      <c r="L99" s="1463">
        <f>Prive!L83</f>
        <v>0</v>
      </c>
      <c r="M99" s="1463">
        <f>Prive!M83</f>
        <v>0</v>
      </c>
      <c r="N99" s="1463">
        <f>Prive!N83</f>
        <v>0</v>
      </c>
      <c r="O99" s="1463">
        <f>Prive!O83</f>
        <v>0</v>
      </c>
      <c r="P99" s="1463">
        <f>Prive!P83</f>
        <v>0</v>
      </c>
      <c r="Q99" s="1463">
        <f>Prive!Q83</f>
        <v>0</v>
      </c>
      <c r="R99" s="1463">
        <f>Prive!R83</f>
        <v>14172.058899999998</v>
      </c>
      <c r="S99" s="1463">
        <f>Prive!S83</f>
        <v>17715.073624999997</v>
      </c>
      <c r="T99" s="1463">
        <f>Prive!T83</f>
        <v>3543.0147249999995</v>
      </c>
      <c r="U99" s="1463">
        <f>Prive!U83</f>
        <v>0</v>
      </c>
      <c r="V99" s="1463">
        <f>Prive!V83</f>
        <v>0</v>
      </c>
      <c r="W99" s="1463"/>
      <c r="Z99" s="1440"/>
    </row>
    <row r="100" spans="1:26">
      <c r="A100" s="1457"/>
      <c r="B100" s="1457" t="s">
        <v>642</v>
      </c>
      <c r="C100" s="1408">
        <f t="shared" ref="C100:M100" si="115">SUM(C86:C99)</f>
        <v>157866.48502961095</v>
      </c>
      <c r="D100" s="1408">
        <f t="shared" si="115"/>
        <v>0</v>
      </c>
      <c r="E100" s="1408">
        <f t="shared" si="115"/>
        <v>0</v>
      </c>
      <c r="F100" s="1408">
        <f t="shared" si="115"/>
        <v>0</v>
      </c>
      <c r="G100" s="1408">
        <f t="shared" si="115"/>
        <v>0</v>
      </c>
      <c r="H100" s="1408">
        <f t="shared" si="115"/>
        <v>321.45830400000006</v>
      </c>
      <c r="I100" s="1408">
        <f t="shared" si="115"/>
        <v>750.06937600000003</v>
      </c>
      <c r="J100" s="1408">
        <f t="shared" si="115"/>
        <v>690.48299999999995</v>
      </c>
      <c r="K100" s="1408">
        <f t="shared" si="115"/>
        <v>0</v>
      </c>
      <c r="L100" s="1408">
        <f t="shared" si="115"/>
        <v>3785.44875</v>
      </c>
      <c r="M100" s="1408">
        <f t="shared" si="115"/>
        <v>2797.7692499999998</v>
      </c>
      <c r="N100" s="1408">
        <f t="shared" ref="N100:V100" si="116">SUM(N86:N99)</f>
        <v>2961.0794999999998</v>
      </c>
      <c r="O100" s="1408">
        <f t="shared" si="116"/>
        <v>1721.68975</v>
      </c>
      <c r="P100" s="1408">
        <f t="shared" si="116"/>
        <v>5729.3456016</v>
      </c>
      <c r="Q100" s="1408">
        <f t="shared" si="116"/>
        <v>7456.6531928400009</v>
      </c>
      <c r="R100" s="1408">
        <f t="shared" si="116"/>
        <v>17183.022173559999</v>
      </c>
      <c r="S100" s="1408">
        <f t="shared" si="116"/>
        <v>17715.073624999997</v>
      </c>
      <c r="T100" s="1408">
        <f t="shared" si="116"/>
        <v>3543.0147249999995</v>
      </c>
      <c r="U100" s="1408">
        <f t="shared" si="116"/>
        <v>25176.888890805476</v>
      </c>
      <c r="V100" s="1408">
        <f t="shared" si="116"/>
        <v>44855.688890805475</v>
      </c>
      <c r="W100" s="1410"/>
    </row>
    <row r="101" spans="1:26">
      <c r="B101" s="1410"/>
      <c r="C101" s="1410"/>
      <c r="D101" s="1410"/>
      <c r="E101" s="1410"/>
      <c r="F101" s="1410"/>
      <c r="G101" s="1410"/>
      <c r="H101" s="1410"/>
      <c r="I101" s="1410"/>
      <c r="J101" s="1410"/>
      <c r="K101" s="1410"/>
      <c r="L101" s="1410"/>
      <c r="M101" s="1410"/>
      <c r="N101" s="1410"/>
      <c r="O101" s="1410"/>
      <c r="P101" s="1410"/>
      <c r="Q101" s="1410"/>
      <c r="R101" s="1410"/>
      <c r="S101" s="1410"/>
      <c r="T101" s="1410"/>
      <c r="U101" s="1410"/>
      <c r="V101" s="1410"/>
      <c r="W101" s="1410"/>
    </row>
    <row r="102" spans="1:26">
      <c r="B102" s="1407" t="s">
        <v>1848</v>
      </c>
      <c r="C102" s="1455" t="s">
        <v>642</v>
      </c>
      <c r="D102" s="1431">
        <f t="shared" ref="D102:M102" si="117">D85</f>
        <v>2013</v>
      </c>
      <c r="E102" s="1431">
        <f t="shared" si="117"/>
        <v>2014</v>
      </c>
      <c r="F102" s="1431">
        <f t="shared" si="117"/>
        <v>2015</v>
      </c>
      <c r="G102" s="1431">
        <f t="shared" si="117"/>
        <v>2016</v>
      </c>
      <c r="H102" s="1431">
        <f t="shared" si="117"/>
        <v>2017</v>
      </c>
      <c r="I102" s="1431">
        <f t="shared" si="117"/>
        <v>2018</v>
      </c>
      <c r="J102" s="1431">
        <f t="shared" si="117"/>
        <v>2019</v>
      </c>
      <c r="K102" s="1431">
        <f t="shared" si="117"/>
        <v>2020</v>
      </c>
      <c r="L102" s="1431">
        <f t="shared" si="117"/>
        <v>2021</v>
      </c>
      <c r="M102" s="1431">
        <f t="shared" si="117"/>
        <v>2022</v>
      </c>
      <c r="N102" s="1431">
        <f t="shared" ref="N102:V102" si="118">N85</f>
        <v>2023</v>
      </c>
      <c r="O102" s="1431">
        <f t="shared" si="118"/>
        <v>2024</v>
      </c>
      <c r="P102" s="1431">
        <f t="shared" si="118"/>
        <v>2025</v>
      </c>
      <c r="Q102" s="1431">
        <f t="shared" si="118"/>
        <v>2026</v>
      </c>
      <c r="R102" s="1431">
        <f t="shared" si="118"/>
        <v>2027</v>
      </c>
      <c r="S102" s="1431">
        <f t="shared" si="118"/>
        <v>2028</v>
      </c>
      <c r="T102" s="1431">
        <f t="shared" si="118"/>
        <v>2029</v>
      </c>
      <c r="U102" s="1431">
        <f t="shared" si="118"/>
        <v>2030</v>
      </c>
      <c r="V102" s="1431">
        <f t="shared" si="118"/>
        <v>2031</v>
      </c>
    </row>
    <row r="103" spans="1:26">
      <c r="A103" s="1431">
        <f t="shared" ref="A103:B116" si="119">A86</f>
        <v>1</v>
      </c>
      <c r="B103" s="1432" t="str">
        <f t="shared" si="119"/>
        <v>Opal Central Park - Thuận An 1.0ha</v>
      </c>
      <c r="C103" s="1658" t="e">
        <f>SUM(D103:M103)</f>
        <v>#DIV/0!</v>
      </c>
      <c r="D103" s="1658" t="e">
        <f t="shared" ref="D103:M103" si="120">IF(D86/$C86&gt;0,D86/$C86,"")</f>
        <v>#DIV/0!</v>
      </c>
      <c r="E103" s="1658" t="e">
        <f t="shared" si="120"/>
        <v>#DIV/0!</v>
      </c>
      <c r="F103" s="1658" t="e">
        <f t="shared" si="120"/>
        <v>#DIV/0!</v>
      </c>
      <c r="G103" s="1658" t="e">
        <f t="shared" si="120"/>
        <v>#DIV/0!</v>
      </c>
      <c r="H103" s="1658" t="e">
        <f t="shared" si="120"/>
        <v>#DIV/0!</v>
      </c>
      <c r="I103" s="1658" t="e">
        <f t="shared" si="120"/>
        <v>#DIV/0!</v>
      </c>
      <c r="J103" s="1658" t="e">
        <f t="shared" si="120"/>
        <v>#DIV/0!</v>
      </c>
      <c r="K103" s="1658" t="e">
        <f t="shared" si="120"/>
        <v>#DIV/0!</v>
      </c>
      <c r="L103" s="1658" t="e">
        <f t="shared" si="120"/>
        <v>#DIV/0!</v>
      </c>
      <c r="M103" s="1658" t="e">
        <f t="shared" si="120"/>
        <v>#DIV/0!</v>
      </c>
      <c r="N103" s="1658" t="e">
        <f t="shared" ref="N103:P103" si="121">IF(N86/$C86&gt;0,N86/$C86,"")</f>
        <v>#DIV/0!</v>
      </c>
      <c r="O103" s="1658" t="e">
        <f t="shared" si="121"/>
        <v>#DIV/0!</v>
      </c>
      <c r="P103" s="1658" t="e">
        <f t="shared" si="121"/>
        <v>#DIV/0!</v>
      </c>
      <c r="Q103" s="1658" t="e">
        <f t="shared" ref="Q103:V116" si="122">IF(Q86/$C86&gt;0,Q86/$C86,"")</f>
        <v>#DIV/0!</v>
      </c>
      <c r="R103" s="1658" t="e">
        <f t="shared" si="122"/>
        <v>#DIV/0!</v>
      </c>
      <c r="S103" s="1658" t="e">
        <f t="shared" si="122"/>
        <v>#DIV/0!</v>
      </c>
      <c r="T103" s="1658" t="e">
        <f t="shared" si="122"/>
        <v>#DIV/0!</v>
      </c>
      <c r="U103" s="1658" t="e">
        <f t="shared" si="122"/>
        <v>#DIV/0!</v>
      </c>
      <c r="V103" s="1658" t="e">
        <f t="shared" si="122"/>
        <v>#DIV/0!</v>
      </c>
      <c r="W103" s="1417"/>
    </row>
    <row r="104" spans="1:26">
      <c r="A104" s="1431">
        <f t="shared" si="119"/>
        <v>2</v>
      </c>
      <c r="B104" s="1431" t="str">
        <f t="shared" si="119"/>
        <v>St Moritz - Opal Skyview</v>
      </c>
      <c r="C104" s="1417">
        <f t="shared" ref="C104:C116" si="123">SUM(D104:M104)</f>
        <v>1</v>
      </c>
      <c r="D104" s="1417" t="str">
        <f t="shared" ref="D104:M104" si="124">IF(D87/$C87&gt;0,D87/$C87,"")</f>
        <v/>
      </c>
      <c r="E104" s="1417" t="str">
        <f t="shared" si="124"/>
        <v/>
      </c>
      <c r="F104" s="1417" t="str">
        <f t="shared" si="124"/>
        <v/>
      </c>
      <c r="G104" s="1417" t="str">
        <f t="shared" si="124"/>
        <v/>
      </c>
      <c r="H104" s="1417" t="str">
        <f t="shared" si="124"/>
        <v/>
      </c>
      <c r="I104" s="1417" t="str">
        <f t="shared" si="124"/>
        <v/>
      </c>
      <c r="J104" s="1417" t="str">
        <f t="shared" si="124"/>
        <v/>
      </c>
      <c r="K104" s="1417" t="str">
        <f t="shared" si="124"/>
        <v/>
      </c>
      <c r="L104" s="1417" t="str">
        <f t="shared" si="124"/>
        <v/>
      </c>
      <c r="M104" s="1417">
        <f t="shared" si="124"/>
        <v>1</v>
      </c>
      <c r="N104" s="1417" t="str">
        <f t="shared" ref="N104:P104" si="125">IF(N87/$C87&gt;0,N87/$C87,"")</f>
        <v/>
      </c>
      <c r="O104" s="1417" t="str">
        <f t="shared" si="125"/>
        <v/>
      </c>
      <c r="P104" s="1417" t="str">
        <f t="shared" si="125"/>
        <v/>
      </c>
      <c r="Q104" s="1417" t="str">
        <f t="shared" si="122"/>
        <v/>
      </c>
      <c r="R104" s="1417" t="str">
        <f t="shared" si="122"/>
        <v/>
      </c>
      <c r="S104" s="1417" t="str">
        <f t="shared" si="122"/>
        <v/>
      </c>
      <c r="T104" s="1417" t="str">
        <f t="shared" si="122"/>
        <v/>
      </c>
      <c r="U104" s="1417" t="str">
        <f t="shared" si="122"/>
        <v/>
      </c>
      <c r="V104" s="1417" t="str">
        <f t="shared" si="122"/>
        <v/>
      </c>
      <c r="W104" s="1417"/>
    </row>
    <row r="105" spans="1:26">
      <c r="A105" s="1431">
        <f t="shared" si="119"/>
        <v>3</v>
      </c>
      <c r="B105" s="1431" t="str">
        <f t="shared" si="119"/>
        <v>Opal Riverside</v>
      </c>
      <c r="C105" s="1417">
        <f t="shared" si="123"/>
        <v>1</v>
      </c>
      <c r="D105" s="1417" t="str">
        <f t="shared" ref="D105:M105" si="126">IF(D88/$C88&gt;0,D88/$C88,"")</f>
        <v/>
      </c>
      <c r="E105" s="1417" t="str">
        <f t="shared" si="126"/>
        <v/>
      </c>
      <c r="F105" s="1417" t="str">
        <f t="shared" si="126"/>
        <v/>
      </c>
      <c r="G105" s="1417" t="str">
        <f t="shared" si="126"/>
        <v/>
      </c>
      <c r="H105" s="1417">
        <f t="shared" si="126"/>
        <v>0.3</v>
      </c>
      <c r="I105" s="1417">
        <f t="shared" si="126"/>
        <v>0.7</v>
      </c>
      <c r="J105" s="1417" t="str">
        <f t="shared" si="126"/>
        <v/>
      </c>
      <c r="K105" s="1417" t="str">
        <f t="shared" si="126"/>
        <v/>
      </c>
      <c r="L105" s="1417" t="str">
        <f t="shared" si="126"/>
        <v/>
      </c>
      <c r="M105" s="1417" t="str">
        <f t="shared" si="126"/>
        <v/>
      </c>
      <c r="N105" s="1417" t="str">
        <f t="shared" ref="N105:P105" si="127">IF(N88/$C88&gt;0,N88/$C88,"")</f>
        <v/>
      </c>
      <c r="O105" s="1417" t="str">
        <f t="shared" si="127"/>
        <v/>
      </c>
      <c r="P105" s="1417" t="str">
        <f t="shared" si="127"/>
        <v/>
      </c>
      <c r="Q105" s="1417" t="str">
        <f t="shared" si="122"/>
        <v/>
      </c>
      <c r="R105" s="1417" t="str">
        <f t="shared" si="122"/>
        <v/>
      </c>
      <c r="S105" s="1417" t="str">
        <f t="shared" si="122"/>
        <v/>
      </c>
      <c r="T105" s="1417" t="str">
        <f t="shared" si="122"/>
        <v/>
      </c>
      <c r="U105" s="1417" t="str">
        <f t="shared" si="122"/>
        <v/>
      </c>
      <c r="V105" s="1417" t="str">
        <f t="shared" si="122"/>
        <v/>
      </c>
      <c r="W105" s="1417"/>
    </row>
    <row r="106" spans="1:26">
      <c r="A106" s="1431">
        <f t="shared" si="119"/>
        <v>4</v>
      </c>
      <c r="B106" s="1431" t="str">
        <f t="shared" si="119"/>
        <v>Opal Garden</v>
      </c>
      <c r="C106" s="1417">
        <f t="shared" si="123"/>
        <v>1</v>
      </c>
      <c r="D106" s="1417" t="str">
        <f t="shared" ref="D106:M106" si="128">IF(D89/$C89&gt;0,D89/$C89,"")</f>
        <v/>
      </c>
      <c r="E106" s="1417" t="str">
        <f t="shared" si="128"/>
        <v/>
      </c>
      <c r="F106" s="1417" t="str">
        <f t="shared" si="128"/>
        <v/>
      </c>
      <c r="G106" s="1417" t="str">
        <f t="shared" si="128"/>
        <v/>
      </c>
      <c r="H106" s="1417" t="str">
        <f t="shared" si="128"/>
        <v/>
      </c>
      <c r="I106" s="1417" t="str">
        <f t="shared" si="128"/>
        <v/>
      </c>
      <c r="J106" s="1417">
        <f t="shared" si="128"/>
        <v>1</v>
      </c>
      <c r="K106" s="1417" t="str">
        <f t="shared" si="128"/>
        <v/>
      </c>
      <c r="L106" s="1417" t="str">
        <f t="shared" si="128"/>
        <v/>
      </c>
      <c r="M106" s="1417" t="str">
        <f t="shared" si="128"/>
        <v/>
      </c>
      <c r="N106" s="1417" t="str">
        <f t="shared" ref="N106:P106" si="129">IF(N89/$C89&gt;0,N89/$C89,"")</f>
        <v/>
      </c>
      <c r="O106" s="1417" t="str">
        <f t="shared" si="129"/>
        <v/>
      </c>
      <c r="P106" s="1417" t="str">
        <f t="shared" si="129"/>
        <v/>
      </c>
      <c r="Q106" s="1417" t="str">
        <f t="shared" si="122"/>
        <v/>
      </c>
      <c r="R106" s="1417" t="str">
        <f t="shared" si="122"/>
        <v/>
      </c>
      <c r="S106" s="1417" t="str">
        <f t="shared" si="122"/>
        <v/>
      </c>
      <c r="T106" s="1417" t="str">
        <f t="shared" si="122"/>
        <v/>
      </c>
      <c r="U106" s="1417" t="str">
        <f t="shared" si="122"/>
        <v/>
      </c>
      <c r="V106" s="1417" t="str">
        <f t="shared" si="122"/>
        <v/>
      </c>
      <c r="W106" s="1417"/>
    </row>
    <row r="107" spans="1:26">
      <c r="A107" s="1431">
        <f t="shared" si="119"/>
        <v>5</v>
      </c>
      <c r="B107" s="1431" t="str">
        <f t="shared" si="119"/>
        <v>Gem Sky World Long Thanh</v>
      </c>
      <c r="C107" s="1417">
        <f t="shared" si="123"/>
        <v>0.4</v>
      </c>
      <c r="D107" s="1417" t="str">
        <f t="shared" ref="D107:M107" si="130">IF(D90/$C90&gt;0,D90/$C90,"")</f>
        <v/>
      </c>
      <c r="E107" s="1417" t="str">
        <f t="shared" si="130"/>
        <v/>
      </c>
      <c r="F107" s="1417" t="str">
        <f t="shared" si="130"/>
        <v/>
      </c>
      <c r="G107" s="1417" t="str">
        <f t="shared" si="130"/>
        <v/>
      </c>
      <c r="H107" s="1417" t="str">
        <f t="shared" si="130"/>
        <v/>
      </c>
      <c r="I107" s="1417" t="str">
        <f t="shared" si="130"/>
        <v/>
      </c>
      <c r="J107" s="1417" t="str">
        <f t="shared" si="130"/>
        <v/>
      </c>
      <c r="K107" s="1417" t="str">
        <f t="shared" si="130"/>
        <v/>
      </c>
      <c r="L107" s="1417">
        <f t="shared" si="130"/>
        <v>0.25</v>
      </c>
      <c r="M107" s="1417">
        <f t="shared" si="130"/>
        <v>0.15</v>
      </c>
      <c r="N107" s="1417">
        <f t="shared" ref="N107:P107" si="131">IF(N90/$C90&gt;0,N90/$C90,"")</f>
        <v>0.1</v>
      </c>
      <c r="O107" s="1417">
        <f t="shared" si="131"/>
        <v>0.05</v>
      </c>
      <c r="P107" s="1417">
        <f t="shared" si="131"/>
        <v>0.2</v>
      </c>
      <c r="Q107" s="1417">
        <f t="shared" si="122"/>
        <v>0.25</v>
      </c>
      <c r="R107" s="1417" t="str">
        <f t="shared" si="122"/>
        <v/>
      </c>
      <c r="S107" s="1417" t="str">
        <f t="shared" si="122"/>
        <v/>
      </c>
      <c r="T107" s="1417" t="str">
        <f t="shared" si="122"/>
        <v/>
      </c>
      <c r="U107" s="1417" t="str">
        <f t="shared" si="122"/>
        <v/>
      </c>
      <c r="V107" s="1417" t="str">
        <f t="shared" si="122"/>
        <v/>
      </c>
      <c r="W107" s="1417"/>
    </row>
    <row r="108" spans="1:26">
      <c r="A108" s="1431">
        <f t="shared" si="119"/>
        <v>6</v>
      </c>
      <c r="B108" s="1431" t="str">
        <f t="shared" si="119"/>
        <v>Opal Luxury 8.6ha Binh Duong</v>
      </c>
      <c r="C108" s="1417">
        <f t="shared" si="123"/>
        <v>0</v>
      </c>
      <c r="D108" s="1417" t="str">
        <f t="shared" ref="D108:M108" si="132">IF(D91/$C91&gt;0,D91/$C91,"")</f>
        <v/>
      </c>
      <c r="E108" s="1417" t="str">
        <f t="shared" si="132"/>
        <v/>
      </c>
      <c r="F108" s="1417" t="str">
        <f t="shared" si="132"/>
        <v/>
      </c>
      <c r="G108" s="1417" t="str">
        <f t="shared" si="132"/>
        <v/>
      </c>
      <c r="H108" s="1417" t="str">
        <f t="shared" si="132"/>
        <v/>
      </c>
      <c r="I108" s="1417" t="str">
        <f t="shared" si="132"/>
        <v/>
      </c>
      <c r="J108" s="1417" t="str">
        <f t="shared" si="132"/>
        <v/>
      </c>
      <c r="K108" s="1417" t="str">
        <f t="shared" si="132"/>
        <v/>
      </c>
      <c r="L108" s="1417" t="str">
        <f t="shared" si="132"/>
        <v/>
      </c>
      <c r="M108" s="1417" t="str">
        <f t="shared" si="132"/>
        <v/>
      </c>
      <c r="N108" s="1417" t="str">
        <f t="shared" ref="N108:P108" si="133">IF(N91/$C91&gt;0,N91/$C91,"")</f>
        <v/>
      </c>
      <c r="O108" s="1417" t="str">
        <f t="shared" si="133"/>
        <v/>
      </c>
      <c r="P108" s="1417">
        <f t="shared" si="133"/>
        <v>0.45</v>
      </c>
      <c r="Q108" s="1417">
        <f t="shared" si="122"/>
        <v>0.33</v>
      </c>
      <c r="R108" s="1417">
        <f t="shared" si="122"/>
        <v>0.22</v>
      </c>
      <c r="S108" s="1417" t="str">
        <f t="shared" si="122"/>
        <v/>
      </c>
      <c r="T108" s="1417" t="str">
        <f t="shared" si="122"/>
        <v/>
      </c>
      <c r="U108" s="1417" t="str">
        <f t="shared" si="122"/>
        <v/>
      </c>
      <c r="V108" s="1417" t="str">
        <f t="shared" si="122"/>
        <v/>
      </c>
      <c r="W108" s="1417"/>
    </row>
    <row r="109" spans="1:26">
      <c r="A109" s="1431">
        <f t="shared" si="119"/>
        <v>7</v>
      </c>
      <c r="B109" s="1431" t="str">
        <f t="shared" si="119"/>
        <v>Opal Cityview</v>
      </c>
      <c r="C109" s="1417">
        <f t="shared" si="123"/>
        <v>0</v>
      </c>
      <c r="D109" s="1417" t="str">
        <f t="shared" ref="D109:M109" si="134">IF(D92/$C92&gt;0,D92/$C92,"")</f>
        <v/>
      </c>
      <c r="E109" s="1417" t="str">
        <f t="shared" si="134"/>
        <v/>
      </c>
      <c r="F109" s="1417" t="str">
        <f t="shared" si="134"/>
        <v/>
      </c>
      <c r="G109" s="1417" t="str">
        <f t="shared" si="134"/>
        <v/>
      </c>
      <c r="H109" s="1417" t="str">
        <f t="shared" si="134"/>
        <v/>
      </c>
      <c r="I109" s="1417" t="str">
        <f t="shared" si="134"/>
        <v/>
      </c>
      <c r="J109" s="1417" t="str">
        <f t="shared" si="134"/>
        <v/>
      </c>
      <c r="K109" s="1417" t="str">
        <f t="shared" si="134"/>
        <v/>
      </c>
      <c r="L109" s="1417" t="str">
        <f t="shared" si="134"/>
        <v/>
      </c>
      <c r="M109" s="1417" t="str">
        <f t="shared" si="134"/>
        <v/>
      </c>
      <c r="N109" s="1417" t="str">
        <f t="shared" ref="N109:P109" si="135">IF(N92/$C92&gt;0,N92/$C92,"")</f>
        <v/>
      </c>
      <c r="O109" s="1417" t="str">
        <f t="shared" si="135"/>
        <v/>
      </c>
      <c r="P109" s="1417" t="str">
        <f t="shared" si="135"/>
        <v/>
      </c>
      <c r="Q109" s="1417">
        <f t="shared" si="122"/>
        <v>0.5</v>
      </c>
      <c r="R109" s="1417">
        <f t="shared" si="122"/>
        <v>0.5</v>
      </c>
      <c r="S109" s="1417" t="str">
        <f t="shared" si="122"/>
        <v/>
      </c>
      <c r="T109" s="1417" t="str">
        <f t="shared" si="122"/>
        <v/>
      </c>
      <c r="U109" s="1417" t="str">
        <f t="shared" si="122"/>
        <v/>
      </c>
      <c r="V109" s="1417" t="str">
        <f t="shared" si="122"/>
        <v/>
      </c>
      <c r="W109" s="1417"/>
    </row>
    <row r="110" spans="1:26">
      <c r="A110" s="1431">
        <f t="shared" si="119"/>
        <v>8</v>
      </c>
      <c r="B110" s="1431" t="str">
        <f t="shared" si="119"/>
        <v>Park View Thuận An 5ha</v>
      </c>
      <c r="C110" s="1417">
        <f t="shared" si="123"/>
        <v>0</v>
      </c>
      <c r="D110" s="1417" t="str">
        <f t="shared" ref="D110:M110" si="136">IF(D93/$C93&gt;0,D93/$C93,"")</f>
        <v/>
      </c>
      <c r="E110" s="1417" t="str">
        <f t="shared" si="136"/>
        <v/>
      </c>
      <c r="F110" s="1417" t="str">
        <f t="shared" si="136"/>
        <v/>
      </c>
      <c r="G110" s="1417" t="str">
        <f t="shared" si="136"/>
        <v/>
      </c>
      <c r="H110" s="1417" t="str">
        <f t="shared" si="136"/>
        <v/>
      </c>
      <c r="I110" s="1417" t="str">
        <f t="shared" si="136"/>
        <v/>
      </c>
      <c r="J110" s="1417" t="str">
        <f t="shared" si="136"/>
        <v/>
      </c>
      <c r="K110" s="1417" t="str">
        <f t="shared" si="136"/>
        <v/>
      </c>
      <c r="L110" s="1417" t="str">
        <f t="shared" si="136"/>
        <v/>
      </c>
      <c r="M110" s="1417" t="str">
        <f t="shared" si="136"/>
        <v/>
      </c>
      <c r="N110" s="1417" t="str">
        <f t="shared" ref="N110:P110" si="137">IF(N93/$C93&gt;0,N93/$C93,"")</f>
        <v/>
      </c>
      <c r="O110" s="1417" t="str">
        <f t="shared" si="137"/>
        <v/>
      </c>
      <c r="P110" s="1417" t="str">
        <f t="shared" si="137"/>
        <v/>
      </c>
      <c r="Q110" s="1417" t="str">
        <f t="shared" si="122"/>
        <v/>
      </c>
      <c r="R110" s="1417" t="str">
        <f t="shared" si="122"/>
        <v/>
      </c>
      <c r="S110" s="1417" t="str">
        <f t="shared" si="122"/>
        <v/>
      </c>
      <c r="T110" s="1417" t="str">
        <f t="shared" si="122"/>
        <v/>
      </c>
      <c r="U110" s="1417">
        <f t="shared" si="122"/>
        <v>0.5</v>
      </c>
      <c r="V110" s="1417">
        <f t="shared" si="122"/>
        <v>0.5</v>
      </c>
      <c r="W110" s="1417"/>
    </row>
    <row r="111" spans="1:26">
      <c r="A111" s="1431">
        <f t="shared" si="119"/>
        <v>9</v>
      </c>
      <c r="B111" s="1431" t="str">
        <f t="shared" si="119"/>
        <v>Lux Riverview - Lux Star Quận 7</v>
      </c>
      <c r="C111" s="1417">
        <f t="shared" si="123"/>
        <v>0</v>
      </c>
      <c r="D111" s="1417" t="str">
        <f t="shared" ref="D111:M111" si="138">IF(D94/$C94&gt;0,D94/$C94,"")</f>
        <v/>
      </c>
      <c r="E111" s="1417" t="str">
        <f t="shared" si="138"/>
        <v/>
      </c>
      <c r="F111" s="1417" t="str">
        <f t="shared" si="138"/>
        <v/>
      </c>
      <c r="G111" s="1417" t="str">
        <f t="shared" si="138"/>
        <v/>
      </c>
      <c r="H111" s="1417" t="str">
        <f t="shared" si="138"/>
        <v/>
      </c>
      <c r="I111" s="1417" t="str">
        <f t="shared" si="138"/>
        <v/>
      </c>
      <c r="J111" s="1417" t="str">
        <f t="shared" si="138"/>
        <v/>
      </c>
      <c r="K111" s="1417" t="str">
        <f t="shared" si="138"/>
        <v/>
      </c>
      <c r="L111" s="1417" t="str">
        <f t="shared" si="138"/>
        <v/>
      </c>
      <c r="M111" s="1417" t="str">
        <f t="shared" si="138"/>
        <v/>
      </c>
      <c r="N111" s="1417" t="str">
        <f t="shared" ref="N111:P111" si="139">IF(N94/$C94&gt;0,N94/$C94,"")</f>
        <v/>
      </c>
      <c r="O111" s="1417" t="str">
        <f t="shared" si="139"/>
        <v/>
      </c>
      <c r="P111" s="1417" t="str">
        <f t="shared" si="139"/>
        <v/>
      </c>
      <c r="Q111" s="1417" t="str">
        <f t="shared" si="122"/>
        <v/>
      </c>
      <c r="R111" s="1417" t="str">
        <f t="shared" si="122"/>
        <v/>
      </c>
      <c r="S111" s="1417" t="str">
        <f t="shared" si="122"/>
        <v/>
      </c>
      <c r="T111" s="1417" t="str">
        <f t="shared" si="122"/>
        <v/>
      </c>
      <c r="U111" s="1417" t="str">
        <f t="shared" si="122"/>
        <v/>
      </c>
      <c r="V111" s="1417">
        <f t="shared" si="122"/>
        <v>0.5</v>
      </c>
      <c r="W111" s="1417"/>
    </row>
    <row r="112" spans="1:26">
      <c r="A112" s="1431">
        <f t="shared" si="119"/>
        <v>10</v>
      </c>
      <c r="B112" s="1431" t="str">
        <f t="shared" si="119"/>
        <v>Gem Premium Thu Duc (Opal Premium)</v>
      </c>
      <c r="C112" s="1417">
        <f t="shared" si="123"/>
        <v>0</v>
      </c>
      <c r="D112" s="1417" t="str">
        <f t="shared" ref="D112:M112" si="140">IF(D95/$C95&gt;0,D95/$C95,"")</f>
        <v/>
      </c>
      <c r="E112" s="1417" t="str">
        <f t="shared" si="140"/>
        <v/>
      </c>
      <c r="F112" s="1417" t="str">
        <f t="shared" si="140"/>
        <v/>
      </c>
      <c r="G112" s="1417" t="str">
        <f t="shared" si="140"/>
        <v/>
      </c>
      <c r="H112" s="1417" t="str">
        <f t="shared" si="140"/>
        <v/>
      </c>
      <c r="I112" s="1417" t="str">
        <f t="shared" si="140"/>
        <v/>
      </c>
      <c r="J112" s="1417" t="str">
        <f t="shared" si="140"/>
        <v/>
      </c>
      <c r="K112" s="1417" t="str">
        <f t="shared" si="140"/>
        <v/>
      </c>
      <c r="L112" s="1417" t="str">
        <f t="shared" si="140"/>
        <v/>
      </c>
      <c r="M112" s="1417" t="str">
        <f t="shared" si="140"/>
        <v/>
      </c>
      <c r="N112" s="1417" t="str">
        <f t="shared" ref="N112:P112" si="141">IF(N95/$C95&gt;0,N95/$C95,"")</f>
        <v/>
      </c>
      <c r="O112" s="1417" t="str">
        <f t="shared" si="141"/>
        <v/>
      </c>
      <c r="P112" s="1417" t="str">
        <f t="shared" si="141"/>
        <v/>
      </c>
      <c r="Q112" s="1417" t="str">
        <f t="shared" si="122"/>
        <v/>
      </c>
      <c r="R112" s="1417" t="str">
        <f t="shared" si="122"/>
        <v/>
      </c>
      <c r="S112" s="1417" t="str">
        <f t="shared" si="122"/>
        <v/>
      </c>
      <c r="T112" s="1417" t="str">
        <f t="shared" si="122"/>
        <v/>
      </c>
      <c r="U112" s="1417">
        <f t="shared" si="122"/>
        <v>0.2</v>
      </c>
      <c r="V112" s="1417">
        <f t="shared" si="122"/>
        <v>0.5</v>
      </c>
      <c r="W112" s="1417"/>
    </row>
    <row r="113" spans="1:36">
      <c r="A113" s="1431">
        <f t="shared" si="119"/>
        <v>11</v>
      </c>
      <c r="B113" s="1431" t="str">
        <f t="shared" si="119"/>
        <v>Gem City Q9 (Opal City old)</v>
      </c>
      <c r="C113" s="1417">
        <f t="shared" si="123"/>
        <v>0</v>
      </c>
      <c r="D113" s="1417" t="str">
        <f t="shared" ref="D113:M113" si="142">IF(D96/$C96&gt;0,D96/$C96,"")</f>
        <v/>
      </c>
      <c r="E113" s="1417" t="str">
        <f t="shared" si="142"/>
        <v/>
      </c>
      <c r="F113" s="1417" t="str">
        <f t="shared" si="142"/>
        <v/>
      </c>
      <c r="G113" s="1417" t="str">
        <f t="shared" si="142"/>
        <v/>
      </c>
      <c r="H113" s="1417" t="str">
        <f t="shared" si="142"/>
        <v/>
      </c>
      <c r="I113" s="1417" t="str">
        <f t="shared" si="142"/>
        <v/>
      </c>
      <c r="J113" s="1417" t="str">
        <f t="shared" si="142"/>
        <v/>
      </c>
      <c r="K113" s="1417" t="str">
        <f t="shared" si="142"/>
        <v/>
      </c>
      <c r="L113" s="1417" t="str">
        <f t="shared" si="142"/>
        <v/>
      </c>
      <c r="M113" s="1417" t="str">
        <f t="shared" si="142"/>
        <v/>
      </c>
      <c r="N113" s="1417" t="str">
        <f t="shared" ref="N113:P113" si="143">IF(N96/$C96&gt;0,N96/$C96,"")</f>
        <v/>
      </c>
      <c r="O113" s="1417" t="str">
        <f t="shared" si="143"/>
        <v/>
      </c>
      <c r="P113" s="1417" t="str">
        <f t="shared" si="143"/>
        <v/>
      </c>
      <c r="Q113" s="1417" t="str">
        <f t="shared" si="122"/>
        <v/>
      </c>
      <c r="R113" s="1417" t="str">
        <f t="shared" si="122"/>
        <v/>
      </c>
      <c r="S113" s="1417" t="str">
        <f t="shared" si="122"/>
        <v/>
      </c>
      <c r="T113" s="1417" t="str">
        <f t="shared" si="122"/>
        <v/>
      </c>
      <c r="U113" s="1417">
        <f t="shared" si="122"/>
        <v>0.5</v>
      </c>
      <c r="V113" s="1417">
        <f t="shared" si="122"/>
        <v>0.5</v>
      </c>
      <c r="W113" s="1417"/>
    </row>
    <row r="114" spans="1:36">
      <c r="A114" s="1431">
        <f t="shared" si="119"/>
        <v>12</v>
      </c>
      <c r="B114" s="1431" t="str">
        <f t="shared" si="119"/>
        <v>Park City Thuận An 10ha</v>
      </c>
      <c r="C114" s="1417">
        <f t="shared" si="123"/>
        <v>0</v>
      </c>
      <c r="D114" s="1417" t="str">
        <f t="shared" ref="D114:M114" si="144">IF(D97/$C97&gt;0,D97/$C97,"")</f>
        <v/>
      </c>
      <c r="E114" s="1417" t="str">
        <f t="shared" si="144"/>
        <v/>
      </c>
      <c r="F114" s="1417" t="str">
        <f t="shared" si="144"/>
        <v/>
      </c>
      <c r="G114" s="1417" t="str">
        <f t="shared" si="144"/>
        <v/>
      </c>
      <c r="H114" s="1417" t="str">
        <f t="shared" si="144"/>
        <v/>
      </c>
      <c r="I114" s="1417" t="str">
        <f t="shared" si="144"/>
        <v/>
      </c>
      <c r="J114" s="1417" t="str">
        <f t="shared" si="144"/>
        <v/>
      </c>
      <c r="K114" s="1417" t="str">
        <f t="shared" si="144"/>
        <v/>
      </c>
      <c r="L114" s="1417" t="str">
        <f t="shared" si="144"/>
        <v/>
      </c>
      <c r="M114" s="1417" t="str">
        <f t="shared" si="144"/>
        <v/>
      </c>
      <c r="N114" s="1417" t="str">
        <f t="shared" ref="N114:P114" si="145">IF(N97/$C97&gt;0,N97/$C97,"")</f>
        <v/>
      </c>
      <c r="O114" s="1417" t="str">
        <f t="shared" si="145"/>
        <v/>
      </c>
      <c r="P114" s="1417" t="str">
        <f t="shared" si="145"/>
        <v/>
      </c>
      <c r="Q114" s="1417" t="str">
        <f t="shared" si="122"/>
        <v/>
      </c>
      <c r="R114" s="1417" t="str">
        <f t="shared" si="122"/>
        <v/>
      </c>
      <c r="S114" s="1417" t="str">
        <f t="shared" si="122"/>
        <v/>
      </c>
      <c r="T114" s="1417" t="str">
        <f t="shared" si="122"/>
        <v/>
      </c>
      <c r="U114" s="1417">
        <f t="shared" si="122"/>
        <v>0.3</v>
      </c>
      <c r="V114" s="1417">
        <f t="shared" si="122"/>
        <v>0.3</v>
      </c>
      <c r="W114" s="1417"/>
    </row>
    <row r="115" spans="1:36">
      <c r="A115" s="1431">
        <f t="shared" si="119"/>
        <v>13</v>
      </c>
      <c r="B115" s="1431" t="str">
        <f t="shared" si="119"/>
        <v>Opal Skyline</v>
      </c>
      <c r="C115" s="1417">
        <f t="shared" si="123"/>
        <v>0</v>
      </c>
      <c r="D115" s="1417" t="str">
        <f t="shared" ref="D115:M115" si="146">IF(D98/$C98&gt;0,D98/$C98,"")</f>
        <v/>
      </c>
      <c r="E115" s="1417" t="str">
        <f t="shared" si="146"/>
        <v/>
      </c>
      <c r="F115" s="1417" t="str">
        <f t="shared" si="146"/>
        <v/>
      </c>
      <c r="G115" s="1417" t="str">
        <f t="shared" si="146"/>
        <v/>
      </c>
      <c r="H115" s="1417" t="str">
        <f t="shared" si="146"/>
        <v/>
      </c>
      <c r="I115" s="1417" t="str">
        <f t="shared" si="146"/>
        <v/>
      </c>
      <c r="J115" s="1417" t="str">
        <f t="shared" si="146"/>
        <v/>
      </c>
      <c r="K115" s="1417" t="str">
        <f t="shared" si="146"/>
        <v/>
      </c>
      <c r="L115" s="1417" t="str">
        <f t="shared" si="146"/>
        <v/>
      </c>
      <c r="M115" s="1417" t="str">
        <f t="shared" si="146"/>
        <v/>
      </c>
      <c r="N115" s="1417">
        <f t="shared" ref="N115:P115" si="147">IF(N98/$C98&gt;0,N98/$C98,"")</f>
        <v>0.6</v>
      </c>
      <c r="O115" s="1417">
        <f t="shared" si="147"/>
        <v>0.4</v>
      </c>
      <c r="P115" s="1417" t="str">
        <f t="shared" si="147"/>
        <v/>
      </c>
      <c r="Q115" s="1417" t="str">
        <f t="shared" si="122"/>
        <v/>
      </c>
      <c r="R115" s="1417" t="str">
        <f t="shared" si="122"/>
        <v/>
      </c>
      <c r="S115" s="1417" t="str">
        <f t="shared" si="122"/>
        <v/>
      </c>
      <c r="T115" s="1417" t="str">
        <f t="shared" si="122"/>
        <v/>
      </c>
      <c r="U115" s="1417" t="str">
        <f t="shared" si="122"/>
        <v/>
      </c>
      <c r="V115" s="1417" t="str">
        <f t="shared" si="122"/>
        <v/>
      </c>
      <c r="W115" s="1417"/>
    </row>
    <row r="116" spans="1:36">
      <c r="A116" s="1431">
        <f t="shared" si="119"/>
        <v>14</v>
      </c>
      <c r="B116" s="1431" t="str">
        <f t="shared" si="119"/>
        <v>Prive</v>
      </c>
      <c r="C116" s="1417">
        <f t="shared" si="123"/>
        <v>0</v>
      </c>
      <c r="D116" s="1417" t="str">
        <f t="shared" ref="D116:M116" si="148">IF(D99/$C99&gt;0,D99/$C99,"")</f>
        <v/>
      </c>
      <c r="E116" s="1417" t="str">
        <f t="shared" si="148"/>
        <v/>
      </c>
      <c r="F116" s="1417" t="str">
        <f t="shared" si="148"/>
        <v/>
      </c>
      <c r="G116" s="1417" t="str">
        <f t="shared" si="148"/>
        <v/>
      </c>
      <c r="H116" s="1417" t="str">
        <f t="shared" si="148"/>
        <v/>
      </c>
      <c r="I116" s="1417" t="str">
        <f t="shared" si="148"/>
        <v/>
      </c>
      <c r="J116" s="1417" t="str">
        <f t="shared" si="148"/>
        <v/>
      </c>
      <c r="K116" s="1417" t="str">
        <f t="shared" si="148"/>
        <v/>
      </c>
      <c r="L116" s="1417" t="str">
        <f t="shared" si="148"/>
        <v/>
      </c>
      <c r="M116" s="1417" t="str">
        <f t="shared" si="148"/>
        <v/>
      </c>
      <c r="N116" s="1417" t="str">
        <f t="shared" ref="N116:P116" si="149">IF(N99/$C99&gt;0,N99/$C99,"")</f>
        <v/>
      </c>
      <c r="O116" s="1417" t="str">
        <f t="shared" si="149"/>
        <v/>
      </c>
      <c r="P116" s="1417" t="str">
        <f t="shared" si="149"/>
        <v/>
      </c>
      <c r="Q116" s="1417" t="str">
        <f t="shared" si="122"/>
        <v/>
      </c>
      <c r="R116" s="1417">
        <f t="shared" si="122"/>
        <v>0.4</v>
      </c>
      <c r="S116" s="1417">
        <f t="shared" si="122"/>
        <v>0.5</v>
      </c>
      <c r="T116" s="1417">
        <f t="shared" si="122"/>
        <v>0.1</v>
      </c>
      <c r="U116" s="1417" t="str">
        <f t="shared" si="122"/>
        <v/>
      </c>
      <c r="V116" s="1417" t="str">
        <f t="shared" si="122"/>
        <v/>
      </c>
      <c r="W116" s="1417"/>
    </row>
    <row r="118" spans="1:36">
      <c r="Z118" s="1407" t="s">
        <v>1133</v>
      </c>
    </row>
    <row r="119" spans="1:36">
      <c r="B119" s="1407" t="s">
        <v>1601</v>
      </c>
      <c r="C119" s="1455" t="str">
        <f>C102</f>
        <v>Total</v>
      </c>
      <c r="D119" s="1455">
        <f t="shared" ref="D119:M119" si="150">D102</f>
        <v>2013</v>
      </c>
      <c r="E119" s="1455">
        <f t="shared" si="150"/>
        <v>2014</v>
      </c>
      <c r="F119" s="1455">
        <f t="shared" si="150"/>
        <v>2015</v>
      </c>
      <c r="G119" s="1455">
        <f t="shared" si="150"/>
        <v>2016</v>
      </c>
      <c r="H119" s="1455">
        <f t="shared" si="150"/>
        <v>2017</v>
      </c>
      <c r="I119" s="1455">
        <f t="shared" si="150"/>
        <v>2018</v>
      </c>
      <c r="J119" s="1455">
        <f t="shared" si="150"/>
        <v>2019</v>
      </c>
      <c r="K119" s="1455">
        <f t="shared" si="150"/>
        <v>2020</v>
      </c>
      <c r="L119" s="1455">
        <f t="shared" si="150"/>
        <v>2021</v>
      </c>
      <c r="M119" s="1455">
        <f t="shared" si="150"/>
        <v>2022</v>
      </c>
      <c r="N119" s="1455">
        <f t="shared" ref="N119:V119" si="151">N102</f>
        <v>2023</v>
      </c>
      <c r="O119" s="1455">
        <f t="shared" si="151"/>
        <v>2024</v>
      </c>
      <c r="P119" s="1455">
        <f t="shared" si="151"/>
        <v>2025</v>
      </c>
      <c r="Q119" s="1455">
        <f t="shared" si="151"/>
        <v>2026</v>
      </c>
      <c r="R119" s="1455">
        <f t="shared" si="151"/>
        <v>2027</v>
      </c>
      <c r="S119" s="1455">
        <f t="shared" si="151"/>
        <v>2028</v>
      </c>
      <c r="T119" s="1455">
        <f t="shared" si="151"/>
        <v>2029</v>
      </c>
      <c r="U119" s="1455">
        <f t="shared" si="151"/>
        <v>2030</v>
      </c>
      <c r="V119" s="1455">
        <f t="shared" si="151"/>
        <v>2031</v>
      </c>
      <c r="W119" s="1455"/>
      <c r="Y119" s="1431" t="s">
        <v>1807</v>
      </c>
      <c r="Z119" s="1431" t="s">
        <v>1139</v>
      </c>
      <c r="AA119" s="1431" t="s">
        <v>642</v>
      </c>
      <c r="AB119" s="1431">
        <f t="shared" ref="AB119:AJ119" si="152">D119</f>
        <v>2013</v>
      </c>
      <c r="AC119" s="1431">
        <f t="shared" si="152"/>
        <v>2014</v>
      </c>
      <c r="AD119" s="1431">
        <f t="shared" si="152"/>
        <v>2015</v>
      </c>
      <c r="AE119" s="1431">
        <f t="shared" si="152"/>
        <v>2016</v>
      </c>
      <c r="AF119" s="1431">
        <f t="shared" si="152"/>
        <v>2017</v>
      </c>
      <c r="AG119" s="1431">
        <f t="shared" si="152"/>
        <v>2018</v>
      </c>
      <c r="AH119" s="1431">
        <f t="shared" si="152"/>
        <v>2019</v>
      </c>
      <c r="AI119" s="1431">
        <f t="shared" si="152"/>
        <v>2020</v>
      </c>
      <c r="AJ119" s="1431">
        <f t="shared" si="152"/>
        <v>2021</v>
      </c>
    </row>
    <row r="120" spans="1:36">
      <c r="A120" s="1431">
        <v>1</v>
      </c>
      <c r="B120" s="1432" t="str">
        <f t="shared" ref="B120:B133" si="153">B86</f>
        <v>Opal Central Park - Thuận An 1.0ha</v>
      </c>
      <c r="C120" s="1476">
        <f>'Opal Central Park'!C90</f>
        <v>0</v>
      </c>
      <c r="D120" s="1476">
        <f>'Opal Central Park'!D90</f>
        <v>0</v>
      </c>
      <c r="E120" s="1476">
        <f>'Opal Central Park'!E90</f>
        <v>0</v>
      </c>
      <c r="F120" s="1476">
        <f>'Opal Central Park'!F90</f>
        <v>0</v>
      </c>
      <c r="G120" s="1476">
        <f>'Opal Central Park'!G90</f>
        <v>0</v>
      </c>
      <c r="H120" s="1476">
        <f>'Opal Central Park'!H90</f>
        <v>0</v>
      </c>
      <c r="I120" s="1476">
        <f>'Opal Central Park'!I90</f>
        <v>0</v>
      </c>
      <c r="J120" s="1476">
        <f>'Opal Central Park'!J90</f>
        <v>0</v>
      </c>
      <c r="K120" s="1476">
        <f>'Opal Central Park'!K90</f>
        <v>0</v>
      </c>
      <c r="L120" s="1476">
        <f>'Opal Central Park'!L90</f>
        <v>0</v>
      </c>
      <c r="M120" s="1476">
        <f>'Opal Central Park'!M90</f>
        <v>0</v>
      </c>
      <c r="N120" s="1476">
        <f>'Opal Central Park'!N90</f>
        <v>0</v>
      </c>
      <c r="O120" s="1476">
        <f>'Opal Central Park'!O90</f>
        <v>0</v>
      </c>
      <c r="P120" s="1476">
        <f>'Opal Central Park'!P90</f>
        <v>0</v>
      </c>
      <c r="Q120" s="1476">
        <f>'Opal Central Park'!Q90</f>
        <v>0</v>
      </c>
      <c r="R120" s="1476">
        <f>'Opal Central Park'!R90</f>
        <v>0</v>
      </c>
      <c r="S120" s="1476">
        <f>'Opal Central Park'!S90</f>
        <v>0</v>
      </c>
      <c r="T120" s="1476">
        <f>'Opal Central Park'!T90</f>
        <v>0</v>
      </c>
      <c r="U120" s="1476">
        <f>'Opal Central Park'!U90</f>
        <v>0</v>
      </c>
      <c r="V120" s="1476">
        <f>'Opal Central Park'!V90</f>
        <v>0</v>
      </c>
      <c r="W120" s="1463"/>
      <c r="Y120" s="1581">
        <f>1-Valuation!F5</f>
        <v>0</v>
      </c>
      <c r="Z120" s="1432" t="str">
        <f t="shared" ref="Z120:Z133" si="154">B120</f>
        <v>Opal Central Park - Thuận An 1.0ha</v>
      </c>
      <c r="AA120" s="1441">
        <f t="shared" ref="AA120:AA133" si="155">$Y120*C120</f>
        <v>0</v>
      </c>
      <c r="AB120" s="1441">
        <f t="shared" ref="AB120:AB133" si="156">$Y120*D120</f>
        <v>0</v>
      </c>
      <c r="AC120" s="1441">
        <f t="shared" ref="AC120:AC133" si="157">$Y120*E120</f>
        <v>0</v>
      </c>
      <c r="AD120" s="1441">
        <f t="shared" ref="AD120:AD133" si="158">$Y120*F120</f>
        <v>0</v>
      </c>
      <c r="AE120" s="1441">
        <f t="shared" ref="AE120:AE133" si="159">$Y120*G120</f>
        <v>0</v>
      </c>
      <c r="AF120" s="1441">
        <f t="shared" ref="AF120:AF133" si="160">$Y120*H120</f>
        <v>0</v>
      </c>
      <c r="AG120" s="1441">
        <f t="shared" ref="AG120:AG133" si="161">$Y120*I120</f>
        <v>0</v>
      </c>
      <c r="AH120" s="1441">
        <f t="shared" ref="AH120:AH133" si="162">$Y120*J120</f>
        <v>0</v>
      </c>
      <c r="AI120" s="1441">
        <f t="shared" ref="AI120:AI133" si="163">$Y120*K120</f>
        <v>0</v>
      </c>
      <c r="AJ120" s="1441">
        <f t="shared" ref="AJ120:AJ133" si="164">$Y120*L120</f>
        <v>0</v>
      </c>
    </row>
    <row r="121" spans="1:36">
      <c r="A121" s="1431">
        <f>A120+1</f>
        <v>2</v>
      </c>
      <c r="B121" s="1431" t="str">
        <f t="shared" si="153"/>
        <v>St Moritz - Opal Skyview</v>
      </c>
      <c r="C121" s="1463">
        <f>'St Moritz'!C90</f>
        <v>122.28239999999998</v>
      </c>
      <c r="D121" s="1463">
        <f>'St Moritz'!D90</f>
        <v>0</v>
      </c>
      <c r="E121" s="1463">
        <f>'St Moritz'!E90</f>
        <v>0</v>
      </c>
      <c r="F121" s="1463">
        <f>'St Moritz'!F90</f>
        <v>0</v>
      </c>
      <c r="G121" s="1463">
        <f>'St Moritz'!G90</f>
        <v>0</v>
      </c>
      <c r="H121" s="1463">
        <f>'St Moritz'!H90</f>
        <v>0</v>
      </c>
      <c r="I121" s="1463">
        <f>'St Moritz'!I90</f>
        <v>0</v>
      </c>
      <c r="J121" s="1463">
        <f>'St Moritz'!J90</f>
        <v>0</v>
      </c>
      <c r="K121" s="1463">
        <f>'St Moritz'!K90</f>
        <v>0</v>
      </c>
      <c r="L121" s="1463">
        <f>'St Moritz'!L90</f>
        <v>0</v>
      </c>
      <c r="M121" s="1463">
        <f>'St Moritz'!M90</f>
        <v>122.28239999999998</v>
      </c>
      <c r="N121" s="1463">
        <f>'St Moritz'!N90</f>
        <v>0</v>
      </c>
      <c r="O121" s="1463">
        <f>'St Moritz'!O90</f>
        <v>0</v>
      </c>
      <c r="P121" s="1463">
        <f>'St Moritz'!P90</f>
        <v>0</v>
      </c>
      <c r="Q121" s="1463">
        <f>'St Moritz'!Q90</f>
        <v>0</v>
      </c>
      <c r="R121" s="1463">
        <f>'St Moritz'!R90</f>
        <v>0</v>
      </c>
      <c r="S121" s="1463">
        <f>'St Moritz'!S90</f>
        <v>0</v>
      </c>
      <c r="T121" s="1463">
        <f>'St Moritz'!T90</f>
        <v>0</v>
      </c>
      <c r="U121" s="1463">
        <f>'St Moritz'!U90</f>
        <v>0</v>
      </c>
      <c r="V121" s="1463">
        <f>'St Moritz'!V90</f>
        <v>0</v>
      </c>
      <c r="W121" s="1463"/>
      <c r="Y121" s="1581">
        <f>1-Valuation!F6</f>
        <v>0</v>
      </c>
      <c r="Z121" s="1431" t="str">
        <f t="shared" si="154"/>
        <v>St Moritz - Opal Skyview</v>
      </c>
      <c r="AA121" s="1440">
        <f t="shared" si="155"/>
        <v>0</v>
      </c>
      <c r="AB121" s="1440">
        <f t="shared" si="156"/>
        <v>0</v>
      </c>
      <c r="AC121" s="1440">
        <f t="shared" si="157"/>
        <v>0</v>
      </c>
      <c r="AD121" s="1440">
        <f t="shared" si="158"/>
        <v>0</v>
      </c>
      <c r="AE121" s="1440">
        <f t="shared" si="159"/>
        <v>0</v>
      </c>
      <c r="AF121" s="1440">
        <f t="shared" si="160"/>
        <v>0</v>
      </c>
      <c r="AG121" s="1440">
        <f t="shared" si="161"/>
        <v>0</v>
      </c>
      <c r="AH121" s="1440">
        <f t="shared" si="162"/>
        <v>0</v>
      </c>
      <c r="AI121" s="1440">
        <f t="shared" si="163"/>
        <v>0</v>
      </c>
      <c r="AJ121" s="1440">
        <f t="shared" si="164"/>
        <v>0</v>
      </c>
    </row>
    <row r="122" spans="1:36">
      <c r="A122" s="1431">
        <f t="shared" ref="A122:A133" si="165">A121+1</f>
        <v>3</v>
      </c>
      <c r="B122" s="1431" t="str">
        <f t="shared" si="153"/>
        <v>Opal Riverside</v>
      </c>
      <c r="C122" s="1463">
        <f>'Opal Riverside'!C90</f>
        <v>181.39000581120013</v>
      </c>
      <c r="D122" s="1463">
        <f>'Opal Riverside'!D90</f>
        <v>0</v>
      </c>
      <c r="E122" s="1463">
        <f>'Opal Riverside'!E90</f>
        <v>0</v>
      </c>
      <c r="F122" s="1463">
        <f>'Opal Riverside'!F90</f>
        <v>0</v>
      </c>
      <c r="G122" s="1463">
        <f>'Opal Riverside'!G90</f>
        <v>0</v>
      </c>
      <c r="H122" s="1463">
        <f>'Opal Riverside'!H90</f>
        <v>54.417001743360046</v>
      </c>
      <c r="I122" s="1463">
        <f>'Opal Riverside'!I90</f>
        <v>126.97300406784007</v>
      </c>
      <c r="J122" s="1463">
        <f>'Opal Riverside'!J90</f>
        <v>0</v>
      </c>
      <c r="K122" s="1463">
        <f>'Opal Riverside'!K90</f>
        <v>0</v>
      </c>
      <c r="L122" s="1463">
        <f>'Opal Riverside'!L90</f>
        <v>0</v>
      </c>
      <c r="M122" s="1463">
        <f>'Opal Riverside'!M90</f>
        <v>0</v>
      </c>
      <c r="N122" s="1463">
        <f>'Opal Riverside'!N90</f>
        <v>0</v>
      </c>
      <c r="O122" s="1463">
        <f>'Opal Riverside'!O90</f>
        <v>0</v>
      </c>
      <c r="P122" s="1463">
        <f>'Opal Riverside'!P90</f>
        <v>0</v>
      </c>
      <c r="Q122" s="1463">
        <f>'Opal Riverside'!Q90</f>
        <v>0</v>
      </c>
      <c r="R122" s="1463">
        <f>'Opal Riverside'!R90</f>
        <v>0</v>
      </c>
      <c r="S122" s="1463">
        <f>'Opal Riverside'!S90</f>
        <v>0</v>
      </c>
      <c r="T122" s="1463">
        <f>'Opal Riverside'!T90</f>
        <v>0</v>
      </c>
      <c r="U122" s="1463">
        <f>'Opal Riverside'!U90</f>
        <v>0</v>
      </c>
      <c r="V122" s="1463">
        <f>'Opal Riverside'!V90</f>
        <v>0</v>
      </c>
      <c r="W122" s="1463"/>
      <c r="Y122" s="1581">
        <f>1-Valuation!F7</f>
        <v>0</v>
      </c>
      <c r="Z122" s="1431" t="str">
        <f t="shared" si="154"/>
        <v>Opal Riverside</v>
      </c>
      <c r="AA122" s="1440">
        <f t="shared" si="155"/>
        <v>0</v>
      </c>
      <c r="AB122" s="1440">
        <f t="shared" si="156"/>
        <v>0</v>
      </c>
      <c r="AC122" s="1440">
        <f t="shared" si="157"/>
        <v>0</v>
      </c>
      <c r="AD122" s="1440">
        <f t="shared" si="158"/>
        <v>0</v>
      </c>
      <c r="AE122" s="1440">
        <f t="shared" si="159"/>
        <v>0</v>
      </c>
      <c r="AF122" s="1440">
        <f t="shared" si="160"/>
        <v>0</v>
      </c>
      <c r="AG122" s="1440">
        <f t="shared" si="161"/>
        <v>0</v>
      </c>
      <c r="AH122" s="1440">
        <f t="shared" si="162"/>
        <v>0</v>
      </c>
      <c r="AI122" s="1440">
        <f t="shared" si="163"/>
        <v>0</v>
      </c>
      <c r="AJ122" s="1440">
        <f t="shared" si="164"/>
        <v>0</v>
      </c>
    </row>
    <row r="123" spans="1:36">
      <c r="A123" s="1431">
        <f t="shared" si="165"/>
        <v>4</v>
      </c>
      <c r="B123" s="1431" t="str">
        <f t="shared" si="153"/>
        <v>Opal Garden</v>
      </c>
      <c r="C123" s="1463">
        <f>'Opal Garden'!C90</f>
        <v>123.41616671999995</v>
      </c>
      <c r="D123" s="1463">
        <f>'Opal Garden'!D90</f>
        <v>0</v>
      </c>
      <c r="E123" s="1463">
        <f>'Opal Garden'!E90</f>
        <v>0</v>
      </c>
      <c r="F123" s="1463">
        <f>'Opal Garden'!F90</f>
        <v>0</v>
      </c>
      <c r="G123" s="1463">
        <f>'Opal Garden'!G90</f>
        <v>0</v>
      </c>
      <c r="H123" s="1463">
        <f>'Opal Garden'!H90</f>
        <v>0</v>
      </c>
      <c r="I123" s="1463">
        <f>'Opal Garden'!I90</f>
        <v>0</v>
      </c>
      <c r="J123" s="1463">
        <f>'Opal Garden'!J90</f>
        <v>123.41616671999995</v>
      </c>
      <c r="K123" s="1463">
        <f>'Opal Garden'!K90</f>
        <v>0</v>
      </c>
      <c r="L123" s="1463">
        <f>'Opal Garden'!L90</f>
        <v>0</v>
      </c>
      <c r="M123" s="1463">
        <f>'Opal Garden'!M90</f>
        <v>0</v>
      </c>
      <c r="N123" s="1463">
        <f>'Opal Garden'!N90</f>
        <v>0</v>
      </c>
      <c r="O123" s="1463">
        <f>'Opal Garden'!O90</f>
        <v>0</v>
      </c>
      <c r="P123" s="1463">
        <f>'Opal Garden'!P90</f>
        <v>0</v>
      </c>
      <c r="Q123" s="1463">
        <f>'Opal Garden'!Q90</f>
        <v>0</v>
      </c>
      <c r="R123" s="1463">
        <f>'Opal Garden'!R90</f>
        <v>0</v>
      </c>
      <c r="S123" s="1463">
        <f>'Opal Garden'!S90</f>
        <v>0</v>
      </c>
      <c r="T123" s="1463">
        <f>'Opal Garden'!T90</f>
        <v>0</v>
      </c>
      <c r="U123" s="1463">
        <f>'Opal Garden'!U90</f>
        <v>0</v>
      </c>
      <c r="V123" s="1463">
        <f>'Opal Garden'!V90</f>
        <v>0</v>
      </c>
      <c r="W123" s="1463"/>
      <c r="Y123" s="1581">
        <f>1-Valuation!F8</f>
        <v>0</v>
      </c>
      <c r="Z123" s="1431" t="str">
        <f t="shared" si="154"/>
        <v>Opal Garden</v>
      </c>
      <c r="AA123" s="1440">
        <f t="shared" si="155"/>
        <v>0</v>
      </c>
      <c r="AB123" s="1440">
        <f t="shared" si="156"/>
        <v>0</v>
      </c>
      <c r="AC123" s="1440">
        <f t="shared" si="157"/>
        <v>0</v>
      </c>
      <c r="AD123" s="1440">
        <f t="shared" si="158"/>
        <v>0</v>
      </c>
      <c r="AE123" s="1440">
        <f t="shared" si="159"/>
        <v>0</v>
      </c>
      <c r="AF123" s="1440">
        <f t="shared" si="160"/>
        <v>0</v>
      </c>
      <c r="AG123" s="1440">
        <f t="shared" si="161"/>
        <v>0</v>
      </c>
      <c r="AH123" s="1440">
        <f t="shared" si="162"/>
        <v>0</v>
      </c>
      <c r="AI123" s="1440">
        <f t="shared" si="163"/>
        <v>0</v>
      </c>
      <c r="AJ123" s="1440">
        <f t="shared" si="164"/>
        <v>0</v>
      </c>
    </row>
    <row r="124" spans="1:36">
      <c r="A124" s="1431">
        <f t="shared" si="165"/>
        <v>5</v>
      </c>
      <c r="B124" s="1431" t="str">
        <f t="shared" si="153"/>
        <v>Gem Sky World Long Thanh</v>
      </c>
      <c r="C124" s="1463">
        <f>'Long Thanh 92ha'!C90</f>
        <v>1774.1418060000008</v>
      </c>
      <c r="D124" s="1463">
        <f>'Long Thanh 92ha'!D90</f>
        <v>0</v>
      </c>
      <c r="E124" s="1463">
        <f>'Long Thanh 92ha'!E90</f>
        <v>0</v>
      </c>
      <c r="F124" s="1463">
        <f>'Long Thanh 92ha'!F90</f>
        <v>0</v>
      </c>
      <c r="G124" s="1463">
        <f>'Long Thanh 92ha'!G90</f>
        <v>0</v>
      </c>
      <c r="H124" s="1463">
        <f>'Long Thanh 92ha'!H90</f>
        <v>0</v>
      </c>
      <c r="I124" s="1463">
        <f>'Long Thanh 92ha'!I90</f>
        <v>0</v>
      </c>
      <c r="J124" s="1463">
        <f>'Long Thanh 92ha'!J90</f>
        <v>0</v>
      </c>
      <c r="K124" s="1463">
        <f>'Long Thanh 92ha'!K90</f>
        <v>0</v>
      </c>
      <c r="L124" s="1463">
        <f>'Long Thanh 92ha'!L90</f>
        <v>443.53545150000008</v>
      </c>
      <c r="M124" s="1463">
        <f>'Long Thanh 92ha'!M90</f>
        <v>266.12127090000001</v>
      </c>
      <c r="N124" s="1463">
        <f>'Long Thanh 92ha'!N90</f>
        <v>177.41418060000015</v>
      </c>
      <c r="O124" s="1463">
        <f>'Long Thanh 92ha'!O90</f>
        <v>88.707090300000075</v>
      </c>
      <c r="P124" s="1463">
        <f>'Long Thanh 92ha'!P90</f>
        <v>354.8283612000003</v>
      </c>
      <c r="Q124" s="1463">
        <f>'Long Thanh 92ha'!Q90</f>
        <v>443.53545150000008</v>
      </c>
      <c r="R124" s="1463">
        <f>'Long Thanh 92ha'!R90</f>
        <v>0</v>
      </c>
      <c r="S124" s="1463">
        <f>'Long Thanh 92ha'!S90</f>
        <v>0</v>
      </c>
      <c r="T124" s="1463">
        <f>'Long Thanh 92ha'!T90</f>
        <v>0</v>
      </c>
      <c r="U124" s="1463">
        <f>'Long Thanh 92ha'!U90</f>
        <v>0</v>
      </c>
      <c r="V124" s="1463">
        <f>'Long Thanh 92ha'!V90</f>
        <v>0</v>
      </c>
      <c r="W124" s="1463"/>
      <c r="Y124" s="1581">
        <f>1-Valuation!F9</f>
        <v>0</v>
      </c>
      <c r="Z124" s="1431" t="str">
        <f t="shared" si="154"/>
        <v>Gem Sky World Long Thanh</v>
      </c>
      <c r="AA124" s="1440">
        <f t="shared" si="155"/>
        <v>0</v>
      </c>
      <c r="AB124" s="1440">
        <f t="shared" si="156"/>
        <v>0</v>
      </c>
      <c r="AC124" s="1440">
        <f t="shared" si="157"/>
        <v>0</v>
      </c>
      <c r="AD124" s="1440">
        <f t="shared" si="158"/>
        <v>0</v>
      </c>
      <c r="AE124" s="1440">
        <f t="shared" si="159"/>
        <v>0</v>
      </c>
      <c r="AF124" s="1440">
        <f t="shared" si="160"/>
        <v>0</v>
      </c>
      <c r="AG124" s="1440">
        <f t="shared" si="161"/>
        <v>0</v>
      </c>
      <c r="AH124" s="1440">
        <f t="shared" si="162"/>
        <v>0</v>
      </c>
      <c r="AI124" s="1440">
        <f t="shared" si="163"/>
        <v>0</v>
      </c>
      <c r="AJ124" s="1440">
        <f t="shared" si="164"/>
        <v>0</v>
      </c>
    </row>
    <row r="125" spans="1:36">
      <c r="A125" s="1431">
        <f t="shared" si="165"/>
        <v>6</v>
      </c>
      <c r="B125" s="1431" t="str">
        <f t="shared" si="153"/>
        <v>Opal Luxury 8.6ha Binh Duong</v>
      </c>
      <c r="C125" s="1463">
        <f>'Opal Luxury 8.6ha BD'!C90</f>
        <v>832.63578546239989</v>
      </c>
      <c r="D125" s="1463">
        <f>'Opal Luxury 8.6ha BD'!D90</f>
        <v>0</v>
      </c>
      <c r="E125" s="1463">
        <f>'Opal Luxury 8.6ha BD'!E90</f>
        <v>0</v>
      </c>
      <c r="F125" s="1463">
        <f>'Opal Luxury 8.6ha BD'!F90</f>
        <v>0</v>
      </c>
      <c r="G125" s="1463">
        <f>'Opal Luxury 8.6ha BD'!G90</f>
        <v>0</v>
      </c>
      <c r="H125" s="1463">
        <f>'Opal Luxury 8.6ha BD'!H90</f>
        <v>0</v>
      </c>
      <c r="I125" s="1463">
        <f>'Opal Luxury 8.6ha BD'!I90</f>
        <v>0</v>
      </c>
      <c r="J125" s="1463">
        <f>'Opal Luxury 8.6ha BD'!J90</f>
        <v>0</v>
      </c>
      <c r="K125" s="1463">
        <f>'Opal Luxury 8.6ha BD'!K90</f>
        <v>0</v>
      </c>
      <c r="L125" s="1463">
        <f>'Opal Luxury 8.6ha BD'!L90</f>
        <v>0</v>
      </c>
      <c r="M125" s="1463">
        <f>'Opal Luxury 8.6ha BD'!M90</f>
        <v>0</v>
      </c>
      <c r="N125" s="1463">
        <f>'Opal Luxury 8.6ha BD'!N90</f>
        <v>0</v>
      </c>
      <c r="O125" s="1463">
        <f>'Opal Luxury 8.6ha BD'!O90</f>
        <v>0</v>
      </c>
      <c r="P125" s="1463">
        <f>'Opal Luxury 8.6ha BD'!P90</f>
        <v>374.68610345808008</v>
      </c>
      <c r="Q125" s="1463">
        <f>'Opal Luxury 8.6ha BD'!Q90</f>
        <v>274.76980920259177</v>
      </c>
      <c r="R125" s="1463">
        <f>'Opal Luxury 8.6ha BD'!R90</f>
        <v>183.17987280172804</v>
      </c>
      <c r="S125" s="1463">
        <f>'Opal Luxury 8.6ha BD'!S90</f>
        <v>0</v>
      </c>
      <c r="T125" s="1463">
        <f>'Opal Luxury 8.6ha BD'!T90</f>
        <v>0</v>
      </c>
      <c r="U125" s="1463">
        <f>'Opal Luxury 8.6ha BD'!U90</f>
        <v>0</v>
      </c>
      <c r="V125" s="1463">
        <f>'Opal Luxury 8.6ha BD'!V90</f>
        <v>0</v>
      </c>
      <c r="W125" s="1463"/>
      <c r="Y125" s="1581">
        <f>1-Valuation!F10</f>
        <v>0</v>
      </c>
      <c r="Z125" s="1431" t="str">
        <f t="shared" si="154"/>
        <v>Opal Luxury 8.6ha Binh Duong</v>
      </c>
      <c r="AA125" s="1440">
        <f t="shared" si="155"/>
        <v>0</v>
      </c>
      <c r="AB125" s="1440">
        <f t="shared" si="156"/>
        <v>0</v>
      </c>
      <c r="AC125" s="1440">
        <f t="shared" si="157"/>
        <v>0</v>
      </c>
      <c r="AD125" s="1440">
        <f t="shared" si="158"/>
        <v>0</v>
      </c>
      <c r="AE125" s="1440">
        <f t="shared" si="159"/>
        <v>0</v>
      </c>
      <c r="AF125" s="1440">
        <f t="shared" si="160"/>
        <v>0</v>
      </c>
      <c r="AG125" s="1440">
        <f t="shared" si="161"/>
        <v>0</v>
      </c>
      <c r="AH125" s="1440">
        <f t="shared" si="162"/>
        <v>0</v>
      </c>
      <c r="AI125" s="1440">
        <f t="shared" si="163"/>
        <v>0</v>
      </c>
      <c r="AJ125" s="1440">
        <f t="shared" si="164"/>
        <v>0</v>
      </c>
    </row>
    <row r="126" spans="1:36">
      <c r="A126" s="1431">
        <f t="shared" si="165"/>
        <v>7</v>
      </c>
      <c r="B126" s="1431" t="str">
        <f t="shared" si="153"/>
        <v>Opal Cityview</v>
      </c>
      <c r="C126" s="1463">
        <f>'Opal Cityview'!C90</f>
        <v>739.83326052600034</v>
      </c>
      <c r="D126" s="1463">
        <f>'Opal Cityview'!D90</f>
        <v>0</v>
      </c>
      <c r="E126" s="1463">
        <f>'Opal Cityview'!E90</f>
        <v>0</v>
      </c>
      <c r="F126" s="1463">
        <f>'Opal Cityview'!F90</f>
        <v>0</v>
      </c>
      <c r="G126" s="1463">
        <f>'Opal Cityview'!G90</f>
        <v>0</v>
      </c>
      <c r="H126" s="1463">
        <f>'Opal Cityview'!H90</f>
        <v>0</v>
      </c>
      <c r="I126" s="1463">
        <f>'Opal Cityview'!I90</f>
        <v>0</v>
      </c>
      <c r="J126" s="1463">
        <f>'Opal Cityview'!J90</f>
        <v>0</v>
      </c>
      <c r="K126" s="1463">
        <f>'Opal Cityview'!K90</f>
        <v>0</v>
      </c>
      <c r="L126" s="1463">
        <f>'Opal Cityview'!L90</f>
        <v>0</v>
      </c>
      <c r="M126" s="1463">
        <f>'Opal Cityview'!M90</f>
        <v>0</v>
      </c>
      <c r="N126" s="1463">
        <f>'Opal Cityview'!N90</f>
        <v>0</v>
      </c>
      <c r="O126" s="1463">
        <f>'Opal Cityview'!O90</f>
        <v>0</v>
      </c>
      <c r="P126" s="1463">
        <f>'Opal Cityview'!P90</f>
        <v>0</v>
      </c>
      <c r="Q126" s="1463">
        <f>'Opal Cityview'!Q90</f>
        <v>342.44977965960015</v>
      </c>
      <c r="R126" s="1463">
        <f>'Opal Cityview'!R90</f>
        <v>397.38348086640019</v>
      </c>
      <c r="S126" s="1463">
        <f>'Opal Cityview'!S90</f>
        <v>0</v>
      </c>
      <c r="T126" s="1463">
        <f>'Opal Cityview'!T90</f>
        <v>0</v>
      </c>
      <c r="U126" s="1463">
        <f>'Opal Cityview'!U90</f>
        <v>0</v>
      </c>
      <c r="V126" s="1463">
        <f>'Opal Cityview'!V90</f>
        <v>0</v>
      </c>
      <c r="W126" s="1463"/>
      <c r="Y126" s="1581">
        <f>1-Valuation!F11</f>
        <v>0</v>
      </c>
      <c r="Z126" s="1431" t="str">
        <f t="shared" si="154"/>
        <v>Opal Cityview</v>
      </c>
      <c r="AA126" s="1440">
        <f t="shared" si="155"/>
        <v>0</v>
      </c>
      <c r="AB126" s="1440">
        <f t="shared" si="156"/>
        <v>0</v>
      </c>
      <c r="AC126" s="1440">
        <f t="shared" si="157"/>
        <v>0</v>
      </c>
      <c r="AD126" s="1440">
        <f t="shared" si="158"/>
        <v>0</v>
      </c>
      <c r="AE126" s="1440">
        <f t="shared" si="159"/>
        <v>0</v>
      </c>
      <c r="AF126" s="1440">
        <f t="shared" si="160"/>
        <v>0</v>
      </c>
      <c r="AG126" s="1440">
        <f t="shared" si="161"/>
        <v>0</v>
      </c>
      <c r="AH126" s="1440">
        <f t="shared" si="162"/>
        <v>0</v>
      </c>
      <c r="AI126" s="1440">
        <f t="shared" si="163"/>
        <v>0</v>
      </c>
      <c r="AJ126" s="1440">
        <f t="shared" si="164"/>
        <v>0</v>
      </c>
    </row>
    <row r="127" spans="1:36">
      <c r="A127" s="1431">
        <f t="shared" si="165"/>
        <v>8</v>
      </c>
      <c r="B127" s="1431" t="str">
        <f t="shared" si="153"/>
        <v>Park View Thuận An 5ha</v>
      </c>
      <c r="C127" s="1463">
        <f>ParkViewThuanAn5ha!C90</f>
        <v>2320.7666666666664</v>
      </c>
      <c r="D127" s="1463">
        <f>ParkViewThuanAn5ha!D90</f>
        <v>0</v>
      </c>
      <c r="E127" s="1463">
        <f>ParkViewThuanAn5ha!E90</f>
        <v>0</v>
      </c>
      <c r="F127" s="1463">
        <f>ParkViewThuanAn5ha!F90</f>
        <v>0</v>
      </c>
      <c r="G127" s="1463">
        <f>ParkViewThuanAn5ha!G90</f>
        <v>0</v>
      </c>
      <c r="H127" s="1463">
        <f>ParkViewThuanAn5ha!H90</f>
        <v>0</v>
      </c>
      <c r="I127" s="1463">
        <f>ParkViewThuanAn5ha!I90</f>
        <v>0</v>
      </c>
      <c r="J127" s="1463">
        <f>ParkViewThuanAn5ha!J90</f>
        <v>0</v>
      </c>
      <c r="K127" s="1463">
        <f>ParkViewThuanAn5ha!K90</f>
        <v>0</v>
      </c>
      <c r="L127" s="1463">
        <f>ParkViewThuanAn5ha!L90</f>
        <v>0</v>
      </c>
      <c r="M127" s="1463">
        <f>ParkViewThuanAn5ha!M90</f>
        <v>0</v>
      </c>
      <c r="N127" s="1463">
        <f>ParkViewThuanAn5ha!N90</f>
        <v>0</v>
      </c>
      <c r="O127" s="1463">
        <f>ParkViewThuanAn5ha!O90</f>
        <v>0</v>
      </c>
      <c r="P127" s="1463">
        <f>ParkViewThuanAn5ha!P90</f>
        <v>0</v>
      </c>
      <c r="Q127" s="1463">
        <f>ParkViewThuanAn5ha!Q90</f>
        <v>0</v>
      </c>
      <c r="R127" s="1463">
        <f>ParkViewThuanAn5ha!R90</f>
        <v>0</v>
      </c>
      <c r="S127" s="1463">
        <f>ParkViewThuanAn5ha!S90</f>
        <v>0</v>
      </c>
      <c r="T127" s="1463">
        <f>ParkViewThuanAn5ha!T90</f>
        <v>0</v>
      </c>
      <c r="U127" s="1463">
        <f>ParkViewThuanAn5ha!U90</f>
        <v>1210</v>
      </c>
      <c r="V127" s="1463">
        <f>ParkViewThuanAn5ha!V90</f>
        <v>1110.7666666666667</v>
      </c>
      <c r="W127" s="1463"/>
      <c r="Y127" s="1581">
        <f>1-Valuation!F12</f>
        <v>0</v>
      </c>
      <c r="Z127" s="1431" t="str">
        <f t="shared" si="154"/>
        <v>Park View Thuận An 5ha</v>
      </c>
      <c r="AA127" s="1440">
        <f t="shared" si="155"/>
        <v>0</v>
      </c>
      <c r="AB127" s="1440">
        <f t="shared" si="156"/>
        <v>0</v>
      </c>
      <c r="AC127" s="1440">
        <f t="shared" si="157"/>
        <v>0</v>
      </c>
      <c r="AD127" s="1440">
        <f t="shared" si="158"/>
        <v>0</v>
      </c>
      <c r="AE127" s="1440">
        <f t="shared" si="159"/>
        <v>0</v>
      </c>
      <c r="AF127" s="1440">
        <f t="shared" si="160"/>
        <v>0</v>
      </c>
      <c r="AG127" s="1440">
        <f t="shared" si="161"/>
        <v>0</v>
      </c>
      <c r="AH127" s="1440">
        <f t="shared" si="162"/>
        <v>0</v>
      </c>
      <c r="AI127" s="1440">
        <f t="shared" si="163"/>
        <v>0</v>
      </c>
      <c r="AJ127" s="1440">
        <f t="shared" si="164"/>
        <v>0</v>
      </c>
    </row>
    <row r="128" spans="1:36">
      <c r="A128" s="1431">
        <f t="shared" si="165"/>
        <v>9</v>
      </c>
      <c r="B128" s="1431" t="str">
        <f t="shared" si="153"/>
        <v>Lux Riverview - Lux Star Quận 7</v>
      </c>
      <c r="C128" s="1463">
        <f>'Lux Riverview Q7'!C90</f>
        <v>1012.8000000000004</v>
      </c>
      <c r="D128" s="1463">
        <f>'Lux Riverview Q7'!D90</f>
        <v>0</v>
      </c>
      <c r="E128" s="1463">
        <f>'Lux Riverview Q7'!E90</f>
        <v>0</v>
      </c>
      <c r="F128" s="1463">
        <f>'Lux Riverview Q7'!F90</f>
        <v>0</v>
      </c>
      <c r="G128" s="1463">
        <f>'Lux Riverview Q7'!G90</f>
        <v>0</v>
      </c>
      <c r="H128" s="1463">
        <f>'Lux Riverview Q7'!H90</f>
        <v>0</v>
      </c>
      <c r="I128" s="1463">
        <f>'Lux Riverview Q7'!I90</f>
        <v>0</v>
      </c>
      <c r="J128" s="1463">
        <f>'Lux Riverview Q7'!J90</f>
        <v>0</v>
      </c>
      <c r="K128" s="1463">
        <f>'Lux Riverview Q7'!K90</f>
        <v>0</v>
      </c>
      <c r="L128" s="1463">
        <f>'Lux Riverview Q7'!L90</f>
        <v>0</v>
      </c>
      <c r="M128" s="1463">
        <f>'Lux Riverview Q7'!M90</f>
        <v>0</v>
      </c>
      <c r="N128" s="1463">
        <f>'Lux Riverview Q7'!N90</f>
        <v>0</v>
      </c>
      <c r="O128" s="1463">
        <f>'Lux Riverview Q7'!O90</f>
        <v>0</v>
      </c>
      <c r="P128" s="1463">
        <f>'Lux Riverview Q7'!P90</f>
        <v>0</v>
      </c>
      <c r="Q128" s="1463">
        <f>'Lux Riverview Q7'!Q90</f>
        <v>0</v>
      </c>
      <c r="R128" s="1463">
        <f>'Lux Riverview Q7'!R90</f>
        <v>0</v>
      </c>
      <c r="S128" s="1463">
        <f>'Lux Riverview Q7'!S90</f>
        <v>0</v>
      </c>
      <c r="T128" s="1463">
        <f>'Lux Riverview Q7'!T90</f>
        <v>0</v>
      </c>
      <c r="U128" s="1463">
        <f>'Lux Riverview Q7'!U90</f>
        <v>0</v>
      </c>
      <c r="V128" s="1463">
        <f>'Lux Riverview Q7'!V90</f>
        <v>506.4000000000002</v>
      </c>
      <c r="W128" s="1463"/>
      <c r="Y128" s="1581">
        <f>1-Valuation!F13</f>
        <v>0</v>
      </c>
      <c r="Z128" s="1431" t="str">
        <f t="shared" si="154"/>
        <v>Lux Riverview - Lux Star Quận 7</v>
      </c>
      <c r="AA128" s="1440">
        <f t="shared" si="155"/>
        <v>0</v>
      </c>
      <c r="AB128" s="1440">
        <f t="shared" si="156"/>
        <v>0</v>
      </c>
      <c r="AC128" s="1440">
        <f t="shared" si="157"/>
        <v>0</v>
      </c>
      <c r="AD128" s="1440">
        <f t="shared" si="158"/>
        <v>0</v>
      </c>
      <c r="AE128" s="1440">
        <f t="shared" si="159"/>
        <v>0</v>
      </c>
      <c r="AF128" s="1440">
        <f t="shared" si="160"/>
        <v>0</v>
      </c>
      <c r="AG128" s="1440">
        <f t="shared" si="161"/>
        <v>0</v>
      </c>
      <c r="AH128" s="1440">
        <f t="shared" si="162"/>
        <v>0</v>
      </c>
      <c r="AI128" s="1440">
        <f t="shared" si="163"/>
        <v>0</v>
      </c>
      <c r="AJ128" s="1440">
        <f t="shared" si="164"/>
        <v>0</v>
      </c>
    </row>
    <row r="129" spans="1:36">
      <c r="A129" s="1431">
        <f t="shared" si="165"/>
        <v>10</v>
      </c>
      <c r="B129" s="1431" t="str">
        <f t="shared" si="153"/>
        <v>Gem Premium Thu Duc (Opal Premium)</v>
      </c>
      <c r="C129" s="1463">
        <f>'Gem Premium'!C90</f>
        <v>21398.053199999995</v>
      </c>
      <c r="D129" s="1463">
        <f>'Gem Premium'!D90</f>
        <v>0</v>
      </c>
      <c r="E129" s="1463">
        <f>'Gem Premium'!E90</f>
        <v>0</v>
      </c>
      <c r="F129" s="1463">
        <f>'Gem Premium'!F90</f>
        <v>0</v>
      </c>
      <c r="G129" s="1463">
        <f>'Gem Premium'!G90</f>
        <v>0</v>
      </c>
      <c r="H129" s="1463">
        <f>'Gem Premium'!H90</f>
        <v>0</v>
      </c>
      <c r="I129" s="1463">
        <f>'Gem Premium'!I90</f>
        <v>0</v>
      </c>
      <c r="J129" s="1463">
        <f>'Gem Premium'!J90</f>
        <v>0</v>
      </c>
      <c r="K129" s="1463">
        <f>'Gem Premium'!K90</f>
        <v>0</v>
      </c>
      <c r="L129" s="1463">
        <f>'Gem Premium'!L90</f>
        <v>0</v>
      </c>
      <c r="M129" s="1463">
        <f>'Gem Premium'!M90</f>
        <v>0</v>
      </c>
      <c r="N129" s="1463">
        <f>'Gem Premium'!N90</f>
        <v>0</v>
      </c>
      <c r="O129" s="1463">
        <f>'Gem Premium'!O90</f>
        <v>0</v>
      </c>
      <c r="P129" s="1463">
        <f>'Gem Premium'!P90</f>
        <v>0</v>
      </c>
      <c r="Q129" s="1463">
        <f>'Gem Premium'!Q90</f>
        <v>0</v>
      </c>
      <c r="R129" s="1463">
        <f>'Gem Premium'!R90</f>
        <v>0</v>
      </c>
      <c r="S129" s="1463">
        <f>'Gem Premium'!S90</f>
        <v>0</v>
      </c>
      <c r="T129" s="1463">
        <f>'Gem Premium'!T90</f>
        <v>0</v>
      </c>
      <c r="U129" s="1463">
        <f>'Gem Premium'!U90</f>
        <v>4279.6106400000008</v>
      </c>
      <c r="V129" s="1463">
        <f>'Gem Premium'!V90</f>
        <v>10699.026599999997</v>
      </c>
      <c r="W129" s="1463"/>
      <c r="Y129" s="1581">
        <f>1-Valuation!F14</f>
        <v>0.25</v>
      </c>
      <c r="Z129" s="1431" t="str">
        <f t="shared" si="154"/>
        <v>Gem Premium Thu Duc (Opal Premium)</v>
      </c>
      <c r="AA129" s="1440">
        <f t="shared" si="155"/>
        <v>5349.5132999999987</v>
      </c>
      <c r="AB129" s="1440">
        <f t="shared" si="156"/>
        <v>0</v>
      </c>
      <c r="AC129" s="1440">
        <f t="shared" si="157"/>
        <v>0</v>
      </c>
      <c r="AD129" s="1440">
        <f t="shared" si="158"/>
        <v>0</v>
      </c>
      <c r="AE129" s="1440">
        <f t="shared" si="159"/>
        <v>0</v>
      </c>
      <c r="AF129" s="1440">
        <f t="shared" si="160"/>
        <v>0</v>
      </c>
      <c r="AG129" s="1440">
        <f t="shared" si="161"/>
        <v>0</v>
      </c>
      <c r="AH129" s="1440">
        <f t="shared" si="162"/>
        <v>0</v>
      </c>
      <c r="AI129" s="1440">
        <f t="shared" si="163"/>
        <v>0</v>
      </c>
      <c r="AJ129" s="1440">
        <f t="shared" si="164"/>
        <v>0</v>
      </c>
    </row>
    <row r="130" spans="1:36">
      <c r="A130" s="1431">
        <f t="shared" si="165"/>
        <v>11</v>
      </c>
      <c r="B130" s="1431" t="str">
        <f t="shared" si="153"/>
        <v>Gem City Q9 (Opal City old)</v>
      </c>
      <c r="C130" s="1463">
        <f>'Opal City'!C90</f>
        <v>3799.5827029979509</v>
      </c>
      <c r="D130" s="1463">
        <f>'Opal City'!D90</f>
        <v>0</v>
      </c>
      <c r="E130" s="1463">
        <f>'Opal City'!E90</f>
        <v>0</v>
      </c>
      <c r="F130" s="1463">
        <f>'Opal City'!F90</f>
        <v>0</v>
      </c>
      <c r="G130" s="1463">
        <f>'Opal City'!G90</f>
        <v>0</v>
      </c>
      <c r="H130" s="1463">
        <f>'Opal City'!H90</f>
        <v>0</v>
      </c>
      <c r="I130" s="1463">
        <f>'Opal City'!I90</f>
        <v>0</v>
      </c>
      <c r="J130" s="1463">
        <f>'Opal City'!J90</f>
        <v>0</v>
      </c>
      <c r="K130" s="1463">
        <f>'Opal City'!K90</f>
        <v>0</v>
      </c>
      <c r="L130" s="1463">
        <f>'Opal City'!L90</f>
        <v>0</v>
      </c>
      <c r="M130" s="1463">
        <f>'Opal City'!M90</f>
        <v>0</v>
      </c>
      <c r="N130" s="1463">
        <f>'Opal City'!N90</f>
        <v>0</v>
      </c>
      <c r="O130" s="1463">
        <f>'Opal City'!O90</f>
        <v>0</v>
      </c>
      <c r="P130" s="1463">
        <f>'Opal City'!P90</f>
        <v>0</v>
      </c>
      <c r="Q130" s="1463">
        <f>'Opal City'!Q90</f>
        <v>0</v>
      </c>
      <c r="R130" s="1463">
        <f>'Opal City'!R90</f>
        <v>0</v>
      </c>
      <c r="S130" s="1463">
        <f>'Opal City'!S90</f>
        <v>0</v>
      </c>
      <c r="T130" s="1463">
        <f>'Opal City'!T90</f>
        <v>0</v>
      </c>
      <c r="U130" s="1463">
        <f>'Opal City'!U90</f>
        <v>1899.7913514989755</v>
      </c>
      <c r="V130" s="1463">
        <f>'Opal City'!V90</f>
        <v>1899.7913514989755</v>
      </c>
      <c r="W130" s="1463"/>
      <c r="Y130" s="1581">
        <f>1-Valuation!F15</f>
        <v>0</v>
      </c>
      <c r="Z130" s="1431" t="str">
        <f t="shared" si="154"/>
        <v>Gem City Q9 (Opal City old)</v>
      </c>
      <c r="AA130" s="1440">
        <f t="shared" si="155"/>
        <v>0</v>
      </c>
      <c r="AB130" s="1440">
        <f t="shared" si="156"/>
        <v>0</v>
      </c>
      <c r="AC130" s="1440">
        <f t="shared" si="157"/>
        <v>0</v>
      </c>
      <c r="AD130" s="1440">
        <f t="shared" si="158"/>
        <v>0</v>
      </c>
      <c r="AE130" s="1440">
        <f t="shared" si="159"/>
        <v>0</v>
      </c>
      <c r="AF130" s="1440">
        <f t="shared" si="160"/>
        <v>0</v>
      </c>
      <c r="AG130" s="1440">
        <f t="shared" si="161"/>
        <v>0</v>
      </c>
      <c r="AH130" s="1440">
        <f t="shared" si="162"/>
        <v>0</v>
      </c>
      <c r="AI130" s="1440">
        <f t="shared" si="163"/>
        <v>0</v>
      </c>
      <c r="AJ130" s="1440">
        <f t="shared" si="164"/>
        <v>0</v>
      </c>
    </row>
    <row r="131" spans="1:36">
      <c r="A131" s="1431">
        <f t="shared" si="165"/>
        <v>12</v>
      </c>
      <c r="B131" s="1431" t="str">
        <f t="shared" si="153"/>
        <v>Park City Thuận An 10ha</v>
      </c>
      <c r="C131" s="1463">
        <f>ParkCityThuanAn10ha!C90</f>
        <v>1954.75</v>
      </c>
      <c r="D131" s="1463">
        <f>ParkCityThuanAn10ha!D90</f>
        <v>0</v>
      </c>
      <c r="E131" s="1463">
        <f>ParkCityThuanAn10ha!E90</f>
        <v>0</v>
      </c>
      <c r="F131" s="1463">
        <f>ParkCityThuanAn10ha!F90</f>
        <v>0</v>
      </c>
      <c r="G131" s="1463">
        <f>ParkCityThuanAn10ha!G90</f>
        <v>0</v>
      </c>
      <c r="H131" s="1463">
        <f>ParkCityThuanAn10ha!H90</f>
        <v>0</v>
      </c>
      <c r="I131" s="1463">
        <f>ParkCityThuanAn10ha!I90</f>
        <v>0</v>
      </c>
      <c r="J131" s="1463">
        <f>ParkCityThuanAn10ha!J90</f>
        <v>0</v>
      </c>
      <c r="K131" s="1463">
        <f>ParkCityThuanAn10ha!K90</f>
        <v>0</v>
      </c>
      <c r="L131" s="1463">
        <f>ParkCityThuanAn10ha!L90</f>
        <v>0</v>
      </c>
      <c r="M131" s="1463">
        <f>ParkCityThuanAn10ha!M90</f>
        <v>0</v>
      </c>
      <c r="N131" s="1463">
        <f>ParkCityThuanAn10ha!N90</f>
        <v>0</v>
      </c>
      <c r="O131" s="1463">
        <f>ParkCityThuanAn10ha!O90</f>
        <v>0</v>
      </c>
      <c r="P131" s="1463">
        <f>ParkCityThuanAn10ha!P90</f>
        <v>0</v>
      </c>
      <c r="Q131" s="1463">
        <f>ParkCityThuanAn10ha!Q90</f>
        <v>0</v>
      </c>
      <c r="R131" s="1463">
        <f>ParkCityThuanAn10ha!R90</f>
        <v>0</v>
      </c>
      <c r="S131" s="1463">
        <f>ParkCityThuanAn10ha!S90</f>
        <v>0</v>
      </c>
      <c r="T131" s="1463">
        <f>ParkCityThuanAn10ha!T90</f>
        <v>0</v>
      </c>
      <c r="U131" s="1463">
        <f>ParkCityThuanAn10ha!U90</f>
        <v>586.42499999999995</v>
      </c>
      <c r="V131" s="1463">
        <f>ParkCityThuanAn10ha!V90</f>
        <v>586.42499999999995</v>
      </c>
      <c r="W131" s="1463"/>
      <c r="Y131" s="1581">
        <f>1-Valuation!F16</f>
        <v>0</v>
      </c>
      <c r="Z131" s="1431" t="str">
        <f t="shared" si="154"/>
        <v>Park City Thuận An 10ha</v>
      </c>
      <c r="AA131" s="1440">
        <f t="shared" si="155"/>
        <v>0</v>
      </c>
      <c r="AB131" s="1440">
        <f t="shared" si="156"/>
        <v>0</v>
      </c>
      <c r="AC131" s="1440">
        <f t="shared" si="157"/>
        <v>0</v>
      </c>
      <c r="AD131" s="1440">
        <f t="shared" si="158"/>
        <v>0</v>
      </c>
      <c r="AE131" s="1440">
        <f t="shared" si="159"/>
        <v>0</v>
      </c>
      <c r="AF131" s="1440">
        <f t="shared" si="160"/>
        <v>0</v>
      </c>
      <c r="AG131" s="1440">
        <f t="shared" si="161"/>
        <v>0</v>
      </c>
      <c r="AH131" s="1440">
        <f t="shared" si="162"/>
        <v>0</v>
      </c>
      <c r="AI131" s="1440">
        <f t="shared" si="163"/>
        <v>0</v>
      </c>
      <c r="AJ131" s="1440">
        <f t="shared" si="164"/>
        <v>0</v>
      </c>
    </row>
    <row r="132" spans="1:36">
      <c r="A132" s="1431">
        <f t="shared" si="165"/>
        <v>13</v>
      </c>
      <c r="B132" s="1431" t="str">
        <f t="shared" si="153"/>
        <v>Opal Skyline</v>
      </c>
      <c r="C132" s="1463">
        <f>'Opal Skyline'!C91</f>
        <v>0</v>
      </c>
      <c r="D132" s="1463">
        <f>'Opal Skyline'!D91</f>
        <v>0</v>
      </c>
      <c r="E132" s="1463">
        <f>'Opal Skyline'!E91</f>
        <v>0</v>
      </c>
      <c r="F132" s="1463">
        <f>'Opal Skyline'!F91</f>
        <v>0</v>
      </c>
      <c r="G132" s="1463">
        <f>'Opal Skyline'!G91</f>
        <v>0</v>
      </c>
      <c r="H132" s="1463">
        <f>'Opal Skyline'!H91</f>
        <v>0</v>
      </c>
      <c r="I132" s="1463">
        <f>'Opal Skyline'!I91</f>
        <v>0</v>
      </c>
      <c r="J132" s="1463">
        <f>'Opal Skyline'!J91</f>
        <v>0</v>
      </c>
      <c r="K132" s="1463">
        <f>'Opal Skyline'!K91</f>
        <v>0</v>
      </c>
      <c r="L132" s="1463">
        <f>'Opal Skyline'!L91</f>
        <v>0</v>
      </c>
      <c r="M132" s="1463">
        <f>'Opal Skyline'!M91</f>
        <v>0</v>
      </c>
      <c r="N132" s="1463">
        <f>'Opal Skyline'!N91</f>
        <v>295.11369599999989</v>
      </c>
      <c r="O132" s="1463">
        <f>'Opal Skyline'!O91</f>
        <v>196.74246399999998</v>
      </c>
      <c r="P132" s="1463">
        <f>'Opal Skyline'!P91</f>
        <v>0</v>
      </c>
      <c r="Q132" s="1463">
        <f>'Opal Skyline'!Q91</f>
        <v>0</v>
      </c>
      <c r="R132" s="1463">
        <f>'Opal Skyline'!R91</f>
        <v>0</v>
      </c>
      <c r="S132" s="1463">
        <f>'Opal Skyline'!S91</f>
        <v>0</v>
      </c>
      <c r="T132" s="1463">
        <f>'Opal Skyline'!T91</f>
        <v>0</v>
      </c>
      <c r="U132" s="1463">
        <f>'Opal Skyline'!U91</f>
        <v>0</v>
      </c>
      <c r="V132" s="1463">
        <f>'Opal Skyline'!V91</f>
        <v>0</v>
      </c>
      <c r="W132" s="1463"/>
      <c r="Y132" s="1581">
        <f>1-Valuation!F17</f>
        <v>0</v>
      </c>
      <c r="Z132" s="1431" t="str">
        <f t="shared" si="154"/>
        <v>Opal Skyline</v>
      </c>
      <c r="AA132" s="1440">
        <f t="shared" si="155"/>
        <v>0</v>
      </c>
      <c r="AB132" s="1440">
        <f t="shared" si="156"/>
        <v>0</v>
      </c>
      <c r="AC132" s="1440">
        <f t="shared" si="157"/>
        <v>0</v>
      </c>
      <c r="AD132" s="1440">
        <f t="shared" si="158"/>
        <v>0</v>
      </c>
      <c r="AE132" s="1440">
        <f t="shared" si="159"/>
        <v>0</v>
      </c>
      <c r="AF132" s="1440">
        <f t="shared" si="160"/>
        <v>0</v>
      </c>
      <c r="AG132" s="1440">
        <f t="shared" si="161"/>
        <v>0</v>
      </c>
      <c r="AH132" s="1440">
        <f t="shared" si="162"/>
        <v>0</v>
      </c>
      <c r="AI132" s="1440">
        <f t="shared" si="163"/>
        <v>0</v>
      </c>
      <c r="AJ132" s="1440">
        <f t="shared" si="164"/>
        <v>0</v>
      </c>
    </row>
    <row r="133" spans="1:36">
      <c r="A133" s="1431">
        <f t="shared" si="165"/>
        <v>14</v>
      </c>
      <c r="B133" s="1431" t="str">
        <f t="shared" si="153"/>
        <v>Prive</v>
      </c>
      <c r="C133" s="1463">
        <f>Prive!C90</f>
        <v>15294.604377599995</v>
      </c>
      <c r="D133" s="1463">
        <f>Prive!D90</f>
        <v>0</v>
      </c>
      <c r="E133" s="1463">
        <f>Prive!E90</f>
        <v>0</v>
      </c>
      <c r="F133" s="1463">
        <f>Prive!F90</f>
        <v>0</v>
      </c>
      <c r="G133" s="1463">
        <f>Prive!G90</f>
        <v>0</v>
      </c>
      <c r="H133" s="1463">
        <f>Prive!H90</f>
        <v>0</v>
      </c>
      <c r="I133" s="1463">
        <f>Prive!I90</f>
        <v>0</v>
      </c>
      <c r="J133" s="1463">
        <f>Prive!J90</f>
        <v>0</v>
      </c>
      <c r="K133" s="1463">
        <f>Prive!K90</f>
        <v>0</v>
      </c>
      <c r="L133" s="1463">
        <f>Prive!L90</f>
        <v>0</v>
      </c>
      <c r="M133" s="1463">
        <f>Prive!M90</f>
        <v>0</v>
      </c>
      <c r="N133" s="1463">
        <f>Prive!N90</f>
        <v>0</v>
      </c>
      <c r="O133" s="1463">
        <f>Prive!O90</f>
        <v>0</v>
      </c>
      <c r="P133" s="1463">
        <f>Prive!P90</f>
        <v>0</v>
      </c>
      <c r="Q133" s="1463">
        <f>Prive!Q90</f>
        <v>0</v>
      </c>
      <c r="R133" s="1463">
        <f>Prive!R90</f>
        <v>6117.8417510399986</v>
      </c>
      <c r="S133" s="1463">
        <f>Prive!S90</f>
        <v>7647.3021887999985</v>
      </c>
      <c r="T133" s="1463">
        <f>Prive!T90</f>
        <v>1529.4604377599996</v>
      </c>
      <c r="U133" s="1463">
        <f>Prive!U90</f>
        <v>0</v>
      </c>
      <c r="V133" s="1463">
        <f>Prive!V90</f>
        <v>0</v>
      </c>
      <c r="W133" s="1463"/>
      <c r="Y133" s="1581">
        <f>1-Valuation!F18</f>
        <v>0</v>
      </c>
      <c r="Z133" s="1431" t="str">
        <f t="shared" si="154"/>
        <v>Prive</v>
      </c>
      <c r="AA133" s="1440">
        <f t="shared" si="155"/>
        <v>0</v>
      </c>
      <c r="AB133" s="1440">
        <f t="shared" si="156"/>
        <v>0</v>
      </c>
      <c r="AC133" s="1440">
        <f t="shared" si="157"/>
        <v>0</v>
      </c>
      <c r="AD133" s="1440">
        <f t="shared" si="158"/>
        <v>0</v>
      </c>
      <c r="AE133" s="1440">
        <f t="shared" si="159"/>
        <v>0</v>
      </c>
      <c r="AF133" s="1440">
        <f t="shared" si="160"/>
        <v>0</v>
      </c>
      <c r="AG133" s="1440">
        <f t="shared" si="161"/>
        <v>0</v>
      </c>
      <c r="AH133" s="1440">
        <f t="shared" si="162"/>
        <v>0</v>
      </c>
      <c r="AI133" s="1440">
        <f t="shared" si="163"/>
        <v>0</v>
      </c>
      <c r="AJ133" s="1440">
        <f t="shared" si="164"/>
        <v>0</v>
      </c>
    </row>
    <row r="134" spans="1:36">
      <c r="A134" s="1457"/>
      <c r="B134" s="1457" t="s">
        <v>642</v>
      </c>
      <c r="C134" s="1408">
        <f t="shared" ref="C134:M134" si="166">SUM(C120:C133)</f>
        <v>49554.256371784206</v>
      </c>
      <c r="D134" s="1408">
        <f t="shared" si="166"/>
        <v>0</v>
      </c>
      <c r="E134" s="1408">
        <f t="shared" si="166"/>
        <v>0</v>
      </c>
      <c r="F134" s="1408">
        <f t="shared" si="166"/>
        <v>0</v>
      </c>
      <c r="G134" s="1408">
        <f t="shared" si="166"/>
        <v>0</v>
      </c>
      <c r="H134" s="1408">
        <f t="shared" si="166"/>
        <v>54.417001743360046</v>
      </c>
      <c r="I134" s="1408">
        <f t="shared" si="166"/>
        <v>126.97300406784007</v>
      </c>
      <c r="J134" s="1408">
        <f t="shared" si="166"/>
        <v>123.41616671999995</v>
      </c>
      <c r="K134" s="1408">
        <f t="shared" si="166"/>
        <v>0</v>
      </c>
      <c r="L134" s="1408">
        <f t="shared" si="166"/>
        <v>443.53545150000008</v>
      </c>
      <c r="M134" s="1408">
        <f t="shared" si="166"/>
        <v>388.40367090000001</v>
      </c>
      <c r="N134" s="1408">
        <f t="shared" ref="N134:V134" si="167">SUM(N120:N133)</f>
        <v>472.52787660000001</v>
      </c>
      <c r="O134" s="1408">
        <f t="shared" si="167"/>
        <v>285.44955430000005</v>
      </c>
      <c r="P134" s="1408">
        <f t="shared" si="167"/>
        <v>729.51446465808044</v>
      </c>
      <c r="Q134" s="1408">
        <f t="shared" si="167"/>
        <v>1060.7550403621919</v>
      </c>
      <c r="R134" s="1408">
        <f t="shared" si="167"/>
        <v>6698.4051047081266</v>
      </c>
      <c r="S134" s="1408">
        <f t="shared" si="167"/>
        <v>7647.3021887999985</v>
      </c>
      <c r="T134" s="1408">
        <f t="shared" si="167"/>
        <v>1529.4604377599996</v>
      </c>
      <c r="U134" s="1408">
        <f t="shared" si="167"/>
        <v>7975.8269914989769</v>
      </c>
      <c r="V134" s="1408">
        <f t="shared" si="167"/>
        <v>14802.40961816564</v>
      </c>
      <c r="W134" s="1410"/>
      <c r="Z134" s="1432" t="s">
        <v>642</v>
      </c>
      <c r="AA134" s="1441">
        <f t="shared" ref="AA134:AJ134" si="168">SUM(AA120:AA133)</f>
        <v>5349.5132999999987</v>
      </c>
      <c r="AB134" s="1441">
        <f t="shared" si="168"/>
        <v>0</v>
      </c>
      <c r="AC134" s="1441">
        <f t="shared" si="168"/>
        <v>0</v>
      </c>
      <c r="AD134" s="1441">
        <f t="shared" si="168"/>
        <v>0</v>
      </c>
      <c r="AE134" s="1441">
        <f t="shared" si="168"/>
        <v>0</v>
      </c>
      <c r="AF134" s="1441">
        <f t="shared" si="168"/>
        <v>0</v>
      </c>
      <c r="AG134" s="1441">
        <f t="shared" si="168"/>
        <v>0</v>
      </c>
      <c r="AH134" s="1441">
        <f t="shared" si="168"/>
        <v>0</v>
      </c>
      <c r="AI134" s="1441">
        <f t="shared" si="168"/>
        <v>0</v>
      </c>
      <c r="AJ134" s="1441">
        <f t="shared" si="168"/>
        <v>0</v>
      </c>
    </row>
    <row r="136" spans="1:36">
      <c r="B136" s="1407" t="s">
        <v>1808</v>
      </c>
      <c r="C136" s="1455" t="s">
        <v>642</v>
      </c>
      <c r="D136" s="1431">
        <f t="shared" ref="D136:M136" si="169">D119</f>
        <v>2013</v>
      </c>
      <c r="E136" s="1431">
        <f t="shared" si="169"/>
        <v>2014</v>
      </c>
      <c r="F136" s="1431">
        <f t="shared" si="169"/>
        <v>2015</v>
      </c>
      <c r="G136" s="1431">
        <f t="shared" si="169"/>
        <v>2016</v>
      </c>
      <c r="H136" s="1431">
        <f t="shared" si="169"/>
        <v>2017</v>
      </c>
      <c r="I136" s="1431">
        <f t="shared" si="169"/>
        <v>2018</v>
      </c>
      <c r="J136" s="1431">
        <f t="shared" si="169"/>
        <v>2019</v>
      </c>
      <c r="K136" s="1431">
        <f t="shared" si="169"/>
        <v>2020</v>
      </c>
      <c r="L136" s="1431">
        <f t="shared" si="169"/>
        <v>2021</v>
      </c>
      <c r="M136" s="1431">
        <f t="shared" si="169"/>
        <v>2022</v>
      </c>
      <c r="N136" s="1431">
        <f t="shared" ref="N136:V136" si="170">N119</f>
        <v>2023</v>
      </c>
      <c r="O136" s="1431">
        <f t="shared" si="170"/>
        <v>2024</v>
      </c>
      <c r="P136" s="1431">
        <f t="shared" si="170"/>
        <v>2025</v>
      </c>
      <c r="Q136" s="1431">
        <f t="shared" si="170"/>
        <v>2026</v>
      </c>
      <c r="R136" s="1431">
        <f t="shared" si="170"/>
        <v>2027</v>
      </c>
      <c r="S136" s="1431">
        <f t="shared" si="170"/>
        <v>2028</v>
      </c>
      <c r="T136" s="1431">
        <f t="shared" si="170"/>
        <v>2029</v>
      </c>
      <c r="U136" s="1431">
        <f t="shared" si="170"/>
        <v>2030</v>
      </c>
      <c r="V136" s="1431">
        <f t="shared" si="170"/>
        <v>2031</v>
      </c>
    </row>
    <row r="137" spans="1:36">
      <c r="A137" s="1432">
        <f>A120</f>
        <v>1</v>
      </c>
      <c r="B137" s="1432" t="str">
        <f>B120</f>
        <v>Opal Central Park - Thuận An 1.0ha</v>
      </c>
      <c r="C137" s="1658" t="str">
        <f t="shared" ref="C137:M137" si="171">IF(C86&gt;0,C120/C86,"")</f>
        <v/>
      </c>
      <c r="D137" s="1658" t="str">
        <f t="shared" si="171"/>
        <v/>
      </c>
      <c r="E137" s="1658" t="str">
        <f t="shared" si="171"/>
        <v/>
      </c>
      <c r="F137" s="1658" t="str">
        <f t="shared" si="171"/>
        <v/>
      </c>
      <c r="G137" s="1658" t="str">
        <f t="shared" si="171"/>
        <v/>
      </c>
      <c r="H137" s="1658" t="str">
        <f t="shared" si="171"/>
        <v/>
      </c>
      <c r="I137" s="1658" t="str">
        <f t="shared" si="171"/>
        <v/>
      </c>
      <c r="J137" s="1658" t="str">
        <f t="shared" si="171"/>
        <v/>
      </c>
      <c r="K137" s="1658" t="str">
        <f t="shared" si="171"/>
        <v/>
      </c>
      <c r="L137" s="1658" t="str">
        <f t="shared" si="171"/>
        <v/>
      </c>
      <c r="M137" s="1658" t="str">
        <f t="shared" si="171"/>
        <v/>
      </c>
      <c r="N137" s="1658" t="str">
        <f t="shared" ref="N137:V137" si="172">IF(N86&gt;0,N120/N86,"")</f>
        <v/>
      </c>
      <c r="O137" s="1658" t="str">
        <f t="shared" si="172"/>
        <v/>
      </c>
      <c r="P137" s="1658" t="str">
        <f t="shared" si="172"/>
        <v/>
      </c>
      <c r="Q137" s="1658" t="str">
        <f t="shared" si="172"/>
        <v/>
      </c>
      <c r="R137" s="1658" t="str">
        <f t="shared" si="172"/>
        <v/>
      </c>
      <c r="S137" s="1658" t="str">
        <f t="shared" si="172"/>
        <v/>
      </c>
      <c r="T137" s="1658" t="str">
        <f t="shared" si="172"/>
        <v/>
      </c>
      <c r="U137" s="1658" t="str">
        <f t="shared" si="172"/>
        <v/>
      </c>
      <c r="V137" s="1658" t="str">
        <f t="shared" si="172"/>
        <v/>
      </c>
      <c r="W137" s="1417"/>
    </row>
    <row r="138" spans="1:36">
      <c r="A138" s="1431">
        <f>A137+1</f>
        <v>2</v>
      </c>
      <c r="B138" s="1431" t="str">
        <f t="shared" ref="B138:B150" si="173">B121</f>
        <v>St Moritz - Opal Skyview</v>
      </c>
      <c r="C138" s="1417">
        <f t="shared" ref="C138:M138" si="174">IF(C87&gt;0,C121/C87,"")</f>
        <v>0.23225527065527063</v>
      </c>
      <c r="D138" s="1417" t="str">
        <f t="shared" si="174"/>
        <v/>
      </c>
      <c r="E138" s="1417" t="str">
        <f t="shared" si="174"/>
        <v/>
      </c>
      <c r="F138" s="1417" t="str">
        <f t="shared" si="174"/>
        <v/>
      </c>
      <c r="G138" s="1417" t="str">
        <f t="shared" si="174"/>
        <v/>
      </c>
      <c r="H138" s="1417" t="str">
        <f t="shared" si="174"/>
        <v/>
      </c>
      <c r="I138" s="1417" t="str">
        <f t="shared" si="174"/>
        <v/>
      </c>
      <c r="J138" s="1417" t="str">
        <f t="shared" si="174"/>
        <v/>
      </c>
      <c r="K138" s="1417" t="str">
        <f t="shared" si="174"/>
        <v/>
      </c>
      <c r="L138" s="1417" t="str">
        <f t="shared" si="174"/>
        <v/>
      </c>
      <c r="M138" s="1417">
        <f t="shared" si="174"/>
        <v>0.23225527065527063</v>
      </c>
      <c r="N138" s="1417" t="str">
        <f t="shared" ref="N138:V138" si="175">IF(N87&gt;0,N121/N87,"")</f>
        <v/>
      </c>
      <c r="O138" s="1417" t="str">
        <f t="shared" si="175"/>
        <v/>
      </c>
      <c r="P138" s="1417" t="str">
        <f t="shared" si="175"/>
        <v/>
      </c>
      <c r="Q138" s="1417" t="str">
        <f t="shared" si="175"/>
        <v/>
      </c>
      <c r="R138" s="1417" t="str">
        <f t="shared" si="175"/>
        <v/>
      </c>
      <c r="S138" s="1417" t="str">
        <f t="shared" si="175"/>
        <v/>
      </c>
      <c r="T138" s="1417" t="str">
        <f t="shared" si="175"/>
        <v/>
      </c>
      <c r="U138" s="1417" t="str">
        <f t="shared" si="175"/>
        <v/>
      </c>
      <c r="V138" s="1417" t="str">
        <f t="shared" si="175"/>
        <v/>
      </c>
      <c r="W138" s="1417"/>
    </row>
    <row r="139" spans="1:36">
      <c r="A139" s="1431">
        <f t="shared" ref="A139:A150" si="176">A138+1</f>
        <v>3</v>
      </c>
      <c r="B139" s="1431" t="str">
        <f t="shared" si="173"/>
        <v>Opal Riverside</v>
      </c>
      <c r="C139" s="1417">
        <f t="shared" ref="C139:M139" si="177">IF(C88&gt;0,C122/C88,"")</f>
        <v>0.1692816799760134</v>
      </c>
      <c r="D139" s="1417" t="str">
        <f t="shared" si="177"/>
        <v/>
      </c>
      <c r="E139" s="1417" t="str">
        <f t="shared" si="177"/>
        <v/>
      </c>
      <c r="F139" s="1417" t="str">
        <f t="shared" si="177"/>
        <v/>
      </c>
      <c r="G139" s="1417" t="str">
        <f t="shared" si="177"/>
        <v/>
      </c>
      <c r="H139" s="1417">
        <f t="shared" si="177"/>
        <v>0.16928167997601343</v>
      </c>
      <c r="I139" s="1417">
        <f t="shared" si="177"/>
        <v>0.1692816799760134</v>
      </c>
      <c r="J139" s="1417" t="str">
        <f t="shared" si="177"/>
        <v/>
      </c>
      <c r="K139" s="1417" t="str">
        <f t="shared" si="177"/>
        <v/>
      </c>
      <c r="L139" s="1417" t="str">
        <f t="shared" si="177"/>
        <v/>
      </c>
      <c r="M139" s="1417" t="str">
        <f t="shared" si="177"/>
        <v/>
      </c>
      <c r="N139" s="1417" t="str">
        <f t="shared" ref="N139:V139" si="178">IF(N88&gt;0,N122/N88,"")</f>
        <v/>
      </c>
      <c r="O139" s="1417" t="str">
        <f t="shared" si="178"/>
        <v/>
      </c>
      <c r="P139" s="1417" t="str">
        <f t="shared" si="178"/>
        <v/>
      </c>
      <c r="Q139" s="1417" t="str">
        <f t="shared" si="178"/>
        <v/>
      </c>
      <c r="R139" s="1417" t="str">
        <f t="shared" si="178"/>
        <v/>
      </c>
      <c r="S139" s="1417" t="str">
        <f t="shared" si="178"/>
        <v/>
      </c>
      <c r="T139" s="1417" t="str">
        <f t="shared" si="178"/>
        <v/>
      </c>
      <c r="U139" s="1417" t="str">
        <f t="shared" si="178"/>
        <v/>
      </c>
      <c r="V139" s="1417" t="str">
        <f t="shared" si="178"/>
        <v/>
      </c>
      <c r="W139" s="1417"/>
    </row>
    <row r="140" spans="1:36">
      <c r="A140" s="1431">
        <f t="shared" si="176"/>
        <v>4</v>
      </c>
      <c r="B140" s="1431" t="str">
        <f t="shared" si="173"/>
        <v>Opal Garden</v>
      </c>
      <c r="C140" s="1417">
        <f t="shared" ref="C140:M140" si="179">IF(C89&gt;0,C123/C89,"")</f>
        <v>0.17873889251437031</v>
      </c>
      <c r="D140" s="1417" t="str">
        <f t="shared" si="179"/>
        <v/>
      </c>
      <c r="E140" s="1417" t="str">
        <f t="shared" si="179"/>
        <v/>
      </c>
      <c r="F140" s="1417" t="str">
        <f t="shared" si="179"/>
        <v/>
      </c>
      <c r="G140" s="1417" t="str">
        <f t="shared" si="179"/>
        <v/>
      </c>
      <c r="H140" s="1417" t="str">
        <f t="shared" si="179"/>
        <v/>
      </c>
      <c r="I140" s="1417" t="str">
        <f t="shared" si="179"/>
        <v/>
      </c>
      <c r="J140" s="1417">
        <f t="shared" si="179"/>
        <v>0.17873889251437031</v>
      </c>
      <c r="K140" s="1417" t="str">
        <f t="shared" si="179"/>
        <v/>
      </c>
      <c r="L140" s="1417" t="str">
        <f t="shared" si="179"/>
        <v/>
      </c>
      <c r="M140" s="1417" t="str">
        <f t="shared" si="179"/>
        <v/>
      </c>
      <c r="N140" s="1417" t="str">
        <f t="shared" ref="N140:V140" si="180">IF(N89&gt;0,N123/N89,"")</f>
        <v/>
      </c>
      <c r="O140" s="1417" t="str">
        <f t="shared" si="180"/>
        <v/>
      </c>
      <c r="P140" s="1417" t="str">
        <f t="shared" si="180"/>
        <v/>
      </c>
      <c r="Q140" s="1417" t="str">
        <f t="shared" si="180"/>
        <v/>
      </c>
      <c r="R140" s="1417" t="str">
        <f t="shared" si="180"/>
        <v/>
      </c>
      <c r="S140" s="1417" t="str">
        <f t="shared" si="180"/>
        <v/>
      </c>
      <c r="T140" s="1417" t="str">
        <f t="shared" si="180"/>
        <v/>
      </c>
      <c r="U140" s="1417" t="str">
        <f t="shared" si="180"/>
        <v/>
      </c>
      <c r="V140" s="1417" t="str">
        <f t="shared" si="180"/>
        <v/>
      </c>
      <c r="W140" s="1417"/>
    </row>
    <row r="141" spans="1:36">
      <c r="A141" s="1431">
        <f t="shared" si="176"/>
        <v>5</v>
      </c>
      <c r="B141" s="1431" t="str">
        <f t="shared" si="173"/>
        <v>Gem Sky World Long Thanh</v>
      </c>
      <c r="C141" s="1417">
        <f t="shared" ref="C141:M141" si="181">IF(C90&gt;0,C124/C90,"")</f>
        <v>0.11716852632069057</v>
      </c>
      <c r="D141" s="1417" t="str">
        <f t="shared" si="181"/>
        <v/>
      </c>
      <c r="E141" s="1417" t="str">
        <f t="shared" si="181"/>
        <v/>
      </c>
      <c r="F141" s="1417" t="str">
        <f t="shared" si="181"/>
        <v/>
      </c>
      <c r="G141" s="1417" t="str">
        <f t="shared" si="181"/>
        <v/>
      </c>
      <c r="H141" s="1417" t="str">
        <f t="shared" si="181"/>
        <v/>
      </c>
      <c r="I141" s="1417" t="str">
        <f t="shared" si="181"/>
        <v/>
      </c>
      <c r="J141" s="1417" t="str">
        <f t="shared" si="181"/>
        <v/>
      </c>
      <c r="K141" s="1417" t="str">
        <f t="shared" si="181"/>
        <v/>
      </c>
      <c r="L141" s="1417">
        <f t="shared" si="181"/>
        <v>0.11716852632069054</v>
      </c>
      <c r="M141" s="1417">
        <f t="shared" si="181"/>
        <v>0.11716852632069052</v>
      </c>
      <c r="N141" s="1417">
        <f t="shared" ref="N141:V141" si="182">IF(N90&gt;0,N124/N90,"")</f>
        <v>0.11716852632069059</v>
      </c>
      <c r="O141" s="1417">
        <f t="shared" si="182"/>
        <v>0.11716852632069059</v>
      </c>
      <c r="P141" s="1417">
        <f t="shared" si="182"/>
        <v>0.11716852632069059</v>
      </c>
      <c r="Q141" s="1417">
        <f t="shared" si="182"/>
        <v>0.11716852632069054</v>
      </c>
      <c r="R141" s="1417" t="str">
        <f t="shared" si="182"/>
        <v/>
      </c>
      <c r="S141" s="1417" t="str">
        <f t="shared" si="182"/>
        <v/>
      </c>
      <c r="T141" s="1417" t="str">
        <f t="shared" si="182"/>
        <v/>
      </c>
      <c r="U141" s="1417" t="str">
        <f t="shared" si="182"/>
        <v/>
      </c>
      <c r="V141" s="1417" t="str">
        <f t="shared" si="182"/>
        <v/>
      </c>
      <c r="W141" s="1417"/>
    </row>
    <row r="142" spans="1:36">
      <c r="A142" s="1431">
        <f t="shared" si="176"/>
        <v>6</v>
      </c>
      <c r="B142" s="1431" t="str">
        <f t="shared" si="173"/>
        <v>Opal Luxury 8.6ha Binh Duong</v>
      </c>
      <c r="C142" s="1417">
        <f t="shared" ref="C142:M142" si="183">IF(C91&gt;0,C125/C91,"")</f>
        <v>0.13872194080345487</v>
      </c>
      <c r="D142" s="1417" t="str">
        <f t="shared" si="183"/>
        <v/>
      </c>
      <c r="E142" s="1417" t="str">
        <f t="shared" si="183"/>
        <v/>
      </c>
      <c r="F142" s="1417" t="str">
        <f t="shared" si="183"/>
        <v/>
      </c>
      <c r="G142" s="1417" t="str">
        <f t="shared" si="183"/>
        <v/>
      </c>
      <c r="H142" s="1417" t="str">
        <f t="shared" si="183"/>
        <v/>
      </c>
      <c r="I142" s="1417" t="str">
        <f t="shared" si="183"/>
        <v/>
      </c>
      <c r="J142" s="1417" t="str">
        <f t="shared" si="183"/>
        <v/>
      </c>
      <c r="K142" s="1417" t="str">
        <f t="shared" si="183"/>
        <v/>
      </c>
      <c r="L142" s="1417" t="str">
        <f t="shared" si="183"/>
        <v/>
      </c>
      <c r="M142" s="1417" t="str">
        <f t="shared" si="183"/>
        <v/>
      </c>
      <c r="N142" s="1417" t="str">
        <f t="shared" ref="N142:V142" si="184">IF(N91&gt;0,N125/N91,"")</f>
        <v/>
      </c>
      <c r="O142" s="1417" t="str">
        <f t="shared" si="184"/>
        <v/>
      </c>
      <c r="P142" s="1417">
        <f t="shared" si="184"/>
        <v>0.13872194080345493</v>
      </c>
      <c r="Q142" s="1417">
        <f t="shared" si="184"/>
        <v>0.13872194080345479</v>
      </c>
      <c r="R142" s="1417">
        <f t="shared" si="184"/>
        <v>0.13872194080345493</v>
      </c>
      <c r="S142" s="1417" t="str">
        <f t="shared" si="184"/>
        <v/>
      </c>
      <c r="T142" s="1417" t="str">
        <f t="shared" si="184"/>
        <v/>
      </c>
      <c r="U142" s="1417" t="str">
        <f t="shared" si="184"/>
        <v/>
      </c>
      <c r="V142" s="1417" t="str">
        <f t="shared" si="184"/>
        <v/>
      </c>
      <c r="W142" s="1417"/>
    </row>
    <row r="143" spans="1:36">
      <c r="A143" s="1431">
        <f t="shared" si="176"/>
        <v>7</v>
      </c>
      <c r="B143" s="1431" t="str">
        <f t="shared" si="173"/>
        <v>Opal Cityview</v>
      </c>
      <c r="C143" s="1417">
        <f t="shared" ref="C143:M143" si="185">IF(C92&gt;0,C126/C92,"")</f>
        <v>0.21882330797359753</v>
      </c>
      <c r="D143" s="1417" t="str">
        <f t="shared" si="185"/>
        <v/>
      </c>
      <c r="E143" s="1417" t="str">
        <f t="shared" si="185"/>
        <v/>
      </c>
      <c r="F143" s="1417" t="str">
        <f t="shared" si="185"/>
        <v/>
      </c>
      <c r="G143" s="1417" t="str">
        <f t="shared" si="185"/>
        <v/>
      </c>
      <c r="H143" s="1417" t="str">
        <f t="shared" si="185"/>
        <v/>
      </c>
      <c r="I143" s="1417" t="str">
        <f t="shared" si="185"/>
        <v/>
      </c>
      <c r="J143" s="1417" t="str">
        <f t="shared" si="185"/>
        <v/>
      </c>
      <c r="K143" s="1417" t="str">
        <f t="shared" si="185"/>
        <v/>
      </c>
      <c r="L143" s="1417" t="str">
        <f t="shared" si="185"/>
        <v/>
      </c>
      <c r="M143" s="1417" t="str">
        <f t="shared" si="185"/>
        <v/>
      </c>
      <c r="N143" s="1417" t="str">
        <f t="shared" ref="N143:V143" si="186">IF(N92&gt;0,N126/N92,"")</f>
        <v/>
      </c>
      <c r="O143" s="1417" t="str">
        <f t="shared" si="186"/>
        <v/>
      </c>
      <c r="P143" s="1417" t="str">
        <f t="shared" si="186"/>
        <v/>
      </c>
      <c r="Q143" s="1417">
        <f t="shared" si="186"/>
        <v>0.20257535744382713</v>
      </c>
      <c r="R143" s="1417">
        <f t="shared" si="186"/>
        <v>0.23507125850336794</v>
      </c>
      <c r="S143" s="1417" t="str">
        <f t="shared" si="186"/>
        <v/>
      </c>
      <c r="T143" s="1417" t="str">
        <f t="shared" si="186"/>
        <v/>
      </c>
      <c r="U143" s="1417" t="str">
        <f t="shared" si="186"/>
        <v/>
      </c>
      <c r="V143" s="1417" t="str">
        <f t="shared" si="186"/>
        <v/>
      </c>
      <c r="W143" s="1417"/>
    </row>
    <row r="144" spans="1:36">
      <c r="A144" s="1431">
        <f t="shared" si="176"/>
        <v>8</v>
      </c>
      <c r="B144" s="1431" t="str">
        <f t="shared" si="173"/>
        <v>Park View Thuận An 5ha</v>
      </c>
      <c r="C144" s="1417">
        <f t="shared" ref="C144:M144" si="187">IF(C93&gt;0,C127/C93,"")</f>
        <v>0.26523047619047618</v>
      </c>
      <c r="D144" s="1417" t="str">
        <f t="shared" si="187"/>
        <v/>
      </c>
      <c r="E144" s="1417" t="str">
        <f t="shared" si="187"/>
        <v/>
      </c>
      <c r="F144" s="1417" t="str">
        <f t="shared" si="187"/>
        <v/>
      </c>
      <c r="G144" s="1417" t="str">
        <f t="shared" si="187"/>
        <v/>
      </c>
      <c r="H144" s="1417" t="str">
        <f t="shared" si="187"/>
        <v/>
      </c>
      <c r="I144" s="1417" t="str">
        <f t="shared" si="187"/>
        <v/>
      </c>
      <c r="J144" s="1417" t="str">
        <f t="shared" si="187"/>
        <v/>
      </c>
      <c r="K144" s="1417" t="str">
        <f t="shared" si="187"/>
        <v/>
      </c>
      <c r="L144" s="1417" t="str">
        <f t="shared" si="187"/>
        <v/>
      </c>
      <c r="M144" s="1417" t="str">
        <f t="shared" si="187"/>
        <v/>
      </c>
      <c r="N144" s="1417" t="str">
        <f t="shared" ref="N144:V144" si="188">IF(N93&gt;0,N127/N93,"")</f>
        <v/>
      </c>
      <c r="O144" s="1417" t="str">
        <f t="shared" si="188"/>
        <v/>
      </c>
      <c r="P144" s="1417" t="str">
        <f t="shared" si="188"/>
        <v/>
      </c>
      <c r="Q144" s="1417" t="str">
        <f t="shared" si="188"/>
        <v/>
      </c>
      <c r="R144" s="1417" t="str">
        <f t="shared" si="188"/>
        <v/>
      </c>
      <c r="S144" s="1417" t="str">
        <f t="shared" si="188"/>
        <v/>
      </c>
      <c r="T144" s="1417" t="str">
        <f t="shared" si="188"/>
        <v/>
      </c>
      <c r="U144" s="1417">
        <f t="shared" si="188"/>
        <v>0.27657142857142858</v>
      </c>
      <c r="V144" s="1417">
        <f t="shared" si="188"/>
        <v>0.25388952380952379</v>
      </c>
      <c r="W144" s="1417"/>
    </row>
    <row r="145" spans="1:23">
      <c r="A145" s="1431">
        <f t="shared" si="176"/>
        <v>9</v>
      </c>
      <c r="B145" s="1431" t="str">
        <f t="shared" si="173"/>
        <v>Lux Riverview - Lux Star Quận 7</v>
      </c>
      <c r="C145" s="1417">
        <f t="shared" ref="C145:M145" si="189">IF(C94&gt;0,C128/C94,"")</f>
        <v>0.31029411764705889</v>
      </c>
      <c r="D145" s="1417" t="str">
        <f t="shared" si="189"/>
        <v/>
      </c>
      <c r="E145" s="1417" t="str">
        <f t="shared" si="189"/>
        <v/>
      </c>
      <c r="F145" s="1417" t="str">
        <f t="shared" si="189"/>
        <v/>
      </c>
      <c r="G145" s="1417" t="str">
        <f t="shared" si="189"/>
        <v/>
      </c>
      <c r="H145" s="1417" t="str">
        <f t="shared" si="189"/>
        <v/>
      </c>
      <c r="I145" s="1417" t="str">
        <f t="shared" si="189"/>
        <v/>
      </c>
      <c r="J145" s="1417" t="str">
        <f t="shared" si="189"/>
        <v/>
      </c>
      <c r="K145" s="1417" t="str">
        <f t="shared" si="189"/>
        <v/>
      </c>
      <c r="L145" s="1417" t="str">
        <f t="shared" si="189"/>
        <v/>
      </c>
      <c r="M145" s="1417" t="str">
        <f t="shared" si="189"/>
        <v/>
      </c>
      <c r="N145" s="1417" t="str">
        <f t="shared" ref="N145:V145" si="190">IF(N94&gt;0,N128/N94,"")</f>
        <v/>
      </c>
      <c r="O145" s="1417" t="str">
        <f t="shared" si="190"/>
        <v/>
      </c>
      <c r="P145" s="1417" t="str">
        <f t="shared" si="190"/>
        <v/>
      </c>
      <c r="Q145" s="1417" t="str">
        <f t="shared" si="190"/>
        <v/>
      </c>
      <c r="R145" s="1417" t="str">
        <f t="shared" si="190"/>
        <v/>
      </c>
      <c r="S145" s="1417" t="str">
        <f t="shared" si="190"/>
        <v/>
      </c>
      <c r="T145" s="1417" t="str">
        <f t="shared" si="190"/>
        <v/>
      </c>
      <c r="U145" s="1417" t="str">
        <f t="shared" si="190"/>
        <v/>
      </c>
      <c r="V145" s="1417">
        <f t="shared" si="190"/>
        <v>0.31029411764705889</v>
      </c>
      <c r="W145" s="1417"/>
    </row>
    <row r="146" spans="1:23">
      <c r="A146" s="1431">
        <f t="shared" si="176"/>
        <v>10</v>
      </c>
      <c r="B146" s="1431" t="str">
        <f t="shared" si="173"/>
        <v>Gem Premium Thu Duc (Opal Premium)</v>
      </c>
      <c r="C146" s="1417">
        <f t="shared" ref="C146:M146" si="191">IF(C95&gt;0,C129/C95,"")</f>
        <v>0.35570937562337912</v>
      </c>
      <c r="D146" s="1417" t="str">
        <f t="shared" si="191"/>
        <v/>
      </c>
      <c r="E146" s="1417" t="str">
        <f t="shared" si="191"/>
        <v/>
      </c>
      <c r="F146" s="1417" t="str">
        <f t="shared" si="191"/>
        <v/>
      </c>
      <c r="G146" s="1417" t="str">
        <f t="shared" si="191"/>
        <v/>
      </c>
      <c r="H146" s="1417" t="str">
        <f t="shared" si="191"/>
        <v/>
      </c>
      <c r="I146" s="1417" t="str">
        <f t="shared" si="191"/>
        <v/>
      </c>
      <c r="J146" s="1417" t="str">
        <f t="shared" si="191"/>
        <v/>
      </c>
      <c r="K146" s="1417" t="str">
        <f t="shared" si="191"/>
        <v/>
      </c>
      <c r="L146" s="1417" t="str">
        <f t="shared" si="191"/>
        <v/>
      </c>
      <c r="M146" s="1417" t="str">
        <f t="shared" si="191"/>
        <v/>
      </c>
      <c r="N146" s="1417" t="str">
        <f t="shared" ref="N146:V146" si="192">IF(N95&gt;0,N129/N95,"")</f>
        <v/>
      </c>
      <c r="O146" s="1417" t="str">
        <f t="shared" si="192"/>
        <v/>
      </c>
      <c r="P146" s="1417" t="str">
        <f t="shared" si="192"/>
        <v/>
      </c>
      <c r="Q146" s="1417" t="str">
        <f t="shared" si="192"/>
        <v/>
      </c>
      <c r="R146" s="1417" t="str">
        <f t="shared" si="192"/>
        <v/>
      </c>
      <c r="S146" s="1417" t="str">
        <f t="shared" si="192"/>
        <v/>
      </c>
      <c r="T146" s="1417" t="str">
        <f t="shared" si="192"/>
        <v/>
      </c>
      <c r="U146" s="1417">
        <f t="shared" si="192"/>
        <v>0.35570937562337923</v>
      </c>
      <c r="V146" s="1417">
        <f t="shared" si="192"/>
        <v>0.35570937562337912</v>
      </c>
      <c r="W146" s="1417"/>
    </row>
    <row r="147" spans="1:23">
      <c r="A147" s="1431">
        <f t="shared" si="176"/>
        <v>11</v>
      </c>
      <c r="B147" s="1431" t="str">
        <f t="shared" si="173"/>
        <v>Gem City Q9 (Opal City old)</v>
      </c>
      <c r="C147" s="1417">
        <f t="shared" ref="C147:M147" si="193">IF(C96&gt;0,C130/C96,"")</f>
        <v>0.30912585802077303</v>
      </c>
      <c r="D147" s="1417" t="str">
        <f t="shared" si="193"/>
        <v/>
      </c>
      <c r="E147" s="1417" t="str">
        <f t="shared" si="193"/>
        <v/>
      </c>
      <c r="F147" s="1417" t="str">
        <f t="shared" si="193"/>
        <v/>
      </c>
      <c r="G147" s="1417" t="str">
        <f t="shared" si="193"/>
        <v/>
      </c>
      <c r="H147" s="1417" t="str">
        <f t="shared" si="193"/>
        <v/>
      </c>
      <c r="I147" s="1417" t="str">
        <f t="shared" si="193"/>
        <v/>
      </c>
      <c r="J147" s="1417" t="str">
        <f t="shared" si="193"/>
        <v/>
      </c>
      <c r="K147" s="1417" t="str">
        <f t="shared" si="193"/>
        <v/>
      </c>
      <c r="L147" s="1417" t="str">
        <f t="shared" si="193"/>
        <v/>
      </c>
      <c r="M147" s="1417" t="str">
        <f t="shared" si="193"/>
        <v/>
      </c>
      <c r="N147" s="1417" t="str">
        <f t="shared" ref="N147:V147" si="194">IF(N96&gt;0,N130/N96,"")</f>
        <v/>
      </c>
      <c r="O147" s="1417" t="str">
        <f t="shared" si="194"/>
        <v/>
      </c>
      <c r="P147" s="1417" t="str">
        <f t="shared" si="194"/>
        <v/>
      </c>
      <c r="Q147" s="1417" t="str">
        <f t="shared" si="194"/>
        <v/>
      </c>
      <c r="R147" s="1417" t="str">
        <f t="shared" si="194"/>
        <v/>
      </c>
      <c r="S147" s="1417" t="str">
        <f t="shared" si="194"/>
        <v/>
      </c>
      <c r="T147" s="1417" t="str">
        <f t="shared" si="194"/>
        <v/>
      </c>
      <c r="U147" s="1417">
        <f t="shared" si="194"/>
        <v>0.30912585802077303</v>
      </c>
      <c r="V147" s="1417">
        <f t="shared" si="194"/>
        <v>0.30912585802077303</v>
      </c>
      <c r="W147" s="1417"/>
    </row>
    <row r="148" spans="1:23">
      <c r="A148" s="1431">
        <f t="shared" si="176"/>
        <v>12</v>
      </c>
      <c r="B148" s="1431" t="str">
        <f t="shared" si="173"/>
        <v>Park City Thuận An 10ha</v>
      </c>
      <c r="C148" s="1417">
        <f t="shared" ref="C148:M148" si="195">IF(C97&gt;0,C131/C97,"")</f>
        <v>0.22339999999999999</v>
      </c>
      <c r="D148" s="1417" t="str">
        <f t="shared" si="195"/>
        <v/>
      </c>
      <c r="E148" s="1417" t="str">
        <f t="shared" si="195"/>
        <v/>
      </c>
      <c r="F148" s="1417" t="str">
        <f t="shared" si="195"/>
        <v/>
      </c>
      <c r="G148" s="1417" t="str">
        <f t="shared" si="195"/>
        <v/>
      </c>
      <c r="H148" s="1417" t="str">
        <f t="shared" si="195"/>
        <v/>
      </c>
      <c r="I148" s="1417" t="str">
        <f t="shared" si="195"/>
        <v/>
      </c>
      <c r="J148" s="1417" t="str">
        <f t="shared" si="195"/>
        <v/>
      </c>
      <c r="K148" s="1417" t="str">
        <f t="shared" si="195"/>
        <v/>
      </c>
      <c r="L148" s="1417" t="str">
        <f t="shared" si="195"/>
        <v/>
      </c>
      <c r="M148" s="1417" t="str">
        <f t="shared" si="195"/>
        <v/>
      </c>
      <c r="N148" s="1417" t="str">
        <f t="shared" ref="N148:V148" si="196">IF(N97&gt;0,N131/N97,"")</f>
        <v/>
      </c>
      <c r="O148" s="1417" t="str">
        <f t="shared" si="196"/>
        <v/>
      </c>
      <c r="P148" s="1417" t="str">
        <f t="shared" si="196"/>
        <v/>
      </c>
      <c r="Q148" s="1417" t="str">
        <f t="shared" si="196"/>
        <v/>
      </c>
      <c r="R148" s="1417" t="str">
        <f t="shared" si="196"/>
        <v/>
      </c>
      <c r="S148" s="1417" t="str">
        <f t="shared" si="196"/>
        <v/>
      </c>
      <c r="T148" s="1417" t="str">
        <f t="shared" si="196"/>
        <v/>
      </c>
      <c r="U148" s="1417">
        <f t="shared" si="196"/>
        <v>0.22339999999999999</v>
      </c>
      <c r="V148" s="1417">
        <f t="shared" si="196"/>
        <v>0.22339999999999999</v>
      </c>
      <c r="W148" s="1417"/>
    </row>
    <row r="149" spans="1:23">
      <c r="A149" s="1431">
        <f t="shared" si="176"/>
        <v>13</v>
      </c>
      <c r="B149" s="1431" t="str">
        <f t="shared" si="173"/>
        <v>Opal Skyline</v>
      </c>
      <c r="C149" s="1417">
        <f t="shared" ref="C149:M149" si="197">IF(C98&gt;0,C132/C98,"")</f>
        <v>0</v>
      </c>
      <c r="D149" s="1417" t="str">
        <f t="shared" si="197"/>
        <v/>
      </c>
      <c r="E149" s="1417" t="str">
        <f t="shared" si="197"/>
        <v/>
      </c>
      <c r="F149" s="1417" t="str">
        <f t="shared" si="197"/>
        <v/>
      </c>
      <c r="G149" s="1417" t="str">
        <f t="shared" si="197"/>
        <v/>
      </c>
      <c r="H149" s="1417" t="str">
        <f t="shared" si="197"/>
        <v/>
      </c>
      <c r="I149" s="1417" t="str">
        <f t="shared" si="197"/>
        <v/>
      </c>
      <c r="J149" s="1417" t="str">
        <f t="shared" si="197"/>
        <v/>
      </c>
      <c r="K149" s="1417" t="str">
        <f t="shared" si="197"/>
        <v/>
      </c>
      <c r="L149" s="1417" t="str">
        <f t="shared" si="197"/>
        <v/>
      </c>
      <c r="M149" s="1417" t="str">
        <f t="shared" si="197"/>
        <v/>
      </c>
      <c r="N149" s="1417">
        <f t="shared" ref="N149:V149" si="198">IF(N98&gt;0,N132/N98,"")</f>
        <v>0.2039627451793489</v>
      </c>
      <c r="O149" s="1417">
        <f t="shared" si="198"/>
        <v>0.20396274517934893</v>
      </c>
      <c r="P149" s="1417" t="str">
        <f t="shared" si="198"/>
        <v/>
      </c>
      <c r="Q149" s="1417" t="str">
        <f t="shared" si="198"/>
        <v/>
      </c>
      <c r="R149" s="1417" t="str">
        <f t="shared" si="198"/>
        <v/>
      </c>
      <c r="S149" s="1417" t="str">
        <f t="shared" si="198"/>
        <v/>
      </c>
      <c r="T149" s="1417" t="str">
        <f t="shared" si="198"/>
        <v/>
      </c>
      <c r="U149" s="1417" t="str">
        <f t="shared" si="198"/>
        <v/>
      </c>
      <c r="V149" s="1417" t="str">
        <f t="shared" si="198"/>
        <v/>
      </c>
      <c r="W149" s="1417"/>
    </row>
    <row r="150" spans="1:23">
      <c r="A150" s="1431">
        <f t="shared" si="176"/>
        <v>14</v>
      </c>
      <c r="B150" s="1431" t="str">
        <f t="shared" si="173"/>
        <v>Prive</v>
      </c>
      <c r="C150" s="1417">
        <f t="shared" ref="C150:M150" si="199">IF(C99&gt;0,C133/C99,"")</f>
        <v>0.43168334214586129</v>
      </c>
      <c r="D150" s="1417" t="str">
        <f t="shared" si="199"/>
        <v/>
      </c>
      <c r="E150" s="1417" t="str">
        <f t="shared" si="199"/>
        <v/>
      </c>
      <c r="F150" s="1417" t="str">
        <f t="shared" si="199"/>
        <v/>
      </c>
      <c r="G150" s="1417" t="str">
        <f t="shared" si="199"/>
        <v/>
      </c>
      <c r="H150" s="1417" t="str">
        <f t="shared" si="199"/>
        <v/>
      </c>
      <c r="I150" s="1417" t="str">
        <f t="shared" si="199"/>
        <v/>
      </c>
      <c r="J150" s="1417" t="str">
        <f t="shared" si="199"/>
        <v/>
      </c>
      <c r="K150" s="1417" t="str">
        <f t="shared" si="199"/>
        <v/>
      </c>
      <c r="L150" s="1417" t="str">
        <f t="shared" si="199"/>
        <v/>
      </c>
      <c r="M150" s="1417" t="str">
        <f t="shared" si="199"/>
        <v/>
      </c>
      <c r="N150" s="1417" t="str">
        <f t="shared" ref="N150:V150" si="200">IF(N99&gt;0,N133/N99,"")</f>
        <v/>
      </c>
      <c r="O150" s="1417" t="str">
        <f t="shared" si="200"/>
        <v/>
      </c>
      <c r="P150" s="1417" t="str">
        <f t="shared" si="200"/>
        <v/>
      </c>
      <c r="Q150" s="1417" t="str">
        <f t="shared" si="200"/>
        <v/>
      </c>
      <c r="R150" s="1417">
        <f t="shared" si="200"/>
        <v>0.43168334214586135</v>
      </c>
      <c r="S150" s="1417">
        <f t="shared" si="200"/>
        <v>0.43168334214586135</v>
      </c>
      <c r="T150" s="1417">
        <f t="shared" si="200"/>
        <v>0.43168334214586135</v>
      </c>
      <c r="U150" s="1417" t="str">
        <f t="shared" si="200"/>
        <v/>
      </c>
      <c r="V150" s="1417" t="str">
        <f t="shared" si="200"/>
        <v/>
      </c>
      <c r="W150" s="1417"/>
    </row>
    <row r="151" spans="1:23">
      <c r="A151" s="1432"/>
      <c r="B151" s="1432" t="str">
        <f>B134</f>
        <v>Total</v>
      </c>
      <c r="C151" s="1658">
        <f t="shared" ref="C151:M151" si="201">IF(C100&gt;0,C134/C100,"")</f>
        <v>0.3138997891952135</v>
      </c>
      <c r="D151" s="1667" t="str">
        <f t="shared" si="201"/>
        <v/>
      </c>
      <c r="E151" s="1667" t="str">
        <f t="shared" si="201"/>
        <v/>
      </c>
      <c r="F151" s="1667" t="str">
        <f t="shared" si="201"/>
        <v/>
      </c>
      <c r="G151" s="1667" t="str">
        <f t="shared" si="201"/>
        <v/>
      </c>
      <c r="H151" s="1667">
        <f t="shared" si="201"/>
        <v>0.16928167997601343</v>
      </c>
      <c r="I151" s="1667">
        <f t="shared" si="201"/>
        <v>0.1692816799760134</v>
      </c>
      <c r="J151" s="1667">
        <f t="shared" si="201"/>
        <v>0.17873889251437031</v>
      </c>
      <c r="K151" s="1667" t="str">
        <f t="shared" si="201"/>
        <v/>
      </c>
      <c r="L151" s="1667">
        <f t="shared" si="201"/>
        <v>0.11716852632069054</v>
      </c>
      <c r="M151" s="1667">
        <f t="shared" si="201"/>
        <v>0.13882619908700478</v>
      </c>
      <c r="N151" s="1667">
        <f t="shared" ref="N151:V151" si="202">IF(N100&gt;0,N134/N100,"")</f>
        <v>0.15957959811616002</v>
      </c>
      <c r="O151" s="1667">
        <f t="shared" si="202"/>
        <v>0.16579616292656679</v>
      </c>
      <c r="P151" s="1667">
        <f t="shared" si="202"/>
        <v>0.12732945704206661</v>
      </c>
      <c r="Q151" s="1667">
        <f t="shared" si="202"/>
        <v>0.14225618557407849</v>
      </c>
      <c r="R151" s="1667">
        <f t="shared" si="202"/>
        <v>0.38982694877826274</v>
      </c>
      <c r="S151" s="1667">
        <f t="shared" si="202"/>
        <v>0.43168334214586135</v>
      </c>
      <c r="T151" s="1667">
        <f t="shared" si="202"/>
        <v>0.43168334214586135</v>
      </c>
      <c r="U151" s="1667">
        <f t="shared" si="202"/>
        <v>0.31679160304876769</v>
      </c>
      <c r="V151" s="1667">
        <f t="shared" si="202"/>
        <v>0.33000071973479023</v>
      </c>
      <c r="W151" s="1425"/>
    </row>
    <row r="153" spans="1:23">
      <c r="B153" s="1407" t="s">
        <v>28</v>
      </c>
      <c r="C153" s="1455" t="str">
        <f>C136</f>
        <v>Total</v>
      </c>
      <c r="D153" s="1455">
        <f t="shared" ref="D153:M153" si="203">D136</f>
        <v>2013</v>
      </c>
      <c r="E153" s="1455">
        <f t="shared" si="203"/>
        <v>2014</v>
      </c>
      <c r="F153" s="1455">
        <f t="shared" si="203"/>
        <v>2015</v>
      </c>
      <c r="G153" s="1455">
        <f t="shared" si="203"/>
        <v>2016</v>
      </c>
      <c r="H153" s="1455">
        <f t="shared" si="203"/>
        <v>2017</v>
      </c>
      <c r="I153" s="1455">
        <f t="shared" si="203"/>
        <v>2018</v>
      </c>
      <c r="J153" s="1455">
        <f t="shared" si="203"/>
        <v>2019</v>
      </c>
      <c r="K153" s="1455">
        <f t="shared" si="203"/>
        <v>2020</v>
      </c>
      <c r="L153" s="1455">
        <f t="shared" si="203"/>
        <v>2021</v>
      </c>
      <c r="M153" s="1455">
        <f t="shared" si="203"/>
        <v>2022</v>
      </c>
      <c r="N153" s="1455">
        <f t="shared" ref="N153:V153" si="204">N136</f>
        <v>2023</v>
      </c>
      <c r="O153" s="1455">
        <f t="shared" si="204"/>
        <v>2024</v>
      </c>
      <c r="P153" s="1455">
        <f t="shared" si="204"/>
        <v>2025</v>
      </c>
      <c r="Q153" s="1455">
        <f t="shared" si="204"/>
        <v>2026</v>
      </c>
      <c r="R153" s="1455">
        <f t="shared" si="204"/>
        <v>2027</v>
      </c>
      <c r="S153" s="1455">
        <f t="shared" si="204"/>
        <v>2028</v>
      </c>
      <c r="T153" s="1455">
        <f t="shared" si="204"/>
        <v>2029</v>
      </c>
      <c r="U153" s="1455">
        <f t="shared" si="204"/>
        <v>2030</v>
      </c>
      <c r="V153" s="1455">
        <f t="shared" si="204"/>
        <v>2031</v>
      </c>
      <c r="W153" s="1455"/>
    </row>
    <row r="154" spans="1:23">
      <c r="A154" s="1431">
        <v>1</v>
      </c>
      <c r="B154" s="1432" t="str">
        <f t="shared" ref="B154:B167" si="205">B137</f>
        <v>Opal Central Park - Thuận An 1.0ha</v>
      </c>
      <c r="C154" s="1476">
        <f>'Opal Central Park'!C85</f>
        <v>0</v>
      </c>
      <c r="D154" s="1476">
        <f>'Opal Central Park'!D85</f>
        <v>0</v>
      </c>
      <c r="E154" s="1476">
        <f>'Opal Central Park'!E85</f>
        <v>0</v>
      </c>
      <c r="F154" s="1476">
        <f>'Opal Central Park'!F85</f>
        <v>0</v>
      </c>
      <c r="G154" s="1476">
        <f>'Opal Central Park'!G85</f>
        <v>0</v>
      </c>
      <c r="H154" s="1476">
        <f>'Opal Central Park'!H85</f>
        <v>0</v>
      </c>
      <c r="I154" s="1476">
        <f>'Opal Central Park'!I85</f>
        <v>0</v>
      </c>
      <c r="J154" s="1476">
        <f>'Opal Central Park'!J85</f>
        <v>0</v>
      </c>
      <c r="K154" s="1476">
        <f>'Opal Central Park'!K85</f>
        <v>0</v>
      </c>
      <c r="L154" s="1476">
        <f>'Opal Central Park'!L85</f>
        <v>0</v>
      </c>
      <c r="M154" s="1476">
        <f>'Opal Central Park'!M85</f>
        <v>0</v>
      </c>
      <c r="N154" s="1476">
        <f>'Opal Central Park'!N85</f>
        <v>0</v>
      </c>
      <c r="O154" s="1476">
        <f>'Opal Central Park'!O85</f>
        <v>0</v>
      </c>
      <c r="P154" s="1476">
        <f>'Opal Central Park'!P85</f>
        <v>0</v>
      </c>
      <c r="Q154" s="1476">
        <f>'Opal Central Park'!Q85</f>
        <v>0</v>
      </c>
      <c r="R154" s="1476">
        <f>'Opal Central Park'!R85</f>
        <v>0</v>
      </c>
      <c r="S154" s="1476">
        <f>'Opal Central Park'!S85</f>
        <v>0</v>
      </c>
      <c r="T154" s="1476">
        <f>'Opal Central Park'!T85</f>
        <v>0</v>
      </c>
      <c r="U154" s="1476">
        <f>'Opal Central Park'!U85</f>
        <v>0</v>
      </c>
      <c r="V154" s="1476">
        <f>'Opal Central Park'!V85</f>
        <v>0</v>
      </c>
      <c r="W154" s="1463"/>
    </row>
    <row r="155" spans="1:23">
      <c r="A155" s="1431">
        <f>A154+1</f>
        <v>2</v>
      </c>
      <c r="B155" s="1431" t="str">
        <f t="shared" si="205"/>
        <v>St Moritz - Opal Skyview</v>
      </c>
      <c r="C155" s="1463">
        <f>'St Moritz'!C85</f>
        <v>205.50299999999999</v>
      </c>
      <c r="D155" s="1463">
        <f>'St Moritz'!D85</f>
        <v>0</v>
      </c>
      <c r="E155" s="1463">
        <f>'St Moritz'!E85</f>
        <v>0</v>
      </c>
      <c r="F155" s="1463">
        <f>'St Moritz'!F85</f>
        <v>0</v>
      </c>
      <c r="G155" s="1463">
        <f>'St Moritz'!G85</f>
        <v>0</v>
      </c>
      <c r="H155" s="1463">
        <f>'St Moritz'!H85</f>
        <v>0</v>
      </c>
      <c r="I155" s="1463">
        <f>'St Moritz'!I85</f>
        <v>0</v>
      </c>
      <c r="J155" s="1463">
        <f>'St Moritz'!J85</f>
        <v>0</v>
      </c>
      <c r="K155" s="1463">
        <f>'St Moritz'!K85</f>
        <v>0</v>
      </c>
      <c r="L155" s="1463">
        <f>'St Moritz'!L85</f>
        <v>0</v>
      </c>
      <c r="M155" s="1463">
        <f>'St Moritz'!M85</f>
        <v>205.50299999999999</v>
      </c>
      <c r="N155" s="1463">
        <f>'St Moritz'!N85</f>
        <v>0</v>
      </c>
      <c r="O155" s="1463">
        <f>'St Moritz'!O85</f>
        <v>0</v>
      </c>
      <c r="P155" s="1463">
        <f>'St Moritz'!P85</f>
        <v>0</v>
      </c>
      <c r="Q155" s="1463">
        <f>'St Moritz'!Q85</f>
        <v>0</v>
      </c>
      <c r="R155" s="1463">
        <f>'St Moritz'!R85</f>
        <v>0</v>
      </c>
      <c r="S155" s="1463">
        <f>'St Moritz'!S85</f>
        <v>0</v>
      </c>
      <c r="T155" s="1463">
        <f>'St Moritz'!T85</f>
        <v>0</v>
      </c>
      <c r="U155" s="1463">
        <f>'St Moritz'!U85</f>
        <v>0</v>
      </c>
      <c r="V155" s="1463">
        <f>'St Moritz'!V85</f>
        <v>0</v>
      </c>
      <c r="W155" s="1463"/>
    </row>
    <row r="156" spans="1:23">
      <c r="A156" s="1431">
        <f t="shared" ref="A156:A167" si="206">A155+1</f>
        <v>3</v>
      </c>
      <c r="B156" s="1431" t="str">
        <f t="shared" si="205"/>
        <v>Opal Riverside</v>
      </c>
      <c r="C156" s="1463">
        <f>'Opal Riverside'!C85</f>
        <v>376.75138246400024</v>
      </c>
      <c r="D156" s="1463">
        <f>'Opal Riverside'!D85</f>
        <v>0</v>
      </c>
      <c r="E156" s="1463">
        <f>'Opal Riverside'!E85</f>
        <v>0</v>
      </c>
      <c r="F156" s="1463">
        <f>'Opal Riverside'!F85</f>
        <v>0</v>
      </c>
      <c r="G156" s="1463">
        <f>'Opal Riverside'!G85</f>
        <v>0</v>
      </c>
      <c r="H156" s="1463">
        <f>'Opal Riverside'!H85</f>
        <v>113.02541473920007</v>
      </c>
      <c r="I156" s="1463">
        <f>'Opal Riverside'!I85</f>
        <v>263.72596772480011</v>
      </c>
      <c r="J156" s="1463">
        <f>'Opal Riverside'!J85</f>
        <v>0</v>
      </c>
      <c r="K156" s="1463">
        <f>'Opal Riverside'!K85</f>
        <v>0</v>
      </c>
      <c r="L156" s="1463">
        <f>'Opal Riverside'!L85</f>
        <v>0</v>
      </c>
      <c r="M156" s="1463">
        <f>'Opal Riverside'!M85</f>
        <v>0</v>
      </c>
      <c r="N156" s="1463">
        <f>'Opal Riverside'!N85</f>
        <v>0</v>
      </c>
      <c r="O156" s="1463">
        <f>'Opal Riverside'!O85</f>
        <v>0</v>
      </c>
      <c r="P156" s="1463">
        <f>'Opal Riverside'!P85</f>
        <v>0</v>
      </c>
      <c r="Q156" s="1463">
        <f>'Opal Riverside'!Q85</f>
        <v>0</v>
      </c>
      <c r="R156" s="1463">
        <f>'Opal Riverside'!R85</f>
        <v>0</v>
      </c>
      <c r="S156" s="1463">
        <f>'Opal Riverside'!S85</f>
        <v>0</v>
      </c>
      <c r="T156" s="1463">
        <f>'Opal Riverside'!T85</f>
        <v>0</v>
      </c>
      <c r="U156" s="1463">
        <f>'Opal Riverside'!U85</f>
        <v>0</v>
      </c>
      <c r="V156" s="1463">
        <f>'Opal Riverside'!V85</f>
        <v>0</v>
      </c>
      <c r="W156" s="1463"/>
    </row>
    <row r="157" spans="1:23">
      <c r="A157" s="1431">
        <f t="shared" si="206"/>
        <v>4</v>
      </c>
      <c r="B157" s="1431" t="str">
        <f t="shared" si="205"/>
        <v>Opal Garden</v>
      </c>
      <c r="C157" s="1463">
        <f>'Opal Garden'!C85</f>
        <v>250.93782839999994</v>
      </c>
      <c r="D157" s="1463">
        <f>'Opal Garden'!D85</f>
        <v>0</v>
      </c>
      <c r="E157" s="1463">
        <f>'Opal Garden'!E85</f>
        <v>0</v>
      </c>
      <c r="F157" s="1463">
        <f>'Opal Garden'!F85</f>
        <v>0</v>
      </c>
      <c r="G157" s="1463">
        <f>'Opal Garden'!G85</f>
        <v>0</v>
      </c>
      <c r="H157" s="1463">
        <f>'Opal Garden'!H85</f>
        <v>0</v>
      </c>
      <c r="I157" s="1463">
        <f>'Opal Garden'!I85</f>
        <v>0</v>
      </c>
      <c r="J157" s="1463">
        <f>'Opal Garden'!J85</f>
        <v>250.93782839999994</v>
      </c>
      <c r="K157" s="1463">
        <f>'Opal Garden'!K85</f>
        <v>0</v>
      </c>
      <c r="L157" s="1463">
        <f>'Opal Garden'!L85</f>
        <v>0</v>
      </c>
      <c r="M157" s="1463">
        <f>'Opal Garden'!M85</f>
        <v>0</v>
      </c>
      <c r="N157" s="1463">
        <f>'Opal Garden'!N85</f>
        <v>0</v>
      </c>
      <c r="O157" s="1463">
        <f>'Opal Garden'!O85</f>
        <v>0</v>
      </c>
      <c r="P157" s="1463">
        <f>'Opal Garden'!P85</f>
        <v>0</v>
      </c>
      <c r="Q157" s="1463">
        <f>'Opal Garden'!Q85</f>
        <v>0</v>
      </c>
      <c r="R157" s="1463">
        <f>'Opal Garden'!R85</f>
        <v>0</v>
      </c>
      <c r="S157" s="1463">
        <f>'Opal Garden'!S85</f>
        <v>0</v>
      </c>
      <c r="T157" s="1463">
        <f>'Opal Garden'!T85</f>
        <v>0</v>
      </c>
      <c r="U157" s="1463">
        <f>'Opal Garden'!U85</f>
        <v>0</v>
      </c>
      <c r="V157" s="1463">
        <f>'Opal Garden'!V85</f>
        <v>0</v>
      </c>
      <c r="W157" s="1463"/>
    </row>
    <row r="158" spans="1:23">
      <c r="A158" s="1431">
        <f t="shared" si="206"/>
        <v>5</v>
      </c>
      <c r="B158" s="1431" t="str">
        <f t="shared" si="205"/>
        <v>Gem Sky World Long Thanh</v>
      </c>
      <c r="C158" s="1463">
        <f>'Long Thanh 92ha'!C85</f>
        <v>6760.2157575000001</v>
      </c>
      <c r="D158" s="1463">
        <f>'Long Thanh 92ha'!D85</f>
        <v>0</v>
      </c>
      <c r="E158" s="1463">
        <f>'Long Thanh 92ha'!E85</f>
        <v>0</v>
      </c>
      <c r="F158" s="1463">
        <f>'Long Thanh 92ha'!F85</f>
        <v>0</v>
      </c>
      <c r="G158" s="1463">
        <f>'Long Thanh 92ha'!G85</f>
        <v>0</v>
      </c>
      <c r="H158" s="1463">
        <f>'Long Thanh 92ha'!H85</f>
        <v>0</v>
      </c>
      <c r="I158" s="1463">
        <f>'Long Thanh 92ha'!I85</f>
        <v>0</v>
      </c>
      <c r="J158" s="1463">
        <f>'Long Thanh 92ha'!J85</f>
        <v>0</v>
      </c>
      <c r="K158" s="1463">
        <f>'Long Thanh 92ha'!K85</f>
        <v>0</v>
      </c>
      <c r="L158" s="1463">
        <f>'Long Thanh 92ha'!L85</f>
        <v>1690.053939375</v>
      </c>
      <c r="M158" s="1463">
        <f>'Long Thanh 92ha'!M85</f>
        <v>1014.032363625</v>
      </c>
      <c r="N158" s="1463">
        <f>'Long Thanh 92ha'!N85</f>
        <v>676.02157575000024</v>
      </c>
      <c r="O158" s="1463">
        <f>'Long Thanh 92ha'!O85</f>
        <v>338.01078787500012</v>
      </c>
      <c r="P158" s="1463">
        <f>'Long Thanh 92ha'!P85</f>
        <v>1352.0431515000005</v>
      </c>
      <c r="Q158" s="1463">
        <f>'Long Thanh 92ha'!Q85</f>
        <v>1690.053939375</v>
      </c>
      <c r="R158" s="1463">
        <f>'Long Thanh 92ha'!R85</f>
        <v>0</v>
      </c>
      <c r="S158" s="1463">
        <f>'Long Thanh 92ha'!S85</f>
        <v>0</v>
      </c>
      <c r="T158" s="1463">
        <f>'Long Thanh 92ha'!T85</f>
        <v>0</v>
      </c>
      <c r="U158" s="1463">
        <f>'Long Thanh 92ha'!U85</f>
        <v>0</v>
      </c>
      <c r="V158" s="1463">
        <f>'Long Thanh 92ha'!V85</f>
        <v>0</v>
      </c>
      <c r="W158" s="1463"/>
    </row>
    <row r="159" spans="1:23">
      <c r="A159" s="1431">
        <f t="shared" si="206"/>
        <v>6</v>
      </c>
      <c r="B159" s="1431" t="str">
        <f t="shared" si="205"/>
        <v>Opal Luxury 8.6ha Binh Duong</v>
      </c>
      <c r="C159" s="1463">
        <f>'Opal Luxury 8.6ha BD'!C85</f>
        <v>1641.0139766279999</v>
      </c>
      <c r="D159" s="1463">
        <f>'Opal Luxury 8.6ha BD'!D85</f>
        <v>0</v>
      </c>
      <c r="E159" s="1463">
        <f>'Opal Luxury 8.6ha BD'!E85</f>
        <v>0</v>
      </c>
      <c r="F159" s="1463">
        <f>'Opal Luxury 8.6ha BD'!F85</f>
        <v>0</v>
      </c>
      <c r="G159" s="1463">
        <f>'Opal Luxury 8.6ha BD'!G85</f>
        <v>0</v>
      </c>
      <c r="H159" s="1463">
        <f>'Opal Luxury 8.6ha BD'!H85</f>
        <v>0</v>
      </c>
      <c r="I159" s="1463">
        <f>'Opal Luxury 8.6ha BD'!I85</f>
        <v>0</v>
      </c>
      <c r="J159" s="1463">
        <f>'Opal Luxury 8.6ha BD'!J85</f>
        <v>0</v>
      </c>
      <c r="K159" s="1463">
        <f>'Opal Luxury 8.6ha BD'!K85</f>
        <v>0</v>
      </c>
      <c r="L159" s="1463">
        <f>'Opal Luxury 8.6ha BD'!L85</f>
        <v>0</v>
      </c>
      <c r="M159" s="1463">
        <f>'Opal Luxury 8.6ha BD'!M85</f>
        <v>0</v>
      </c>
      <c r="N159" s="1463">
        <f>'Opal Luxury 8.6ha BD'!N85</f>
        <v>0</v>
      </c>
      <c r="O159" s="1463">
        <f>'Opal Luxury 8.6ha BD'!O85</f>
        <v>0</v>
      </c>
      <c r="P159" s="1463">
        <f>'Opal Luxury 8.6ha BD'!P85</f>
        <v>738.45628948260014</v>
      </c>
      <c r="Q159" s="1463">
        <f>'Opal Luxury 8.6ha BD'!Q85</f>
        <v>541.53461228723972</v>
      </c>
      <c r="R159" s="1463">
        <f>'Opal Luxury 8.6ha BD'!R85</f>
        <v>361.02307485816004</v>
      </c>
      <c r="S159" s="1463">
        <f>'Opal Luxury 8.6ha BD'!S85</f>
        <v>0</v>
      </c>
      <c r="T159" s="1463">
        <f>'Opal Luxury 8.6ha BD'!T85</f>
        <v>0</v>
      </c>
      <c r="U159" s="1463">
        <f>'Opal Luxury 8.6ha BD'!U85</f>
        <v>0</v>
      </c>
      <c r="V159" s="1463">
        <f>'Opal Luxury 8.6ha BD'!V85</f>
        <v>0</v>
      </c>
      <c r="W159" s="1463"/>
    </row>
    <row r="160" spans="1:23">
      <c r="A160" s="1431">
        <f t="shared" si="206"/>
        <v>7</v>
      </c>
      <c r="B160" s="1431" t="str">
        <f t="shared" si="205"/>
        <v>Opal Cityview</v>
      </c>
      <c r="C160" s="1463">
        <f>'Opal Cityview'!C85</f>
        <v>1466.7933639660005</v>
      </c>
      <c r="D160" s="1463">
        <f>'Opal Cityview'!D85</f>
        <v>0</v>
      </c>
      <c r="E160" s="1463">
        <f>'Opal Cityview'!E85</f>
        <v>0</v>
      </c>
      <c r="F160" s="1463">
        <f>'Opal Cityview'!F85</f>
        <v>0</v>
      </c>
      <c r="G160" s="1463">
        <f>'Opal Cityview'!G85</f>
        <v>0</v>
      </c>
      <c r="H160" s="1463">
        <f>'Opal Cityview'!H85</f>
        <v>0</v>
      </c>
      <c r="I160" s="1463">
        <f>'Opal Cityview'!I85</f>
        <v>0</v>
      </c>
      <c r="J160" s="1463">
        <f>'Opal Cityview'!J85</f>
        <v>0</v>
      </c>
      <c r="K160" s="1463">
        <f>'Opal Cityview'!K85</f>
        <v>0</v>
      </c>
      <c r="L160" s="1463">
        <f>'Opal Cityview'!L85</f>
        <v>0</v>
      </c>
      <c r="M160" s="1463">
        <f>'Opal Cityview'!M85</f>
        <v>0</v>
      </c>
      <c r="N160" s="1463">
        <f>'Opal Cityview'!N85</f>
        <v>0</v>
      </c>
      <c r="O160" s="1463">
        <f>'Opal Cityview'!O85</f>
        <v>0</v>
      </c>
      <c r="P160" s="1463">
        <f>'Opal Cityview'!P85</f>
        <v>0</v>
      </c>
      <c r="Q160" s="1463">
        <f>'Opal Cityview'!Q85</f>
        <v>733.39668198300024</v>
      </c>
      <c r="R160" s="1463">
        <f>'Opal Cityview'!R85</f>
        <v>733.39668198300024</v>
      </c>
      <c r="S160" s="1463">
        <f>'Opal Cityview'!S85</f>
        <v>0</v>
      </c>
      <c r="T160" s="1463">
        <f>'Opal Cityview'!T85</f>
        <v>0</v>
      </c>
      <c r="U160" s="1463">
        <f>'Opal Cityview'!U85</f>
        <v>0</v>
      </c>
      <c r="V160" s="1463">
        <f>'Opal Cityview'!V85</f>
        <v>0</v>
      </c>
      <c r="W160" s="1463"/>
    </row>
    <row r="161" spans="1:26">
      <c r="A161" s="1431">
        <f t="shared" si="206"/>
        <v>8</v>
      </c>
      <c r="B161" s="1431" t="str">
        <f t="shared" si="205"/>
        <v>Park View Thuận An 5ha</v>
      </c>
      <c r="C161" s="1463">
        <f>ParkViewThuanAn5ha!C85</f>
        <v>4250</v>
      </c>
      <c r="D161" s="1463">
        <f>ParkViewThuanAn5ha!D85</f>
        <v>0</v>
      </c>
      <c r="E161" s="1463">
        <f>ParkViewThuanAn5ha!E85</f>
        <v>0</v>
      </c>
      <c r="F161" s="1463">
        <f>ParkViewThuanAn5ha!F85</f>
        <v>0</v>
      </c>
      <c r="G161" s="1463">
        <f>ParkViewThuanAn5ha!G85</f>
        <v>0</v>
      </c>
      <c r="H161" s="1463">
        <f>ParkViewThuanAn5ha!H85</f>
        <v>0</v>
      </c>
      <c r="I161" s="1463">
        <f>ParkViewThuanAn5ha!I85</f>
        <v>0</v>
      </c>
      <c r="J161" s="1463">
        <f>ParkViewThuanAn5ha!J85</f>
        <v>0</v>
      </c>
      <c r="K161" s="1463">
        <f>ParkViewThuanAn5ha!K85</f>
        <v>0</v>
      </c>
      <c r="L161" s="1463">
        <f>ParkViewThuanAn5ha!L85</f>
        <v>0</v>
      </c>
      <c r="M161" s="1463">
        <f>ParkViewThuanAn5ha!M85</f>
        <v>0</v>
      </c>
      <c r="N161" s="1463">
        <f>ParkViewThuanAn5ha!N85</f>
        <v>0</v>
      </c>
      <c r="O161" s="1463">
        <f>ParkViewThuanAn5ha!O85</f>
        <v>0</v>
      </c>
      <c r="P161" s="1463">
        <f>ParkViewThuanAn5ha!P85</f>
        <v>0</v>
      </c>
      <c r="Q161" s="1463">
        <f>ParkViewThuanAn5ha!Q85</f>
        <v>0</v>
      </c>
      <c r="R161" s="1463">
        <f>ParkViewThuanAn5ha!R85</f>
        <v>0</v>
      </c>
      <c r="S161" s="1463">
        <f>ParkViewThuanAn5ha!S85</f>
        <v>0</v>
      </c>
      <c r="T161" s="1463">
        <f>ParkViewThuanAn5ha!T85</f>
        <v>0</v>
      </c>
      <c r="U161" s="1463">
        <f>ParkViewThuanAn5ha!U85</f>
        <v>2125</v>
      </c>
      <c r="V161" s="1463">
        <f>ParkViewThuanAn5ha!V85</f>
        <v>2125</v>
      </c>
      <c r="W161" s="1463"/>
    </row>
    <row r="162" spans="1:26">
      <c r="A162" s="1431">
        <f t="shared" si="206"/>
        <v>9</v>
      </c>
      <c r="B162" s="1431" t="str">
        <f t="shared" si="205"/>
        <v>Lux Riverview - Lux Star Quận 7</v>
      </c>
      <c r="C162" s="1463">
        <f>'Lux Riverview Q7'!C85</f>
        <v>1722.9600000000005</v>
      </c>
      <c r="D162" s="1463">
        <f>'Lux Riverview Q7'!D85</f>
        <v>0</v>
      </c>
      <c r="E162" s="1463">
        <f>'Lux Riverview Q7'!E85</f>
        <v>0</v>
      </c>
      <c r="F162" s="1463">
        <f>'Lux Riverview Q7'!F85</f>
        <v>0</v>
      </c>
      <c r="G162" s="1463">
        <f>'Lux Riverview Q7'!G85</f>
        <v>0</v>
      </c>
      <c r="H162" s="1463">
        <f>'Lux Riverview Q7'!H85</f>
        <v>0</v>
      </c>
      <c r="I162" s="1463">
        <f>'Lux Riverview Q7'!I85</f>
        <v>0</v>
      </c>
      <c r="J162" s="1463">
        <f>'Lux Riverview Q7'!J85</f>
        <v>0</v>
      </c>
      <c r="K162" s="1463">
        <f>'Lux Riverview Q7'!K85</f>
        <v>0</v>
      </c>
      <c r="L162" s="1463">
        <f>'Lux Riverview Q7'!L85</f>
        <v>0</v>
      </c>
      <c r="M162" s="1463">
        <f>'Lux Riverview Q7'!M85</f>
        <v>0</v>
      </c>
      <c r="N162" s="1463">
        <f>'Lux Riverview Q7'!N85</f>
        <v>0</v>
      </c>
      <c r="O162" s="1463">
        <f>'Lux Riverview Q7'!O85</f>
        <v>0</v>
      </c>
      <c r="P162" s="1463">
        <f>'Lux Riverview Q7'!P85</f>
        <v>0</v>
      </c>
      <c r="Q162" s="1463">
        <f>'Lux Riverview Q7'!Q85</f>
        <v>0</v>
      </c>
      <c r="R162" s="1463">
        <f>'Lux Riverview Q7'!R85</f>
        <v>0</v>
      </c>
      <c r="S162" s="1463">
        <f>'Lux Riverview Q7'!S85</f>
        <v>0</v>
      </c>
      <c r="T162" s="1463">
        <f>'Lux Riverview Q7'!T85</f>
        <v>0</v>
      </c>
      <c r="U162" s="1463">
        <f>'Lux Riverview Q7'!U85</f>
        <v>0</v>
      </c>
      <c r="V162" s="1463">
        <f>'Lux Riverview Q7'!V85</f>
        <v>861.48000000000025</v>
      </c>
      <c r="W162" s="1463"/>
    </row>
    <row r="163" spans="1:26">
      <c r="A163" s="1431">
        <f t="shared" si="206"/>
        <v>10</v>
      </c>
      <c r="B163" s="1431" t="str">
        <f t="shared" si="205"/>
        <v>Gem Premium Thu Duc (Opal Premium)</v>
      </c>
      <c r="C163" s="1463">
        <f>'Gem Premium'!C85</f>
        <v>35770.966499999995</v>
      </c>
      <c r="D163" s="1463">
        <f>'Gem Premium'!D85</f>
        <v>0</v>
      </c>
      <c r="E163" s="1463">
        <f>'Gem Premium'!E85</f>
        <v>0</v>
      </c>
      <c r="F163" s="1463">
        <f>'Gem Premium'!F85</f>
        <v>0</v>
      </c>
      <c r="G163" s="1463">
        <f>'Gem Premium'!G85</f>
        <v>0</v>
      </c>
      <c r="H163" s="1463">
        <f>'Gem Premium'!H85</f>
        <v>0</v>
      </c>
      <c r="I163" s="1463">
        <f>'Gem Premium'!I85</f>
        <v>0</v>
      </c>
      <c r="J163" s="1463">
        <f>'Gem Premium'!J85</f>
        <v>0</v>
      </c>
      <c r="K163" s="1463">
        <f>'Gem Premium'!K85</f>
        <v>0</v>
      </c>
      <c r="L163" s="1463">
        <f>'Gem Premium'!L85</f>
        <v>0</v>
      </c>
      <c r="M163" s="1463">
        <f>'Gem Premium'!M85</f>
        <v>0</v>
      </c>
      <c r="N163" s="1463">
        <f>'Gem Premium'!N85</f>
        <v>0</v>
      </c>
      <c r="O163" s="1463">
        <f>'Gem Premium'!O85</f>
        <v>0</v>
      </c>
      <c r="P163" s="1463">
        <f>'Gem Premium'!P85</f>
        <v>0</v>
      </c>
      <c r="Q163" s="1463">
        <f>'Gem Premium'!Q85</f>
        <v>0</v>
      </c>
      <c r="R163" s="1463">
        <f>'Gem Premium'!R85</f>
        <v>0</v>
      </c>
      <c r="S163" s="1463">
        <f>'Gem Premium'!S85</f>
        <v>0</v>
      </c>
      <c r="T163" s="1463">
        <f>'Gem Premium'!T85</f>
        <v>0</v>
      </c>
      <c r="U163" s="1463">
        <f>'Gem Premium'!U85</f>
        <v>7154.1933000000008</v>
      </c>
      <c r="V163" s="1463">
        <f>'Gem Premium'!V85</f>
        <v>17885.483249999997</v>
      </c>
      <c r="W163" s="1463"/>
    </row>
    <row r="164" spans="1:26">
      <c r="A164" s="1431">
        <f t="shared" si="206"/>
        <v>11</v>
      </c>
      <c r="B164" s="1431" t="str">
        <f t="shared" si="205"/>
        <v>Gem City Q9 (Opal City old)</v>
      </c>
      <c r="C164" s="1463">
        <f>'Opal City'!C85</f>
        <v>6470.2712681729718</v>
      </c>
      <c r="D164" s="1463">
        <f>'Opal City'!D85</f>
        <v>0</v>
      </c>
      <c r="E164" s="1463">
        <f>'Opal City'!E85</f>
        <v>0</v>
      </c>
      <c r="F164" s="1463">
        <f>'Opal City'!F85</f>
        <v>0</v>
      </c>
      <c r="G164" s="1463">
        <f>'Opal City'!G85</f>
        <v>0</v>
      </c>
      <c r="H164" s="1463">
        <f>'Opal City'!H85</f>
        <v>0</v>
      </c>
      <c r="I164" s="1463">
        <f>'Opal City'!I85</f>
        <v>0</v>
      </c>
      <c r="J164" s="1463">
        <f>'Opal City'!J85</f>
        <v>0</v>
      </c>
      <c r="K164" s="1463">
        <f>'Opal City'!K85</f>
        <v>0</v>
      </c>
      <c r="L164" s="1463">
        <f>'Opal City'!L85</f>
        <v>0</v>
      </c>
      <c r="M164" s="1463">
        <f>'Opal City'!M85</f>
        <v>0</v>
      </c>
      <c r="N164" s="1463">
        <f>'Opal City'!N85</f>
        <v>0</v>
      </c>
      <c r="O164" s="1463">
        <f>'Opal City'!O85</f>
        <v>0</v>
      </c>
      <c r="P164" s="1463">
        <f>'Opal City'!P85</f>
        <v>0</v>
      </c>
      <c r="Q164" s="1463">
        <f>'Opal City'!Q85</f>
        <v>0</v>
      </c>
      <c r="R164" s="1463">
        <f>'Opal City'!R85</f>
        <v>0</v>
      </c>
      <c r="S164" s="1463">
        <f>'Opal City'!S85</f>
        <v>0</v>
      </c>
      <c r="T164" s="1463">
        <f>'Opal City'!T85</f>
        <v>0</v>
      </c>
      <c r="U164" s="1463">
        <f>'Opal City'!U85</f>
        <v>3235.1356340864859</v>
      </c>
      <c r="V164" s="1463">
        <f>'Opal City'!V85</f>
        <v>3235.1356340864859</v>
      </c>
      <c r="W164" s="1463"/>
    </row>
    <row r="165" spans="1:26">
      <c r="A165" s="1431">
        <f t="shared" si="206"/>
        <v>12</v>
      </c>
      <c r="B165" s="1431" t="str">
        <f t="shared" si="205"/>
        <v>Park City Thuận An 10ha</v>
      </c>
      <c r="C165" s="1463">
        <f>ParkCityThuanAn10ha!C85</f>
        <v>3668.4375</v>
      </c>
      <c r="D165" s="1463">
        <f>ParkCityThuanAn10ha!D85</f>
        <v>0</v>
      </c>
      <c r="E165" s="1463">
        <f>ParkCityThuanAn10ha!E85</f>
        <v>0</v>
      </c>
      <c r="F165" s="1463">
        <f>ParkCityThuanAn10ha!F85</f>
        <v>0</v>
      </c>
      <c r="G165" s="1463">
        <f>ParkCityThuanAn10ha!G85</f>
        <v>0</v>
      </c>
      <c r="H165" s="1463">
        <f>ParkCityThuanAn10ha!H85</f>
        <v>0</v>
      </c>
      <c r="I165" s="1463">
        <f>ParkCityThuanAn10ha!I85</f>
        <v>0</v>
      </c>
      <c r="J165" s="1463">
        <f>ParkCityThuanAn10ha!J85</f>
        <v>0</v>
      </c>
      <c r="K165" s="1463">
        <f>ParkCityThuanAn10ha!K85</f>
        <v>0</v>
      </c>
      <c r="L165" s="1463">
        <f>ParkCityThuanAn10ha!L85</f>
        <v>0</v>
      </c>
      <c r="M165" s="1463">
        <f>ParkCityThuanAn10ha!M85</f>
        <v>0</v>
      </c>
      <c r="N165" s="1463">
        <f>ParkCityThuanAn10ha!N85</f>
        <v>0</v>
      </c>
      <c r="O165" s="1463">
        <f>ParkCityThuanAn10ha!O85</f>
        <v>0</v>
      </c>
      <c r="P165" s="1463">
        <f>ParkCityThuanAn10ha!P85</f>
        <v>0</v>
      </c>
      <c r="Q165" s="1463">
        <f>ParkCityThuanAn10ha!Q85</f>
        <v>0</v>
      </c>
      <c r="R165" s="1463">
        <f>ParkCityThuanAn10ha!R85</f>
        <v>0</v>
      </c>
      <c r="S165" s="1463">
        <f>ParkCityThuanAn10ha!S85</f>
        <v>0</v>
      </c>
      <c r="T165" s="1463">
        <f>ParkCityThuanAn10ha!T85</f>
        <v>0</v>
      </c>
      <c r="U165" s="1463">
        <f>ParkCityThuanAn10ha!U85</f>
        <v>1100.53125</v>
      </c>
      <c r="V165" s="1463">
        <f>ParkCityThuanAn10ha!V85</f>
        <v>1100.53125</v>
      </c>
      <c r="W165" s="1463"/>
    </row>
    <row r="166" spans="1:26">
      <c r="A166" s="1431">
        <f t="shared" si="206"/>
        <v>13</v>
      </c>
      <c r="B166" s="1431" t="str">
        <f t="shared" si="205"/>
        <v>Opal Skyline</v>
      </c>
      <c r="C166" s="1463">
        <f>'Opal Skyline'!C86</f>
        <v>952.43020000000001</v>
      </c>
      <c r="D166" s="1463">
        <f>'Opal Skyline'!D86</f>
        <v>0</v>
      </c>
      <c r="E166" s="1463">
        <f>'Opal Skyline'!E86</f>
        <v>0</v>
      </c>
      <c r="F166" s="1463">
        <f>'Opal Skyline'!F86</f>
        <v>0</v>
      </c>
      <c r="G166" s="1463">
        <f>'Opal Skyline'!G86</f>
        <v>0</v>
      </c>
      <c r="H166" s="1463">
        <f>'Opal Skyline'!H86</f>
        <v>0</v>
      </c>
      <c r="I166" s="1463">
        <f>'Opal Skyline'!I86</f>
        <v>0</v>
      </c>
      <c r="J166" s="1463">
        <f>'Opal Skyline'!J86</f>
        <v>0</v>
      </c>
      <c r="K166" s="1463">
        <f>'Opal Skyline'!K86</f>
        <v>0</v>
      </c>
      <c r="L166" s="1463">
        <f>'Opal Skyline'!L86</f>
        <v>0</v>
      </c>
      <c r="M166" s="1463">
        <f>'Opal Skyline'!M86</f>
        <v>0</v>
      </c>
      <c r="N166" s="1463">
        <f>'Opal Skyline'!N86</f>
        <v>571.45811999999989</v>
      </c>
      <c r="O166" s="1463">
        <f>'Opal Skyline'!O86</f>
        <v>380.97208000000001</v>
      </c>
      <c r="P166" s="1463">
        <f>'Opal Skyline'!P86</f>
        <v>0</v>
      </c>
      <c r="Q166" s="1463">
        <f>'Opal Skyline'!Q86</f>
        <v>0</v>
      </c>
      <c r="R166" s="1463">
        <f>'Opal Skyline'!R86</f>
        <v>0</v>
      </c>
      <c r="S166" s="1463">
        <f>'Opal Skyline'!S86</f>
        <v>0</v>
      </c>
      <c r="T166" s="1463">
        <f>'Opal Skyline'!T86</f>
        <v>0</v>
      </c>
      <c r="U166" s="1463">
        <f>'Opal Skyline'!U86</f>
        <v>0</v>
      </c>
      <c r="V166" s="1463">
        <f>'Opal Skyline'!V86</f>
        <v>0</v>
      </c>
      <c r="W166" s="1463"/>
    </row>
    <row r="167" spans="1:26">
      <c r="A167" s="1431">
        <f t="shared" si="206"/>
        <v>14</v>
      </c>
      <c r="B167" s="1431" t="str">
        <f t="shared" si="205"/>
        <v>Prive</v>
      </c>
      <c r="C167" s="1463">
        <f>Prive!C85</f>
        <v>24432.777559499995</v>
      </c>
      <c r="D167" s="1463">
        <f>Prive!D85</f>
        <v>0</v>
      </c>
      <c r="E167" s="1463">
        <f>Prive!E85</f>
        <v>0</v>
      </c>
      <c r="F167" s="1463">
        <f>Prive!F85</f>
        <v>0</v>
      </c>
      <c r="G167" s="1463">
        <f>Prive!G85</f>
        <v>0</v>
      </c>
      <c r="H167" s="1463">
        <f>Prive!H85</f>
        <v>0</v>
      </c>
      <c r="I167" s="1463">
        <f>Prive!I85</f>
        <v>0</v>
      </c>
      <c r="J167" s="1463">
        <f>Prive!J85</f>
        <v>0</v>
      </c>
      <c r="K167" s="1463">
        <f>Prive!K85</f>
        <v>0</v>
      </c>
      <c r="L167" s="1463">
        <f>Prive!L85</f>
        <v>0</v>
      </c>
      <c r="M167" s="1463">
        <f>Prive!M85</f>
        <v>0</v>
      </c>
      <c r="N167" s="1463">
        <f>Prive!N85</f>
        <v>0</v>
      </c>
      <c r="O167" s="1463">
        <f>Prive!O85</f>
        <v>0</v>
      </c>
      <c r="P167" s="1463">
        <f>Prive!P85</f>
        <v>0</v>
      </c>
      <c r="Q167" s="1463">
        <f>Prive!Q85</f>
        <v>0</v>
      </c>
      <c r="R167" s="1463">
        <f>Prive!R85</f>
        <v>9773.1110237999983</v>
      </c>
      <c r="S167" s="1463">
        <f>Prive!S85</f>
        <v>12216.388779749997</v>
      </c>
      <c r="T167" s="1463">
        <f>Prive!T85</f>
        <v>2443.2777559499996</v>
      </c>
      <c r="U167" s="1463">
        <f>Prive!U85</f>
        <v>0</v>
      </c>
      <c r="V167" s="1463">
        <f>Prive!V85</f>
        <v>0</v>
      </c>
      <c r="W167" s="1463"/>
    </row>
    <row r="168" spans="1:26">
      <c r="A168" s="1457"/>
      <c r="B168" s="1432" t="str">
        <f>B151</f>
        <v>Total</v>
      </c>
      <c r="C168" s="1408">
        <f t="shared" ref="C168:M168" si="207">SUM(C154:C167)</f>
        <v>87969.058336630973</v>
      </c>
      <c r="D168" s="1408">
        <f t="shared" si="207"/>
        <v>0</v>
      </c>
      <c r="E168" s="1408">
        <f t="shared" si="207"/>
        <v>0</v>
      </c>
      <c r="F168" s="1408">
        <f t="shared" si="207"/>
        <v>0</v>
      </c>
      <c r="G168" s="1408">
        <f t="shared" si="207"/>
        <v>0</v>
      </c>
      <c r="H168" s="1408">
        <f t="shared" si="207"/>
        <v>113.02541473920007</v>
      </c>
      <c r="I168" s="1408">
        <f t="shared" si="207"/>
        <v>263.72596772480011</v>
      </c>
      <c r="J168" s="1408">
        <f t="shared" si="207"/>
        <v>250.93782839999994</v>
      </c>
      <c r="K168" s="1408">
        <f t="shared" si="207"/>
        <v>0</v>
      </c>
      <c r="L168" s="1408">
        <f t="shared" si="207"/>
        <v>1690.053939375</v>
      </c>
      <c r="M168" s="1408">
        <f t="shared" si="207"/>
        <v>1219.5353636249999</v>
      </c>
      <c r="N168" s="1408">
        <f t="shared" ref="N168:V168" si="208">SUM(N154:N167)</f>
        <v>1247.4796957500002</v>
      </c>
      <c r="O168" s="1408">
        <f t="shared" si="208"/>
        <v>718.98286787500012</v>
      </c>
      <c r="P168" s="1408">
        <f>SUM(P154:P167)</f>
        <v>2090.4994409826004</v>
      </c>
      <c r="Q168" s="1408">
        <f t="shared" si="208"/>
        <v>2964.98523364524</v>
      </c>
      <c r="R168" s="1408">
        <f t="shared" si="208"/>
        <v>10867.530780641158</v>
      </c>
      <c r="S168" s="1408">
        <f t="shared" si="208"/>
        <v>12216.388779749997</v>
      </c>
      <c r="T168" s="1408">
        <f t="shared" si="208"/>
        <v>2443.2777559499996</v>
      </c>
      <c r="U168" s="1408">
        <f t="shared" si="208"/>
        <v>13614.860184086487</v>
      </c>
      <c r="V168" s="1408">
        <f t="shared" si="208"/>
        <v>25207.630134086481</v>
      </c>
      <c r="W168" s="1410"/>
    </row>
    <row r="169" spans="1:26">
      <c r="A169" s="1447"/>
      <c r="C169" s="1410"/>
      <c r="D169" s="1410"/>
      <c r="E169" s="1410"/>
      <c r="F169" s="1410"/>
      <c r="G169" s="1410"/>
      <c r="H169" s="1410"/>
      <c r="I169" s="1410"/>
      <c r="J169" s="1410"/>
      <c r="K169" s="1410"/>
      <c r="L169" s="1410"/>
      <c r="M169" s="1410"/>
      <c r="N169" s="1410"/>
      <c r="O169" s="1410"/>
      <c r="P169" s="1410"/>
      <c r="Q169" s="1410"/>
      <c r="R169" s="1410"/>
      <c r="S169" s="1410"/>
      <c r="T169" s="1410"/>
      <c r="U169" s="1410"/>
      <c r="V169" s="1410"/>
      <c r="W169" s="1410"/>
    </row>
    <row r="170" spans="1:26">
      <c r="B170" s="1407" t="s">
        <v>197</v>
      </c>
      <c r="C170" s="1455" t="str">
        <f>C153</f>
        <v>Total</v>
      </c>
      <c r="D170" s="1455">
        <f t="shared" ref="D170:M170" si="209">D153</f>
        <v>2013</v>
      </c>
      <c r="E170" s="1455">
        <f t="shared" si="209"/>
        <v>2014</v>
      </c>
      <c r="F170" s="1455">
        <f t="shared" si="209"/>
        <v>2015</v>
      </c>
      <c r="G170" s="1455">
        <f t="shared" si="209"/>
        <v>2016</v>
      </c>
      <c r="H170" s="1455">
        <f t="shared" si="209"/>
        <v>2017</v>
      </c>
      <c r="I170" s="1455">
        <f t="shared" si="209"/>
        <v>2018</v>
      </c>
      <c r="J170" s="1455">
        <f t="shared" si="209"/>
        <v>2019</v>
      </c>
      <c r="K170" s="1455">
        <f t="shared" si="209"/>
        <v>2020</v>
      </c>
      <c r="L170" s="1455">
        <f t="shared" si="209"/>
        <v>2021</v>
      </c>
      <c r="M170" s="1455">
        <f t="shared" si="209"/>
        <v>2022</v>
      </c>
      <c r="N170" s="1455">
        <f t="shared" ref="N170:V170" si="210">N153</f>
        <v>2023</v>
      </c>
      <c r="O170" s="1455">
        <f t="shared" si="210"/>
        <v>2024</v>
      </c>
      <c r="P170" s="1455">
        <f t="shared" si="210"/>
        <v>2025</v>
      </c>
      <c r="Q170" s="1455">
        <f t="shared" si="210"/>
        <v>2026</v>
      </c>
      <c r="R170" s="1455">
        <f t="shared" si="210"/>
        <v>2027</v>
      </c>
      <c r="S170" s="1455">
        <f t="shared" si="210"/>
        <v>2028</v>
      </c>
      <c r="T170" s="1455">
        <f t="shared" si="210"/>
        <v>2029</v>
      </c>
      <c r="U170" s="1455">
        <f t="shared" si="210"/>
        <v>2030</v>
      </c>
      <c r="V170" s="1455">
        <f t="shared" si="210"/>
        <v>2031</v>
      </c>
      <c r="W170" s="1455"/>
    </row>
    <row r="171" spans="1:26">
      <c r="A171" s="1431">
        <v>1</v>
      </c>
      <c r="B171" s="1432" t="str">
        <f t="shared" ref="B171:B184" si="211">B154</f>
        <v>Opal Central Park - Thuận An 1.0ha</v>
      </c>
      <c r="C171" s="1658" t="str">
        <f t="shared" ref="C171:M171" si="212">IF(C86&gt;0,C154/C86,"")</f>
        <v/>
      </c>
      <c r="D171" s="1658" t="str">
        <f t="shared" si="212"/>
        <v/>
      </c>
      <c r="E171" s="1658" t="str">
        <f t="shared" si="212"/>
        <v/>
      </c>
      <c r="F171" s="1658" t="str">
        <f t="shared" si="212"/>
        <v/>
      </c>
      <c r="G171" s="1658" t="str">
        <f t="shared" si="212"/>
        <v/>
      </c>
      <c r="H171" s="1658" t="str">
        <f t="shared" si="212"/>
        <v/>
      </c>
      <c r="I171" s="1658" t="str">
        <f t="shared" si="212"/>
        <v/>
      </c>
      <c r="J171" s="1658" t="str">
        <f t="shared" si="212"/>
        <v/>
      </c>
      <c r="K171" s="1658" t="str">
        <f t="shared" si="212"/>
        <v/>
      </c>
      <c r="L171" s="1658" t="str">
        <f t="shared" si="212"/>
        <v/>
      </c>
      <c r="M171" s="1658" t="str">
        <f t="shared" si="212"/>
        <v/>
      </c>
      <c r="N171" s="1658" t="str">
        <f t="shared" ref="N171:V171" si="213">IF(N86&gt;0,N154/N86,"")</f>
        <v/>
      </c>
      <c r="O171" s="1658" t="str">
        <f t="shared" si="213"/>
        <v/>
      </c>
      <c r="P171" s="1658" t="str">
        <f t="shared" si="213"/>
        <v/>
      </c>
      <c r="Q171" s="1658" t="str">
        <f t="shared" si="213"/>
        <v/>
      </c>
      <c r="R171" s="1658" t="str">
        <f t="shared" si="213"/>
        <v/>
      </c>
      <c r="S171" s="1658" t="str">
        <f t="shared" si="213"/>
        <v/>
      </c>
      <c r="T171" s="1658" t="str">
        <f t="shared" si="213"/>
        <v/>
      </c>
      <c r="U171" s="1658" t="str">
        <f t="shared" si="213"/>
        <v/>
      </c>
      <c r="V171" s="1658" t="str">
        <f t="shared" si="213"/>
        <v/>
      </c>
      <c r="W171" s="1417"/>
      <c r="Z171" s="1415"/>
    </row>
    <row r="172" spans="1:26">
      <c r="A172" s="1431">
        <f>A171+1</f>
        <v>2</v>
      </c>
      <c r="B172" s="1431" t="str">
        <f t="shared" si="211"/>
        <v>St Moritz - Opal Skyview</v>
      </c>
      <c r="C172" s="1417">
        <f t="shared" ref="C172:M172" si="214">IF(C87&gt;0,C155/C87,"")</f>
        <v>0.39031908831908829</v>
      </c>
      <c r="D172" s="1417" t="str">
        <f t="shared" si="214"/>
        <v/>
      </c>
      <c r="E172" s="1417" t="str">
        <f t="shared" si="214"/>
        <v/>
      </c>
      <c r="F172" s="1417" t="str">
        <f t="shared" si="214"/>
        <v/>
      </c>
      <c r="G172" s="1417" t="str">
        <f t="shared" si="214"/>
        <v/>
      </c>
      <c r="H172" s="1417" t="str">
        <f t="shared" si="214"/>
        <v/>
      </c>
      <c r="I172" s="1417" t="str">
        <f t="shared" si="214"/>
        <v/>
      </c>
      <c r="J172" s="1417" t="str">
        <f t="shared" si="214"/>
        <v/>
      </c>
      <c r="K172" s="1417" t="str">
        <f t="shared" si="214"/>
        <v/>
      </c>
      <c r="L172" s="1417" t="str">
        <f t="shared" si="214"/>
        <v/>
      </c>
      <c r="M172" s="1417">
        <f t="shared" si="214"/>
        <v>0.39031908831908829</v>
      </c>
      <c r="N172" s="1417" t="str">
        <f t="shared" ref="N172:V172" si="215">IF(N87&gt;0,N155/N87,"")</f>
        <v/>
      </c>
      <c r="O172" s="1417" t="str">
        <f t="shared" si="215"/>
        <v/>
      </c>
      <c r="P172" s="1417" t="str">
        <f t="shared" si="215"/>
        <v/>
      </c>
      <c r="Q172" s="1417" t="str">
        <f t="shared" si="215"/>
        <v/>
      </c>
      <c r="R172" s="1417" t="str">
        <f t="shared" si="215"/>
        <v/>
      </c>
      <c r="S172" s="1417" t="str">
        <f t="shared" si="215"/>
        <v/>
      </c>
      <c r="T172" s="1417" t="str">
        <f t="shared" si="215"/>
        <v/>
      </c>
      <c r="U172" s="1417" t="str">
        <f t="shared" si="215"/>
        <v/>
      </c>
      <c r="V172" s="1417" t="str">
        <f t="shared" si="215"/>
        <v/>
      </c>
      <c r="W172" s="1417"/>
      <c r="Z172" s="1415"/>
    </row>
    <row r="173" spans="1:26">
      <c r="A173" s="1431">
        <f t="shared" ref="A173:A184" si="216">A172+1</f>
        <v>3</v>
      </c>
      <c r="B173" s="1431" t="str">
        <f t="shared" si="211"/>
        <v>Opal Riverside</v>
      </c>
      <c r="C173" s="1417">
        <f t="shared" ref="C173:M173" si="217">IF(C88&gt;0,C156/C88,"")</f>
        <v>0.35160209997001685</v>
      </c>
      <c r="D173" s="1417" t="str">
        <f t="shared" si="217"/>
        <v/>
      </c>
      <c r="E173" s="1417" t="str">
        <f t="shared" si="217"/>
        <v/>
      </c>
      <c r="F173" s="1417" t="str">
        <f t="shared" si="217"/>
        <v/>
      </c>
      <c r="G173" s="1417" t="str">
        <f t="shared" si="217"/>
        <v/>
      </c>
      <c r="H173" s="1417">
        <f t="shared" si="217"/>
        <v>0.35160209997001679</v>
      </c>
      <c r="I173" s="1417">
        <f t="shared" si="217"/>
        <v>0.35160209997001679</v>
      </c>
      <c r="J173" s="1417" t="str">
        <f t="shared" si="217"/>
        <v/>
      </c>
      <c r="K173" s="1417" t="str">
        <f t="shared" si="217"/>
        <v/>
      </c>
      <c r="L173" s="1417" t="str">
        <f t="shared" si="217"/>
        <v/>
      </c>
      <c r="M173" s="1417" t="str">
        <f t="shared" si="217"/>
        <v/>
      </c>
      <c r="N173" s="1417" t="str">
        <f t="shared" ref="N173:V173" si="218">IF(N88&gt;0,N156/N88,"")</f>
        <v/>
      </c>
      <c r="O173" s="1417" t="str">
        <f t="shared" si="218"/>
        <v/>
      </c>
      <c r="P173" s="1417" t="str">
        <f t="shared" si="218"/>
        <v/>
      </c>
      <c r="Q173" s="1417" t="str">
        <f t="shared" si="218"/>
        <v/>
      </c>
      <c r="R173" s="1417" t="str">
        <f t="shared" si="218"/>
        <v/>
      </c>
      <c r="S173" s="1417" t="str">
        <f t="shared" si="218"/>
        <v/>
      </c>
      <c r="T173" s="1417" t="str">
        <f t="shared" si="218"/>
        <v/>
      </c>
      <c r="U173" s="1417" t="str">
        <f t="shared" si="218"/>
        <v/>
      </c>
      <c r="V173" s="1417" t="str">
        <f t="shared" si="218"/>
        <v/>
      </c>
      <c r="W173" s="1417"/>
      <c r="Z173" s="1415"/>
    </row>
    <row r="174" spans="1:26">
      <c r="A174" s="1431">
        <f t="shared" si="216"/>
        <v>4</v>
      </c>
      <c r="B174" s="1431" t="str">
        <f t="shared" si="211"/>
        <v>Opal Garden</v>
      </c>
      <c r="C174" s="1417">
        <f t="shared" ref="C174:M174" si="219">IF(C89&gt;0,C157/C89,"")</f>
        <v>0.36342361564296294</v>
      </c>
      <c r="D174" s="1417" t="str">
        <f t="shared" si="219"/>
        <v/>
      </c>
      <c r="E174" s="1417" t="str">
        <f t="shared" si="219"/>
        <v/>
      </c>
      <c r="F174" s="1417" t="str">
        <f t="shared" si="219"/>
        <v/>
      </c>
      <c r="G174" s="1417" t="str">
        <f t="shared" si="219"/>
        <v/>
      </c>
      <c r="H174" s="1417" t="str">
        <f t="shared" si="219"/>
        <v/>
      </c>
      <c r="I174" s="1417" t="str">
        <f t="shared" si="219"/>
        <v/>
      </c>
      <c r="J174" s="1417">
        <f t="shared" si="219"/>
        <v>0.36342361564296294</v>
      </c>
      <c r="K174" s="1417" t="str">
        <f t="shared" si="219"/>
        <v/>
      </c>
      <c r="L174" s="1417" t="str">
        <f t="shared" si="219"/>
        <v/>
      </c>
      <c r="M174" s="1417" t="str">
        <f t="shared" si="219"/>
        <v/>
      </c>
      <c r="N174" s="1417" t="str">
        <f t="shared" ref="N174:V174" si="220">IF(N89&gt;0,N157/N89,"")</f>
        <v/>
      </c>
      <c r="O174" s="1417" t="str">
        <f t="shared" si="220"/>
        <v/>
      </c>
      <c r="P174" s="1417" t="str">
        <f t="shared" si="220"/>
        <v/>
      </c>
      <c r="Q174" s="1417" t="str">
        <f t="shared" si="220"/>
        <v/>
      </c>
      <c r="R174" s="1417" t="str">
        <f t="shared" si="220"/>
        <v/>
      </c>
      <c r="S174" s="1417" t="str">
        <f t="shared" si="220"/>
        <v/>
      </c>
      <c r="T174" s="1417" t="str">
        <f t="shared" si="220"/>
        <v/>
      </c>
      <c r="U174" s="1417" t="str">
        <f t="shared" si="220"/>
        <v/>
      </c>
      <c r="V174" s="1417" t="str">
        <f t="shared" si="220"/>
        <v/>
      </c>
      <c r="W174" s="1417"/>
      <c r="Z174" s="1415"/>
    </row>
    <row r="175" spans="1:26">
      <c r="A175" s="1431">
        <f t="shared" si="216"/>
        <v>5</v>
      </c>
      <c r="B175" s="1431" t="str">
        <f t="shared" si="211"/>
        <v>Gem Sky World Long Thanh</v>
      </c>
      <c r="C175" s="1417">
        <f t="shared" ref="C175:M175" si="221">IF(C90&gt;0,C158/C90,"")</f>
        <v>0.44646065790086314</v>
      </c>
      <c r="D175" s="1417" t="str">
        <f t="shared" si="221"/>
        <v/>
      </c>
      <c r="E175" s="1417" t="str">
        <f t="shared" si="221"/>
        <v/>
      </c>
      <c r="F175" s="1417" t="str">
        <f t="shared" si="221"/>
        <v/>
      </c>
      <c r="G175" s="1417" t="str">
        <f t="shared" si="221"/>
        <v/>
      </c>
      <c r="H175" s="1417" t="str">
        <f t="shared" si="221"/>
        <v/>
      </c>
      <c r="I175" s="1417" t="str">
        <f t="shared" si="221"/>
        <v/>
      </c>
      <c r="J175" s="1417" t="str">
        <f t="shared" si="221"/>
        <v/>
      </c>
      <c r="K175" s="1417" t="str">
        <f t="shared" si="221"/>
        <v/>
      </c>
      <c r="L175" s="1417">
        <f t="shared" si="221"/>
        <v>0.44646065790086314</v>
      </c>
      <c r="M175" s="1417">
        <f t="shared" si="221"/>
        <v>0.4464606579008632</v>
      </c>
      <c r="N175" s="1417">
        <f t="shared" ref="N175:V175" si="222">IF(N90&gt;0,N158/N90,"")</f>
        <v>0.44646065790086326</v>
      </c>
      <c r="O175" s="1417">
        <f t="shared" si="222"/>
        <v>0.44646065790086326</v>
      </c>
      <c r="P175" s="1417">
        <f t="shared" si="222"/>
        <v>0.44646065790086326</v>
      </c>
      <c r="Q175" s="1417">
        <f t="shared" si="222"/>
        <v>0.44646065790086314</v>
      </c>
      <c r="R175" s="1417" t="str">
        <f t="shared" si="222"/>
        <v/>
      </c>
      <c r="S175" s="1417" t="str">
        <f t="shared" si="222"/>
        <v/>
      </c>
      <c r="T175" s="1417" t="str">
        <f t="shared" si="222"/>
        <v/>
      </c>
      <c r="U175" s="1417" t="str">
        <f t="shared" si="222"/>
        <v/>
      </c>
      <c r="V175" s="1417" t="str">
        <f t="shared" si="222"/>
        <v/>
      </c>
      <c r="W175" s="1417"/>
      <c r="Z175" s="1415"/>
    </row>
    <row r="176" spans="1:26">
      <c r="A176" s="1431">
        <f t="shared" si="216"/>
        <v>6</v>
      </c>
      <c r="B176" s="1431" t="str">
        <f t="shared" si="211"/>
        <v>Opal Luxury 8.6ha Binh Duong</v>
      </c>
      <c r="C176" s="1417">
        <f t="shared" ref="C176:M176" si="223">IF(C91&gt;0,C159/C91,"")</f>
        <v>0.27340242600431863</v>
      </c>
      <c r="D176" s="1417" t="str">
        <f t="shared" si="223"/>
        <v/>
      </c>
      <c r="E176" s="1417" t="str">
        <f t="shared" si="223"/>
        <v/>
      </c>
      <c r="F176" s="1417" t="str">
        <f t="shared" si="223"/>
        <v/>
      </c>
      <c r="G176" s="1417" t="str">
        <f t="shared" si="223"/>
        <v/>
      </c>
      <c r="H176" s="1417" t="str">
        <f t="shared" si="223"/>
        <v/>
      </c>
      <c r="I176" s="1417" t="str">
        <f t="shared" si="223"/>
        <v/>
      </c>
      <c r="J176" s="1417" t="str">
        <f t="shared" si="223"/>
        <v/>
      </c>
      <c r="K176" s="1417" t="str">
        <f t="shared" si="223"/>
        <v/>
      </c>
      <c r="L176" s="1417" t="str">
        <f t="shared" si="223"/>
        <v/>
      </c>
      <c r="M176" s="1417" t="str">
        <f t="shared" si="223"/>
        <v/>
      </c>
      <c r="N176" s="1417" t="str">
        <f t="shared" ref="N176:V176" si="224">IF(N91&gt;0,N159/N91,"")</f>
        <v/>
      </c>
      <c r="O176" s="1417" t="str">
        <f t="shared" si="224"/>
        <v/>
      </c>
      <c r="P176" s="1417">
        <f t="shared" si="224"/>
        <v>0.27340242600431863</v>
      </c>
      <c r="Q176" s="1417">
        <f t="shared" si="224"/>
        <v>0.27340242600431847</v>
      </c>
      <c r="R176" s="1417">
        <f t="shared" si="224"/>
        <v>0.27340242600431863</v>
      </c>
      <c r="S176" s="1417" t="str">
        <f t="shared" si="224"/>
        <v/>
      </c>
      <c r="T176" s="1417" t="str">
        <f t="shared" si="224"/>
        <v/>
      </c>
      <c r="U176" s="1417" t="str">
        <f t="shared" si="224"/>
        <v/>
      </c>
      <c r="V176" s="1417" t="str">
        <f t="shared" si="224"/>
        <v/>
      </c>
      <c r="W176" s="1417"/>
      <c r="Z176" s="1415"/>
    </row>
    <row r="177" spans="1:26">
      <c r="A177" s="1431">
        <f t="shared" si="216"/>
        <v>7</v>
      </c>
      <c r="B177" s="1431" t="str">
        <f t="shared" si="211"/>
        <v>Opal Cityview</v>
      </c>
      <c r="C177" s="1417">
        <f t="shared" ref="C177:M177" si="225">IF(C92&gt;0,C160/C92,"")</f>
        <v>0.43383907312920988</v>
      </c>
      <c r="D177" s="1417" t="str">
        <f t="shared" si="225"/>
        <v/>
      </c>
      <c r="E177" s="1417" t="str">
        <f t="shared" si="225"/>
        <v/>
      </c>
      <c r="F177" s="1417" t="str">
        <f t="shared" si="225"/>
        <v/>
      </c>
      <c r="G177" s="1417" t="str">
        <f t="shared" si="225"/>
        <v/>
      </c>
      <c r="H177" s="1417" t="str">
        <f t="shared" si="225"/>
        <v/>
      </c>
      <c r="I177" s="1417" t="str">
        <f t="shared" si="225"/>
        <v/>
      </c>
      <c r="J177" s="1417" t="str">
        <f t="shared" si="225"/>
        <v/>
      </c>
      <c r="K177" s="1417" t="str">
        <f t="shared" si="225"/>
        <v/>
      </c>
      <c r="L177" s="1417" t="str">
        <f t="shared" si="225"/>
        <v/>
      </c>
      <c r="M177" s="1417" t="str">
        <f t="shared" si="225"/>
        <v/>
      </c>
      <c r="N177" s="1417" t="str">
        <f t="shared" ref="N177:V177" si="226">IF(N92&gt;0,N160/N92,"")</f>
        <v/>
      </c>
      <c r="O177" s="1417" t="str">
        <f t="shared" si="226"/>
        <v/>
      </c>
      <c r="P177" s="1417" t="str">
        <f t="shared" si="226"/>
        <v/>
      </c>
      <c r="Q177" s="1417">
        <f t="shared" si="226"/>
        <v>0.43383907312920988</v>
      </c>
      <c r="R177" s="1417">
        <f t="shared" si="226"/>
        <v>0.43383907312920988</v>
      </c>
      <c r="S177" s="1417" t="str">
        <f t="shared" si="226"/>
        <v/>
      </c>
      <c r="T177" s="1417" t="str">
        <f t="shared" si="226"/>
        <v/>
      </c>
      <c r="U177" s="1417" t="str">
        <f t="shared" si="226"/>
        <v/>
      </c>
      <c r="V177" s="1417" t="str">
        <f t="shared" si="226"/>
        <v/>
      </c>
      <c r="W177" s="1417"/>
      <c r="Z177" s="1415"/>
    </row>
    <row r="178" spans="1:26">
      <c r="A178" s="1431">
        <f t="shared" si="216"/>
        <v>8</v>
      </c>
      <c r="B178" s="1431" t="str">
        <f t="shared" si="211"/>
        <v>Park View Thuận An 5ha</v>
      </c>
      <c r="C178" s="1417">
        <f t="shared" ref="C178:M178" si="227">IF(C93&gt;0,C161/C93,"")</f>
        <v>0.48571428571428571</v>
      </c>
      <c r="D178" s="1417" t="str">
        <f t="shared" si="227"/>
        <v/>
      </c>
      <c r="E178" s="1417" t="str">
        <f t="shared" si="227"/>
        <v/>
      </c>
      <c r="F178" s="1417" t="str">
        <f t="shared" si="227"/>
        <v/>
      </c>
      <c r="G178" s="1417" t="str">
        <f t="shared" si="227"/>
        <v/>
      </c>
      <c r="H178" s="1417" t="str">
        <f t="shared" si="227"/>
        <v/>
      </c>
      <c r="I178" s="1417" t="str">
        <f t="shared" si="227"/>
        <v/>
      </c>
      <c r="J178" s="1417" t="str">
        <f t="shared" si="227"/>
        <v/>
      </c>
      <c r="K178" s="1417" t="str">
        <f t="shared" si="227"/>
        <v/>
      </c>
      <c r="L178" s="1417" t="str">
        <f t="shared" si="227"/>
        <v/>
      </c>
      <c r="M178" s="1417" t="str">
        <f t="shared" si="227"/>
        <v/>
      </c>
      <c r="N178" s="1417" t="str">
        <f t="shared" ref="N178:V178" si="228">IF(N93&gt;0,N161/N93,"")</f>
        <v/>
      </c>
      <c r="O178" s="1417" t="str">
        <f t="shared" si="228"/>
        <v/>
      </c>
      <c r="P178" s="1417" t="str">
        <f t="shared" si="228"/>
        <v/>
      </c>
      <c r="Q178" s="1417" t="str">
        <f t="shared" si="228"/>
        <v/>
      </c>
      <c r="R178" s="1417" t="str">
        <f t="shared" si="228"/>
        <v/>
      </c>
      <c r="S178" s="1417" t="str">
        <f t="shared" si="228"/>
        <v/>
      </c>
      <c r="T178" s="1417" t="str">
        <f t="shared" si="228"/>
        <v/>
      </c>
      <c r="U178" s="1417">
        <f t="shared" si="228"/>
        <v>0.48571428571428571</v>
      </c>
      <c r="V178" s="1417">
        <f t="shared" si="228"/>
        <v>0.48571428571428571</v>
      </c>
      <c r="W178" s="1417"/>
      <c r="Z178" s="1415"/>
    </row>
    <row r="179" spans="1:26">
      <c r="A179" s="1431">
        <f t="shared" si="216"/>
        <v>9</v>
      </c>
      <c r="B179" s="1431" t="str">
        <f t="shared" si="211"/>
        <v>Lux Riverview - Lux Star Quận 7</v>
      </c>
      <c r="C179" s="1417">
        <f t="shared" ref="C179:M179" si="229">IF(C94&gt;0,C162/C94,"")</f>
        <v>0.52786764705882361</v>
      </c>
      <c r="D179" s="1417" t="str">
        <f t="shared" si="229"/>
        <v/>
      </c>
      <c r="E179" s="1417" t="str">
        <f t="shared" si="229"/>
        <v/>
      </c>
      <c r="F179" s="1417" t="str">
        <f t="shared" si="229"/>
        <v/>
      </c>
      <c r="G179" s="1417" t="str">
        <f t="shared" si="229"/>
        <v/>
      </c>
      <c r="H179" s="1417" t="str">
        <f t="shared" si="229"/>
        <v/>
      </c>
      <c r="I179" s="1417" t="str">
        <f t="shared" si="229"/>
        <v/>
      </c>
      <c r="J179" s="1417" t="str">
        <f t="shared" si="229"/>
        <v/>
      </c>
      <c r="K179" s="1417" t="str">
        <f t="shared" si="229"/>
        <v/>
      </c>
      <c r="L179" s="1417" t="str">
        <f t="shared" si="229"/>
        <v/>
      </c>
      <c r="M179" s="1417" t="str">
        <f t="shared" si="229"/>
        <v/>
      </c>
      <c r="N179" s="1417" t="str">
        <f t="shared" ref="N179:V179" si="230">IF(N94&gt;0,N162/N94,"")</f>
        <v/>
      </c>
      <c r="O179" s="1417" t="str">
        <f t="shared" si="230"/>
        <v/>
      </c>
      <c r="P179" s="1417" t="str">
        <f t="shared" si="230"/>
        <v/>
      </c>
      <c r="Q179" s="1417" t="str">
        <f t="shared" si="230"/>
        <v/>
      </c>
      <c r="R179" s="1417" t="str">
        <f t="shared" si="230"/>
        <v/>
      </c>
      <c r="S179" s="1417" t="str">
        <f t="shared" si="230"/>
        <v/>
      </c>
      <c r="T179" s="1417" t="str">
        <f t="shared" si="230"/>
        <v/>
      </c>
      <c r="U179" s="1417" t="str">
        <f t="shared" si="230"/>
        <v/>
      </c>
      <c r="V179" s="1417">
        <f t="shared" si="230"/>
        <v>0.52786764705882361</v>
      </c>
      <c r="W179" s="1417"/>
      <c r="Z179" s="1415"/>
    </row>
    <row r="180" spans="1:26">
      <c r="A180" s="1431">
        <f t="shared" si="216"/>
        <v>10</v>
      </c>
      <c r="B180" s="1431" t="str">
        <f t="shared" si="211"/>
        <v>Gem Premium Thu Duc (Opal Premium)</v>
      </c>
      <c r="C180" s="1417">
        <f t="shared" ref="C180:M180" si="231">IF(C95&gt;0,C163/C95,"")</f>
        <v>0.59463671952922392</v>
      </c>
      <c r="D180" s="1417" t="str">
        <f t="shared" si="231"/>
        <v/>
      </c>
      <c r="E180" s="1417" t="str">
        <f t="shared" si="231"/>
        <v/>
      </c>
      <c r="F180" s="1417" t="str">
        <f t="shared" si="231"/>
        <v/>
      </c>
      <c r="G180" s="1417" t="str">
        <f t="shared" si="231"/>
        <v/>
      </c>
      <c r="H180" s="1417" t="str">
        <f t="shared" si="231"/>
        <v/>
      </c>
      <c r="I180" s="1417" t="str">
        <f t="shared" si="231"/>
        <v/>
      </c>
      <c r="J180" s="1417" t="str">
        <f t="shared" si="231"/>
        <v/>
      </c>
      <c r="K180" s="1417" t="str">
        <f t="shared" si="231"/>
        <v/>
      </c>
      <c r="L180" s="1417" t="str">
        <f t="shared" si="231"/>
        <v/>
      </c>
      <c r="M180" s="1417" t="str">
        <f t="shared" si="231"/>
        <v/>
      </c>
      <c r="N180" s="1417" t="str">
        <f t="shared" ref="N180:V180" si="232">IF(N95&gt;0,N163/N95,"")</f>
        <v/>
      </c>
      <c r="O180" s="1417" t="str">
        <f t="shared" si="232"/>
        <v/>
      </c>
      <c r="P180" s="1417" t="str">
        <f t="shared" si="232"/>
        <v/>
      </c>
      <c r="Q180" s="1417" t="str">
        <f t="shared" si="232"/>
        <v/>
      </c>
      <c r="R180" s="1417" t="str">
        <f t="shared" si="232"/>
        <v/>
      </c>
      <c r="S180" s="1417" t="str">
        <f t="shared" si="232"/>
        <v/>
      </c>
      <c r="T180" s="1417" t="str">
        <f t="shared" si="232"/>
        <v/>
      </c>
      <c r="U180" s="1417">
        <f t="shared" si="232"/>
        <v>0.59463671952922403</v>
      </c>
      <c r="V180" s="1417">
        <f t="shared" si="232"/>
        <v>0.59463671952922392</v>
      </c>
      <c r="W180" s="1417"/>
      <c r="Z180" s="1415"/>
    </row>
    <row r="181" spans="1:26">
      <c r="A181" s="1431">
        <f t="shared" si="216"/>
        <v>11</v>
      </c>
      <c r="B181" s="1431" t="str">
        <f t="shared" si="211"/>
        <v>Gem City Q9 (Opal City old)</v>
      </c>
      <c r="C181" s="1417">
        <f t="shared" ref="C181:M181" si="233">IF(C96&gt;0,C164/C96,"")</f>
        <v>0.52640732252596634</v>
      </c>
      <c r="D181" s="1417" t="str">
        <f t="shared" si="233"/>
        <v/>
      </c>
      <c r="E181" s="1417" t="str">
        <f t="shared" si="233"/>
        <v/>
      </c>
      <c r="F181" s="1417" t="str">
        <f t="shared" si="233"/>
        <v/>
      </c>
      <c r="G181" s="1417" t="str">
        <f t="shared" si="233"/>
        <v/>
      </c>
      <c r="H181" s="1417" t="str">
        <f t="shared" si="233"/>
        <v/>
      </c>
      <c r="I181" s="1417" t="str">
        <f t="shared" si="233"/>
        <v/>
      </c>
      <c r="J181" s="1417" t="str">
        <f t="shared" si="233"/>
        <v/>
      </c>
      <c r="K181" s="1417" t="str">
        <f t="shared" si="233"/>
        <v/>
      </c>
      <c r="L181" s="1417" t="str">
        <f t="shared" si="233"/>
        <v/>
      </c>
      <c r="M181" s="1417" t="str">
        <f t="shared" si="233"/>
        <v/>
      </c>
      <c r="N181" s="1417" t="str">
        <f t="shared" ref="N181:V181" si="234">IF(N96&gt;0,N164/N96,"")</f>
        <v/>
      </c>
      <c r="O181" s="1417" t="str">
        <f t="shared" si="234"/>
        <v/>
      </c>
      <c r="P181" s="1417" t="str">
        <f t="shared" si="234"/>
        <v/>
      </c>
      <c r="Q181" s="1417" t="str">
        <f t="shared" si="234"/>
        <v/>
      </c>
      <c r="R181" s="1417" t="str">
        <f t="shared" si="234"/>
        <v/>
      </c>
      <c r="S181" s="1417" t="str">
        <f t="shared" si="234"/>
        <v/>
      </c>
      <c r="T181" s="1417" t="str">
        <f t="shared" si="234"/>
        <v/>
      </c>
      <c r="U181" s="1417">
        <f t="shared" si="234"/>
        <v>0.52640732252596634</v>
      </c>
      <c r="V181" s="1417">
        <f t="shared" si="234"/>
        <v>0.52640732252596634</v>
      </c>
      <c r="W181" s="1417"/>
      <c r="Z181" s="1415"/>
    </row>
    <row r="182" spans="1:26">
      <c r="A182" s="1431">
        <f t="shared" si="216"/>
        <v>12</v>
      </c>
      <c r="B182" s="1431" t="str">
        <f t="shared" si="211"/>
        <v>Park City Thuận An 10ha</v>
      </c>
      <c r="C182" s="1417">
        <f t="shared" ref="C182:M182" si="235">IF(C97&gt;0,C165/C97,"")</f>
        <v>0.41925000000000001</v>
      </c>
      <c r="D182" s="1417" t="str">
        <f t="shared" si="235"/>
        <v/>
      </c>
      <c r="E182" s="1417" t="str">
        <f t="shared" si="235"/>
        <v/>
      </c>
      <c r="F182" s="1417" t="str">
        <f t="shared" si="235"/>
        <v/>
      </c>
      <c r="G182" s="1417" t="str">
        <f t="shared" si="235"/>
        <v/>
      </c>
      <c r="H182" s="1417" t="str">
        <f t="shared" si="235"/>
        <v/>
      </c>
      <c r="I182" s="1417" t="str">
        <f t="shared" si="235"/>
        <v/>
      </c>
      <c r="J182" s="1417" t="str">
        <f t="shared" si="235"/>
        <v/>
      </c>
      <c r="K182" s="1417" t="str">
        <f t="shared" si="235"/>
        <v/>
      </c>
      <c r="L182" s="1417" t="str">
        <f t="shared" si="235"/>
        <v/>
      </c>
      <c r="M182" s="1417" t="str">
        <f t="shared" si="235"/>
        <v/>
      </c>
      <c r="N182" s="1417" t="str">
        <f t="shared" ref="N182:V182" si="236">IF(N97&gt;0,N165/N97,"")</f>
        <v/>
      </c>
      <c r="O182" s="1417" t="str">
        <f t="shared" si="236"/>
        <v/>
      </c>
      <c r="P182" s="1417" t="str">
        <f t="shared" si="236"/>
        <v/>
      </c>
      <c r="Q182" s="1417" t="str">
        <f t="shared" si="236"/>
        <v/>
      </c>
      <c r="R182" s="1417" t="str">
        <f t="shared" si="236"/>
        <v/>
      </c>
      <c r="S182" s="1417" t="str">
        <f t="shared" si="236"/>
        <v/>
      </c>
      <c r="T182" s="1417" t="str">
        <f t="shared" si="236"/>
        <v/>
      </c>
      <c r="U182" s="1417">
        <f t="shared" si="236"/>
        <v>0.41925000000000001</v>
      </c>
      <c r="V182" s="1417">
        <f t="shared" si="236"/>
        <v>0.41925000000000001</v>
      </c>
      <c r="W182" s="1417"/>
      <c r="Z182" s="1415"/>
    </row>
    <row r="183" spans="1:26">
      <c r="A183" s="1431">
        <f t="shared" si="216"/>
        <v>13</v>
      </c>
      <c r="B183" s="1431" t="str">
        <f t="shared" si="211"/>
        <v>Opal Skyline</v>
      </c>
      <c r="C183" s="1417">
        <f t="shared" ref="C183:M183" si="237">IF(C98&gt;0,C166/C98,"")</f>
        <v>0.39495343147418621</v>
      </c>
      <c r="D183" s="1417" t="str">
        <f t="shared" si="237"/>
        <v/>
      </c>
      <c r="E183" s="1417" t="str">
        <f t="shared" si="237"/>
        <v/>
      </c>
      <c r="F183" s="1417" t="str">
        <f t="shared" si="237"/>
        <v/>
      </c>
      <c r="G183" s="1417" t="str">
        <f t="shared" si="237"/>
        <v/>
      </c>
      <c r="H183" s="1417" t="str">
        <f t="shared" si="237"/>
        <v/>
      </c>
      <c r="I183" s="1417" t="str">
        <f t="shared" si="237"/>
        <v/>
      </c>
      <c r="J183" s="1417" t="str">
        <f t="shared" si="237"/>
        <v/>
      </c>
      <c r="K183" s="1417" t="str">
        <f t="shared" si="237"/>
        <v/>
      </c>
      <c r="L183" s="1417" t="str">
        <f t="shared" si="237"/>
        <v/>
      </c>
      <c r="M183" s="1417" t="str">
        <f t="shared" si="237"/>
        <v/>
      </c>
      <c r="N183" s="1417">
        <f t="shared" ref="N183:V183" si="238">IF(N98&gt;0,N166/N98,"")</f>
        <v>0.39495343147418616</v>
      </c>
      <c r="O183" s="1417">
        <f t="shared" si="238"/>
        <v>0.39495343147418621</v>
      </c>
      <c r="P183" s="1417" t="str">
        <f t="shared" si="238"/>
        <v/>
      </c>
      <c r="Q183" s="1417" t="str">
        <f t="shared" si="238"/>
        <v/>
      </c>
      <c r="R183" s="1417" t="str">
        <f t="shared" si="238"/>
        <v/>
      </c>
      <c r="S183" s="1417" t="str">
        <f t="shared" si="238"/>
        <v/>
      </c>
      <c r="T183" s="1417" t="str">
        <f t="shared" si="238"/>
        <v/>
      </c>
      <c r="U183" s="1417" t="str">
        <f t="shared" si="238"/>
        <v/>
      </c>
      <c r="V183" s="1417" t="str">
        <f t="shared" si="238"/>
        <v/>
      </c>
      <c r="W183" s="1417"/>
      <c r="Z183" s="1415"/>
    </row>
    <row r="184" spans="1:26">
      <c r="A184" s="1431">
        <f t="shared" si="216"/>
        <v>14</v>
      </c>
      <c r="B184" s="1431" t="str">
        <f t="shared" si="211"/>
        <v>Prive</v>
      </c>
      <c r="C184" s="1417">
        <f t="shared" ref="C184:M184" si="239">IF(C99&gt;0,C167/C99,"")</f>
        <v>0.68960417768232674</v>
      </c>
      <c r="D184" s="1417" t="str">
        <f t="shared" si="239"/>
        <v/>
      </c>
      <c r="E184" s="1417" t="str">
        <f t="shared" si="239"/>
        <v/>
      </c>
      <c r="F184" s="1417" t="str">
        <f t="shared" si="239"/>
        <v/>
      </c>
      <c r="G184" s="1417" t="str">
        <f t="shared" si="239"/>
        <v/>
      </c>
      <c r="H184" s="1417" t="str">
        <f t="shared" si="239"/>
        <v/>
      </c>
      <c r="I184" s="1417" t="str">
        <f t="shared" si="239"/>
        <v/>
      </c>
      <c r="J184" s="1417" t="str">
        <f t="shared" si="239"/>
        <v/>
      </c>
      <c r="K184" s="1417" t="str">
        <f t="shared" si="239"/>
        <v/>
      </c>
      <c r="L184" s="1417" t="str">
        <f t="shared" si="239"/>
        <v/>
      </c>
      <c r="M184" s="1417" t="str">
        <f t="shared" si="239"/>
        <v/>
      </c>
      <c r="N184" s="1417" t="str">
        <f t="shared" ref="N184:V184" si="240">IF(N99&gt;0,N167/N99,"")</f>
        <v/>
      </c>
      <c r="O184" s="1417" t="str">
        <f t="shared" si="240"/>
        <v/>
      </c>
      <c r="P184" s="1417" t="str">
        <f t="shared" si="240"/>
        <v/>
      </c>
      <c r="Q184" s="1417" t="str">
        <f t="shared" si="240"/>
        <v/>
      </c>
      <c r="R184" s="1417">
        <f t="shared" si="240"/>
        <v>0.68960417768232674</v>
      </c>
      <c r="S184" s="1417">
        <f t="shared" si="240"/>
        <v>0.68960417768232674</v>
      </c>
      <c r="T184" s="1417">
        <f t="shared" si="240"/>
        <v>0.68960417768232674</v>
      </c>
      <c r="U184" s="1417" t="str">
        <f t="shared" si="240"/>
        <v/>
      </c>
      <c r="V184" s="1417" t="str">
        <f t="shared" si="240"/>
        <v/>
      </c>
      <c r="W184" s="1417"/>
      <c r="Z184" s="1415"/>
    </row>
    <row r="185" spans="1:26">
      <c r="A185" s="1457"/>
      <c r="B185" s="1432" t="str">
        <f>B168</f>
        <v>Total</v>
      </c>
      <c r="C185" s="1658">
        <f t="shared" ref="C185:M185" si="241">IF(C100&gt;0,C168/C100,"")</f>
        <v>0.5572370748619041</v>
      </c>
      <c r="D185" s="1658" t="str">
        <f t="shared" si="241"/>
        <v/>
      </c>
      <c r="E185" s="1658" t="str">
        <f t="shared" si="241"/>
        <v/>
      </c>
      <c r="F185" s="1658" t="str">
        <f t="shared" si="241"/>
        <v/>
      </c>
      <c r="G185" s="1658" t="str">
        <f t="shared" si="241"/>
        <v/>
      </c>
      <c r="H185" s="1658">
        <f t="shared" si="241"/>
        <v>0.35160209997001679</v>
      </c>
      <c r="I185" s="1658">
        <f t="shared" si="241"/>
        <v>0.35160209997001679</v>
      </c>
      <c r="J185" s="1658">
        <f t="shared" si="241"/>
        <v>0.36342361564296294</v>
      </c>
      <c r="K185" s="1658" t="str">
        <f t="shared" si="241"/>
        <v/>
      </c>
      <c r="L185" s="1658">
        <f t="shared" si="241"/>
        <v>0.44646065790086314</v>
      </c>
      <c r="M185" s="1658">
        <f t="shared" si="241"/>
        <v>0.43589562063597631</v>
      </c>
      <c r="N185" s="1658">
        <f t="shared" ref="N185:V185" si="242">IF(N100&gt;0,N168/N100,"")</f>
        <v>0.42129219960153058</v>
      </c>
      <c r="O185" s="1658">
        <f t="shared" si="242"/>
        <v>0.41760303671146332</v>
      </c>
      <c r="P185" s="1658">
        <f t="shared" si="242"/>
        <v>0.36487577925108922</v>
      </c>
      <c r="Q185" s="1658">
        <f t="shared" si="242"/>
        <v>0.39762949368387773</v>
      </c>
      <c r="R185" s="1658">
        <f t="shared" si="242"/>
        <v>0.6324574728980642</v>
      </c>
      <c r="S185" s="1658">
        <f t="shared" si="242"/>
        <v>0.68960417768232674</v>
      </c>
      <c r="T185" s="1658">
        <f t="shared" si="242"/>
        <v>0.68960417768232674</v>
      </c>
      <c r="U185" s="1658">
        <f t="shared" si="242"/>
        <v>0.54076817207778971</v>
      </c>
      <c r="V185" s="1658">
        <f t="shared" si="242"/>
        <v>0.56197175335888205</v>
      </c>
      <c r="W185" s="1417"/>
    </row>
    <row r="187" spans="1:26">
      <c r="B187" s="1407" t="s">
        <v>1799</v>
      </c>
      <c r="C187" s="1455" t="str">
        <f>C153</f>
        <v>Total</v>
      </c>
      <c r="D187" s="1455">
        <f t="shared" ref="D187:M187" si="243">D153</f>
        <v>2013</v>
      </c>
      <c r="E187" s="1455">
        <f t="shared" si="243"/>
        <v>2014</v>
      </c>
      <c r="F187" s="1455">
        <f t="shared" si="243"/>
        <v>2015</v>
      </c>
      <c r="G187" s="1455">
        <f t="shared" si="243"/>
        <v>2016</v>
      </c>
      <c r="H187" s="1455">
        <f t="shared" si="243"/>
        <v>2017</v>
      </c>
      <c r="I187" s="1455">
        <f t="shared" si="243"/>
        <v>2018</v>
      </c>
      <c r="J187" s="1455">
        <f t="shared" si="243"/>
        <v>2019</v>
      </c>
      <c r="K187" s="1455">
        <f t="shared" si="243"/>
        <v>2020</v>
      </c>
      <c r="L187" s="1455">
        <f t="shared" si="243"/>
        <v>2021</v>
      </c>
      <c r="M187" s="1455">
        <f t="shared" si="243"/>
        <v>2022</v>
      </c>
      <c r="N187" s="1455">
        <f t="shared" ref="N187:V187" si="244">N153</f>
        <v>2023</v>
      </c>
      <c r="O187" s="1455">
        <f t="shared" si="244"/>
        <v>2024</v>
      </c>
      <c r="P187" s="1455">
        <f t="shared" si="244"/>
        <v>2025</v>
      </c>
      <c r="Q187" s="1455">
        <f t="shared" si="244"/>
        <v>2026</v>
      </c>
      <c r="R187" s="1455">
        <f t="shared" si="244"/>
        <v>2027</v>
      </c>
      <c r="S187" s="1455">
        <f t="shared" si="244"/>
        <v>2028</v>
      </c>
      <c r="T187" s="1455">
        <f t="shared" si="244"/>
        <v>2029</v>
      </c>
      <c r="U187" s="1455">
        <f t="shared" si="244"/>
        <v>2030</v>
      </c>
      <c r="V187" s="1455">
        <f t="shared" si="244"/>
        <v>2031</v>
      </c>
      <c r="W187" s="1455"/>
    </row>
    <row r="188" spans="1:26">
      <c r="A188" s="1431">
        <v>1</v>
      </c>
      <c r="B188" s="1432" t="str">
        <f t="shared" ref="B188:B201" si="245">B154</f>
        <v>Opal Central Park - Thuận An 1.0ha</v>
      </c>
      <c r="C188" s="1476">
        <f>'Opal Central Park'!C120</f>
        <v>0</v>
      </c>
      <c r="D188" s="1476">
        <f>'Opal Central Park'!D120</f>
        <v>0</v>
      </c>
      <c r="E188" s="1476">
        <f>'Opal Central Park'!E120</f>
        <v>0</v>
      </c>
      <c r="F188" s="1476">
        <f>'Opal Central Park'!F120</f>
        <v>0</v>
      </c>
      <c r="G188" s="1476">
        <f>'Opal Central Park'!G120</f>
        <v>0</v>
      </c>
      <c r="H188" s="1476">
        <f>'Opal Central Park'!H120</f>
        <v>0</v>
      </c>
      <c r="I188" s="1476">
        <f>'Opal Central Park'!I120</f>
        <v>0</v>
      </c>
      <c r="J188" s="1476">
        <f>'Opal Central Park'!J120</f>
        <v>0</v>
      </c>
      <c r="K188" s="1476">
        <f>'Opal Central Park'!K120</f>
        <v>0</v>
      </c>
      <c r="L188" s="1476">
        <f>'Opal Central Park'!L120</f>
        <v>0</v>
      </c>
      <c r="M188" s="1476">
        <f>'Opal Central Park'!M120</f>
        <v>0</v>
      </c>
      <c r="N188" s="1476">
        <f>'Opal Central Park'!N120</f>
        <v>0</v>
      </c>
      <c r="O188" s="1476">
        <f>'Opal Central Park'!O120</f>
        <v>0</v>
      </c>
      <c r="P188" s="1476">
        <f>'Opal Central Park'!P120</f>
        <v>0</v>
      </c>
      <c r="Q188" s="1476">
        <f>'Opal Central Park'!Q120</f>
        <v>0</v>
      </c>
      <c r="R188" s="1476">
        <f>'Opal Central Park'!R120</f>
        <v>0</v>
      </c>
      <c r="S188" s="1476">
        <f>'Opal Central Park'!S120</f>
        <v>0</v>
      </c>
      <c r="T188" s="1476">
        <f>'Opal Central Park'!T120</f>
        <v>0</v>
      </c>
      <c r="U188" s="1476">
        <f>'Opal Central Park'!U120</f>
        <v>0</v>
      </c>
      <c r="V188" s="1476">
        <f>'Opal Central Park'!V120</f>
        <v>0</v>
      </c>
      <c r="W188" s="1463"/>
    </row>
    <row r="189" spans="1:26">
      <c r="A189" s="1431">
        <f>A188+1</f>
        <v>2</v>
      </c>
      <c r="B189" s="1431" t="str">
        <f t="shared" si="245"/>
        <v>St Moritz - Opal Skyview</v>
      </c>
      <c r="C189" s="1463">
        <f>'St Moritz'!C120</f>
        <v>0</v>
      </c>
      <c r="D189" s="1463">
        <f>'St Moritz'!D120</f>
        <v>0</v>
      </c>
      <c r="E189" s="1463">
        <f>'St Moritz'!E120</f>
        <v>0</v>
      </c>
      <c r="F189" s="1463">
        <f>'St Moritz'!F120</f>
        <v>0</v>
      </c>
      <c r="G189" s="1463">
        <f>'St Moritz'!G120</f>
        <v>0</v>
      </c>
      <c r="H189" s="1463">
        <f>'St Moritz'!H120</f>
        <v>0</v>
      </c>
      <c r="I189" s="1463">
        <f>'St Moritz'!I120</f>
        <v>79.162499999999994</v>
      </c>
      <c r="J189" s="1463">
        <f>'St Moritz'!J120</f>
        <v>79.162499999999994</v>
      </c>
      <c r="K189" s="1463">
        <f>'St Moritz'!K120</f>
        <v>158.32499999999999</v>
      </c>
      <c r="L189" s="1463">
        <f>'St Moritz'!L120</f>
        <v>0</v>
      </c>
      <c r="M189" s="1463">
        <f>'St Moritz'!M120</f>
        <v>0</v>
      </c>
      <c r="N189" s="1463">
        <f>'St Moritz'!N120</f>
        <v>0</v>
      </c>
      <c r="O189" s="1463">
        <f>'St Moritz'!O120</f>
        <v>0</v>
      </c>
      <c r="P189" s="1463">
        <f>'St Moritz'!P120</f>
        <v>0</v>
      </c>
      <c r="Q189" s="1463">
        <f>'St Moritz'!Q120</f>
        <v>0</v>
      </c>
      <c r="R189" s="1463">
        <f>'St Moritz'!R120</f>
        <v>0</v>
      </c>
      <c r="S189" s="1463">
        <f>'St Moritz'!S120</f>
        <v>0</v>
      </c>
      <c r="T189" s="1463">
        <f>'St Moritz'!T120</f>
        <v>0</v>
      </c>
      <c r="U189" s="1463">
        <f>'St Moritz'!U120</f>
        <v>0</v>
      </c>
      <c r="V189" s="1463">
        <f>'St Moritz'!V120</f>
        <v>0</v>
      </c>
      <c r="W189" s="1463"/>
    </row>
    <row r="190" spans="1:26">
      <c r="A190" s="1431">
        <f t="shared" ref="A190:A201" si="246">A189+1</f>
        <v>3</v>
      </c>
      <c r="B190" s="1431" t="str">
        <f t="shared" si="245"/>
        <v>Opal Riverside</v>
      </c>
      <c r="C190" s="1463">
        <f>'Opal Riverside'!C120</f>
        <v>0</v>
      </c>
      <c r="D190" s="1463">
        <f>'Opal Riverside'!D120</f>
        <v>0</v>
      </c>
      <c r="E190" s="1463">
        <f>'Opal Riverside'!E120</f>
        <v>0</v>
      </c>
      <c r="F190" s="1463">
        <f>'Opal Riverside'!F120</f>
        <v>0</v>
      </c>
      <c r="G190" s="1463">
        <f>'Opal Riverside'!G120</f>
        <v>357.9619376</v>
      </c>
      <c r="H190" s="1463">
        <f>'Opal Riverside'!H120</f>
        <v>357.9619376</v>
      </c>
      <c r="I190" s="1463">
        <f>'Opal Riverside'!I120</f>
        <v>0</v>
      </c>
      <c r="J190" s="1463">
        <f>'Opal Riverside'!J120</f>
        <v>0</v>
      </c>
      <c r="K190" s="1463">
        <f>'Opal Riverside'!K120</f>
        <v>0</v>
      </c>
      <c r="L190" s="1463">
        <f>'Opal Riverside'!L120</f>
        <v>0</v>
      </c>
      <c r="M190" s="1463">
        <f>'Opal Riverside'!M120</f>
        <v>0</v>
      </c>
      <c r="N190" s="1463">
        <f>'Opal Riverside'!N120</f>
        <v>0</v>
      </c>
      <c r="O190" s="1463">
        <f>'Opal Riverside'!O120</f>
        <v>0</v>
      </c>
      <c r="P190" s="1463">
        <f>'Opal Riverside'!P120</f>
        <v>0</v>
      </c>
      <c r="Q190" s="1463">
        <f>'Opal Riverside'!Q120</f>
        <v>0</v>
      </c>
      <c r="R190" s="1463">
        <f>'Opal Riverside'!R120</f>
        <v>0</v>
      </c>
      <c r="S190" s="1463">
        <f>'Opal Riverside'!S120</f>
        <v>0</v>
      </c>
      <c r="T190" s="1463">
        <f>'Opal Riverside'!T120</f>
        <v>0</v>
      </c>
      <c r="U190" s="1463">
        <f>'Opal Riverside'!U120</f>
        <v>0</v>
      </c>
      <c r="V190" s="1463">
        <f>'Opal Riverside'!V120</f>
        <v>0</v>
      </c>
      <c r="W190" s="1463"/>
    </row>
    <row r="191" spans="1:26">
      <c r="A191" s="1431">
        <f t="shared" si="246"/>
        <v>4</v>
      </c>
      <c r="B191" s="1431" t="str">
        <f t="shared" si="245"/>
        <v>Opal Garden</v>
      </c>
      <c r="C191" s="1463">
        <f>'Opal Garden'!C120</f>
        <v>0</v>
      </c>
      <c r="D191" s="1463">
        <f>'Opal Garden'!D120</f>
        <v>0</v>
      </c>
      <c r="E191" s="1463">
        <f>'Opal Garden'!E120</f>
        <v>0</v>
      </c>
      <c r="F191" s="1463">
        <f>'Opal Garden'!F120</f>
        <v>0</v>
      </c>
      <c r="G191" s="1463">
        <f>'Opal Garden'!G120</f>
        <v>227.20881</v>
      </c>
      <c r="H191" s="1463">
        <f>'Opal Garden'!H120</f>
        <v>227.20881</v>
      </c>
      <c r="I191" s="1463">
        <f>'Opal Garden'!I120</f>
        <v>0</v>
      </c>
      <c r="J191" s="1463">
        <f>'Opal Garden'!J120</f>
        <v>0</v>
      </c>
      <c r="K191" s="1463">
        <f>'Opal Garden'!K120</f>
        <v>0</v>
      </c>
      <c r="L191" s="1463">
        <f>'Opal Garden'!L120</f>
        <v>0</v>
      </c>
      <c r="M191" s="1463">
        <f>'Opal Garden'!M120</f>
        <v>0</v>
      </c>
      <c r="N191" s="1463">
        <f>'Opal Garden'!N120</f>
        <v>0</v>
      </c>
      <c r="O191" s="1463">
        <f>'Opal Garden'!O120</f>
        <v>0</v>
      </c>
      <c r="P191" s="1463">
        <f>'Opal Garden'!P120</f>
        <v>0</v>
      </c>
      <c r="Q191" s="1463">
        <f>'Opal Garden'!Q120</f>
        <v>0</v>
      </c>
      <c r="R191" s="1463">
        <f>'Opal Garden'!R120</f>
        <v>0</v>
      </c>
      <c r="S191" s="1463">
        <f>'Opal Garden'!S120</f>
        <v>0</v>
      </c>
      <c r="T191" s="1463">
        <f>'Opal Garden'!T120</f>
        <v>0</v>
      </c>
      <c r="U191" s="1463">
        <f>'Opal Garden'!U120</f>
        <v>0</v>
      </c>
      <c r="V191" s="1463">
        <f>'Opal Garden'!V120</f>
        <v>0</v>
      </c>
      <c r="W191" s="1463"/>
    </row>
    <row r="192" spans="1:26">
      <c r="A192" s="1431">
        <f t="shared" si="246"/>
        <v>5</v>
      </c>
      <c r="B192" s="1431" t="str">
        <f t="shared" si="245"/>
        <v>Gem Sky World Long Thanh</v>
      </c>
      <c r="C192" s="1463">
        <f>'Long Thanh 92ha'!C120</f>
        <v>0</v>
      </c>
      <c r="D192" s="1463">
        <f>'Long Thanh 92ha'!D120</f>
        <v>0</v>
      </c>
      <c r="E192" s="1463">
        <f>'Long Thanh 92ha'!E120</f>
        <v>0</v>
      </c>
      <c r="F192" s="1463">
        <f>'Long Thanh 92ha'!F120</f>
        <v>0</v>
      </c>
      <c r="G192" s="1463">
        <f>'Long Thanh 92ha'!G120</f>
        <v>0</v>
      </c>
      <c r="H192" s="1463">
        <f>'Long Thanh 92ha'!H120</f>
        <v>0</v>
      </c>
      <c r="I192" s="1463">
        <f>'Long Thanh 92ha'!I120</f>
        <v>0</v>
      </c>
      <c r="J192" s="1463">
        <f>'Long Thanh 92ha'!J120</f>
        <v>4951.7692499999994</v>
      </c>
      <c r="K192" s="1463">
        <f>'Long Thanh 92ha'!K120</f>
        <v>4951.7692499999994</v>
      </c>
      <c r="L192" s="1463">
        <f>'Long Thanh 92ha'!L120</f>
        <v>4951.7692499999994</v>
      </c>
      <c r="M192" s="1463">
        <f>'Long Thanh 92ha'!M120</f>
        <v>3301.1794999999993</v>
      </c>
      <c r="N192" s="1463">
        <f>'Long Thanh 92ha'!N120</f>
        <v>1650.5897499999994</v>
      </c>
      <c r="O192" s="1463">
        <f>'Long Thanh 92ha'!O120</f>
        <v>0</v>
      </c>
      <c r="P192" s="1463">
        <f>'Long Thanh 92ha'!P120</f>
        <v>0</v>
      </c>
      <c r="Q192" s="1463">
        <f>'Long Thanh 92ha'!Q120</f>
        <v>0</v>
      </c>
      <c r="R192" s="1463">
        <f>'Long Thanh 92ha'!R120</f>
        <v>0</v>
      </c>
      <c r="S192" s="1463">
        <f>'Long Thanh 92ha'!S120</f>
        <v>0</v>
      </c>
      <c r="T192" s="1463">
        <f>'Long Thanh 92ha'!T120</f>
        <v>0</v>
      </c>
      <c r="U192" s="1463">
        <f>'Long Thanh 92ha'!U120</f>
        <v>0</v>
      </c>
      <c r="V192" s="1463">
        <f>'Long Thanh 92ha'!V120</f>
        <v>0</v>
      </c>
      <c r="W192" s="1463"/>
    </row>
    <row r="193" spans="1:23">
      <c r="A193" s="1431">
        <f t="shared" si="246"/>
        <v>6</v>
      </c>
      <c r="B193" s="1431" t="str">
        <f t="shared" si="245"/>
        <v>Opal Luxury 8.6ha Binh Duong</v>
      </c>
      <c r="C193" s="1463">
        <f>'Opal Luxury 8.6ha BD'!C120</f>
        <v>0</v>
      </c>
      <c r="D193" s="1463">
        <f>'Opal Luxury 8.6ha BD'!D120</f>
        <v>0</v>
      </c>
      <c r="E193" s="1463">
        <f>'Opal Luxury 8.6ha BD'!E120</f>
        <v>0</v>
      </c>
      <c r="F193" s="1463">
        <f>'Opal Luxury 8.6ha BD'!F120</f>
        <v>0</v>
      </c>
      <c r="G193" s="1463">
        <f>'Opal Luxury 8.6ha BD'!G120</f>
        <v>0</v>
      </c>
      <c r="H193" s="1463">
        <f>'Opal Luxury 8.6ha BD'!H120</f>
        <v>0</v>
      </c>
      <c r="I193" s="1463">
        <f>'Opal Luxury 8.6ha BD'!I120</f>
        <v>0</v>
      </c>
      <c r="J193" s="1463">
        <f>'Opal Luxury 8.6ha BD'!J120</f>
        <v>0</v>
      </c>
      <c r="K193" s="1463">
        <f>'Opal Luxury 8.6ha BD'!K120</f>
        <v>0</v>
      </c>
      <c r="L193" s="1463">
        <f>'Opal Luxury 8.6ha BD'!L120</f>
        <v>0</v>
      </c>
      <c r="M193" s="1463">
        <f>'Opal Luxury 8.6ha BD'!M120</f>
        <v>313.51644335999998</v>
      </c>
      <c r="N193" s="1463">
        <f>'Opal Luxury 8.6ha BD'!N120</f>
        <v>1254.0657734399999</v>
      </c>
      <c r="O193" s="1463">
        <f>'Opal Luxury 8.6ha BD'!O120</f>
        <v>1567.5822168</v>
      </c>
      <c r="P193" s="1463">
        <f>'Opal Luxury 8.6ha BD'!P120</f>
        <v>783.79110839999998</v>
      </c>
      <c r="Q193" s="1463">
        <f>'Opal Luxury 8.6ha BD'!Q120</f>
        <v>0</v>
      </c>
      <c r="R193" s="1463">
        <f>'Opal Luxury 8.6ha BD'!R120</f>
        <v>0</v>
      </c>
      <c r="S193" s="1463">
        <f>'Opal Luxury 8.6ha BD'!S120</f>
        <v>0</v>
      </c>
      <c r="T193" s="1463">
        <f>'Opal Luxury 8.6ha BD'!T120</f>
        <v>0</v>
      </c>
      <c r="U193" s="1463">
        <f>'Opal Luxury 8.6ha BD'!U120</f>
        <v>0</v>
      </c>
      <c r="V193" s="1463">
        <f>'Opal Luxury 8.6ha BD'!V120</f>
        <v>0</v>
      </c>
      <c r="W193" s="1463"/>
    </row>
    <row r="194" spans="1:23">
      <c r="A194" s="1431">
        <f t="shared" si="246"/>
        <v>7</v>
      </c>
      <c r="B194" s="1431" t="str">
        <f t="shared" si="245"/>
        <v>Opal Cityview</v>
      </c>
      <c r="C194" s="1463">
        <f>'Opal Cityview'!C120</f>
        <v>0</v>
      </c>
      <c r="D194" s="1463">
        <f>'Opal Cityview'!D120</f>
        <v>0</v>
      </c>
      <c r="E194" s="1463">
        <f>'Opal Cityview'!E120</f>
        <v>0</v>
      </c>
      <c r="F194" s="1463">
        <f>'Opal Cityview'!F120</f>
        <v>0</v>
      </c>
      <c r="G194" s="1463">
        <f>'Opal Cityview'!G120</f>
        <v>0</v>
      </c>
      <c r="H194" s="1463">
        <f>'Opal Cityview'!H120</f>
        <v>0</v>
      </c>
      <c r="I194" s="1463">
        <f>'Opal Cityview'!I120</f>
        <v>0</v>
      </c>
      <c r="J194" s="1463">
        <f>'Opal Cityview'!J120</f>
        <v>0</v>
      </c>
      <c r="K194" s="1463">
        <f>'Opal Cityview'!K120</f>
        <v>0</v>
      </c>
      <c r="L194" s="1463">
        <f>'Opal Cityview'!L120</f>
        <v>0</v>
      </c>
      <c r="M194" s="1463">
        <f>'Opal Cityview'!M120</f>
        <v>0</v>
      </c>
      <c r="N194" s="1463">
        <f>'Opal Cityview'!N120</f>
        <v>0</v>
      </c>
      <c r="O194" s="1463">
        <f>'Opal Cityview'!O120</f>
        <v>1056.4173309</v>
      </c>
      <c r="P194" s="1463">
        <f>'Opal Cityview'!P120</f>
        <v>528.20866545000001</v>
      </c>
      <c r="Q194" s="1463">
        <f>'Opal Cityview'!Q120</f>
        <v>0</v>
      </c>
      <c r="R194" s="1463">
        <f>'Opal Cityview'!R120</f>
        <v>0</v>
      </c>
      <c r="S194" s="1463">
        <f>'Opal Cityview'!S120</f>
        <v>0</v>
      </c>
      <c r="T194" s="1463">
        <f>'Opal Cityview'!T120</f>
        <v>0</v>
      </c>
      <c r="U194" s="1463">
        <f>'Opal Cityview'!U120</f>
        <v>0</v>
      </c>
      <c r="V194" s="1463">
        <f>'Opal Cityview'!V120</f>
        <v>0</v>
      </c>
      <c r="W194" s="1463"/>
    </row>
    <row r="195" spans="1:23">
      <c r="A195" s="1431">
        <f t="shared" si="246"/>
        <v>8</v>
      </c>
      <c r="B195" s="1431" t="str">
        <f t="shared" si="245"/>
        <v>Park View Thuận An 5ha</v>
      </c>
      <c r="C195" s="1463">
        <f>ParkViewThuanAn5ha!C120</f>
        <v>0</v>
      </c>
      <c r="D195" s="1463">
        <f>ParkViewThuanAn5ha!D120</f>
        <v>0</v>
      </c>
      <c r="E195" s="1463">
        <f>ParkViewThuanAn5ha!E120</f>
        <v>0</v>
      </c>
      <c r="F195" s="1463">
        <f>ParkViewThuanAn5ha!F120</f>
        <v>0</v>
      </c>
      <c r="G195" s="1463">
        <f>ParkViewThuanAn5ha!G120</f>
        <v>0</v>
      </c>
      <c r="H195" s="1463">
        <f>ParkViewThuanAn5ha!H120</f>
        <v>0</v>
      </c>
      <c r="I195" s="1463">
        <f>ParkViewThuanAn5ha!I120</f>
        <v>0</v>
      </c>
      <c r="J195" s="1463">
        <f>ParkViewThuanAn5ha!J120</f>
        <v>0</v>
      </c>
      <c r="K195" s="1463">
        <f>ParkViewThuanAn5ha!K120</f>
        <v>0</v>
      </c>
      <c r="L195" s="1463">
        <f>ParkViewThuanAn5ha!L120</f>
        <v>0</v>
      </c>
      <c r="M195" s="1463">
        <f>ParkViewThuanAn5ha!M120</f>
        <v>0</v>
      </c>
      <c r="N195" s="1463">
        <f>ParkViewThuanAn5ha!N120</f>
        <v>0</v>
      </c>
      <c r="O195" s="1463">
        <f>ParkViewThuanAn5ha!O120</f>
        <v>0</v>
      </c>
      <c r="P195" s="1463">
        <f>ParkViewThuanAn5ha!P120</f>
        <v>0</v>
      </c>
      <c r="Q195" s="1463">
        <f>ParkViewThuanAn5ha!Q120</f>
        <v>0</v>
      </c>
      <c r="R195" s="1463">
        <f>ParkViewThuanAn5ha!R120</f>
        <v>2862.5</v>
      </c>
      <c r="S195" s="1463">
        <f>ParkViewThuanAn5ha!S120</f>
        <v>2862.5</v>
      </c>
      <c r="T195" s="1463">
        <f>ParkViewThuanAn5ha!T120</f>
        <v>1908.3333333333335</v>
      </c>
      <c r="U195" s="1463">
        <f>ParkViewThuanAn5ha!U120</f>
        <v>954.16666666666686</v>
      </c>
      <c r="V195" s="1463">
        <f>ParkViewThuanAn5ha!V120</f>
        <v>0</v>
      </c>
      <c r="W195" s="1463"/>
    </row>
    <row r="196" spans="1:23">
      <c r="A196" s="1431">
        <f t="shared" si="246"/>
        <v>9</v>
      </c>
      <c r="B196" s="1431" t="str">
        <f t="shared" si="245"/>
        <v>Lux Riverview - Lux Star Quận 7</v>
      </c>
      <c r="C196" s="1463">
        <f>'Lux Riverview Q7'!C120</f>
        <v>0</v>
      </c>
      <c r="D196" s="1463">
        <f>'Lux Riverview Q7'!D120</f>
        <v>0</v>
      </c>
      <c r="E196" s="1463">
        <f>'Lux Riverview Q7'!E120</f>
        <v>0</v>
      </c>
      <c r="F196" s="1463">
        <f>'Lux Riverview Q7'!F120</f>
        <v>0</v>
      </c>
      <c r="G196" s="1463">
        <f>'Lux Riverview Q7'!G120</f>
        <v>0</v>
      </c>
      <c r="H196" s="1463">
        <f>'Lux Riverview Q7'!H120</f>
        <v>0</v>
      </c>
      <c r="I196" s="1463">
        <f>'Lux Riverview Q7'!I120</f>
        <v>0</v>
      </c>
      <c r="J196" s="1463">
        <f>'Lux Riverview Q7'!J120</f>
        <v>0</v>
      </c>
      <c r="K196" s="1463">
        <f>'Lux Riverview Q7'!K120</f>
        <v>0</v>
      </c>
      <c r="L196" s="1463">
        <f>'Lux Riverview Q7'!L120</f>
        <v>0</v>
      </c>
      <c r="M196" s="1463">
        <f>'Lux Riverview Q7'!M120</f>
        <v>0</v>
      </c>
      <c r="N196" s="1463">
        <f>'Lux Riverview Q7'!N120</f>
        <v>0</v>
      </c>
      <c r="O196" s="1463">
        <f>'Lux Riverview Q7'!O120</f>
        <v>0</v>
      </c>
      <c r="P196" s="1463">
        <f>'Lux Riverview Q7'!P120</f>
        <v>0</v>
      </c>
      <c r="Q196" s="1463">
        <f>'Lux Riverview Q7'!Q120</f>
        <v>0</v>
      </c>
      <c r="R196" s="1463">
        <f>'Lux Riverview Q7'!R120</f>
        <v>0</v>
      </c>
      <c r="S196" s="1463">
        <f>'Lux Riverview Q7'!S120</f>
        <v>999</v>
      </c>
      <c r="T196" s="1463">
        <f>'Lux Riverview Q7'!T120</f>
        <v>999</v>
      </c>
      <c r="U196" s="1463">
        <f>'Lux Riverview Q7'!U120</f>
        <v>499.5</v>
      </c>
      <c r="V196" s="1463">
        <f>'Lux Riverview Q7'!V120</f>
        <v>0</v>
      </c>
      <c r="W196" s="1463"/>
    </row>
    <row r="197" spans="1:23">
      <c r="A197" s="1431">
        <f t="shared" si="246"/>
        <v>10</v>
      </c>
      <c r="B197" s="1431" t="str">
        <f t="shared" si="245"/>
        <v>Gem Premium Thu Duc (Opal Premium)</v>
      </c>
      <c r="C197" s="1463">
        <f>'Gem Premium'!C120</f>
        <v>0</v>
      </c>
      <c r="D197" s="1463">
        <f>'Gem Premium'!D120</f>
        <v>0</v>
      </c>
      <c r="E197" s="1463">
        <f>'Gem Premium'!E120</f>
        <v>0</v>
      </c>
      <c r="F197" s="1463">
        <f>'Gem Premium'!F120</f>
        <v>0</v>
      </c>
      <c r="G197" s="1463">
        <f>'Gem Premium'!G120</f>
        <v>0</v>
      </c>
      <c r="H197" s="1463">
        <f>'Gem Premium'!H120</f>
        <v>0</v>
      </c>
      <c r="I197" s="1463">
        <f>'Gem Premium'!I120</f>
        <v>0</v>
      </c>
      <c r="J197" s="1463">
        <f>'Gem Premium'!J120</f>
        <v>0</v>
      </c>
      <c r="K197" s="1463">
        <f>'Gem Premium'!K120</f>
        <v>0</v>
      </c>
      <c r="L197" s="1463">
        <f>'Gem Premium'!L120</f>
        <v>0</v>
      </c>
      <c r="M197" s="1463">
        <f>'Gem Premium'!M120</f>
        <v>0</v>
      </c>
      <c r="N197" s="1463">
        <f>'Gem Premium'!N120</f>
        <v>0</v>
      </c>
      <c r="O197" s="1463">
        <f>'Gem Premium'!O120</f>
        <v>0</v>
      </c>
      <c r="P197" s="1463">
        <f>'Gem Premium'!P120</f>
        <v>6668.35</v>
      </c>
      <c r="Q197" s="1463">
        <f>'Gem Premium'!Q120</f>
        <v>13336.7</v>
      </c>
      <c r="R197" s="1463">
        <f>'Gem Premium'!R120</f>
        <v>13336.7</v>
      </c>
      <c r="S197" s="1463">
        <f>'Gem Premium'!S120</f>
        <v>8891.133333333335</v>
      </c>
      <c r="T197" s="1463">
        <f>'Gem Premium'!T120</f>
        <v>4445.5666666666684</v>
      </c>
      <c r="U197" s="1463">
        <f>'Gem Premium'!U120</f>
        <v>0</v>
      </c>
      <c r="V197" s="1463">
        <f>'Gem Premium'!V120</f>
        <v>-4445.5666666666666</v>
      </c>
      <c r="W197" s="1463"/>
    </row>
    <row r="198" spans="1:23">
      <c r="A198" s="1431">
        <f t="shared" si="246"/>
        <v>11</v>
      </c>
      <c r="B198" s="1431" t="str">
        <f t="shared" si="245"/>
        <v>Gem City Q9 (Opal City old)</v>
      </c>
      <c r="C198" s="1463">
        <f>'Opal City'!C120</f>
        <v>0</v>
      </c>
      <c r="D198" s="1463">
        <f>'Opal City'!D120</f>
        <v>0</v>
      </c>
      <c r="E198" s="1463">
        <f>'Opal City'!E120</f>
        <v>0</v>
      </c>
      <c r="F198" s="1463">
        <f>'Opal City'!F120</f>
        <v>0</v>
      </c>
      <c r="G198" s="1463">
        <f>'Opal City'!G120</f>
        <v>0</v>
      </c>
      <c r="H198" s="1463">
        <f>'Opal City'!H120</f>
        <v>0</v>
      </c>
      <c r="I198" s="1463">
        <f>'Opal City'!I120</f>
        <v>0</v>
      </c>
      <c r="J198" s="1463">
        <f>'Opal City'!J120</f>
        <v>0</v>
      </c>
      <c r="K198" s="1463">
        <f>'Opal City'!K120</f>
        <v>0</v>
      </c>
      <c r="L198" s="1463">
        <f>'Opal City'!L120</f>
        <v>0</v>
      </c>
      <c r="M198" s="1463">
        <f>'Opal City'!M120</f>
        <v>0</v>
      </c>
      <c r="N198" s="1463">
        <f>'Opal City'!N120</f>
        <v>0</v>
      </c>
      <c r="O198" s="1463">
        <f>'Opal City'!O120</f>
        <v>0</v>
      </c>
      <c r="P198" s="1463">
        <f>'Opal City'!P120</f>
        <v>0</v>
      </c>
      <c r="Q198" s="1463">
        <f>'Opal City'!Q120</f>
        <v>0</v>
      </c>
      <c r="R198" s="1463">
        <f>'Opal City'!R120</f>
        <v>1577.8032223563832</v>
      </c>
      <c r="S198" s="1463">
        <f>'Opal City'!S120</f>
        <v>3155.6064447127665</v>
      </c>
      <c r="T198" s="1463">
        <f>'Opal City'!T120</f>
        <v>1577.8032223563832</v>
      </c>
      <c r="U198" s="1463">
        <f>'Opal City'!U120</f>
        <v>0</v>
      </c>
      <c r="V198" s="1463">
        <f>'Opal City'!V120</f>
        <v>0</v>
      </c>
      <c r="W198" s="1463"/>
    </row>
    <row r="199" spans="1:23">
      <c r="A199" s="1431">
        <f t="shared" si="246"/>
        <v>12</v>
      </c>
      <c r="B199" s="1431" t="str">
        <f t="shared" si="245"/>
        <v>Park City Thuận An 10ha</v>
      </c>
      <c r="C199" s="1463">
        <f>ParkCityThuanAn10ha!C120</f>
        <v>0</v>
      </c>
      <c r="D199" s="1463">
        <f>ParkCityThuanAn10ha!D120</f>
        <v>0</v>
      </c>
      <c r="E199" s="1463">
        <f>ParkCityThuanAn10ha!E120</f>
        <v>0</v>
      </c>
      <c r="F199" s="1463">
        <f>ParkCityThuanAn10ha!F120</f>
        <v>0</v>
      </c>
      <c r="G199" s="1463">
        <f>ParkCityThuanAn10ha!G120</f>
        <v>0</v>
      </c>
      <c r="H199" s="1463">
        <f>ParkCityThuanAn10ha!H120</f>
        <v>0</v>
      </c>
      <c r="I199" s="1463">
        <f>ParkCityThuanAn10ha!I120</f>
        <v>0</v>
      </c>
      <c r="J199" s="1463">
        <f>ParkCityThuanAn10ha!J120</f>
        <v>0</v>
      </c>
      <c r="K199" s="1463">
        <f>ParkCityThuanAn10ha!K120</f>
        <v>0</v>
      </c>
      <c r="L199" s="1463">
        <f>ParkCityThuanAn10ha!L120</f>
        <v>0</v>
      </c>
      <c r="M199" s="1463">
        <f>ParkCityThuanAn10ha!M120</f>
        <v>0</v>
      </c>
      <c r="N199" s="1463">
        <f>ParkCityThuanAn10ha!N120</f>
        <v>0</v>
      </c>
      <c r="O199" s="1463">
        <f>ParkCityThuanAn10ha!O120</f>
        <v>0</v>
      </c>
      <c r="P199" s="1463">
        <f>ParkCityThuanAn10ha!P120</f>
        <v>0</v>
      </c>
      <c r="Q199" s="1463">
        <f>ParkCityThuanAn10ha!Q120</f>
        <v>0</v>
      </c>
      <c r="R199" s="1463">
        <f>ParkCityThuanAn10ha!R120</f>
        <v>0</v>
      </c>
      <c r="S199" s="1463">
        <f>ParkCityThuanAn10ha!S120</f>
        <v>2712.5</v>
      </c>
      <c r="T199" s="1463">
        <f>ParkCityThuanAn10ha!T120</f>
        <v>1356.25</v>
      </c>
      <c r="U199" s="1463">
        <f>ParkCityThuanAn10ha!U120</f>
        <v>0</v>
      </c>
      <c r="V199" s="1463">
        <f>ParkCityThuanAn10ha!V120</f>
        <v>0</v>
      </c>
      <c r="W199" s="1463"/>
    </row>
    <row r="200" spans="1:23">
      <c r="A200" s="1431">
        <f t="shared" si="246"/>
        <v>13</v>
      </c>
      <c r="B200" s="1431" t="str">
        <f t="shared" si="245"/>
        <v>Opal Skyline</v>
      </c>
      <c r="C200" s="1463">
        <f>'Opal Skyline'!C121</f>
        <v>0</v>
      </c>
      <c r="D200" s="1463">
        <f>'Opal Skyline'!D121</f>
        <v>0</v>
      </c>
      <c r="E200" s="1463">
        <f>'Opal Skyline'!E121</f>
        <v>0</v>
      </c>
      <c r="F200" s="1463">
        <f>'Opal Skyline'!F121</f>
        <v>0</v>
      </c>
      <c r="G200" s="1463">
        <f>'Opal Skyline'!G121</f>
        <v>0</v>
      </c>
      <c r="H200" s="1463">
        <f>'Opal Skyline'!H121</f>
        <v>0</v>
      </c>
      <c r="I200" s="1463">
        <f>'Opal Skyline'!I121</f>
        <v>0</v>
      </c>
      <c r="J200" s="1463">
        <f>'Opal Skyline'!J121</f>
        <v>761.30500000000006</v>
      </c>
      <c r="K200" s="1463">
        <f>'Opal Skyline'!K121</f>
        <v>761.30500000000006</v>
      </c>
      <c r="L200" s="1463">
        <f>'Opal Skyline'!L121</f>
        <v>0</v>
      </c>
      <c r="M200" s="1463">
        <f>'Opal Skyline'!M121</f>
        <v>0</v>
      </c>
      <c r="N200" s="1463">
        <f>'Opal Skyline'!N121</f>
        <v>0</v>
      </c>
      <c r="O200" s="1463">
        <f>'Opal Skyline'!O121</f>
        <v>0</v>
      </c>
      <c r="P200" s="1463">
        <f>'Opal Skyline'!P121</f>
        <v>0</v>
      </c>
      <c r="Q200" s="1463">
        <f>'Opal Skyline'!Q121</f>
        <v>0</v>
      </c>
      <c r="R200" s="1463">
        <f>'Opal Skyline'!R121</f>
        <v>0</v>
      </c>
      <c r="S200" s="1463">
        <f>'Opal Skyline'!S121</f>
        <v>0</v>
      </c>
      <c r="T200" s="1463">
        <f>'Opal Skyline'!T121</f>
        <v>0</v>
      </c>
      <c r="U200" s="1463">
        <f>'Opal Skyline'!U121</f>
        <v>0</v>
      </c>
      <c r="V200" s="1463">
        <f>'Opal Skyline'!V121</f>
        <v>0</v>
      </c>
      <c r="W200" s="1463"/>
    </row>
    <row r="201" spans="1:23">
      <c r="A201" s="1431">
        <f t="shared" si="246"/>
        <v>14</v>
      </c>
      <c r="B201" s="1431" t="str">
        <f t="shared" si="245"/>
        <v>Prive</v>
      </c>
      <c r="C201" s="1463">
        <f>Prive!C120</f>
        <v>0</v>
      </c>
      <c r="D201" s="1463">
        <f>Prive!D120</f>
        <v>0</v>
      </c>
      <c r="E201" s="1463">
        <f>Prive!E120</f>
        <v>0</v>
      </c>
      <c r="F201" s="1463">
        <f>Prive!F120</f>
        <v>0</v>
      </c>
      <c r="G201" s="1463">
        <f>Prive!G120</f>
        <v>0</v>
      </c>
      <c r="H201" s="1463">
        <f>Prive!H120</f>
        <v>0</v>
      </c>
      <c r="I201" s="1463">
        <f>Prive!I120</f>
        <v>0</v>
      </c>
      <c r="J201" s="1463">
        <f>Prive!J120</f>
        <v>0</v>
      </c>
      <c r="K201" s="1463">
        <f>Prive!K120</f>
        <v>0</v>
      </c>
      <c r="L201" s="1463">
        <f>Prive!L120</f>
        <v>0</v>
      </c>
      <c r="M201" s="1463">
        <f>Prive!M120</f>
        <v>0</v>
      </c>
      <c r="N201" s="1463">
        <f>Prive!N120</f>
        <v>0</v>
      </c>
      <c r="O201" s="1463">
        <f>Prive!O120</f>
        <v>0</v>
      </c>
      <c r="P201" s="1463">
        <f>Prive!P120</f>
        <v>3641.0472718749998</v>
      </c>
      <c r="Q201" s="1463">
        <f>Prive!Q120</f>
        <v>7282.0945437499995</v>
      </c>
      <c r="R201" s="1463">
        <f>Prive!R120</f>
        <v>3641.0472718749998</v>
      </c>
      <c r="S201" s="1463">
        <f>Prive!S120</f>
        <v>0</v>
      </c>
      <c r="T201" s="1463">
        <f>Prive!T120</f>
        <v>0</v>
      </c>
      <c r="U201" s="1463">
        <f>Prive!U120</f>
        <v>0</v>
      </c>
      <c r="V201" s="1463">
        <f>Prive!V120</f>
        <v>0</v>
      </c>
      <c r="W201" s="1463"/>
    </row>
    <row r="202" spans="1:23">
      <c r="A202" s="1457"/>
      <c r="B202" s="1432" t="str">
        <f>B168</f>
        <v>Total</v>
      </c>
      <c r="C202" s="1408">
        <f t="shared" ref="C202:M202" si="247">SUM(C188:C201)</f>
        <v>0</v>
      </c>
      <c r="D202" s="1408">
        <f t="shared" si="247"/>
        <v>0</v>
      </c>
      <c r="E202" s="1408">
        <f t="shared" si="247"/>
        <v>0</v>
      </c>
      <c r="F202" s="1408">
        <f t="shared" si="247"/>
        <v>0</v>
      </c>
      <c r="G202" s="1408">
        <f t="shared" si="247"/>
        <v>585.17074760000003</v>
      </c>
      <c r="H202" s="1408">
        <f t="shared" si="247"/>
        <v>585.17074760000003</v>
      </c>
      <c r="I202" s="1408">
        <f t="shared" si="247"/>
        <v>79.162499999999994</v>
      </c>
      <c r="J202" s="1408">
        <f t="shared" si="247"/>
        <v>5792.23675</v>
      </c>
      <c r="K202" s="1408">
        <f t="shared" si="247"/>
        <v>5871.3992499999995</v>
      </c>
      <c r="L202" s="1408">
        <f t="shared" si="247"/>
        <v>4951.7692499999994</v>
      </c>
      <c r="M202" s="1408">
        <f t="shared" si="247"/>
        <v>3614.6959433599991</v>
      </c>
      <c r="N202" s="1408">
        <f t="shared" ref="N202:V202" si="248">SUM(N188:N201)</f>
        <v>2904.6555234399993</v>
      </c>
      <c r="O202" s="1408">
        <f t="shared" si="248"/>
        <v>2623.9995477000002</v>
      </c>
      <c r="P202" s="1408">
        <f t="shared" si="248"/>
        <v>11621.397045725</v>
      </c>
      <c r="Q202" s="1408">
        <f t="shared" si="248"/>
        <v>20618.794543750002</v>
      </c>
      <c r="R202" s="1408">
        <f t="shared" si="248"/>
        <v>21418.050494231382</v>
      </c>
      <c r="S202" s="1408">
        <f t="shared" si="248"/>
        <v>18620.739778046103</v>
      </c>
      <c r="T202" s="1408">
        <f t="shared" si="248"/>
        <v>10286.953222356384</v>
      </c>
      <c r="U202" s="1408">
        <f t="shared" si="248"/>
        <v>1453.666666666667</v>
      </c>
      <c r="V202" s="1408">
        <f t="shared" si="248"/>
        <v>-4445.5666666666666</v>
      </c>
      <c r="W202" s="1410"/>
    </row>
    <row r="204" spans="1:23">
      <c r="B204" s="1407" t="s">
        <v>1593</v>
      </c>
      <c r="C204" s="1455" t="str">
        <f>C187</f>
        <v>Total</v>
      </c>
      <c r="D204" s="1455">
        <f t="shared" ref="D204:M204" si="249">D187</f>
        <v>2013</v>
      </c>
      <c r="E204" s="1455">
        <f t="shared" si="249"/>
        <v>2014</v>
      </c>
      <c r="F204" s="1455">
        <f t="shared" si="249"/>
        <v>2015</v>
      </c>
      <c r="G204" s="1455">
        <f t="shared" si="249"/>
        <v>2016</v>
      </c>
      <c r="H204" s="1455">
        <f t="shared" si="249"/>
        <v>2017</v>
      </c>
      <c r="I204" s="1455">
        <f t="shared" si="249"/>
        <v>2018</v>
      </c>
      <c r="J204" s="1455">
        <f t="shared" si="249"/>
        <v>2019</v>
      </c>
      <c r="K204" s="1455">
        <f t="shared" si="249"/>
        <v>2020</v>
      </c>
      <c r="L204" s="1455">
        <f t="shared" si="249"/>
        <v>2021</v>
      </c>
      <c r="M204" s="1455">
        <f t="shared" si="249"/>
        <v>2022</v>
      </c>
      <c r="N204" s="1455">
        <f t="shared" ref="N204:V204" si="250">N187</f>
        <v>2023</v>
      </c>
      <c r="O204" s="1455">
        <f t="shared" si="250"/>
        <v>2024</v>
      </c>
      <c r="P204" s="1455">
        <f t="shared" si="250"/>
        <v>2025</v>
      </c>
      <c r="Q204" s="1455">
        <f t="shared" si="250"/>
        <v>2026</v>
      </c>
      <c r="R204" s="1455">
        <f t="shared" si="250"/>
        <v>2027</v>
      </c>
      <c r="S204" s="1455">
        <f t="shared" si="250"/>
        <v>2028</v>
      </c>
      <c r="T204" s="1455">
        <f t="shared" si="250"/>
        <v>2029</v>
      </c>
      <c r="U204" s="1455">
        <f t="shared" si="250"/>
        <v>2030</v>
      </c>
      <c r="V204" s="1455">
        <f t="shared" si="250"/>
        <v>2031</v>
      </c>
      <c r="W204" s="1455"/>
    </row>
    <row r="205" spans="1:23">
      <c r="A205" s="1431">
        <v>1</v>
      </c>
      <c r="B205" s="1432" t="str">
        <f t="shared" ref="B205:B218" si="251">B188</f>
        <v>Opal Central Park - Thuận An 1.0ha</v>
      </c>
      <c r="C205" s="1476">
        <f>'Opal Central Park'!C118</f>
        <v>0</v>
      </c>
      <c r="D205" s="1476">
        <f>'Opal Central Park'!D118</f>
        <v>0</v>
      </c>
      <c r="E205" s="1476">
        <f>'Opal Central Park'!E118</f>
        <v>0</v>
      </c>
      <c r="F205" s="1476">
        <f>'Opal Central Park'!F118</f>
        <v>0</v>
      </c>
      <c r="G205" s="1476">
        <f>'Opal Central Park'!G118</f>
        <v>0</v>
      </c>
      <c r="H205" s="1476">
        <f>'Opal Central Park'!H118</f>
        <v>0</v>
      </c>
      <c r="I205" s="1476">
        <f>'Opal Central Park'!I118</f>
        <v>0</v>
      </c>
      <c r="J205" s="1476">
        <f>'Opal Central Park'!J118</f>
        <v>0</v>
      </c>
      <c r="K205" s="1476">
        <f>'Opal Central Park'!K118</f>
        <v>0</v>
      </c>
      <c r="L205" s="1476">
        <f>'Opal Central Park'!L118</f>
        <v>0</v>
      </c>
      <c r="M205" s="1476">
        <f>'Opal Central Park'!M118</f>
        <v>0</v>
      </c>
      <c r="N205" s="1476">
        <f>'Opal Central Park'!N118</f>
        <v>0</v>
      </c>
      <c r="O205" s="1476">
        <f>'Opal Central Park'!O118</f>
        <v>0</v>
      </c>
      <c r="P205" s="1476">
        <f>'Opal Central Park'!P118</f>
        <v>0</v>
      </c>
      <c r="Q205" s="1476">
        <f>'Opal Central Park'!Q118</f>
        <v>0</v>
      </c>
      <c r="R205" s="1476">
        <f>'Opal Central Park'!R118</f>
        <v>0</v>
      </c>
      <c r="S205" s="1476">
        <f>'Opal Central Park'!S118</f>
        <v>0</v>
      </c>
      <c r="T205" s="1476">
        <f>'Opal Central Park'!T118</f>
        <v>0</v>
      </c>
      <c r="U205" s="1476">
        <f>'Opal Central Park'!U118</f>
        <v>0</v>
      </c>
      <c r="V205" s="1476">
        <f>'Opal Central Park'!V118</f>
        <v>0</v>
      </c>
      <c r="W205" s="1463"/>
    </row>
    <row r="206" spans="1:23">
      <c r="A206" s="1431">
        <f>A205+1</f>
        <v>2</v>
      </c>
      <c r="B206" s="1431" t="str">
        <f t="shared" si="251"/>
        <v>St Moritz - Opal Skyview</v>
      </c>
      <c r="C206" s="1463">
        <f>'St Moritz'!C118</f>
        <v>158.32499999999999</v>
      </c>
      <c r="D206" s="1463">
        <f>'St Moritz'!D118</f>
        <v>0</v>
      </c>
      <c r="E206" s="1463">
        <f>'St Moritz'!E118</f>
        <v>0</v>
      </c>
      <c r="F206" s="1463">
        <f>'St Moritz'!F118</f>
        <v>0</v>
      </c>
      <c r="G206" s="1463">
        <f>'St Moritz'!G118</f>
        <v>0</v>
      </c>
      <c r="H206" s="1463">
        <f>'St Moritz'!H118</f>
        <v>0</v>
      </c>
      <c r="I206" s="1463">
        <f>'St Moritz'!I118</f>
        <v>0</v>
      </c>
      <c r="J206" s="1463">
        <f>'St Moritz'!J118</f>
        <v>0</v>
      </c>
      <c r="K206" s="1463">
        <f>'St Moritz'!K118</f>
        <v>0</v>
      </c>
      <c r="L206" s="1463">
        <f>'St Moritz'!L118</f>
        <v>158.32499999999999</v>
      </c>
      <c r="M206" s="1463">
        <f>'St Moritz'!M118</f>
        <v>0</v>
      </c>
      <c r="N206" s="1463">
        <f>'St Moritz'!N118</f>
        <v>0</v>
      </c>
      <c r="O206" s="1463">
        <f>'St Moritz'!O118</f>
        <v>0</v>
      </c>
      <c r="P206" s="1463">
        <f>'St Moritz'!P118</f>
        <v>0</v>
      </c>
      <c r="Q206" s="1463">
        <f>'St Moritz'!Q118</f>
        <v>0</v>
      </c>
      <c r="R206" s="1463">
        <f>'St Moritz'!R118</f>
        <v>0</v>
      </c>
      <c r="S206" s="1463">
        <f>'St Moritz'!S118</f>
        <v>0</v>
      </c>
      <c r="T206" s="1463">
        <f>'St Moritz'!T118</f>
        <v>0</v>
      </c>
      <c r="U206" s="1463">
        <f>'St Moritz'!U118</f>
        <v>0</v>
      </c>
      <c r="V206" s="1463">
        <f>'St Moritz'!V118</f>
        <v>0</v>
      </c>
      <c r="W206" s="1463"/>
    </row>
    <row r="207" spans="1:23">
      <c r="A207" s="1431">
        <f t="shared" ref="A207:A218" si="252">A206+1</f>
        <v>3</v>
      </c>
      <c r="B207" s="1431" t="str">
        <f t="shared" si="251"/>
        <v>Opal Riverside</v>
      </c>
      <c r="C207" s="1463">
        <f>'Opal Riverside'!C118</f>
        <v>357.9619376</v>
      </c>
      <c r="D207" s="1463">
        <f>'Opal Riverside'!D118</f>
        <v>0</v>
      </c>
      <c r="E207" s="1463">
        <f>'Opal Riverside'!E118</f>
        <v>0</v>
      </c>
      <c r="F207" s="1463">
        <f>'Opal Riverside'!F118</f>
        <v>0</v>
      </c>
      <c r="G207" s="1463">
        <f>'Opal Riverside'!G118</f>
        <v>0</v>
      </c>
      <c r="H207" s="1463">
        <f>'Opal Riverside'!H118</f>
        <v>0</v>
      </c>
      <c r="I207" s="1463">
        <f>'Opal Riverside'!I118</f>
        <v>357.9619376</v>
      </c>
      <c r="J207" s="1463">
        <f>'Opal Riverside'!J118</f>
        <v>0</v>
      </c>
      <c r="K207" s="1463">
        <f>'Opal Riverside'!K118</f>
        <v>0</v>
      </c>
      <c r="L207" s="1463">
        <f>'Opal Riverside'!L118</f>
        <v>0</v>
      </c>
      <c r="M207" s="1463">
        <f>'Opal Riverside'!M118</f>
        <v>0</v>
      </c>
      <c r="N207" s="1463">
        <f>'Opal Riverside'!N118</f>
        <v>0</v>
      </c>
      <c r="O207" s="1463">
        <f>'Opal Riverside'!O118</f>
        <v>0</v>
      </c>
      <c r="P207" s="1463">
        <f>'Opal Riverside'!P118</f>
        <v>0</v>
      </c>
      <c r="Q207" s="1463">
        <f>'Opal Riverside'!Q118</f>
        <v>0</v>
      </c>
      <c r="R207" s="1463">
        <f>'Opal Riverside'!R118</f>
        <v>0</v>
      </c>
      <c r="S207" s="1463">
        <f>'Opal Riverside'!S118</f>
        <v>0</v>
      </c>
      <c r="T207" s="1463">
        <f>'Opal Riverside'!T118</f>
        <v>0</v>
      </c>
      <c r="U207" s="1463">
        <f>'Opal Riverside'!U118</f>
        <v>0</v>
      </c>
      <c r="V207" s="1463">
        <f>'Opal Riverside'!V118</f>
        <v>0</v>
      </c>
      <c r="W207" s="1463"/>
    </row>
    <row r="208" spans="1:23">
      <c r="A208" s="1431">
        <f t="shared" si="252"/>
        <v>4</v>
      </c>
      <c r="B208" s="1431" t="str">
        <f t="shared" si="251"/>
        <v>Opal Garden</v>
      </c>
      <c r="C208" s="1463">
        <f>'Opal Garden'!C118</f>
        <v>227.20881</v>
      </c>
      <c r="D208" s="1463">
        <f>'Opal Garden'!D118</f>
        <v>0</v>
      </c>
      <c r="E208" s="1463">
        <f>'Opal Garden'!E118</f>
        <v>0</v>
      </c>
      <c r="F208" s="1463">
        <f>'Opal Garden'!F118</f>
        <v>0</v>
      </c>
      <c r="G208" s="1463">
        <f>'Opal Garden'!G118</f>
        <v>0</v>
      </c>
      <c r="H208" s="1463">
        <f>'Opal Garden'!H118</f>
        <v>0</v>
      </c>
      <c r="I208" s="1463">
        <f>'Opal Garden'!I118</f>
        <v>227.20881</v>
      </c>
      <c r="J208" s="1463">
        <f>'Opal Garden'!J118</f>
        <v>0</v>
      </c>
      <c r="K208" s="1463">
        <f>'Opal Garden'!K118</f>
        <v>0</v>
      </c>
      <c r="L208" s="1463">
        <f>'Opal Garden'!L118</f>
        <v>0</v>
      </c>
      <c r="M208" s="1463">
        <f>'Opal Garden'!M118</f>
        <v>0</v>
      </c>
      <c r="N208" s="1463">
        <f>'Opal Garden'!N118</f>
        <v>0</v>
      </c>
      <c r="O208" s="1463">
        <f>'Opal Garden'!O118</f>
        <v>0</v>
      </c>
      <c r="P208" s="1463">
        <f>'Opal Garden'!P118</f>
        <v>0</v>
      </c>
      <c r="Q208" s="1463">
        <f>'Opal Garden'!Q118</f>
        <v>0</v>
      </c>
      <c r="R208" s="1463">
        <f>'Opal Garden'!R118</f>
        <v>0</v>
      </c>
      <c r="S208" s="1463">
        <f>'Opal Garden'!S118</f>
        <v>0</v>
      </c>
      <c r="T208" s="1463">
        <f>'Opal Garden'!T118</f>
        <v>0</v>
      </c>
      <c r="U208" s="1463">
        <f>'Opal Garden'!U118</f>
        <v>0</v>
      </c>
      <c r="V208" s="1463">
        <f>'Opal Garden'!V118</f>
        <v>0</v>
      </c>
      <c r="W208" s="1463"/>
    </row>
    <row r="209" spans="1:23">
      <c r="A209" s="1431">
        <f t="shared" si="252"/>
        <v>5</v>
      </c>
      <c r="B209" s="1431" t="str">
        <f t="shared" si="251"/>
        <v>Gem Sky World Long Thanh</v>
      </c>
      <c r="C209" s="1463">
        <f>'Long Thanh 92ha'!C118</f>
        <v>1650.5897499999999</v>
      </c>
      <c r="D209" s="1463">
        <f>'Long Thanh 92ha'!D118</f>
        <v>0</v>
      </c>
      <c r="E209" s="1463">
        <f>'Long Thanh 92ha'!E118</f>
        <v>0</v>
      </c>
      <c r="F209" s="1463">
        <f>'Long Thanh 92ha'!F118</f>
        <v>0</v>
      </c>
      <c r="G209" s="1463">
        <f>'Long Thanh 92ha'!G118</f>
        <v>0</v>
      </c>
      <c r="H209" s="1463">
        <f>'Long Thanh 92ha'!H118</f>
        <v>0</v>
      </c>
      <c r="I209" s="1463">
        <f>'Long Thanh 92ha'!I118</f>
        <v>0</v>
      </c>
      <c r="J209" s="1463">
        <f>'Long Thanh 92ha'!J118</f>
        <v>0</v>
      </c>
      <c r="K209" s="1463">
        <f>'Long Thanh 92ha'!K118</f>
        <v>0</v>
      </c>
      <c r="L209" s="1463">
        <f>'Long Thanh 92ha'!L118</f>
        <v>0</v>
      </c>
      <c r="M209" s="1463">
        <f>'Long Thanh 92ha'!M118</f>
        <v>1650.5897499999999</v>
      </c>
      <c r="N209" s="1463">
        <f>'Long Thanh 92ha'!N118</f>
        <v>1650.5897499999999</v>
      </c>
      <c r="O209" s="1463">
        <f>'Long Thanh 92ha'!O118</f>
        <v>1650.5897499999999</v>
      </c>
      <c r="P209" s="1463">
        <f>'Long Thanh 92ha'!P118</f>
        <v>0</v>
      </c>
      <c r="Q209" s="1463">
        <f>'Long Thanh 92ha'!Q118</f>
        <v>0</v>
      </c>
      <c r="R209" s="1463">
        <f>'Long Thanh 92ha'!R118</f>
        <v>0</v>
      </c>
      <c r="S209" s="1463">
        <f>'Long Thanh 92ha'!S118</f>
        <v>0</v>
      </c>
      <c r="T209" s="1463">
        <f>'Long Thanh 92ha'!T118</f>
        <v>0</v>
      </c>
      <c r="U209" s="1463">
        <f>'Long Thanh 92ha'!U118</f>
        <v>0</v>
      </c>
      <c r="V209" s="1463">
        <f>'Long Thanh 92ha'!V118</f>
        <v>0</v>
      </c>
      <c r="W209" s="1463"/>
    </row>
    <row r="210" spans="1:23">
      <c r="A210" s="1431">
        <f t="shared" si="252"/>
        <v>6</v>
      </c>
      <c r="B210" s="1431" t="str">
        <f t="shared" si="251"/>
        <v>Opal Luxury 8.6ha Binh Duong</v>
      </c>
      <c r="C210" s="1463">
        <f>'Opal Luxury 8.6ha BD'!C118</f>
        <v>2090.1096224000003</v>
      </c>
      <c r="D210" s="1463">
        <f>'Opal Luxury 8.6ha BD'!D118</f>
        <v>0</v>
      </c>
      <c r="E210" s="1463">
        <f>'Opal Luxury 8.6ha BD'!E118</f>
        <v>0</v>
      </c>
      <c r="F210" s="1463">
        <f>'Opal Luxury 8.6ha BD'!F118</f>
        <v>0</v>
      </c>
      <c r="G210" s="1463">
        <f>'Opal Luxury 8.6ha BD'!G118</f>
        <v>0</v>
      </c>
      <c r="H210" s="1463">
        <f>'Opal Luxury 8.6ha BD'!H118</f>
        <v>0</v>
      </c>
      <c r="I210" s="1463">
        <f>'Opal Luxury 8.6ha BD'!I118</f>
        <v>0</v>
      </c>
      <c r="J210" s="1463">
        <f>'Opal Luxury 8.6ha BD'!J118</f>
        <v>0</v>
      </c>
      <c r="K210" s="1463">
        <f>'Opal Luxury 8.6ha BD'!K118</f>
        <v>0</v>
      </c>
      <c r="L210" s="1463">
        <f>'Opal Luxury 8.6ha BD'!L118</f>
        <v>0</v>
      </c>
      <c r="M210" s="1463">
        <f>'Opal Luxury 8.6ha BD'!M118</f>
        <v>0</v>
      </c>
      <c r="N210" s="1463">
        <f>'Opal Luxury 8.6ha BD'!N118</f>
        <v>0</v>
      </c>
      <c r="O210" s="1463">
        <f>'Opal Luxury 8.6ha BD'!O118</f>
        <v>522.52740559999995</v>
      </c>
      <c r="P210" s="1463">
        <f>'Opal Luxury 8.6ha BD'!P118</f>
        <v>783.79110839999998</v>
      </c>
      <c r="Q210" s="1463">
        <f>'Opal Luxury 8.6ha BD'!Q118</f>
        <v>783.79110839999998</v>
      </c>
      <c r="R210" s="1463">
        <f>'Opal Luxury 8.6ha BD'!R118</f>
        <v>0</v>
      </c>
      <c r="S210" s="1463">
        <f>'Opal Luxury 8.6ha BD'!S118</f>
        <v>0</v>
      </c>
      <c r="T210" s="1463">
        <f>'Opal Luxury 8.6ha BD'!T118</f>
        <v>0</v>
      </c>
      <c r="U210" s="1463">
        <f>'Opal Luxury 8.6ha BD'!U118</f>
        <v>0</v>
      </c>
      <c r="V210" s="1463">
        <f>'Opal Luxury 8.6ha BD'!V118</f>
        <v>0</v>
      </c>
      <c r="W210" s="1463"/>
    </row>
    <row r="211" spans="1:23">
      <c r="A211" s="1431">
        <f t="shared" si="252"/>
        <v>7</v>
      </c>
      <c r="B211" s="1431" t="str">
        <f t="shared" si="251"/>
        <v>Opal Cityview</v>
      </c>
      <c r="C211" s="1463">
        <f>'Opal Cityview'!C118</f>
        <v>1056.4173309</v>
      </c>
      <c r="D211" s="1463">
        <f>'Opal Cityview'!D118</f>
        <v>0</v>
      </c>
      <c r="E211" s="1463">
        <f>'Opal Cityview'!E118</f>
        <v>0</v>
      </c>
      <c r="F211" s="1463">
        <f>'Opal Cityview'!F118</f>
        <v>0</v>
      </c>
      <c r="G211" s="1463">
        <f>'Opal Cityview'!G118</f>
        <v>0</v>
      </c>
      <c r="H211" s="1463">
        <f>'Opal Cityview'!H118</f>
        <v>0</v>
      </c>
      <c r="I211" s="1463">
        <f>'Opal Cityview'!I118</f>
        <v>0</v>
      </c>
      <c r="J211" s="1463">
        <f>'Opal Cityview'!J118</f>
        <v>0</v>
      </c>
      <c r="K211" s="1463">
        <f>'Opal Cityview'!K118</f>
        <v>0</v>
      </c>
      <c r="L211" s="1463">
        <f>'Opal Cityview'!L118</f>
        <v>0</v>
      </c>
      <c r="M211" s="1463">
        <f>'Opal Cityview'!M118</f>
        <v>0</v>
      </c>
      <c r="N211" s="1463">
        <f>'Opal Cityview'!N118</f>
        <v>0</v>
      </c>
      <c r="O211" s="1463">
        <f>'Opal Cityview'!O118</f>
        <v>0</v>
      </c>
      <c r="P211" s="1463">
        <f>'Opal Cityview'!P118</f>
        <v>528.20866545000001</v>
      </c>
      <c r="Q211" s="1463">
        <f>'Opal Cityview'!Q118</f>
        <v>528.20866545000001</v>
      </c>
      <c r="R211" s="1463">
        <f>'Opal Cityview'!R118</f>
        <v>0</v>
      </c>
      <c r="S211" s="1463">
        <f>'Opal Cityview'!S118</f>
        <v>0</v>
      </c>
      <c r="T211" s="1463">
        <f>'Opal Cityview'!T118</f>
        <v>0</v>
      </c>
      <c r="U211" s="1463">
        <f>'Opal Cityview'!U118</f>
        <v>0</v>
      </c>
      <c r="V211" s="1463">
        <f>'Opal Cityview'!V118</f>
        <v>0</v>
      </c>
      <c r="W211" s="1463"/>
    </row>
    <row r="212" spans="1:23">
      <c r="A212" s="1431">
        <f t="shared" si="252"/>
        <v>8</v>
      </c>
      <c r="B212" s="1431" t="str">
        <f t="shared" si="251"/>
        <v>Park View Thuận An 5ha</v>
      </c>
      <c r="C212" s="1463">
        <f>ParkViewThuanAn5ha!C118</f>
        <v>2862.5</v>
      </c>
      <c r="D212" s="1463">
        <f>ParkViewThuanAn5ha!D118</f>
        <v>0</v>
      </c>
      <c r="E212" s="1463">
        <f>ParkViewThuanAn5ha!E118</f>
        <v>0</v>
      </c>
      <c r="F212" s="1463">
        <f>ParkViewThuanAn5ha!F118</f>
        <v>0</v>
      </c>
      <c r="G212" s="1463">
        <f>ParkViewThuanAn5ha!G118</f>
        <v>0</v>
      </c>
      <c r="H212" s="1463">
        <f>ParkViewThuanAn5ha!H118</f>
        <v>0</v>
      </c>
      <c r="I212" s="1463">
        <f>ParkViewThuanAn5ha!I118</f>
        <v>0</v>
      </c>
      <c r="J212" s="1463">
        <f>ParkViewThuanAn5ha!J118</f>
        <v>0</v>
      </c>
      <c r="K212" s="1463">
        <f>ParkViewThuanAn5ha!K118</f>
        <v>0</v>
      </c>
      <c r="L212" s="1463">
        <f>ParkViewThuanAn5ha!L118</f>
        <v>0</v>
      </c>
      <c r="M212" s="1463">
        <f>ParkViewThuanAn5ha!M118</f>
        <v>0</v>
      </c>
      <c r="N212" s="1463">
        <f>ParkViewThuanAn5ha!N118</f>
        <v>0</v>
      </c>
      <c r="O212" s="1463">
        <f>ParkViewThuanAn5ha!O118</f>
        <v>0</v>
      </c>
      <c r="P212" s="1463">
        <f>ParkViewThuanAn5ha!P118</f>
        <v>0</v>
      </c>
      <c r="Q212" s="1463">
        <f>ParkViewThuanAn5ha!Q118</f>
        <v>0</v>
      </c>
      <c r="R212" s="1463">
        <f>ParkViewThuanAn5ha!R118</f>
        <v>0</v>
      </c>
      <c r="S212" s="1463">
        <f>ParkViewThuanAn5ha!S118</f>
        <v>0</v>
      </c>
      <c r="T212" s="1463">
        <f>ParkViewThuanAn5ha!T118</f>
        <v>954.16666666666663</v>
      </c>
      <c r="U212" s="1463">
        <f>ParkViewThuanAn5ha!U118</f>
        <v>954.16666666666663</v>
      </c>
      <c r="V212" s="1463">
        <f>ParkViewThuanAn5ha!V118</f>
        <v>954.16666666666663</v>
      </c>
      <c r="W212" s="1463"/>
    </row>
    <row r="213" spans="1:23">
      <c r="A213" s="1431">
        <f t="shared" si="252"/>
        <v>9</v>
      </c>
      <c r="B213" s="1431" t="str">
        <f t="shared" si="251"/>
        <v>Lux Riverview - Lux Star Quận 7</v>
      </c>
      <c r="C213" s="1463">
        <f>'Lux Riverview Q7'!C118</f>
        <v>999</v>
      </c>
      <c r="D213" s="1463">
        <f>'Lux Riverview Q7'!D118</f>
        <v>0</v>
      </c>
      <c r="E213" s="1463">
        <f>'Lux Riverview Q7'!E118</f>
        <v>0</v>
      </c>
      <c r="F213" s="1463">
        <f>'Lux Riverview Q7'!F118</f>
        <v>0</v>
      </c>
      <c r="G213" s="1463">
        <f>'Lux Riverview Q7'!G118</f>
        <v>0</v>
      </c>
      <c r="H213" s="1463">
        <f>'Lux Riverview Q7'!H118</f>
        <v>0</v>
      </c>
      <c r="I213" s="1463">
        <f>'Lux Riverview Q7'!I118</f>
        <v>0</v>
      </c>
      <c r="J213" s="1463">
        <f>'Lux Riverview Q7'!J118</f>
        <v>0</v>
      </c>
      <c r="K213" s="1463">
        <f>'Lux Riverview Q7'!K118</f>
        <v>0</v>
      </c>
      <c r="L213" s="1463">
        <f>'Lux Riverview Q7'!L118</f>
        <v>0</v>
      </c>
      <c r="M213" s="1463">
        <f>'Lux Riverview Q7'!M118</f>
        <v>0</v>
      </c>
      <c r="N213" s="1463">
        <f>'Lux Riverview Q7'!N118</f>
        <v>0</v>
      </c>
      <c r="O213" s="1463">
        <f>'Lux Riverview Q7'!O118</f>
        <v>0</v>
      </c>
      <c r="P213" s="1463">
        <f>'Lux Riverview Q7'!P118</f>
        <v>0</v>
      </c>
      <c r="Q213" s="1463">
        <f>'Lux Riverview Q7'!Q118</f>
        <v>0</v>
      </c>
      <c r="R213" s="1463">
        <f>'Lux Riverview Q7'!R118</f>
        <v>0</v>
      </c>
      <c r="S213" s="1463">
        <f>'Lux Riverview Q7'!S118</f>
        <v>0</v>
      </c>
      <c r="T213" s="1463">
        <f>'Lux Riverview Q7'!T118</f>
        <v>0</v>
      </c>
      <c r="U213" s="1463">
        <f>'Lux Riverview Q7'!U118</f>
        <v>499.5</v>
      </c>
      <c r="V213" s="1463">
        <f>'Lux Riverview Q7'!V118</f>
        <v>499.5</v>
      </c>
      <c r="W213" s="1463"/>
    </row>
    <row r="214" spans="1:23">
      <c r="A214" s="1431">
        <f t="shared" si="252"/>
        <v>10</v>
      </c>
      <c r="B214" s="1431" t="str">
        <f t="shared" si="251"/>
        <v>Gem Premium Thu Duc (Opal Premium)</v>
      </c>
      <c r="C214" s="1463">
        <f>'Gem Premium'!C118</f>
        <v>0</v>
      </c>
      <c r="D214" s="1463">
        <f>'Gem Premium'!D118</f>
        <v>0</v>
      </c>
      <c r="E214" s="1463">
        <f>'Gem Premium'!E118</f>
        <v>0</v>
      </c>
      <c r="F214" s="1463">
        <f>'Gem Premium'!F118</f>
        <v>0</v>
      </c>
      <c r="G214" s="1463">
        <f>'Gem Premium'!G118</f>
        <v>0</v>
      </c>
      <c r="H214" s="1463">
        <f>'Gem Premium'!H118</f>
        <v>0</v>
      </c>
      <c r="I214" s="1463">
        <f>'Gem Premium'!I118</f>
        <v>0</v>
      </c>
      <c r="J214" s="1463">
        <f>'Gem Premium'!J118</f>
        <v>0</v>
      </c>
      <c r="K214" s="1463">
        <f>'Gem Premium'!K118</f>
        <v>0</v>
      </c>
      <c r="L214" s="1463">
        <f>'Gem Premium'!L118</f>
        <v>0</v>
      </c>
      <c r="M214" s="1463">
        <f>'Gem Premium'!M118</f>
        <v>0</v>
      </c>
      <c r="N214" s="1463">
        <f>'Gem Premium'!N118</f>
        <v>0</v>
      </c>
      <c r="O214" s="1463">
        <f>'Gem Premium'!O118</f>
        <v>0</v>
      </c>
      <c r="P214" s="1463">
        <f>'Gem Premium'!P118</f>
        <v>0</v>
      </c>
      <c r="Q214" s="1463">
        <f>'Gem Premium'!Q118</f>
        <v>0</v>
      </c>
      <c r="R214" s="1463">
        <f>'Gem Premium'!R118</f>
        <v>0</v>
      </c>
      <c r="S214" s="1463">
        <f>'Gem Premium'!S118</f>
        <v>4445.5666666666666</v>
      </c>
      <c r="T214" s="1463">
        <f>'Gem Premium'!T118</f>
        <v>4445.5666666666666</v>
      </c>
      <c r="U214" s="1463">
        <f>'Gem Premium'!U118</f>
        <v>4445.5666666666666</v>
      </c>
      <c r="V214" s="1463">
        <f>'Gem Premium'!V118</f>
        <v>4445.5666666666666</v>
      </c>
      <c r="W214" s="1463"/>
    </row>
    <row r="215" spans="1:23">
      <c r="A215" s="1431">
        <f t="shared" si="252"/>
        <v>11</v>
      </c>
      <c r="B215" s="1431" t="str">
        <f t="shared" si="251"/>
        <v>Gem City Q9 (Opal City old)</v>
      </c>
      <c r="C215" s="1463">
        <f>'Opal City'!C118</f>
        <v>3155.6064447127665</v>
      </c>
      <c r="D215" s="1463">
        <f>'Opal City'!D118</f>
        <v>0</v>
      </c>
      <c r="E215" s="1463">
        <f>'Opal City'!E118</f>
        <v>0</v>
      </c>
      <c r="F215" s="1463">
        <f>'Opal City'!F118</f>
        <v>0</v>
      </c>
      <c r="G215" s="1463">
        <f>'Opal City'!G118</f>
        <v>0</v>
      </c>
      <c r="H215" s="1463">
        <f>'Opal City'!H118</f>
        <v>0</v>
      </c>
      <c r="I215" s="1463">
        <f>'Opal City'!I118</f>
        <v>0</v>
      </c>
      <c r="J215" s="1463">
        <f>'Opal City'!J118</f>
        <v>0</v>
      </c>
      <c r="K215" s="1463">
        <f>'Opal City'!K118</f>
        <v>0</v>
      </c>
      <c r="L215" s="1463">
        <f>'Opal City'!L118</f>
        <v>0</v>
      </c>
      <c r="M215" s="1463">
        <f>'Opal City'!M118</f>
        <v>0</v>
      </c>
      <c r="N215" s="1463">
        <f>'Opal City'!N118</f>
        <v>0</v>
      </c>
      <c r="O215" s="1463">
        <f>'Opal City'!O118</f>
        <v>0</v>
      </c>
      <c r="P215" s="1463">
        <f>'Opal City'!P118</f>
        <v>0</v>
      </c>
      <c r="Q215" s="1463">
        <f>'Opal City'!Q118</f>
        <v>0</v>
      </c>
      <c r="R215" s="1463">
        <f>'Opal City'!R118</f>
        <v>0</v>
      </c>
      <c r="S215" s="1463">
        <f>'Opal City'!S118</f>
        <v>0</v>
      </c>
      <c r="T215" s="1463">
        <f>'Opal City'!T118</f>
        <v>1577.8032223563832</v>
      </c>
      <c r="U215" s="1463">
        <f>'Opal City'!U118</f>
        <v>1577.8032223563832</v>
      </c>
      <c r="V215" s="1463">
        <f>'Opal City'!V118</f>
        <v>0</v>
      </c>
      <c r="W215" s="1463"/>
    </row>
    <row r="216" spans="1:23">
      <c r="A216" s="1431">
        <f t="shared" si="252"/>
        <v>12</v>
      </c>
      <c r="B216" s="1431" t="str">
        <f t="shared" si="251"/>
        <v>Park City Thuận An 10ha</v>
      </c>
      <c r="C216" s="1463">
        <f>ParkCityThuanAn10ha!C118</f>
        <v>2712.5</v>
      </c>
      <c r="D216" s="1463">
        <f>ParkCityThuanAn10ha!D118</f>
        <v>0</v>
      </c>
      <c r="E216" s="1463">
        <f>ParkCityThuanAn10ha!E118</f>
        <v>0</v>
      </c>
      <c r="F216" s="1463">
        <f>ParkCityThuanAn10ha!F118</f>
        <v>0</v>
      </c>
      <c r="G216" s="1463">
        <f>ParkCityThuanAn10ha!G118</f>
        <v>0</v>
      </c>
      <c r="H216" s="1463">
        <f>ParkCityThuanAn10ha!H118</f>
        <v>0</v>
      </c>
      <c r="I216" s="1463">
        <f>ParkCityThuanAn10ha!I118</f>
        <v>0</v>
      </c>
      <c r="J216" s="1463">
        <f>ParkCityThuanAn10ha!J118</f>
        <v>0</v>
      </c>
      <c r="K216" s="1463">
        <f>ParkCityThuanAn10ha!K118</f>
        <v>0</v>
      </c>
      <c r="L216" s="1463">
        <f>ParkCityThuanAn10ha!L118</f>
        <v>0</v>
      </c>
      <c r="M216" s="1463">
        <f>ParkCityThuanAn10ha!M118</f>
        <v>0</v>
      </c>
      <c r="N216" s="1463">
        <f>ParkCityThuanAn10ha!N118</f>
        <v>0</v>
      </c>
      <c r="O216" s="1463">
        <f>ParkCityThuanAn10ha!O118</f>
        <v>0</v>
      </c>
      <c r="P216" s="1463">
        <f>ParkCityThuanAn10ha!P118</f>
        <v>0</v>
      </c>
      <c r="Q216" s="1463">
        <f>ParkCityThuanAn10ha!Q118</f>
        <v>0</v>
      </c>
      <c r="R216" s="1463">
        <f>ParkCityThuanAn10ha!R118</f>
        <v>0</v>
      </c>
      <c r="S216" s="1463">
        <f>ParkCityThuanAn10ha!S118</f>
        <v>0</v>
      </c>
      <c r="T216" s="1463">
        <f>ParkCityThuanAn10ha!T118</f>
        <v>1356.25</v>
      </c>
      <c r="U216" s="1463">
        <f>ParkCityThuanAn10ha!U118</f>
        <v>1356.25</v>
      </c>
      <c r="V216" s="1463">
        <f>ParkCityThuanAn10ha!V118</f>
        <v>0</v>
      </c>
      <c r="W216" s="1463"/>
    </row>
    <row r="217" spans="1:23">
      <c r="A217" s="1431">
        <f t="shared" si="252"/>
        <v>13</v>
      </c>
      <c r="B217" s="1431" t="str">
        <f t="shared" si="251"/>
        <v>Opal Skyline</v>
      </c>
      <c r="C217" s="1463">
        <f>'Opal Skyline'!C119</f>
        <v>761.30500000000006</v>
      </c>
      <c r="D217" s="1463">
        <f>'Opal Skyline'!D119</f>
        <v>0</v>
      </c>
      <c r="E217" s="1463">
        <f>'Opal Skyline'!E119</f>
        <v>0</v>
      </c>
      <c r="F217" s="1463">
        <f>'Opal Skyline'!F119</f>
        <v>0</v>
      </c>
      <c r="G217" s="1463">
        <f>'Opal Skyline'!G119</f>
        <v>0</v>
      </c>
      <c r="H217" s="1463">
        <f>'Opal Skyline'!H119</f>
        <v>0</v>
      </c>
      <c r="I217" s="1463">
        <f>'Opal Skyline'!I119</f>
        <v>0</v>
      </c>
      <c r="J217" s="1463">
        <f>'Opal Skyline'!J119</f>
        <v>0</v>
      </c>
      <c r="K217" s="1463">
        <f>'Opal Skyline'!K119</f>
        <v>0</v>
      </c>
      <c r="L217" s="1463">
        <f>'Opal Skyline'!L119</f>
        <v>761.30500000000006</v>
      </c>
      <c r="M217" s="1463">
        <f>'Opal Skyline'!M119</f>
        <v>0</v>
      </c>
      <c r="N217" s="1463">
        <f>'Opal Skyline'!N119</f>
        <v>0</v>
      </c>
      <c r="O217" s="1463">
        <f>'Opal Skyline'!O119</f>
        <v>0</v>
      </c>
      <c r="P217" s="1463">
        <f>'Opal Skyline'!P119</f>
        <v>0</v>
      </c>
      <c r="Q217" s="1463">
        <f>'Opal Skyline'!Q119</f>
        <v>0</v>
      </c>
      <c r="R217" s="1463">
        <f>'Opal Skyline'!R119</f>
        <v>0</v>
      </c>
      <c r="S217" s="1463">
        <f>'Opal Skyline'!S119</f>
        <v>0</v>
      </c>
      <c r="T217" s="1463">
        <f>'Opal Skyline'!T119</f>
        <v>0</v>
      </c>
      <c r="U217" s="1463">
        <f>'Opal Skyline'!U119</f>
        <v>0</v>
      </c>
      <c r="V217" s="1463">
        <f>'Opal Skyline'!V119</f>
        <v>0</v>
      </c>
      <c r="W217" s="1463"/>
    </row>
    <row r="218" spans="1:23">
      <c r="A218" s="1431">
        <f t="shared" si="252"/>
        <v>14</v>
      </c>
      <c r="B218" s="1431" t="str">
        <f t="shared" si="251"/>
        <v>Prive</v>
      </c>
      <c r="C218" s="1463">
        <f>Prive!C118</f>
        <v>7282.0945437499995</v>
      </c>
      <c r="D218" s="1463">
        <f>Prive!D118</f>
        <v>0</v>
      </c>
      <c r="E218" s="1463">
        <f>Prive!E118</f>
        <v>0</v>
      </c>
      <c r="F218" s="1463">
        <f>Prive!F118</f>
        <v>0</v>
      </c>
      <c r="G218" s="1463">
        <f>Prive!G118</f>
        <v>0</v>
      </c>
      <c r="H218" s="1463">
        <f>Prive!H118</f>
        <v>0</v>
      </c>
      <c r="I218" s="1463">
        <f>Prive!I118</f>
        <v>0</v>
      </c>
      <c r="J218" s="1463">
        <f>Prive!J118</f>
        <v>0</v>
      </c>
      <c r="K218" s="1463">
        <f>Prive!K118</f>
        <v>0</v>
      </c>
      <c r="L218" s="1463">
        <f>Prive!L118</f>
        <v>0</v>
      </c>
      <c r="M218" s="1463">
        <f>Prive!M118</f>
        <v>0</v>
      </c>
      <c r="N218" s="1463">
        <f>Prive!N118</f>
        <v>0</v>
      </c>
      <c r="O218" s="1463">
        <f>Prive!O118</f>
        <v>0</v>
      </c>
      <c r="P218" s="1463">
        <f>Prive!P118</f>
        <v>0</v>
      </c>
      <c r="Q218" s="1463">
        <f>Prive!Q118</f>
        <v>0</v>
      </c>
      <c r="R218" s="1463">
        <f>Prive!R118</f>
        <v>3641.0472718749998</v>
      </c>
      <c r="S218" s="1463">
        <f>Prive!S118</f>
        <v>3641.0472718749998</v>
      </c>
      <c r="T218" s="1463">
        <f>Prive!T118</f>
        <v>0</v>
      </c>
      <c r="U218" s="1463">
        <f>Prive!U118</f>
        <v>0</v>
      </c>
      <c r="V218" s="1463">
        <f>Prive!V118</f>
        <v>0</v>
      </c>
      <c r="W218" s="1463"/>
    </row>
    <row r="219" spans="1:23">
      <c r="A219" s="1457"/>
      <c r="B219" s="1432" t="str">
        <f>B202</f>
        <v>Total</v>
      </c>
      <c r="C219" s="1408">
        <f t="shared" ref="C219:M219" si="253">SUM(C205:C218)</f>
        <v>23313.618439362766</v>
      </c>
      <c r="D219" s="1408">
        <f t="shared" si="253"/>
        <v>0</v>
      </c>
      <c r="E219" s="1408">
        <f t="shared" si="253"/>
        <v>0</v>
      </c>
      <c r="F219" s="1408">
        <f t="shared" si="253"/>
        <v>0</v>
      </c>
      <c r="G219" s="1408">
        <f t="shared" si="253"/>
        <v>0</v>
      </c>
      <c r="H219" s="1408">
        <f t="shared" si="253"/>
        <v>0</v>
      </c>
      <c r="I219" s="1408">
        <f t="shared" si="253"/>
        <v>585.17074760000003</v>
      </c>
      <c r="J219" s="1408">
        <f t="shared" si="253"/>
        <v>0</v>
      </c>
      <c r="K219" s="1408">
        <f t="shared" si="253"/>
        <v>0</v>
      </c>
      <c r="L219" s="1408">
        <f t="shared" si="253"/>
        <v>919.63000000000011</v>
      </c>
      <c r="M219" s="1408">
        <f t="shared" si="253"/>
        <v>1650.5897499999999</v>
      </c>
      <c r="N219" s="1408">
        <f t="shared" ref="N219:V219" si="254">SUM(N205:N218)</f>
        <v>1650.5897499999999</v>
      </c>
      <c r="O219" s="1408">
        <f t="shared" si="254"/>
        <v>2173.1171555999999</v>
      </c>
      <c r="P219" s="1408">
        <f t="shared" si="254"/>
        <v>1311.9997738500001</v>
      </c>
      <c r="Q219" s="1408">
        <f t="shared" si="254"/>
        <v>1311.9997738500001</v>
      </c>
      <c r="R219" s="1408">
        <f t="shared" si="254"/>
        <v>3641.0472718749998</v>
      </c>
      <c r="S219" s="1408">
        <f t="shared" si="254"/>
        <v>8086.6139385416664</v>
      </c>
      <c r="T219" s="1408">
        <f t="shared" si="254"/>
        <v>8333.7865556897159</v>
      </c>
      <c r="U219" s="1408">
        <f t="shared" si="254"/>
        <v>8833.2865556897159</v>
      </c>
      <c r="V219" s="1408">
        <f t="shared" si="254"/>
        <v>5899.2333333333336</v>
      </c>
      <c r="W219" s="1410"/>
    </row>
    <row r="221" spans="1:23">
      <c r="B221" s="1407" t="s">
        <v>1800</v>
      </c>
      <c r="C221" s="1455" t="str">
        <f>C204</f>
        <v>Total</v>
      </c>
      <c r="D221" s="1455">
        <f t="shared" ref="D221:M221" si="255">D204</f>
        <v>2013</v>
      </c>
      <c r="E221" s="1455">
        <f t="shared" si="255"/>
        <v>2014</v>
      </c>
      <c r="F221" s="1455">
        <f t="shared" si="255"/>
        <v>2015</v>
      </c>
      <c r="G221" s="1455">
        <f t="shared" si="255"/>
        <v>2016</v>
      </c>
      <c r="H221" s="1455">
        <f t="shared" si="255"/>
        <v>2017</v>
      </c>
      <c r="I221" s="1455">
        <f t="shared" si="255"/>
        <v>2018</v>
      </c>
      <c r="J221" s="1455">
        <f t="shared" si="255"/>
        <v>2019</v>
      </c>
      <c r="K221" s="1455">
        <f t="shared" si="255"/>
        <v>2020</v>
      </c>
      <c r="L221" s="1455">
        <f t="shared" si="255"/>
        <v>2021</v>
      </c>
      <c r="M221" s="1455">
        <f t="shared" si="255"/>
        <v>2022</v>
      </c>
      <c r="N221" s="1455">
        <f t="shared" ref="N221:V221" si="256">N204</f>
        <v>2023</v>
      </c>
      <c r="O221" s="1455">
        <f t="shared" si="256"/>
        <v>2024</v>
      </c>
      <c r="P221" s="1455">
        <f t="shared" si="256"/>
        <v>2025</v>
      </c>
      <c r="Q221" s="1455">
        <f t="shared" si="256"/>
        <v>2026</v>
      </c>
      <c r="R221" s="1455">
        <f t="shared" si="256"/>
        <v>2027</v>
      </c>
      <c r="S221" s="1455">
        <f t="shared" si="256"/>
        <v>2028</v>
      </c>
      <c r="T221" s="1455">
        <f t="shared" si="256"/>
        <v>2029</v>
      </c>
      <c r="U221" s="1455">
        <f t="shared" si="256"/>
        <v>2030</v>
      </c>
      <c r="V221" s="1455">
        <f t="shared" si="256"/>
        <v>2031</v>
      </c>
      <c r="W221" s="1455"/>
    </row>
    <row r="222" spans="1:23">
      <c r="A222" s="1431">
        <v>1</v>
      </c>
      <c r="B222" s="1432" t="str">
        <f t="shared" ref="B222:B235" si="257">B205</f>
        <v>Opal Central Park - Thuận An 1.0ha</v>
      </c>
      <c r="C222" s="1476">
        <f>'Opal Central Park'!C119</f>
        <v>0</v>
      </c>
      <c r="D222" s="1476">
        <f>'Opal Central Park'!D119</f>
        <v>0</v>
      </c>
      <c r="E222" s="1476">
        <f>'Opal Central Park'!E119</f>
        <v>0</v>
      </c>
      <c r="F222" s="1476">
        <f>'Opal Central Park'!F119</f>
        <v>0</v>
      </c>
      <c r="G222" s="1476">
        <f>'Opal Central Park'!G119</f>
        <v>0</v>
      </c>
      <c r="H222" s="1476">
        <f>'Opal Central Park'!H119</f>
        <v>0</v>
      </c>
      <c r="I222" s="1476">
        <f>'Opal Central Park'!I119</f>
        <v>0</v>
      </c>
      <c r="J222" s="1476">
        <f>'Opal Central Park'!J119</f>
        <v>0</v>
      </c>
      <c r="K222" s="1476">
        <f>'Opal Central Park'!K119</f>
        <v>0</v>
      </c>
      <c r="L222" s="1476">
        <f>'Opal Central Park'!L119</f>
        <v>0</v>
      </c>
      <c r="M222" s="1476">
        <f>'Opal Central Park'!M119</f>
        <v>0</v>
      </c>
      <c r="N222" s="1476">
        <f>'Opal Central Park'!N119</f>
        <v>0</v>
      </c>
      <c r="O222" s="1476">
        <f>'Opal Central Park'!O119</f>
        <v>0</v>
      </c>
      <c r="P222" s="1476">
        <f>'Opal Central Park'!P119</f>
        <v>0</v>
      </c>
      <c r="Q222" s="1476">
        <f>'Opal Central Park'!Q119</f>
        <v>0</v>
      </c>
      <c r="R222" s="1476">
        <f>'Opal Central Park'!R119</f>
        <v>0</v>
      </c>
      <c r="S222" s="1476">
        <f>'Opal Central Park'!S119</f>
        <v>0</v>
      </c>
      <c r="T222" s="1476">
        <f>'Opal Central Park'!T119</f>
        <v>0</v>
      </c>
      <c r="U222" s="1476">
        <f>'Opal Central Park'!U119</f>
        <v>0</v>
      </c>
      <c r="V222" s="1476">
        <f>'Opal Central Park'!V119</f>
        <v>0</v>
      </c>
      <c r="W222" s="1463"/>
    </row>
    <row r="223" spans="1:23">
      <c r="A223" s="1431">
        <f>A222+1</f>
        <v>2</v>
      </c>
      <c r="B223" s="1431" t="str">
        <f t="shared" si="257"/>
        <v>St Moritz - Opal Skyview</v>
      </c>
      <c r="C223" s="1463">
        <f>'St Moritz'!C119</f>
        <v>56.997</v>
      </c>
      <c r="D223" s="1463">
        <f>'St Moritz'!D119</f>
        <v>0</v>
      </c>
      <c r="E223" s="1463">
        <f>'St Moritz'!E119</f>
        <v>0</v>
      </c>
      <c r="F223" s="1463">
        <f>'St Moritz'!F119</f>
        <v>0</v>
      </c>
      <c r="G223" s="1463">
        <f>'St Moritz'!G119</f>
        <v>0</v>
      </c>
      <c r="H223" s="1463">
        <f>'St Moritz'!H119</f>
        <v>0</v>
      </c>
      <c r="I223" s="1463">
        <f>'St Moritz'!I119</f>
        <v>9.4994999999999994</v>
      </c>
      <c r="J223" s="1463">
        <f>'St Moritz'!J119</f>
        <v>9.4994999999999994</v>
      </c>
      <c r="K223" s="1463">
        <f>'St Moritz'!K119</f>
        <v>18.998999999999999</v>
      </c>
      <c r="L223" s="1463">
        <f>'St Moritz'!L119</f>
        <v>18.998999999999999</v>
      </c>
      <c r="M223" s="1463">
        <f>'St Moritz'!M119</f>
        <v>0</v>
      </c>
      <c r="N223" s="1463">
        <f>'St Moritz'!N119</f>
        <v>0</v>
      </c>
      <c r="O223" s="1463">
        <f>'St Moritz'!O119</f>
        <v>0</v>
      </c>
      <c r="P223" s="1463">
        <f>'St Moritz'!P119</f>
        <v>0</v>
      </c>
      <c r="Q223" s="1463">
        <f>'St Moritz'!Q119</f>
        <v>0</v>
      </c>
      <c r="R223" s="1463">
        <f>'St Moritz'!R119</f>
        <v>0</v>
      </c>
      <c r="S223" s="1463">
        <f>'St Moritz'!S119</f>
        <v>0</v>
      </c>
      <c r="T223" s="1463">
        <f>'St Moritz'!T119</f>
        <v>0</v>
      </c>
      <c r="U223" s="1463">
        <f>'St Moritz'!U119</f>
        <v>0</v>
      </c>
      <c r="V223" s="1463">
        <f>'St Moritz'!V119</f>
        <v>0</v>
      </c>
      <c r="W223" s="1463"/>
    </row>
    <row r="224" spans="1:23">
      <c r="A224" s="1431">
        <f t="shared" ref="A224:A235" si="258">A223+1</f>
        <v>3</v>
      </c>
      <c r="B224" s="1431" t="str">
        <f t="shared" si="257"/>
        <v>Opal Riverside</v>
      </c>
      <c r="C224" s="1463">
        <f>'Opal Riverside'!C119</f>
        <v>128.86629753599999</v>
      </c>
      <c r="D224" s="1463">
        <f>'Opal Riverside'!D119</f>
        <v>0</v>
      </c>
      <c r="E224" s="1463">
        <f>'Opal Riverside'!E119</f>
        <v>0</v>
      </c>
      <c r="F224" s="1463">
        <f>'Opal Riverside'!F119</f>
        <v>0</v>
      </c>
      <c r="G224" s="1463">
        <f>'Opal Riverside'!G119</f>
        <v>42.955432512000002</v>
      </c>
      <c r="H224" s="1463">
        <f>'Opal Riverside'!H119</f>
        <v>42.955432512000002</v>
      </c>
      <c r="I224" s="1463">
        <f>'Opal Riverside'!I119</f>
        <v>42.955432512000002</v>
      </c>
      <c r="J224" s="1463">
        <f>'Opal Riverside'!J119</f>
        <v>0</v>
      </c>
      <c r="K224" s="1463">
        <f>'Opal Riverside'!K119</f>
        <v>0</v>
      </c>
      <c r="L224" s="1463">
        <f>'Opal Riverside'!L119</f>
        <v>0</v>
      </c>
      <c r="M224" s="1463">
        <f>'Opal Riverside'!M119</f>
        <v>0</v>
      </c>
      <c r="N224" s="1463">
        <f>'Opal Riverside'!N119</f>
        <v>0</v>
      </c>
      <c r="O224" s="1463">
        <f>'Opal Riverside'!O119</f>
        <v>0</v>
      </c>
      <c r="P224" s="1463">
        <f>'Opal Riverside'!P119</f>
        <v>0</v>
      </c>
      <c r="Q224" s="1463">
        <f>'Opal Riverside'!Q119</f>
        <v>0</v>
      </c>
      <c r="R224" s="1463">
        <f>'Opal Riverside'!R119</f>
        <v>0</v>
      </c>
      <c r="S224" s="1463">
        <f>'Opal Riverside'!S119</f>
        <v>0</v>
      </c>
      <c r="T224" s="1463">
        <f>'Opal Riverside'!T119</f>
        <v>0</v>
      </c>
      <c r="U224" s="1463">
        <f>'Opal Riverside'!U119</f>
        <v>0</v>
      </c>
      <c r="V224" s="1463">
        <f>'Opal Riverside'!V119</f>
        <v>0</v>
      </c>
      <c r="W224" s="1463"/>
    </row>
    <row r="225" spans="1:23">
      <c r="A225" s="1431">
        <f t="shared" si="258"/>
        <v>4</v>
      </c>
      <c r="B225" s="1431" t="str">
        <f t="shared" si="257"/>
        <v>Opal Garden</v>
      </c>
      <c r="C225" s="1463">
        <f>'Opal Garden'!C119</f>
        <v>81.795171599999989</v>
      </c>
      <c r="D225" s="1463">
        <f>'Opal Garden'!D119</f>
        <v>0</v>
      </c>
      <c r="E225" s="1463">
        <f>'Opal Garden'!E119</f>
        <v>0</v>
      </c>
      <c r="F225" s="1463">
        <f>'Opal Garden'!F119</f>
        <v>0</v>
      </c>
      <c r="G225" s="1463">
        <f>'Opal Garden'!G119</f>
        <v>27.265057199999998</v>
      </c>
      <c r="H225" s="1463">
        <f>'Opal Garden'!H119</f>
        <v>27.265057199999998</v>
      </c>
      <c r="I225" s="1463">
        <f>'Opal Garden'!I119</f>
        <v>27.265057199999998</v>
      </c>
      <c r="J225" s="1463">
        <f>'Opal Garden'!J119</f>
        <v>0</v>
      </c>
      <c r="K225" s="1463">
        <f>'Opal Garden'!K119</f>
        <v>0</v>
      </c>
      <c r="L225" s="1463">
        <f>'Opal Garden'!L119</f>
        <v>0</v>
      </c>
      <c r="M225" s="1463">
        <f>'Opal Garden'!M119</f>
        <v>0</v>
      </c>
      <c r="N225" s="1463">
        <f>'Opal Garden'!N119</f>
        <v>0</v>
      </c>
      <c r="O225" s="1463">
        <f>'Opal Garden'!O119</f>
        <v>0</v>
      </c>
      <c r="P225" s="1463">
        <f>'Opal Garden'!P119</f>
        <v>0</v>
      </c>
      <c r="Q225" s="1463">
        <f>'Opal Garden'!Q119</f>
        <v>0</v>
      </c>
      <c r="R225" s="1463">
        <f>'Opal Garden'!R119</f>
        <v>0</v>
      </c>
      <c r="S225" s="1463">
        <f>'Opal Garden'!S119</f>
        <v>0</v>
      </c>
      <c r="T225" s="1463">
        <f>'Opal Garden'!T119</f>
        <v>0</v>
      </c>
      <c r="U225" s="1463">
        <f>'Opal Garden'!U119</f>
        <v>0</v>
      </c>
      <c r="V225" s="1463">
        <f>'Opal Garden'!V119</f>
        <v>0</v>
      </c>
      <c r="W225" s="1463"/>
    </row>
    <row r="226" spans="1:23">
      <c r="A226" s="1431">
        <f t="shared" si="258"/>
        <v>5</v>
      </c>
      <c r="B226" s="1431" t="str">
        <f t="shared" si="257"/>
        <v>Gem Sky World Long Thanh</v>
      </c>
      <c r="C226" s="1463">
        <f>'Long Thanh 92ha'!C119</f>
        <v>3020.5792424999995</v>
      </c>
      <c r="D226" s="1463">
        <f>'Long Thanh 92ha'!D119</f>
        <v>0</v>
      </c>
      <c r="E226" s="1463">
        <f>'Long Thanh 92ha'!E119</f>
        <v>0</v>
      </c>
      <c r="F226" s="1463">
        <f>'Long Thanh 92ha'!F119</f>
        <v>0</v>
      </c>
      <c r="G226" s="1463">
        <f>'Long Thanh 92ha'!G119</f>
        <v>0</v>
      </c>
      <c r="H226" s="1463">
        <f>'Long Thanh 92ha'!H119</f>
        <v>0</v>
      </c>
      <c r="I226" s="1463">
        <f>'Long Thanh 92ha'!I119</f>
        <v>0</v>
      </c>
      <c r="J226" s="1463">
        <f>'Long Thanh 92ha'!J119</f>
        <v>594.21230999999989</v>
      </c>
      <c r="K226" s="1463">
        <f>'Long Thanh 92ha'!K119</f>
        <v>594.21230999999989</v>
      </c>
      <c r="L226" s="1463">
        <f>'Long Thanh 92ha'!L119</f>
        <v>594.21230999999989</v>
      </c>
      <c r="M226" s="1463">
        <f>'Long Thanh 92ha'!M119</f>
        <v>594.21230999999989</v>
      </c>
      <c r="N226" s="1463">
        <f>'Long Thanh 92ha'!N119</f>
        <v>429.15333499999991</v>
      </c>
      <c r="O226" s="1463">
        <f>'Long Thanh 92ha'!O119</f>
        <v>214.57666749999993</v>
      </c>
      <c r="P226" s="1463">
        <f>'Long Thanh 92ha'!P119</f>
        <v>0</v>
      </c>
      <c r="Q226" s="1463">
        <f>'Long Thanh 92ha'!Q119</f>
        <v>0</v>
      </c>
      <c r="R226" s="1463">
        <f>'Long Thanh 92ha'!R119</f>
        <v>0</v>
      </c>
      <c r="S226" s="1463">
        <f>'Long Thanh 92ha'!S119</f>
        <v>0</v>
      </c>
      <c r="T226" s="1463">
        <f>'Long Thanh 92ha'!T119</f>
        <v>0</v>
      </c>
      <c r="U226" s="1463">
        <f>'Long Thanh 92ha'!U119</f>
        <v>0</v>
      </c>
      <c r="V226" s="1463">
        <f>'Long Thanh 92ha'!V119</f>
        <v>0</v>
      </c>
      <c r="W226" s="1463"/>
    </row>
    <row r="227" spans="1:23">
      <c r="A227" s="1431">
        <f t="shared" si="258"/>
        <v>6</v>
      </c>
      <c r="B227" s="1431" t="str">
        <f t="shared" si="257"/>
        <v>Opal Luxury 8.6ha Binh Duong</v>
      </c>
      <c r="C227" s="1463">
        <f>'Opal Luxury 8.6ha BD'!C119</f>
        <v>781.17847137199999</v>
      </c>
      <c r="D227" s="1463">
        <f>'Opal Luxury 8.6ha BD'!D119</f>
        <v>0</v>
      </c>
      <c r="E227" s="1463">
        <f>'Opal Luxury 8.6ha BD'!E119</f>
        <v>0</v>
      </c>
      <c r="F227" s="1463">
        <f>'Opal Luxury 8.6ha BD'!F119</f>
        <v>0</v>
      </c>
      <c r="G227" s="1463">
        <f>'Opal Luxury 8.6ha BD'!G119</f>
        <v>0</v>
      </c>
      <c r="H227" s="1463">
        <f>'Opal Luxury 8.6ha BD'!H119</f>
        <v>0</v>
      </c>
      <c r="I227" s="1463">
        <f>'Opal Luxury 8.6ha BD'!I119</f>
        <v>0</v>
      </c>
      <c r="J227" s="1463">
        <f>'Opal Luxury 8.6ha BD'!J119</f>
        <v>0</v>
      </c>
      <c r="K227" s="1463">
        <f>'Opal Luxury 8.6ha BD'!K119</f>
        <v>0</v>
      </c>
      <c r="L227" s="1463">
        <f>'Opal Luxury 8.6ha BD'!L119</f>
        <v>0</v>
      </c>
      <c r="M227" s="1463">
        <f>'Opal Luxury 8.6ha BD'!M119</f>
        <v>40.757137636799996</v>
      </c>
      <c r="N227" s="1463">
        <f>'Opal Luxury 8.6ha BD'!N119</f>
        <v>163.02855054719998</v>
      </c>
      <c r="O227" s="1463">
        <f>'Opal Luxury 8.6ha BD'!O119</f>
        <v>271.71425091200001</v>
      </c>
      <c r="P227" s="1463">
        <f>'Opal Luxury 8.6ha BD'!P119</f>
        <v>203.78568818400001</v>
      </c>
      <c r="Q227" s="1463">
        <f>'Opal Luxury 8.6ha BD'!Q119</f>
        <v>101.892844092</v>
      </c>
      <c r="R227" s="1463">
        <f>'Opal Luxury 8.6ha BD'!R119</f>
        <v>0</v>
      </c>
      <c r="S227" s="1463">
        <f>'Opal Luxury 8.6ha BD'!S119</f>
        <v>0</v>
      </c>
      <c r="T227" s="1463">
        <f>'Opal Luxury 8.6ha BD'!T119</f>
        <v>0</v>
      </c>
      <c r="U227" s="1463">
        <f>'Opal Luxury 8.6ha BD'!U119</f>
        <v>0</v>
      </c>
      <c r="V227" s="1463">
        <f>'Opal Luxury 8.6ha BD'!V119</f>
        <v>0</v>
      </c>
      <c r="W227" s="1463"/>
    </row>
    <row r="228" spans="1:23">
      <c r="A228" s="1431">
        <f t="shared" si="258"/>
        <v>7</v>
      </c>
      <c r="B228" s="1431" t="str">
        <f t="shared" si="257"/>
        <v>Opal Cityview</v>
      </c>
      <c r="C228" s="1463">
        <f>'Opal Cityview'!C119</f>
        <v>343.33563254250004</v>
      </c>
      <c r="D228" s="1463">
        <f>'Opal Cityview'!D119</f>
        <v>0</v>
      </c>
      <c r="E228" s="1463">
        <f>'Opal Cityview'!E119</f>
        <v>0</v>
      </c>
      <c r="F228" s="1463">
        <f>'Opal Cityview'!F119</f>
        <v>0</v>
      </c>
      <c r="G228" s="1463">
        <f>'Opal Cityview'!G119</f>
        <v>0</v>
      </c>
      <c r="H228" s="1463">
        <f>'Opal Cityview'!H119</f>
        <v>0</v>
      </c>
      <c r="I228" s="1463">
        <f>'Opal Cityview'!I119</f>
        <v>0</v>
      </c>
      <c r="J228" s="1463">
        <f>'Opal Cityview'!J119</f>
        <v>0</v>
      </c>
      <c r="K228" s="1463">
        <f>'Opal Cityview'!K119</f>
        <v>0</v>
      </c>
      <c r="L228" s="1463">
        <f>'Opal Cityview'!L119</f>
        <v>0</v>
      </c>
      <c r="M228" s="1463">
        <f>'Opal Cityview'!M119</f>
        <v>0</v>
      </c>
      <c r="N228" s="1463">
        <f>'Opal Cityview'!N119</f>
        <v>0</v>
      </c>
      <c r="O228" s="1463">
        <f>'Opal Cityview'!O119</f>
        <v>137.33425301700001</v>
      </c>
      <c r="P228" s="1463">
        <f>'Opal Cityview'!P119</f>
        <v>137.33425301700001</v>
      </c>
      <c r="Q228" s="1463">
        <f>'Opal Cityview'!Q119</f>
        <v>68.667126508500004</v>
      </c>
      <c r="R228" s="1463">
        <f>'Opal Cityview'!R119</f>
        <v>0</v>
      </c>
      <c r="S228" s="1463">
        <f>'Opal Cityview'!S119</f>
        <v>0</v>
      </c>
      <c r="T228" s="1463">
        <f>'Opal Cityview'!T119</f>
        <v>0</v>
      </c>
      <c r="U228" s="1463">
        <f>'Opal Cityview'!U119</f>
        <v>0</v>
      </c>
      <c r="V228" s="1463">
        <f>'Opal Cityview'!V119</f>
        <v>0</v>
      </c>
      <c r="W228" s="1463"/>
    </row>
    <row r="229" spans="1:23">
      <c r="A229" s="1431">
        <f t="shared" si="258"/>
        <v>8</v>
      </c>
      <c r="B229" s="1431" t="str">
        <f t="shared" si="257"/>
        <v>Park View Thuận An 5ha</v>
      </c>
      <c r="C229" s="1463">
        <f>ParkViewThuanAn5ha!C119</f>
        <v>1488.5000000000002</v>
      </c>
      <c r="D229" s="1463">
        <f>ParkViewThuanAn5ha!D119</f>
        <v>0</v>
      </c>
      <c r="E229" s="1463">
        <f>ParkViewThuanAn5ha!E119</f>
        <v>0</v>
      </c>
      <c r="F229" s="1463">
        <f>ParkViewThuanAn5ha!F119</f>
        <v>0</v>
      </c>
      <c r="G229" s="1463">
        <f>ParkViewThuanAn5ha!G119</f>
        <v>0</v>
      </c>
      <c r="H229" s="1463">
        <f>ParkViewThuanAn5ha!H119</f>
        <v>0</v>
      </c>
      <c r="I229" s="1463">
        <f>ParkViewThuanAn5ha!I119</f>
        <v>0</v>
      </c>
      <c r="J229" s="1463">
        <f>ParkViewThuanAn5ha!J119</f>
        <v>0</v>
      </c>
      <c r="K229" s="1463">
        <f>ParkViewThuanAn5ha!K119</f>
        <v>0</v>
      </c>
      <c r="L229" s="1463">
        <f>ParkViewThuanAn5ha!L119</f>
        <v>0</v>
      </c>
      <c r="M229" s="1463">
        <f>ParkViewThuanAn5ha!M119</f>
        <v>0</v>
      </c>
      <c r="N229" s="1463">
        <f>ParkViewThuanAn5ha!N119</f>
        <v>0</v>
      </c>
      <c r="O229" s="1463">
        <f>ParkViewThuanAn5ha!O119</f>
        <v>0</v>
      </c>
      <c r="P229" s="1463">
        <f>ParkViewThuanAn5ha!P119</f>
        <v>0</v>
      </c>
      <c r="Q229" s="1463">
        <f>ParkViewThuanAn5ha!Q119</f>
        <v>0</v>
      </c>
      <c r="R229" s="1463">
        <f>ParkViewThuanAn5ha!R119</f>
        <v>372.125</v>
      </c>
      <c r="S229" s="1463">
        <f>ParkViewThuanAn5ha!S119</f>
        <v>372.125</v>
      </c>
      <c r="T229" s="1463">
        <f>ParkViewThuanAn5ha!T119</f>
        <v>372.125</v>
      </c>
      <c r="U229" s="1463">
        <f>ParkViewThuanAn5ha!U119</f>
        <v>248.08333333333337</v>
      </c>
      <c r="V229" s="1463">
        <f>ParkViewThuanAn5ha!V119</f>
        <v>124.0416666666667</v>
      </c>
      <c r="W229" s="1463"/>
    </row>
    <row r="230" spans="1:23">
      <c r="A230" s="1431">
        <f t="shared" si="258"/>
        <v>9</v>
      </c>
      <c r="B230" s="1431" t="str">
        <f t="shared" si="257"/>
        <v>Lux Riverview - Lux Star Quận 7</v>
      </c>
      <c r="C230" s="1463">
        <f>'Lux Riverview Q7'!C119</f>
        <v>454.54500000000002</v>
      </c>
      <c r="D230" s="1463">
        <f>'Lux Riverview Q7'!D119</f>
        <v>0</v>
      </c>
      <c r="E230" s="1463">
        <f>'Lux Riverview Q7'!E119</f>
        <v>0</v>
      </c>
      <c r="F230" s="1463">
        <f>'Lux Riverview Q7'!F119</f>
        <v>0</v>
      </c>
      <c r="G230" s="1463">
        <f>'Lux Riverview Q7'!G119</f>
        <v>0</v>
      </c>
      <c r="H230" s="1463">
        <f>'Lux Riverview Q7'!H119</f>
        <v>0</v>
      </c>
      <c r="I230" s="1463">
        <f>'Lux Riverview Q7'!I119</f>
        <v>0</v>
      </c>
      <c r="J230" s="1463">
        <f>'Lux Riverview Q7'!J119</f>
        <v>0</v>
      </c>
      <c r="K230" s="1463">
        <f>'Lux Riverview Q7'!K119</f>
        <v>0</v>
      </c>
      <c r="L230" s="1463">
        <f>'Lux Riverview Q7'!L119</f>
        <v>0</v>
      </c>
      <c r="M230" s="1463">
        <f>'Lux Riverview Q7'!M119</f>
        <v>0</v>
      </c>
      <c r="N230" s="1463">
        <f>'Lux Riverview Q7'!N119</f>
        <v>0</v>
      </c>
      <c r="O230" s="1463">
        <f>'Lux Riverview Q7'!O119</f>
        <v>0</v>
      </c>
      <c r="P230" s="1463">
        <f>'Lux Riverview Q7'!P119</f>
        <v>0</v>
      </c>
      <c r="Q230" s="1463">
        <f>'Lux Riverview Q7'!Q119</f>
        <v>0</v>
      </c>
      <c r="R230" s="1463">
        <f>'Lux Riverview Q7'!R119</f>
        <v>0</v>
      </c>
      <c r="S230" s="1463">
        <f>'Lux Riverview Q7'!S119</f>
        <v>129.87</v>
      </c>
      <c r="T230" s="1463">
        <f>'Lux Riverview Q7'!T119</f>
        <v>129.87</v>
      </c>
      <c r="U230" s="1463">
        <f>'Lux Riverview Q7'!U119</f>
        <v>129.87</v>
      </c>
      <c r="V230" s="1463">
        <f>'Lux Riverview Q7'!V119</f>
        <v>64.935000000000002</v>
      </c>
      <c r="W230" s="1463"/>
    </row>
    <row r="231" spans="1:23">
      <c r="A231" s="1431">
        <f t="shared" si="258"/>
        <v>10</v>
      </c>
      <c r="B231" s="1431" t="str">
        <f t="shared" si="257"/>
        <v>Gem Premium Thu Duc (Opal Premium)</v>
      </c>
      <c r="C231" s="1463">
        <f>'Gem Premium'!C119</f>
        <v>6735.0335000000005</v>
      </c>
      <c r="D231" s="1463">
        <f>'Gem Premium'!D119</f>
        <v>0</v>
      </c>
      <c r="E231" s="1463">
        <f>'Gem Premium'!E119</f>
        <v>0</v>
      </c>
      <c r="F231" s="1463">
        <f>'Gem Premium'!F119</f>
        <v>0</v>
      </c>
      <c r="G231" s="1463">
        <f>'Gem Premium'!G119</f>
        <v>0</v>
      </c>
      <c r="H231" s="1463">
        <f>'Gem Premium'!H119</f>
        <v>0</v>
      </c>
      <c r="I231" s="1463">
        <f>'Gem Premium'!I119</f>
        <v>0</v>
      </c>
      <c r="J231" s="1463">
        <f>'Gem Premium'!J119</f>
        <v>0</v>
      </c>
      <c r="K231" s="1463">
        <f>'Gem Premium'!K119</f>
        <v>0</v>
      </c>
      <c r="L231" s="1463">
        <f>'Gem Premium'!L119</f>
        <v>0</v>
      </c>
      <c r="M231" s="1463">
        <f>'Gem Premium'!M119</f>
        <v>0</v>
      </c>
      <c r="N231" s="1463">
        <f>'Gem Premium'!N119</f>
        <v>0</v>
      </c>
      <c r="O231" s="1463">
        <f>'Gem Premium'!O119</f>
        <v>0</v>
      </c>
      <c r="P231" s="1463">
        <f>'Gem Premium'!P119</f>
        <v>866.88550000000009</v>
      </c>
      <c r="Q231" s="1463">
        <f>'Gem Premium'!Q119</f>
        <v>1733.7710000000002</v>
      </c>
      <c r="R231" s="1463">
        <f>'Gem Premium'!R119</f>
        <v>1733.7710000000002</v>
      </c>
      <c r="S231" s="1463">
        <f>'Gem Premium'!S119</f>
        <v>1200.3030000000001</v>
      </c>
      <c r="T231" s="1463">
        <f>'Gem Premium'!T119</f>
        <v>800.20200000000011</v>
      </c>
      <c r="U231" s="1463">
        <f>'Gem Premium'!U119</f>
        <v>400.10100000000017</v>
      </c>
      <c r="V231" s="1463">
        <f>'Gem Premium'!V119</f>
        <v>0</v>
      </c>
      <c r="W231" s="1463"/>
    </row>
    <row r="232" spans="1:23">
      <c r="A232" s="1431">
        <f t="shared" si="258"/>
        <v>11</v>
      </c>
      <c r="B232" s="1431" t="str">
        <f t="shared" si="257"/>
        <v>Gem City Q9 (Opal City old)</v>
      </c>
      <c r="C232" s="1463">
        <f>'Opal City'!C119</f>
        <v>1230.6865134379791</v>
      </c>
      <c r="D232" s="1463">
        <f>'Opal City'!D119</f>
        <v>0</v>
      </c>
      <c r="E232" s="1463">
        <f>'Opal City'!E119</f>
        <v>0</v>
      </c>
      <c r="F232" s="1463">
        <f>'Opal City'!F119</f>
        <v>0</v>
      </c>
      <c r="G232" s="1463">
        <f>'Opal City'!G119</f>
        <v>0</v>
      </c>
      <c r="H232" s="1463">
        <f>'Opal City'!H119</f>
        <v>0</v>
      </c>
      <c r="I232" s="1463">
        <f>'Opal City'!I119</f>
        <v>0</v>
      </c>
      <c r="J232" s="1463">
        <f>'Opal City'!J119</f>
        <v>0</v>
      </c>
      <c r="K232" s="1463">
        <f>'Opal City'!K119</f>
        <v>0</v>
      </c>
      <c r="L232" s="1463">
        <f>'Opal City'!L119</f>
        <v>0</v>
      </c>
      <c r="M232" s="1463">
        <f>'Opal City'!M119</f>
        <v>0</v>
      </c>
      <c r="N232" s="1463">
        <f>'Opal City'!N119</f>
        <v>0</v>
      </c>
      <c r="O232" s="1463">
        <f>'Opal City'!O119</f>
        <v>0</v>
      </c>
      <c r="P232" s="1463">
        <f>'Opal City'!P119</f>
        <v>0</v>
      </c>
      <c r="Q232" s="1463">
        <f>'Opal City'!Q119</f>
        <v>0</v>
      </c>
      <c r="R232" s="1463">
        <f>'Opal City'!R119</f>
        <v>205.11441890632983</v>
      </c>
      <c r="S232" s="1463">
        <f>'Opal City'!S119</f>
        <v>410.22883781265966</v>
      </c>
      <c r="T232" s="1463">
        <f>'Opal City'!T119</f>
        <v>410.22883781265966</v>
      </c>
      <c r="U232" s="1463">
        <f>'Opal City'!U119</f>
        <v>205.11441890632983</v>
      </c>
      <c r="V232" s="1463">
        <f>'Opal City'!V119</f>
        <v>0</v>
      </c>
      <c r="W232" s="1463"/>
    </row>
    <row r="233" spans="1:23">
      <c r="A233" s="1431">
        <f t="shared" si="258"/>
        <v>12</v>
      </c>
      <c r="B233" s="1431" t="str">
        <f t="shared" si="257"/>
        <v>Park City Thuận An 10ha</v>
      </c>
      <c r="C233" s="1463">
        <f>ParkCityThuanAn10ha!C119</f>
        <v>881.5625</v>
      </c>
      <c r="D233" s="1463">
        <f>ParkCityThuanAn10ha!D119</f>
        <v>0</v>
      </c>
      <c r="E233" s="1463">
        <f>ParkCityThuanAn10ha!E119</f>
        <v>0</v>
      </c>
      <c r="F233" s="1463">
        <f>ParkCityThuanAn10ha!F119</f>
        <v>0</v>
      </c>
      <c r="G233" s="1463">
        <f>ParkCityThuanAn10ha!G119</f>
        <v>0</v>
      </c>
      <c r="H233" s="1463">
        <f>ParkCityThuanAn10ha!H119</f>
        <v>0</v>
      </c>
      <c r="I233" s="1463">
        <f>ParkCityThuanAn10ha!I119</f>
        <v>0</v>
      </c>
      <c r="J233" s="1463">
        <f>ParkCityThuanAn10ha!J119</f>
        <v>0</v>
      </c>
      <c r="K233" s="1463">
        <f>ParkCityThuanAn10ha!K119</f>
        <v>0</v>
      </c>
      <c r="L233" s="1463">
        <f>ParkCityThuanAn10ha!L119</f>
        <v>0</v>
      </c>
      <c r="M233" s="1463">
        <f>ParkCityThuanAn10ha!M119</f>
        <v>0</v>
      </c>
      <c r="N233" s="1463">
        <f>ParkCityThuanAn10ha!N119</f>
        <v>0</v>
      </c>
      <c r="O233" s="1463">
        <f>ParkCityThuanAn10ha!O119</f>
        <v>0</v>
      </c>
      <c r="P233" s="1463">
        <f>ParkCityThuanAn10ha!P119</f>
        <v>0</v>
      </c>
      <c r="Q233" s="1463">
        <f>ParkCityThuanAn10ha!Q119</f>
        <v>0</v>
      </c>
      <c r="R233" s="1463">
        <f>ParkCityThuanAn10ha!R119</f>
        <v>0</v>
      </c>
      <c r="S233" s="1463">
        <f>ParkCityThuanAn10ha!S119</f>
        <v>352.625</v>
      </c>
      <c r="T233" s="1463">
        <f>ParkCityThuanAn10ha!T119</f>
        <v>352.625</v>
      </c>
      <c r="U233" s="1463">
        <f>ParkCityThuanAn10ha!U119</f>
        <v>176.3125</v>
      </c>
      <c r="V233" s="1463">
        <f>ParkCityThuanAn10ha!V119</f>
        <v>0</v>
      </c>
      <c r="W233" s="1463"/>
    </row>
    <row r="234" spans="1:23">
      <c r="A234" s="1431">
        <f t="shared" si="258"/>
        <v>13</v>
      </c>
      <c r="B234" s="1431" t="str">
        <f t="shared" si="257"/>
        <v>Opal Skyline</v>
      </c>
      <c r="C234" s="1463">
        <f>'Opal Skyline'!C120</f>
        <v>274.06979999999999</v>
      </c>
      <c r="D234" s="1463">
        <f>'Opal Skyline'!D120</f>
        <v>0</v>
      </c>
      <c r="E234" s="1463">
        <f>'Opal Skyline'!E120</f>
        <v>0</v>
      </c>
      <c r="F234" s="1463">
        <f>'Opal Skyline'!F120</f>
        <v>0</v>
      </c>
      <c r="G234" s="1463">
        <f>'Opal Skyline'!G120</f>
        <v>0</v>
      </c>
      <c r="H234" s="1463">
        <f>'Opal Skyline'!H120</f>
        <v>0</v>
      </c>
      <c r="I234" s="1463">
        <f>'Opal Skyline'!I120</f>
        <v>0</v>
      </c>
      <c r="J234" s="1463">
        <f>'Opal Skyline'!J120</f>
        <v>91.3566</v>
      </c>
      <c r="K234" s="1463">
        <f>'Opal Skyline'!K120</f>
        <v>91.3566</v>
      </c>
      <c r="L234" s="1463">
        <f>'Opal Skyline'!L120</f>
        <v>91.3566</v>
      </c>
      <c r="M234" s="1463">
        <f>'Opal Skyline'!M120</f>
        <v>0</v>
      </c>
      <c r="N234" s="1463">
        <f>'Opal Skyline'!N120</f>
        <v>0</v>
      </c>
      <c r="O234" s="1463">
        <f>'Opal Skyline'!O120</f>
        <v>0</v>
      </c>
      <c r="P234" s="1463">
        <f>'Opal Skyline'!P120</f>
        <v>0</v>
      </c>
      <c r="Q234" s="1463">
        <f>'Opal Skyline'!Q120</f>
        <v>0</v>
      </c>
      <c r="R234" s="1463">
        <f>'Opal Skyline'!R120</f>
        <v>0</v>
      </c>
      <c r="S234" s="1463">
        <f>'Opal Skyline'!S120</f>
        <v>0</v>
      </c>
      <c r="T234" s="1463">
        <f>'Opal Skyline'!T120</f>
        <v>0</v>
      </c>
      <c r="U234" s="1463">
        <f>'Opal Skyline'!U120</f>
        <v>0</v>
      </c>
      <c r="V234" s="1463">
        <f>'Opal Skyline'!V120</f>
        <v>0</v>
      </c>
      <c r="W234" s="1463"/>
    </row>
    <row r="235" spans="1:23">
      <c r="A235" s="1431">
        <f t="shared" si="258"/>
        <v>14</v>
      </c>
      <c r="B235" s="1431" t="str">
        <f t="shared" si="257"/>
        <v>Prive</v>
      </c>
      <c r="C235" s="1463">
        <f>Prive!C119</f>
        <v>1747.7026904999998</v>
      </c>
      <c r="D235" s="1463">
        <f>Prive!D119</f>
        <v>0</v>
      </c>
      <c r="E235" s="1463">
        <f>Prive!E119</f>
        <v>0</v>
      </c>
      <c r="F235" s="1463">
        <f>Prive!F119</f>
        <v>0</v>
      </c>
      <c r="G235" s="1463">
        <f>Prive!G119</f>
        <v>0</v>
      </c>
      <c r="H235" s="1463">
        <f>Prive!H119</f>
        <v>0</v>
      </c>
      <c r="I235" s="1463">
        <f>Prive!I119</f>
        <v>0</v>
      </c>
      <c r="J235" s="1463">
        <f>Prive!J119</f>
        <v>0</v>
      </c>
      <c r="K235" s="1463">
        <f>Prive!K119</f>
        <v>0</v>
      </c>
      <c r="L235" s="1463">
        <f>Prive!L119</f>
        <v>0</v>
      </c>
      <c r="M235" s="1463">
        <f>Prive!M119</f>
        <v>0</v>
      </c>
      <c r="N235" s="1463">
        <f>Prive!N119</f>
        <v>0</v>
      </c>
      <c r="O235" s="1463">
        <f>Prive!O119</f>
        <v>0</v>
      </c>
      <c r="P235" s="1463">
        <f>Prive!P119</f>
        <v>291.28378175</v>
      </c>
      <c r="Q235" s="1463">
        <f>Prive!Q119</f>
        <v>582.56756350000001</v>
      </c>
      <c r="R235" s="1463">
        <f>Prive!R119</f>
        <v>582.56756350000001</v>
      </c>
      <c r="S235" s="1463">
        <f>Prive!S119</f>
        <v>291.28378175</v>
      </c>
      <c r="T235" s="1463">
        <f>Prive!T119</f>
        <v>0</v>
      </c>
      <c r="U235" s="1463">
        <f>Prive!U119</f>
        <v>0</v>
      </c>
      <c r="V235" s="1463">
        <f>Prive!V119</f>
        <v>0</v>
      </c>
      <c r="W235" s="1463"/>
    </row>
    <row r="236" spans="1:23">
      <c r="A236" s="1457"/>
      <c r="B236" s="1432" t="str">
        <f>B219</f>
        <v>Total</v>
      </c>
      <c r="C236" s="1408">
        <f t="shared" ref="C236:M236" si="259">SUM(C222:C235)</f>
        <v>17224.851819488478</v>
      </c>
      <c r="D236" s="1408">
        <f t="shared" si="259"/>
        <v>0</v>
      </c>
      <c r="E236" s="1408">
        <f t="shared" si="259"/>
        <v>0</v>
      </c>
      <c r="F236" s="1408">
        <f t="shared" si="259"/>
        <v>0</v>
      </c>
      <c r="G236" s="1408">
        <f t="shared" si="259"/>
        <v>70.220489712000003</v>
      </c>
      <c r="H236" s="1408">
        <f t="shared" si="259"/>
        <v>70.220489712000003</v>
      </c>
      <c r="I236" s="1408">
        <f t="shared" si="259"/>
        <v>79.719989712</v>
      </c>
      <c r="J236" s="1408">
        <f t="shared" si="259"/>
        <v>695.06840999999986</v>
      </c>
      <c r="K236" s="1408">
        <f t="shared" si="259"/>
        <v>704.56790999999987</v>
      </c>
      <c r="L236" s="1408">
        <f t="shared" si="259"/>
        <v>704.56790999999987</v>
      </c>
      <c r="M236" s="1408">
        <f t="shared" si="259"/>
        <v>634.96944763679994</v>
      </c>
      <c r="N236" s="1408">
        <f t="shared" ref="N236:V236" si="260">SUM(N222:N235)</f>
        <v>592.18188554719995</v>
      </c>
      <c r="O236" s="1408">
        <f t="shared" si="260"/>
        <v>623.62517142899992</v>
      </c>
      <c r="P236" s="1408">
        <f t="shared" si="260"/>
        <v>1499.2892229510003</v>
      </c>
      <c r="Q236" s="1408">
        <f t="shared" si="260"/>
        <v>2486.8985341005</v>
      </c>
      <c r="R236" s="1408">
        <f t="shared" si="260"/>
        <v>2893.5779824063302</v>
      </c>
      <c r="S236" s="1408">
        <f t="shared" si="260"/>
        <v>2756.4356195626597</v>
      </c>
      <c r="T236" s="1408">
        <f t="shared" si="260"/>
        <v>2065.0508378126597</v>
      </c>
      <c r="U236" s="1408">
        <f t="shared" si="260"/>
        <v>1159.4812522396633</v>
      </c>
      <c r="V236" s="1408">
        <f t="shared" si="260"/>
        <v>188.97666666666669</v>
      </c>
      <c r="W236" s="1410"/>
    </row>
    <row r="237" spans="1:23">
      <c r="A237" s="1447"/>
      <c r="C237" s="1410"/>
      <c r="D237" s="1410"/>
      <c r="E237" s="1410"/>
      <c r="F237" s="1410"/>
      <c r="G237" s="1410"/>
      <c r="H237" s="1410"/>
      <c r="I237" s="1410"/>
      <c r="J237" s="1410"/>
      <c r="K237" s="1410"/>
      <c r="L237" s="1410"/>
      <c r="M237" s="1410"/>
      <c r="N237" s="1410"/>
      <c r="O237" s="1410"/>
      <c r="P237" s="1410"/>
      <c r="Q237" s="1410"/>
      <c r="R237" s="1410"/>
      <c r="S237" s="1410"/>
      <c r="T237" s="1410"/>
      <c r="U237" s="1410"/>
      <c r="V237" s="1410"/>
      <c r="W237" s="1410"/>
    </row>
    <row r="238" spans="1:23">
      <c r="B238" s="1407" t="s">
        <v>1594</v>
      </c>
      <c r="C238" s="1455" t="str">
        <f>C221</f>
        <v>Total</v>
      </c>
      <c r="D238" s="1455">
        <f t="shared" ref="D238:M238" si="261">D221</f>
        <v>2013</v>
      </c>
      <c r="E238" s="1455">
        <f t="shared" si="261"/>
        <v>2014</v>
      </c>
      <c r="F238" s="1455">
        <f t="shared" si="261"/>
        <v>2015</v>
      </c>
      <c r="G238" s="1455">
        <f t="shared" si="261"/>
        <v>2016</v>
      </c>
      <c r="H238" s="1455">
        <f t="shared" si="261"/>
        <v>2017</v>
      </c>
      <c r="I238" s="1455">
        <f t="shared" si="261"/>
        <v>2018</v>
      </c>
      <c r="J238" s="1455">
        <f t="shared" si="261"/>
        <v>2019</v>
      </c>
      <c r="K238" s="1455">
        <f t="shared" si="261"/>
        <v>2020</v>
      </c>
      <c r="L238" s="1455">
        <f t="shared" si="261"/>
        <v>2021</v>
      </c>
      <c r="M238" s="1455">
        <f t="shared" si="261"/>
        <v>2022</v>
      </c>
      <c r="N238" s="1455">
        <f t="shared" ref="N238:V238" si="262">N221</f>
        <v>2023</v>
      </c>
      <c r="O238" s="1455">
        <f t="shared" si="262"/>
        <v>2024</v>
      </c>
      <c r="P238" s="1455">
        <f t="shared" si="262"/>
        <v>2025</v>
      </c>
      <c r="Q238" s="1455">
        <f t="shared" si="262"/>
        <v>2026</v>
      </c>
      <c r="R238" s="1455">
        <f t="shared" si="262"/>
        <v>2027</v>
      </c>
      <c r="S238" s="1455">
        <f t="shared" si="262"/>
        <v>2028</v>
      </c>
      <c r="T238" s="1455">
        <f t="shared" si="262"/>
        <v>2029</v>
      </c>
      <c r="U238" s="1455">
        <f t="shared" si="262"/>
        <v>2030</v>
      </c>
      <c r="V238" s="1455">
        <f t="shared" si="262"/>
        <v>2031</v>
      </c>
      <c r="W238" s="1455"/>
    </row>
    <row r="239" spans="1:23">
      <c r="A239" s="1431">
        <v>1</v>
      </c>
      <c r="B239" s="1432" t="str">
        <f t="shared" ref="B239:B252" si="263">B222</f>
        <v>Opal Central Park - Thuận An 1.0ha</v>
      </c>
      <c r="C239" s="1476"/>
      <c r="D239" s="1476">
        <f>'Opal Central Park'!D116</f>
        <v>0</v>
      </c>
      <c r="E239" s="1476">
        <f>'Opal Central Park'!E116</f>
        <v>0</v>
      </c>
      <c r="F239" s="1476">
        <f>'Opal Central Park'!F116</f>
        <v>0</v>
      </c>
      <c r="G239" s="1476">
        <f>'Opal Central Park'!G116</f>
        <v>0</v>
      </c>
      <c r="H239" s="1476">
        <f>'Opal Central Park'!H116</f>
        <v>0</v>
      </c>
      <c r="I239" s="1476">
        <f>'Opal Central Park'!I116</f>
        <v>0</v>
      </c>
      <c r="J239" s="1476">
        <f>'Opal Central Park'!J116</f>
        <v>0</v>
      </c>
      <c r="K239" s="1476">
        <f>'Opal Central Park'!K116</f>
        <v>0</v>
      </c>
      <c r="L239" s="1476">
        <f>'Opal Central Park'!L116</f>
        <v>0</v>
      </c>
      <c r="M239" s="1476">
        <f>'Opal Central Park'!M116</f>
        <v>0</v>
      </c>
      <c r="N239" s="1476">
        <f>'Opal Central Park'!N116</f>
        <v>0</v>
      </c>
      <c r="O239" s="1476">
        <f>'Opal Central Park'!O116</f>
        <v>0</v>
      </c>
      <c r="P239" s="1476">
        <f>'Opal Central Park'!P116</f>
        <v>0</v>
      </c>
      <c r="Q239" s="1476">
        <f>'Opal Central Park'!Q116</f>
        <v>0</v>
      </c>
      <c r="R239" s="1476">
        <f>'Opal Central Park'!R116</f>
        <v>0</v>
      </c>
      <c r="S239" s="1476">
        <f>'Opal Central Park'!S116</f>
        <v>0</v>
      </c>
      <c r="T239" s="1476">
        <f>'Opal Central Park'!T116</f>
        <v>0</v>
      </c>
      <c r="U239" s="1476">
        <f>'Opal Central Park'!U116</f>
        <v>0</v>
      </c>
      <c r="V239" s="1476">
        <f>'Opal Central Park'!V116</f>
        <v>0</v>
      </c>
      <c r="W239" s="1463"/>
    </row>
    <row r="240" spans="1:23">
      <c r="A240" s="1431">
        <f>A239+1</f>
        <v>2</v>
      </c>
      <c r="B240" s="1431" t="str">
        <f t="shared" si="263"/>
        <v>St Moritz - Opal Skyview</v>
      </c>
      <c r="C240" s="1463"/>
      <c r="D240" s="1463">
        <f>'St Moritz'!D116</f>
        <v>0</v>
      </c>
      <c r="E240" s="1463">
        <f>'St Moritz'!E116</f>
        <v>0</v>
      </c>
      <c r="F240" s="1463">
        <f>'St Moritz'!F116</f>
        <v>0</v>
      </c>
      <c r="G240" s="1463">
        <f>'St Moritz'!G116</f>
        <v>0</v>
      </c>
      <c r="H240" s="1463">
        <f>'St Moritz'!H116</f>
        <v>0</v>
      </c>
      <c r="I240" s="1463">
        <f>'St Moritz'!I116</f>
        <v>79.162499999999994</v>
      </c>
      <c r="J240" s="1463">
        <f>'St Moritz'!J116</f>
        <v>0</v>
      </c>
      <c r="K240" s="1463">
        <f>'St Moritz'!K116</f>
        <v>79.162499999999994</v>
      </c>
      <c r="L240" s="1463">
        <f>'St Moritz'!L116</f>
        <v>0</v>
      </c>
      <c r="M240" s="1463">
        <f>'St Moritz'!M116</f>
        <v>0</v>
      </c>
      <c r="N240" s="1463">
        <f>'St Moritz'!N116</f>
        <v>0</v>
      </c>
      <c r="O240" s="1463">
        <f>'St Moritz'!O116</f>
        <v>0</v>
      </c>
      <c r="P240" s="1463">
        <f>'St Moritz'!P116</f>
        <v>0</v>
      </c>
      <c r="Q240" s="1463">
        <f>'St Moritz'!Q116</f>
        <v>0</v>
      </c>
      <c r="R240" s="1463">
        <f>'St Moritz'!R116</f>
        <v>0</v>
      </c>
      <c r="S240" s="1463">
        <f>'St Moritz'!S116</f>
        <v>0</v>
      </c>
      <c r="T240" s="1463">
        <f>'St Moritz'!T116</f>
        <v>0</v>
      </c>
      <c r="U240" s="1463">
        <f>'St Moritz'!U116</f>
        <v>0</v>
      </c>
      <c r="V240" s="1463">
        <f>'St Moritz'!V116</f>
        <v>0</v>
      </c>
      <c r="W240" s="1463"/>
    </row>
    <row r="241" spans="1:23">
      <c r="A241" s="1431">
        <f t="shared" ref="A241:A252" si="264">A240+1</f>
        <v>3</v>
      </c>
      <c r="B241" s="1431" t="str">
        <f t="shared" si="263"/>
        <v>Opal Riverside</v>
      </c>
      <c r="C241" s="1463"/>
      <c r="D241" s="1463">
        <f>'Opal Riverside'!D116</f>
        <v>0</v>
      </c>
      <c r="E241" s="1463">
        <f>'Opal Riverside'!E116</f>
        <v>0</v>
      </c>
      <c r="F241" s="1463">
        <f>'Opal Riverside'!F116</f>
        <v>0</v>
      </c>
      <c r="G241" s="1463">
        <f>'Opal Riverside'!G116</f>
        <v>357.9619376</v>
      </c>
      <c r="H241" s="1463">
        <f>'Opal Riverside'!H116</f>
        <v>0</v>
      </c>
      <c r="I241" s="1463">
        <f>'Opal Riverside'!I116</f>
        <v>0</v>
      </c>
      <c r="J241" s="1463">
        <f>'Opal Riverside'!J116</f>
        <v>0</v>
      </c>
      <c r="K241" s="1463">
        <f>'Opal Riverside'!K116</f>
        <v>0</v>
      </c>
      <c r="L241" s="1463">
        <f>'Opal Riverside'!L116</f>
        <v>0</v>
      </c>
      <c r="M241" s="1463">
        <f>'Opal Riverside'!M116</f>
        <v>0</v>
      </c>
      <c r="N241" s="1463">
        <f>'Opal Riverside'!N116</f>
        <v>0</v>
      </c>
      <c r="O241" s="1463">
        <f>'Opal Riverside'!O116</f>
        <v>0</v>
      </c>
      <c r="P241" s="1463">
        <f>'Opal Riverside'!P116</f>
        <v>0</v>
      </c>
      <c r="Q241" s="1463">
        <f>'Opal Riverside'!Q116</f>
        <v>0</v>
      </c>
      <c r="R241" s="1463">
        <f>'Opal Riverside'!R116</f>
        <v>0</v>
      </c>
      <c r="S241" s="1463">
        <f>'Opal Riverside'!S116</f>
        <v>0</v>
      </c>
      <c r="T241" s="1463">
        <f>'Opal Riverside'!T116</f>
        <v>0</v>
      </c>
      <c r="U241" s="1463">
        <f>'Opal Riverside'!U116</f>
        <v>0</v>
      </c>
      <c r="V241" s="1463">
        <f>'Opal Riverside'!V116</f>
        <v>0</v>
      </c>
      <c r="W241" s="1463"/>
    </row>
    <row r="242" spans="1:23">
      <c r="A242" s="1431">
        <f t="shared" si="264"/>
        <v>4</v>
      </c>
      <c r="B242" s="1431" t="str">
        <f t="shared" si="263"/>
        <v>Opal Garden</v>
      </c>
      <c r="C242" s="1463"/>
      <c r="D242" s="1463">
        <f>'Opal Garden'!D116</f>
        <v>0</v>
      </c>
      <c r="E242" s="1463">
        <f>'Opal Garden'!E116</f>
        <v>0</v>
      </c>
      <c r="F242" s="1463">
        <f>'Opal Garden'!F116</f>
        <v>0</v>
      </c>
      <c r="G242" s="1463">
        <f>'Opal Garden'!G116</f>
        <v>227.20881</v>
      </c>
      <c r="H242" s="1463">
        <f>'Opal Garden'!H116</f>
        <v>0</v>
      </c>
      <c r="I242" s="1463">
        <f>'Opal Garden'!I116</f>
        <v>0</v>
      </c>
      <c r="J242" s="1463">
        <f>'Opal Garden'!J116</f>
        <v>0</v>
      </c>
      <c r="K242" s="1463">
        <f>'Opal Garden'!K116</f>
        <v>0</v>
      </c>
      <c r="L242" s="1463">
        <f>'Opal Garden'!L116</f>
        <v>0</v>
      </c>
      <c r="M242" s="1463">
        <f>'Opal Garden'!M116</f>
        <v>0</v>
      </c>
      <c r="N242" s="1463">
        <f>'Opal Garden'!N116</f>
        <v>0</v>
      </c>
      <c r="O242" s="1463">
        <f>'Opal Garden'!O116</f>
        <v>0</v>
      </c>
      <c r="P242" s="1463">
        <f>'Opal Garden'!P116</f>
        <v>0</v>
      </c>
      <c r="Q242" s="1463">
        <f>'Opal Garden'!Q116</f>
        <v>0</v>
      </c>
      <c r="R242" s="1463">
        <f>'Opal Garden'!R116</f>
        <v>0</v>
      </c>
      <c r="S242" s="1463">
        <f>'Opal Garden'!S116</f>
        <v>0</v>
      </c>
      <c r="T242" s="1463">
        <f>'Opal Garden'!T116</f>
        <v>0</v>
      </c>
      <c r="U242" s="1463">
        <f>'Opal Garden'!U116</f>
        <v>0</v>
      </c>
      <c r="V242" s="1463">
        <f>'Opal Garden'!V116</f>
        <v>0</v>
      </c>
      <c r="W242" s="1463"/>
    </row>
    <row r="243" spans="1:23">
      <c r="A243" s="1431">
        <f t="shared" si="264"/>
        <v>5</v>
      </c>
      <c r="B243" s="1431" t="str">
        <f t="shared" si="263"/>
        <v>Gem Sky World Long Thanh</v>
      </c>
      <c r="C243" s="1463"/>
      <c r="D243" s="1463">
        <f>'Long Thanh 92ha'!D116</f>
        <v>0</v>
      </c>
      <c r="E243" s="1463">
        <f>'Long Thanh 92ha'!E116</f>
        <v>0</v>
      </c>
      <c r="F243" s="1463">
        <f>'Long Thanh 92ha'!F116</f>
        <v>0</v>
      </c>
      <c r="G243" s="1463">
        <f>'Long Thanh 92ha'!G116</f>
        <v>0</v>
      </c>
      <c r="H243" s="1463">
        <f>'Long Thanh 92ha'!H116</f>
        <v>0</v>
      </c>
      <c r="I243" s="1463">
        <f>'Long Thanh 92ha'!I116</f>
        <v>0</v>
      </c>
      <c r="J243" s="1463">
        <f>'Long Thanh 92ha'!J116</f>
        <v>4951.7692499999994</v>
      </c>
      <c r="K243" s="1463">
        <f>'Long Thanh 92ha'!K116</f>
        <v>0</v>
      </c>
      <c r="L243" s="1463">
        <f>'Long Thanh 92ha'!L116</f>
        <v>0</v>
      </c>
      <c r="M243" s="1463">
        <f>'Long Thanh 92ha'!M116</f>
        <v>0</v>
      </c>
      <c r="N243" s="1463">
        <f>'Long Thanh 92ha'!N116</f>
        <v>0</v>
      </c>
      <c r="O243" s="1463">
        <f>'Long Thanh 92ha'!O116</f>
        <v>0</v>
      </c>
      <c r="P243" s="1463">
        <f>'Long Thanh 92ha'!P116</f>
        <v>0</v>
      </c>
      <c r="Q243" s="1463">
        <f>'Long Thanh 92ha'!Q116</f>
        <v>0</v>
      </c>
      <c r="R243" s="1463">
        <f>'Long Thanh 92ha'!R116</f>
        <v>0</v>
      </c>
      <c r="S243" s="1463">
        <f>'Long Thanh 92ha'!S116</f>
        <v>0</v>
      </c>
      <c r="T243" s="1463">
        <f>'Long Thanh 92ha'!T116</f>
        <v>0</v>
      </c>
      <c r="U243" s="1463">
        <f>'Long Thanh 92ha'!U116</f>
        <v>0</v>
      </c>
      <c r="V243" s="1463">
        <f>'Long Thanh 92ha'!V116</f>
        <v>0</v>
      </c>
      <c r="W243" s="1463"/>
    </row>
    <row r="244" spans="1:23">
      <c r="A244" s="1431">
        <f t="shared" si="264"/>
        <v>6</v>
      </c>
      <c r="B244" s="1431" t="str">
        <f t="shared" si="263"/>
        <v>Opal Luxury 8.6ha Binh Duong</v>
      </c>
      <c r="C244" s="1463"/>
      <c r="D244" s="1463">
        <f>'Opal Luxury 8.6ha BD'!D116</f>
        <v>0</v>
      </c>
      <c r="E244" s="1463">
        <f>'Opal Luxury 8.6ha BD'!E116</f>
        <v>0</v>
      </c>
      <c r="F244" s="1463">
        <f>'Opal Luxury 8.6ha BD'!F116</f>
        <v>0</v>
      </c>
      <c r="G244" s="1463">
        <f>'Opal Luxury 8.6ha BD'!G116</f>
        <v>0</v>
      </c>
      <c r="H244" s="1463">
        <f>'Opal Luxury 8.6ha BD'!H116</f>
        <v>0</v>
      </c>
      <c r="I244" s="1463">
        <f>'Opal Luxury 8.6ha BD'!I116</f>
        <v>0</v>
      </c>
      <c r="J244" s="1463">
        <f>'Opal Luxury 8.6ha BD'!J116</f>
        <v>0</v>
      </c>
      <c r="K244" s="1463">
        <f>'Opal Luxury 8.6ha BD'!K116</f>
        <v>0</v>
      </c>
      <c r="L244" s="1463">
        <f>'Opal Luxury 8.6ha BD'!L116</f>
        <v>0</v>
      </c>
      <c r="M244" s="1463">
        <f>'Opal Luxury 8.6ha BD'!M116</f>
        <v>313.51644335999998</v>
      </c>
      <c r="N244" s="1463">
        <f>'Opal Luxury 8.6ha BD'!N116</f>
        <v>940.54933007999989</v>
      </c>
      <c r="O244" s="1463">
        <f>'Opal Luxury 8.6ha BD'!O116</f>
        <v>836.04384895999999</v>
      </c>
      <c r="P244" s="1463">
        <f>'Opal Luxury 8.6ha BD'!P116</f>
        <v>0</v>
      </c>
      <c r="Q244" s="1463">
        <f>'Opal Luxury 8.6ha BD'!Q116</f>
        <v>0</v>
      </c>
      <c r="R244" s="1463">
        <f>'Opal Luxury 8.6ha BD'!R116</f>
        <v>0</v>
      </c>
      <c r="S244" s="1463">
        <f>'Opal Luxury 8.6ha BD'!S116</f>
        <v>0</v>
      </c>
      <c r="T244" s="1463">
        <f>'Opal Luxury 8.6ha BD'!T116</f>
        <v>0</v>
      </c>
      <c r="U244" s="1463">
        <f>'Opal Luxury 8.6ha BD'!U116</f>
        <v>0</v>
      </c>
      <c r="V244" s="1463">
        <f>'Opal Luxury 8.6ha BD'!V116</f>
        <v>0</v>
      </c>
      <c r="W244" s="1463"/>
    </row>
    <row r="245" spans="1:23">
      <c r="A245" s="1431">
        <f t="shared" si="264"/>
        <v>7</v>
      </c>
      <c r="B245" s="1431" t="str">
        <f t="shared" si="263"/>
        <v>Opal Cityview</v>
      </c>
      <c r="C245" s="1463"/>
      <c r="D245" s="1463">
        <f>'Opal Cityview'!D116</f>
        <v>0</v>
      </c>
      <c r="E245" s="1463">
        <f>'Opal Cityview'!E116</f>
        <v>0</v>
      </c>
      <c r="F245" s="1463">
        <f>'Opal Cityview'!F116</f>
        <v>0</v>
      </c>
      <c r="G245" s="1463">
        <f>'Opal Cityview'!G116</f>
        <v>0</v>
      </c>
      <c r="H245" s="1463">
        <f>'Opal Cityview'!H116</f>
        <v>0</v>
      </c>
      <c r="I245" s="1463">
        <f>'Opal Cityview'!I116</f>
        <v>0</v>
      </c>
      <c r="J245" s="1463">
        <f>'Opal Cityview'!J116</f>
        <v>0</v>
      </c>
      <c r="K245" s="1463">
        <f>'Opal Cityview'!K116</f>
        <v>0</v>
      </c>
      <c r="L245" s="1463">
        <f>'Opal Cityview'!L116</f>
        <v>0</v>
      </c>
      <c r="M245" s="1463">
        <f>'Opal Cityview'!M116</f>
        <v>0</v>
      </c>
      <c r="N245" s="1463">
        <f>'Opal Cityview'!N116</f>
        <v>0</v>
      </c>
      <c r="O245" s="1463">
        <f>'Opal Cityview'!O116</f>
        <v>1056.4173309</v>
      </c>
      <c r="P245" s="1463">
        <f>'Opal Cityview'!P116</f>
        <v>0</v>
      </c>
      <c r="Q245" s="1463">
        <f>'Opal Cityview'!Q116</f>
        <v>0</v>
      </c>
      <c r="R245" s="1463">
        <f>'Opal Cityview'!R116</f>
        <v>0</v>
      </c>
      <c r="S245" s="1463">
        <f>'Opal Cityview'!S116</f>
        <v>0</v>
      </c>
      <c r="T245" s="1463">
        <f>'Opal Cityview'!T116</f>
        <v>0</v>
      </c>
      <c r="U245" s="1463">
        <f>'Opal Cityview'!U116</f>
        <v>0</v>
      </c>
      <c r="V245" s="1463">
        <f>'Opal Cityview'!V116</f>
        <v>0</v>
      </c>
      <c r="W245" s="1463"/>
    </row>
    <row r="246" spans="1:23">
      <c r="A246" s="1431">
        <f t="shared" si="264"/>
        <v>8</v>
      </c>
      <c r="B246" s="1431" t="str">
        <f t="shared" si="263"/>
        <v>Park View Thuận An 5ha</v>
      </c>
      <c r="C246" s="1463"/>
      <c r="D246" s="1463">
        <f>ParkViewThuanAn5ha!D116</f>
        <v>0</v>
      </c>
      <c r="E246" s="1463">
        <f>ParkViewThuanAn5ha!E116</f>
        <v>0</v>
      </c>
      <c r="F246" s="1463">
        <f>ParkViewThuanAn5ha!F116</f>
        <v>0</v>
      </c>
      <c r="G246" s="1463">
        <f>ParkViewThuanAn5ha!G116</f>
        <v>0</v>
      </c>
      <c r="H246" s="1463">
        <f>ParkViewThuanAn5ha!H116</f>
        <v>0</v>
      </c>
      <c r="I246" s="1463">
        <f>ParkViewThuanAn5ha!I116</f>
        <v>0</v>
      </c>
      <c r="J246" s="1463">
        <f>ParkViewThuanAn5ha!J116</f>
        <v>0</v>
      </c>
      <c r="K246" s="1463">
        <f>ParkViewThuanAn5ha!K116</f>
        <v>0</v>
      </c>
      <c r="L246" s="1463">
        <f>ParkViewThuanAn5ha!L116</f>
        <v>0</v>
      </c>
      <c r="M246" s="1463">
        <f>ParkViewThuanAn5ha!M116</f>
        <v>0</v>
      </c>
      <c r="N246" s="1463">
        <f>ParkViewThuanAn5ha!N116</f>
        <v>0</v>
      </c>
      <c r="O246" s="1463">
        <f>ParkViewThuanAn5ha!O116</f>
        <v>0</v>
      </c>
      <c r="P246" s="1463">
        <f>ParkViewThuanAn5ha!P116</f>
        <v>0</v>
      </c>
      <c r="Q246" s="1463">
        <f>ParkViewThuanAn5ha!Q116</f>
        <v>0</v>
      </c>
      <c r="R246" s="1463">
        <f>ParkViewThuanAn5ha!R116</f>
        <v>2862.5</v>
      </c>
      <c r="S246" s="1463">
        <f>ParkViewThuanAn5ha!S116</f>
        <v>0</v>
      </c>
      <c r="T246" s="1463">
        <f>ParkViewThuanAn5ha!T116</f>
        <v>0</v>
      </c>
      <c r="U246" s="1463">
        <f>ParkViewThuanAn5ha!U116</f>
        <v>0</v>
      </c>
      <c r="V246" s="1463">
        <f>ParkViewThuanAn5ha!V116</f>
        <v>0</v>
      </c>
      <c r="W246" s="1463"/>
    </row>
    <row r="247" spans="1:23">
      <c r="A247" s="1431">
        <f t="shared" si="264"/>
        <v>9</v>
      </c>
      <c r="B247" s="1431" t="str">
        <f t="shared" si="263"/>
        <v>Lux Riverview - Lux Star Quận 7</v>
      </c>
      <c r="C247" s="1463"/>
      <c r="D247" s="1463">
        <f>'Lux Riverview Q7'!D116</f>
        <v>0</v>
      </c>
      <c r="E247" s="1463">
        <f>'Lux Riverview Q7'!E116</f>
        <v>0</v>
      </c>
      <c r="F247" s="1463">
        <f>'Lux Riverview Q7'!F116</f>
        <v>0</v>
      </c>
      <c r="G247" s="1463">
        <f>'Lux Riverview Q7'!G116</f>
        <v>0</v>
      </c>
      <c r="H247" s="1463">
        <f>'Lux Riverview Q7'!H116</f>
        <v>0</v>
      </c>
      <c r="I247" s="1463">
        <f>'Lux Riverview Q7'!I116</f>
        <v>0</v>
      </c>
      <c r="J247" s="1463">
        <f>'Lux Riverview Q7'!J116</f>
        <v>0</v>
      </c>
      <c r="K247" s="1463">
        <f>'Lux Riverview Q7'!K116</f>
        <v>0</v>
      </c>
      <c r="L247" s="1463">
        <f>'Lux Riverview Q7'!L116</f>
        <v>0</v>
      </c>
      <c r="M247" s="1463">
        <f>'Lux Riverview Q7'!M116</f>
        <v>0</v>
      </c>
      <c r="N247" s="1463">
        <f>'Lux Riverview Q7'!N116</f>
        <v>0</v>
      </c>
      <c r="O247" s="1463">
        <f>'Lux Riverview Q7'!O116</f>
        <v>0</v>
      </c>
      <c r="P247" s="1463">
        <f>'Lux Riverview Q7'!P116</f>
        <v>0</v>
      </c>
      <c r="Q247" s="1463">
        <f>'Lux Riverview Q7'!Q116</f>
        <v>0</v>
      </c>
      <c r="R247" s="1463">
        <f>'Lux Riverview Q7'!R116</f>
        <v>0</v>
      </c>
      <c r="S247" s="1463">
        <f>'Lux Riverview Q7'!S116</f>
        <v>999</v>
      </c>
      <c r="T247" s="1463">
        <f>'Lux Riverview Q7'!T116</f>
        <v>0</v>
      </c>
      <c r="U247" s="1463">
        <f>'Lux Riverview Q7'!U116</f>
        <v>0</v>
      </c>
      <c r="V247" s="1463">
        <f>'Lux Riverview Q7'!V116</f>
        <v>0</v>
      </c>
      <c r="W247" s="1463"/>
    </row>
    <row r="248" spans="1:23">
      <c r="A248" s="1431">
        <f t="shared" si="264"/>
        <v>10</v>
      </c>
      <c r="B248" s="1431" t="str">
        <f t="shared" si="263"/>
        <v>Gem Premium Thu Duc (Opal Premium)</v>
      </c>
      <c r="C248" s="1463"/>
      <c r="D248" s="1463">
        <f>'Gem Premium'!D116</f>
        <v>0</v>
      </c>
      <c r="E248" s="1463">
        <f>'Gem Premium'!E116</f>
        <v>0</v>
      </c>
      <c r="F248" s="1463">
        <f>'Gem Premium'!F116</f>
        <v>0</v>
      </c>
      <c r="G248" s="1463">
        <f>'Gem Premium'!G116</f>
        <v>0</v>
      </c>
      <c r="H248" s="1463">
        <f>'Gem Premium'!H116</f>
        <v>0</v>
      </c>
      <c r="I248" s="1463">
        <f>'Gem Premium'!I116</f>
        <v>0</v>
      </c>
      <c r="J248" s="1463">
        <f>'Gem Premium'!J116</f>
        <v>0</v>
      </c>
      <c r="K248" s="1463">
        <f>'Gem Premium'!K116</f>
        <v>0</v>
      </c>
      <c r="L248" s="1463">
        <f>'Gem Premium'!L116</f>
        <v>0</v>
      </c>
      <c r="M248" s="1463">
        <f>'Gem Premium'!M116</f>
        <v>0</v>
      </c>
      <c r="N248" s="1463">
        <f>'Gem Premium'!N116</f>
        <v>0</v>
      </c>
      <c r="O248" s="1463">
        <f>'Gem Premium'!O116</f>
        <v>0</v>
      </c>
      <c r="P248" s="1463">
        <f>'Gem Premium'!P116</f>
        <v>6668.35</v>
      </c>
      <c r="Q248" s="1463">
        <f>'Gem Premium'!Q116</f>
        <v>6668.35</v>
      </c>
      <c r="R248" s="1463">
        <f>'Gem Premium'!R116</f>
        <v>0</v>
      </c>
      <c r="S248" s="1463">
        <f>'Gem Premium'!S116</f>
        <v>0</v>
      </c>
      <c r="T248" s="1463">
        <f>'Gem Premium'!T116</f>
        <v>0</v>
      </c>
      <c r="U248" s="1463">
        <f>'Gem Premium'!U116</f>
        <v>0</v>
      </c>
      <c r="V248" s="1463">
        <f>'Gem Premium'!V116</f>
        <v>0</v>
      </c>
      <c r="W248" s="1463"/>
    </row>
    <row r="249" spans="1:23">
      <c r="A249" s="1431">
        <f t="shared" si="264"/>
        <v>11</v>
      </c>
      <c r="B249" s="1431" t="str">
        <f t="shared" si="263"/>
        <v>Gem City Q9 (Opal City old)</v>
      </c>
      <c r="C249" s="1463"/>
      <c r="D249" s="1463">
        <f>'Opal City'!D116</f>
        <v>0</v>
      </c>
      <c r="E249" s="1463">
        <f>'Opal City'!E116</f>
        <v>0</v>
      </c>
      <c r="F249" s="1463">
        <f>'Opal City'!F116</f>
        <v>0</v>
      </c>
      <c r="G249" s="1463">
        <f>'Opal City'!G116</f>
        <v>0</v>
      </c>
      <c r="H249" s="1463">
        <f>'Opal City'!H116</f>
        <v>0</v>
      </c>
      <c r="I249" s="1463">
        <f>'Opal City'!I116</f>
        <v>0</v>
      </c>
      <c r="J249" s="1463">
        <f>'Opal City'!J116</f>
        <v>0</v>
      </c>
      <c r="K249" s="1463">
        <f>'Opal City'!K116</f>
        <v>0</v>
      </c>
      <c r="L249" s="1463">
        <f>'Opal City'!L116</f>
        <v>0</v>
      </c>
      <c r="M249" s="1463">
        <f>'Opal City'!M116</f>
        <v>0</v>
      </c>
      <c r="N249" s="1463">
        <f>'Opal City'!N116</f>
        <v>0</v>
      </c>
      <c r="O249" s="1463">
        <f>'Opal City'!O116</f>
        <v>0</v>
      </c>
      <c r="P249" s="1463">
        <f>'Opal City'!P116</f>
        <v>0</v>
      </c>
      <c r="Q249" s="1463">
        <f>'Opal City'!Q116</f>
        <v>0</v>
      </c>
      <c r="R249" s="1463">
        <f>'Opal City'!R116</f>
        <v>1577.8032223563832</v>
      </c>
      <c r="S249" s="1463">
        <f>'Opal City'!S116</f>
        <v>1577.8032223563832</v>
      </c>
      <c r="T249" s="1463">
        <f>'Opal City'!T116</f>
        <v>0</v>
      </c>
      <c r="U249" s="1463">
        <f>'Opal City'!U116</f>
        <v>0</v>
      </c>
      <c r="V249" s="1463">
        <f>'Opal City'!V116</f>
        <v>0</v>
      </c>
      <c r="W249" s="1463"/>
    </row>
    <row r="250" spans="1:23">
      <c r="A250" s="1431">
        <f t="shared" si="264"/>
        <v>12</v>
      </c>
      <c r="B250" s="1431" t="str">
        <f t="shared" si="263"/>
        <v>Park City Thuận An 10ha</v>
      </c>
      <c r="C250" s="1463"/>
      <c r="D250" s="1463">
        <f>ParkCityThuanAn10ha!D116</f>
        <v>0</v>
      </c>
      <c r="E250" s="1463">
        <f>ParkCityThuanAn10ha!E116</f>
        <v>0</v>
      </c>
      <c r="F250" s="1463">
        <f>ParkCityThuanAn10ha!F116</f>
        <v>0</v>
      </c>
      <c r="G250" s="1463">
        <f>ParkCityThuanAn10ha!G116</f>
        <v>0</v>
      </c>
      <c r="H250" s="1463">
        <f>ParkCityThuanAn10ha!H116</f>
        <v>0</v>
      </c>
      <c r="I250" s="1463">
        <f>ParkCityThuanAn10ha!I116</f>
        <v>0</v>
      </c>
      <c r="J250" s="1463">
        <f>ParkCityThuanAn10ha!J116</f>
        <v>0</v>
      </c>
      <c r="K250" s="1463">
        <f>ParkCityThuanAn10ha!K116</f>
        <v>0</v>
      </c>
      <c r="L250" s="1463">
        <f>ParkCityThuanAn10ha!L116</f>
        <v>0</v>
      </c>
      <c r="M250" s="1463">
        <f>ParkCityThuanAn10ha!M116</f>
        <v>0</v>
      </c>
      <c r="N250" s="1463">
        <f>ParkCityThuanAn10ha!N116</f>
        <v>0</v>
      </c>
      <c r="O250" s="1463">
        <f>ParkCityThuanAn10ha!O116</f>
        <v>0</v>
      </c>
      <c r="P250" s="1463">
        <f>ParkCityThuanAn10ha!P116</f>
        <v>0</v>
      </c>
      <c r="Q250" s="1463">
        <f>ParkCityThuanAn10ha!Q116</f>
        <v>0</v>
      </c>
      <c r="R250" s="1463">
        <f>ParkCityThuanAn10ha!R116</f>
        <v>0</v>
      </c>
      <c r="S250" s="1463">
        <f>ParkCityThuanAn10ha!S116</f>
        <v>2712.5</v>
      </c>
      <c r="T250" s="1463">
        <f>ParkCityThuanAn10ha!T116</f>
        <v>0</v>
      </c>
      <c r="U250" s="1463">
        <f>ParkCityThuanAn10ha!U116</f>
        <v>0</v>
      </c>
      <c r="V250" s="1463">
        <f>ParkCityThuanAn10ha!V116</f>
        <v>0</v>
      </c>
      <c r="W250" s="1463"/>
    </row>
    <row r="251" spans="1:23">
      <c r="A251" s="1431">
        <f t="shared" si="264"/>
        <v>13</v>
      </c>
      <c r="B251" s="1431" t="str">
        <f t="shared" si="263"/>
        <v>Opal Skyline</v>
      </c>
      <c r="C251" s="1463"/>
      <c r="D251" s="1463">
        <f>'Opal Skyline'!D117</f>
        <v>0</v>
      </c>
      <c r="E251" s="1463">
        <f>'Opal Skyline'!E117</f>
        <v>0</v>
      </c>
      <c r="F251" s="1463">
        <f>'Opal Skyline'!F117</f>
        <v>0</v>
      </c>
      <c r="G251" s="1463">
        <f>'Opal Skyline'!G117</f>
        <v>0</v>
      </c>
      <c r="H251" s="1463">
        <f>'Opal Skyline'!H117</f>
        <v>0</v>
      </c>
      <c r="I251" s="1463">
        <f>'Opal Skyline'!I117</f>
        <v>0</v>
      </c>
      <c r="J251" s="1463">
        <f>'Opal Skyline'!J117</f>
        <v>761.30500000000006</v>
      </c>
      <c r="K251" s="1463">
        <f>'Opal Skyline'!K117</f>
        <v>0</v>
      </c>
      <c r="L251" s="1463">
        <f>'Opal Skyline'!L117</f>
        <v>0</v>
      </c>
      <c r="M251" s="1463">
        <f>'Opal Skyline'!M117</f>
        <v>0</v>
      </c>
      <c r="N251" s="1463">
        <f>'Opal Skyline'!N117</f>
        <v>0</v>
      </c>
      <c r="O251" s="1463">
        <f>'Opal Skyline'!O117</f>
        <v>0</v>
      </c>
      <c r="P251" s="1463">
        <f>'Opal Skyline'!P117</f>
        <v>0</v>
      </c>
      <c r="Q251" s="1463">
        <f>'Opal Skyline'!Q117</f>
        <v>0</v>
      </c>
      <c r="R251" s="1463">
        <f>'Opal Skyline'!R117</f>
        <v>0</v>
      </c>
      <c r="S251" s="1463">
        <f>'Opal Skyline'!S117</f>
        <v>0</v>
      </c>
      <c r="T251" s="1463">
        <f>'Opal Skyline'!T117</f>
        <v>0</v>
      </c>
      <c r="U251" s="1463">
        <f>'Opal Skyline'!U117</f>
        <v>0</v>
      </c>
      <c r="V251" s="1463">
        <f>'Opal Skyline'!V117</f>
        <v>0</v>
      </c>
      <c r="W251" s="1463"/>
    </row>
    <row r="252" spans="1:23">
      <c r="A252" s="1431">
        <f t="shared" si="264"/>
        <v>14</v>
      </c>
      <c r="B252" s="1431" t="str">
        <f t="shared" si="263"/>
        <v>Prive</v>
      </c>
      <c r="C252" s="1463"/>
      <c r="D252" s="1463">
        <f>Prive!D116</f>
        <v>0</v>
      </c>
      <c r="E252" s="1463">
        <f>Prive!E116</f>
        <v>0</v>
      </c>
      <c r="F252" s="1463">
        <f>Prive!F116</f>
        <v>0</v>
      </c>
      <c r="G252" s="1463">
        <f>Prive!G116</f>
        <v>0</v>
      </c>
      <c r="H252" s="1463">
        <f>Prive!H116</f>
        <v>0</v>
      </c>
      <c r="I252" s="1463">
        <f>Prive!I116</f>
        <v>0</v>
      </c>
      <c r="J252" s="1463">
        <f>Prive!J116</f>
        <v>0</v>
      </c>
      <c r="K252" s="1463">
        <f>Prive!K116</f>
        <v>0</v>
      </c>
      <c r="L252" s="1463">
        <f>Prive!L116</f>
        <v>0</v>
      </c>
      <c r="M252" s="1463">
        <f>Prive!M116</f>
        <v>0</v>
      </c>
      <c r="N252" s="1463">
        <f>Prive!N116</f>
        <v>0</v>
      </c>
      <c r="O252" s="1463">
        <f>Prive!O116</f>
        <v>0</v>
      </c>
      <c r="P252" s="1463">
        <f>Prive!P116</f>
        <v>3641.0472718749998</v>
      </c>
      <c r="Q252" s="1463">
        <f>Prive!Q116</f>
        <v>3641.0472718749998</v>
      </c>
      <c r="R252" s="1463">
        <f>Prive!R116</f>
        <v>0</v>
      </c>
      <c r="S252" s="1463">
        <f>Prive!S116</f>
        <v>0</v>
      </c>
      <c r="T252" s="1463">
        <f>Prive!T116</f>
        <v>0</v>
      </c>
      <c r="U252" s="1463">
        <f>Prive!U116</f>
        <v>0</v>
      </c>
      <c r="V252" s="1463">
        <f>Prive!V116</f>
        <v>0</v>
      </c>
      <c r="W252" s="1463"/>
    </row>
    <row r="253" spans="1:23">
      <c r="A253" s="1457"/>
      <c r="B253" s="1432" t="str">
        <f>B236</f>
        <v>Total</v>
      </c>
      <c r="C253" s="1408"/>
      <c r="D253" s="1408">
        <f t="shared" ref="D253:M253" si="265">SUM(D239:D252)</f>
        <v>0</v>
      </c>
      <c r="E253" s="1408">
        <f t="shared" si="265"/>
        <v>0</v>
      </c>
      <c r="F253" s="1408">
        <f t="shared" si="265"/>
        <v>0</v>
      </c>
      <c r="G253" s="1408">
        <f t="shared" si="265"/>
        <v>585.17074760000003</v>
      </c>
      <c r="H253" s="1408">
        <f t="shared" si="265"/>
        <v>0</v>
      </c>
      <c r="I253" s="1408">
        <f t="shared" si="265"/>
        <v>79.162499999999994</v>
      </c>
      <c r="J253" s="1408">
        <f t="shared" si="265"/>
        <v>5713.0742499999997</v>
      </c>
      <c r="K253" s="1408">
        <f t="shared" si="265"/>
        <v>79.162499999999994</v>
      </c>
      <c r="L253" s="1408">
        <f t="shared" si="265"/>
        <v>0</v>
      </c>
      <c r="M253" s="1408">
        <f t="shared" si="265"/>
        <v>313.51644335999998</v>
      </c>
      <c r="N253" s="1408">
        <f t="shared" ref="N253:V253" si="266">SUM(N239:N252)</f>
        <v>940.54933007999989</v>
      </c>
      <c r="O253" s="1408">
        <f t="shared" si="266"/>
        <v>1892.4611798599999</v>
      </c>
      <c r="P253" s="1408">
        <f t="shared" si="266"/>
        <v>10309.397271875001</v>
      </c>
      <c r="Q253" s="1408">
        <f t="shared" si="266"/>
        <v>10309.397271875001</v>
      </c>
      <c r="R253" s="1408">
        <f t="shared" si="266"/>
        <v>4440.3032223563832</v>
      </c>
      <c r="S253" s="1408">
        <f t="shared" si="266"/>
        <v>5289.3032223563832</v>
      </c>
      <c r="T253" s="1408">
        <f t="shared" si="266"/>
        <v>0</v>
      </c>
      <c r="U253" s="1408">
        <f t="shared" si="266"/>
        <v>0</v>
      </c>
      <c r="V253" s="1408">
        <f t="shared" si="266"/>
        <v>0</v>
      </c>
      <c r="W253" s="1410"/>
    </row>
    <row r="254" spans="1:23">
      <c r="A254" s="1447"/>
      <c r="C254" s="1410"/>
      <c r="D254" s="1410"/>
      <c r="E254" s="1410"/>
      <c r="F254" s="1410"/>
      <c r="G254" s="1410"/>
      <c r="H254" s="1410"/>
      <c r="I254" s="1410"/>
      <c r="J254" s="1410"/>
      <c r="K254" s="1410"/>
      <c r="L254" s="1410"/>
      <c r="M254" s="1410"/>
      <c r="N254" s="1410"/>
      <c r="O254" s="1410"/>
      <c r="P254" s="1410"/>
      <c r="Q254" s="1410"/>
      <c r="R254" s="1410"/>
      <c r="S254" s="1410"/>
      <c r="T254" s="1410"/>
      <c r="U254" s="1410"/>
      <c r="V254" s="1410"/>
      <c r="W254" s="1410"/>
    </row>
    <row r="255" spans="1:23">
      <c r="B255" s="1407" t="s">
        <v>1492</v>
      </c>
      <c r="C255" s="1455" t="str">
        <f>C221</f>
        <v>Total</v>
      </c>
      <c r="D255" s="1455">
        <f t="shared" ref="D255:M255" si="267">D221</f>
        <v>2013</v>
      </c>
      <c r="E255" s="1455">
        <f t="shared" si="267"/>
        <v>2014</v>
      </c>
      <c r="F255" s="1455">
        <f t="shared" si="267"/>
        <v>2015</v>
      </c>
      <c r="G255" s="1455">
        <f t="shared" si="267"/>
        <v>2016</v>
      </c>
      <c r="H255" s="1455">
        <f t="shared" si="267"/>
        <v>2017</v>
      </c>
      <c r="I255" s="1455">
        <f t="shared" si="267"/>
        <v>2018</v>
      </c>
      <c r="J255" s="1455">
        <f t="shared" si="267"/>
        <v>2019</v>
      </c>
      <c r="K255" s="1455">
        <f t="shared" si="267"/>
        <v>2020</v>
      </c>
      <c r="L255" s="1455">
        <f t="shared" si="267"/>
        <v>2021</v>
      </c>
      <c r="M255" s="1455">
        <f t="shared" si="267"/>
        <v>2022</v>
      </c>
      <c r="N255" s="1455">
        <f t="shared" ref="N255:V255" si="268">N221</f>
        <v>2023</v>
      </c>
      <c r="O255" s="1455">
        <f t="shared" si="268"/>
        <v>2024</v>
      </c>
      <c r="P255" s="1455">
        <f t="shared" si="268"/>
        <v>2025</v>
      </c>
      <c r="Q255" s="1455">
        <f t="shared" si="268"/>
        <v>2026</v>
      </c>
      <c r="R255" s="1455">
        <f t="shared" si="268"/>
        <v>2027</v>
      </c>
      <c r="S255" s="1455">
        <f t="shared" si="268"/>
        <v>2028</v>
      </c>
      <c r="T255" s="1455">
        <f t="shared" si="268"/>
        <v>2029</v>
      </c>
      <c r="U255" s="1455">
        <f t="shared" si="268"/>
        <v>2030</v>
      </c>
      <c r="V255" s="1455">
        <f t="shared" si="268"/>
        <v>2031</v>
      </c>
      <c r="W255" s="1455"/>
    </row>
    <row r="256" spans="1:23">
      <c r="A256" s="1431">
        <v>1</v>
      </c>
      <c r="B256" s="1432" t="str">
        <f t="shared" ref="B256:B269" si="269">B222</f>
        <v>Opal Central Park - Thuận An 1.0ha</v>
      </c>
      <c r="C256" s="1476">
        <f>'Opal Central Park'!C136</f>
        <v>0</v>
      </c>
      <c r="D256" s="1476">
        <f>'Opal Central Park'!D136</f>
        <v>0</v>
      </c>
      <c r="E256" s="1476">
        <f>'Opal Central Park'!E136</f>
        <v>0</v>
      </c>
      <c r="F256" s="1476">
        <f>'Opal Central Park'!F136</f>
        <v>0</v>
      </c>
      <c r="G256" s="1476">
        <f>'Opal Central Park'!G136</f>
        <v>0</v>
      </c>
      <c r="H256" s="1476">
        <f>'Opal Central Park'!H136</f>
        <v>0</v>
      </c>
      <c r="I256" s="1476">
        <f>'Opal Central Park'!I136</f>
        <v>0</v>
      </c>
      <c r="J256" s="1476">
        <f>'Opal Central Park'!J136</f>
        <v>0</v>
      </c>
      <c r="K256" s="1476">
        <f>'Opal Central Park'!K136</f>
        <v>0</v>
      </c>
      <c r="L256" s="1476">
        <f>'Opal Central Park'!L136</f>
        <v>0</v>
      </c>
      <c r="M256" s="1476">
        <f>'Opal Central Park'!M136</f>
        <v>0</v>
      </c>
      <c r="N256" s="1476">
        <f>'Opal Central Park'!N136</f>
        <v>0</v>
      </c>
      <c r="O256" s="1476">
        <f>'Opal Central Park'!O136</f>
        <v>0</v>
      </c>
      <c r="P256" s="1476">
        <f>'Opal Central Park'!P136</f>
        <v>0</v>
      </c>
      <c r="Q256" s="1476">
        <f>'Opal Central Park'!Q136</f>
        <v>0</v>
      </c>
      <c r="R256" s="1476">
        <f>'Opal Central Park'!R136</f>
        <v>0</v>
      </c>
      <c r="S256" s="1476">
        <f>'Opal Central Park'!S136</f>
        <v>0</v>
      </c>
      <c r="T256" s="1476">
        <f>'Opal Central Park'!T136</f>
        <v>0</v>
      </c>
      <c r="U256" s="1476">
        <f>'Opal Central Park'!U136</f>
        <v>0</v>
      </c>
      <c r="V256" s="1476">
        <f>'Opal Central Park'!V136</f>
        <v>0</v>
      </c>
      <c r="W256" s="1463"/>
    </row>
    <row r="257" spans="1:23">
      <c r="A257" s="1431">
        <f>A256+1</f>
        <v>2</v>
      </c>
      <c r="B257" s="1431" t="str">
        <f t="shared" si="269"/>
        <v>St Moritz - Opal Skyview</v>
      </c>
      <c r="C257" s="1463">
        <f>'St Moritz'!C136</f>
        <v>0</v>
      </c>
      <c r="D257" s="1463">
        <f>'St Moritz'!D136</f>
        <v>0</v>
      </c>
      <c r="E257" s="1463">
        <f>'St Moritz'!E136</f>
        <v>0</v>
      </c>
      <c r="F257" s="1463">
        <f>'St Moritz'!F136</f>
        <v>0</v>
      </c>
      <c r="G257" s="1463">
        <f>'St Moritz'!G136</f>
        <v>0</v>
      </c>
      <c r="H257" s="1463">
        <f>'St Moritz'!H136</f>
        <v>96</v>
      </c>
      <c r="I257" s="1463">
        <f>'St Moritz'!I136</f>
        <v>96</v>
      </c>
      <c r="J257" s="1463">
        <f>'St Moritz'!J136</f>
        <v>120</v>
      </c>
      <c r="K257" s="1463">
        <f>'St Moritz'!K136</f>
        <v>192</v>
      </c>
      <c r="L257" s="1463">
        <f>'St Moritz'!L136</f>
        <v>264</v>
      </c>
      <c r="M257" s="1463">
        <f>'St Moritz'!M136</f>
        <v>0</v>
      </c>
      <c r="N257" s="1463">
        <f>'St Moritz'!N136</f>
        <v>0</v>
      </c>
      <c r="O257" s="1463">
        <f>'St Moritz'!O136</f>
        <v>0</v>
      </c>
      <c r="P257" s="1463">
        <f>'St Moritz'!P136</f>
        <v>0</v>
      </c>
      <c r="Q257" s="1463">
        <f>'St Moritz'!Q136</f>
        <v>0</v>
      </c>
      <c r="R257" s="1463">
        <f>'St Moritz'!R136</f>
        <v>0</v>
      </c>
      <c r="S257" s="1463">
        <f>'St Moritz'!S136</f>
        <v>0</v>
      </c>
      <c r="T257" s="1463">
        <f>'St Moritz'!T136</f>
        <v>0</v>
      </c>
      <c r="U257" s="1463">
        <f>'St Moritz'!U136</f>
        <v>0</v>
      </c>
      <c r="V257" s="1463">
        <f>'St Moritz'!V136</f>
        <v>0</v>
      </c>
      <c r="W257" s="1463"/>
    </row>
    <row r="258" spans="1:23">
      <c r="A258" s="1431">
        <f t="shared" ref="A258:A269" si="270">A257+1</f>
        <v>3</v>
      </c>
      <c r="B258" s="1431" t="str">
        <f t="shared" si="269"/>
        <v>Opal Riverside</v>
      </c>
      <c r="C258" s="1463">
        <f>'Opal Riverside'!C136</f>
        <v>0</v>
      </c>
      <c r="D258" s="1463">
        <f>'Opal Riverside'!D136</f>
        <v>0</v>
      </c>
      <c r="E258" s="1463">
        <f>'Opal Riverside'!E136</f>
        <v>0</v>
      </c>
      <c r="F258" s="1463">
        <f>'Opal Riverside'!F136</f>
        <v>0</v>
      </c>
      <c r="G258" s="1463">
        <f>'Opal Riverside'!G136</f>
        <v>142.8484</v>
      </c>
      <c r="H258" s="1463">
        <f>'Opal Riverside'!H136</f>
        <v>396.137</v>
      </c>
      <c r="I258" s="1463">
        <f>'Opal Riverside'!I136</f>
        <v>0</v>
      </c>
      <c r="J258" s="1463">
        <f>'Opal Riverside'!J136</f>
        <v>0</v>
      </c>
      <c r="K258" s="1463">
        <f>'Opal Riverside'!K136</f>
        <v>0</v>
      </c>
      <c r="L258" s="1463">
        <f>'Opal Riverside'!L136</f>
        <v>0</v>
      </c>
      <c r="M258" s="1463">
        <f>'Opal Riverside'!M136</f>
        <v>0</v>
      </c>
      <c r="N258" s="1463">
        <f>'Opal Riverside'!N136</f>
        <v>0</v>
      </c>
      <c r="O258" s="1463">
        <f>'Opal Riverside'!O136</f>
        <v>0</v>
      </c>
      <c r="P258" s="1463">
        <f>'Opal Riverside'!P136</f>
        <v>0</v>
      </c>
      <c r="Q258" s="1463">
        <f>'Opal Riverside'!Q136</f>
        <v>0</v>
      </c>
      <c r="R258" s="1463">
        <f>'Opal Riverside'!R136</f>
        <v>0</v>
      </c>
      <c r="S258" s="1463">
        <f>'Opal Riverside'!S136</f>
        <v>0</v>
      </c>
      <c r="T258" s="1463">
        <f>'Opal Riverside'!T136</f>
        <v>0</v>
      </c>
      <c r="U258" s="1463">
        <f>'Opal Riverside'!U136</f>
        <v>0</v>
      </c>
      <c r="V258" s="1463">
        <f>'Opal Riverside'!V136</f>
        <v>0</v>
      </c>
      <c r="W258" s="1463"/>
    </row>
    <row r="259" spans="1:23">
      <c r="A259" s="1431">
        <f t="shared" si="270"/>
        <v>4</v>
      </c>
      <c r="B259" s="1431" t="str">
        <f t="shared" si="269"/>
        <v>Opal Garden</v>
      </c>
      <c r="C259" s="1463">
        <f>'Opal Garden'!C136</f>
        <v>0</v>
      </c>
      <c r="D259" s="1463">
        <f>'Opal Garden'!D136</f>
        <v>0</v>
      </c>
      <c r="E259" s="1463">
        <f>'Opal Garden'!E136</f>
        <v>0</v>
      </c>
      <c r="F259" s="1463">
        <f>'Opal Garden'!F136</f>
        <v>0</v>
      </c>
      <c r="G259" s="1463">
        <f>'Opal Garden'!G136</f>
        <v>57.54</v>
      </c>
      <c r="H259" s="1463">
        <f>'Opal Garden'!H136</f>
        <v>267.68699999999995</v>
      </c>
      <c r="I259" s="1463">
        <f>'Opal Garden'!I136</f>
        <v>357.74999999999994</v>
      </c>
      <c r="J259" s="1463">
        <f>'Opal Garden'!J136</f>
        <v>0</v>
      </c>
      <c r="K259" s="1463">
        <f>'Opal Garden'!K136</f>
        <v>0</v>
      </c>
      <c r="L259" s="1463">
        <f>'Opal Garden'!L136</f>
        <v>0</v>
      </c>
      <c r="M259" s="1463">
        <f>'Opal Garden'!M136</f>
        <v>0</v>
      </c>
      <c r="N259" s="1463">
        <f>'Opal Garden'!N136</f>
        <v>0</v>
      </c>
      <c r="O259" s="1463">
        <f>'Opal Garden'!O136</f>
        <v>0</v>
      </c>
      <c r="P259" s="1463">
        <f>'Opal Garden'!P136</f>
        <v>0</v>
      </c>
      <c r="Q259" s="1463">
        <f>'Opal Garden'!Q136</f>
        <v>0</v>
      </c>
      <c r="R259" s="1463">
        <f>'Opal Garden'!R136</f>
        <v>0</v>
      </c>
      <c r="S259" s="1463">
        <f>'Opal Garden'!S136</f>
        <v>0</v>
      </c>
      <c r="T259" s="1463">
        <f>'Opal Garden'!T136</f>
        <v>0</v>
      </c>
      <c r="U259" s="1463">
        <f>'Opal Garden'!U136</f>
        <v>0</v>
      </c>
      <c r="V259" s="1463">
        <f>'Opal Garden'!V136</f>
        <v>0</v>
      </c>
      <c r="W259" s="1463"/>
    </row>
    <row r="260" spans="1:23">
      <c r="A260" s="1431">
        <f t="shared" si="270"/>
        <v>5</v>
      </c>
      <c r="B260" s="1431" t="str">
        <f t="shared" si="269"/>
        <v>Gem Sky World Long Thanh</v>
      </c>
      <c r="C260" s="1463">
        <f>'Long Thanh 92ha'!C136</f>
        <v>0</v>
      </c>
      <c r="D260" s="1463">
        <f>'Long Thanh 92ha'!D136</f>
        <v>0</v>
      </c>
      <c r="E260" s="1463">
        <f>'Long Thanh 92ha'!E136</f>
        <v>0</v>
      </c>
      <c r="F260" s="1463">
        <f>'Long Thanh 92ha'!F136</f>
        <v>0</v>
      </c>
      <c r="G260" s="1463">
        <f>'Long Thanh 92ha'!G136</f>
        <v>0</v>
      </c>
      <c r="H260" s="1463">
        <f>'Long Thanh 92ha'!H136</f>
        <v>0</v>
      </c>
      <c r="I260" s="1463">
        <f>'Long Thanh 92ha'!I136</f>
        <v>0</v>
      </c>
      <c r="J260" s="1463">
        <f>'Long Thanh 92ha'!J136</f>
        <v>1669.8000000000002</v>
      </c>
      <c r="K260" s="1463">
        <f>'Long Thanh 92ha'!K136</f>
        <v>3384.75</v>
      </c>
      <c r="L260" s="1463">
        <f>'Long Thanh 92ha'!L136</f>
        <v>2393.25</v>
      </c>
      <c r="M260" s="1463">
        <f>'Long Thanh 92ha'!M136</f>
        <v>2054.1</v>
      </c>
      <c r="N260" s="1463">
        <f>'Long Thanh 92ha'!N136</f>
        <v>1982.9999999999998</v>
      </c>
      <c r="O260" s="1463">
        <f>'Long Thanh 92ha'!O136</f>
        <v>2063.6999999999998</v>
      </c>
      <c r="P260" s="1463">
        <f>'Long Thanh 92ha'!P136</f>
        <v>1340.25</v>
      </c>
      <c r="Q260" s="1463">
        <f>'Long Thanh 92ha'!Q136</f>
        <v>0</v>
      </c>
      <c r="R260" s="1463">
        <f>'Long Thanh 92ha'!R136</f>
        <v>0</v>
      </c>
      <c r="S260" s="1463">
        <f>'Long Thanh 92ha'!S136</f>
        <v>0</v>
      </c>
      <c r="T260" s="1463">
        <f>'Long Thanh 92ha'!T136</f>
        <v>0</v>
      </c>
      <c r="U260" s="1463">
        <f>'Long Thanh 92ha'!U136</f>
        <v>0</v>
      </c>
      <c r="V260" s="1463">
        <f>'Long Thanh 92ha'!V136</f>
        <v>0</v>
      </c>
      <c r="W260" s="1463"/>
    </row>
    <row r="261" spans="1:23">
      <c r="A261" s="1431">
        <f t="shared" si="270"/>
        <v>6</v>
      </c>
      <c r="B261" s="1431" t="str">
        <f t="shared" si="269"/>
        <v>Opal Luxury 8.6ha Binh Duong</v>
      </c>
      <c r="C261" s="1463">
        <f>'Opal Luxury 8.6ha BD'!C136</f>
        <v>0</v>
      </c>
      <c r="D261" s="1463">
        <f>'Opal Luxury 8.6ha BD'!D136</f>
        <v>0</v>
      </c>
      <c r="E261" s="1463">
        <f>'Opal Luxury 8.6ha BD'!E136</f>
        <v>0</v>
      </c>
      <c r="F261" s="1463">
        <f>'Opal Luxury 8.6ha BD'!F136</f>
        <v>0</v>
      </c>
      <c r="G261" s="1463">
        <f>'Opal Luxury 8.6ha BD'!G136</f>
        <v>0</v>
      </c>
      <c r="H261" s="1463">
        <f>'Opal Luxury 8.6ha BD'!H136</f>
        <v>0</v>
      </c>
      <c r="I261" s="1463">
        <f>'Opal Luxury 8.6ha BD'!I136</f>
        <v>0</v>
      </c>
      <c r="J261" s="1463">
        <f>'Opal Luxury 8.6ha BD'!J136</f>
        <v>0</v>
      </c>
      <c r="K261" s="1463">
        <f>'Opal Luxury 8.6ha BD'!K136</f>
        <v>0</v>
      </c>
      <c r="L261" s="1463">
        <f>'Opal Luxury 8.6ha BD'!L136</f>
        <v>0</v>
      </c>
      <c r="M261" s="1463">
        <f>'Opal Luxury 8.6ha BD'!M136</f>
        <v>430</v>
      </c>
      <c r="N261" s="1463">
        <f>'Opal Luxury 8.6ha BD'!N136</f>
        <v>860</v>
      </c>
      <c r="O261" s="1463">
        <f>'Opal Luxury 8.6ha BD'!O136</f>
        <v>996</v>
      </c>
      <c r="P261" s="1463">
        <f>'Opal Luxury 8.6ha BD'!P136</f>
        <v>201.00000000000023</v>
      </c>
      <c r="Q261" s="1463">
        <f>'Opal Luxury 8.6ha BD'!Q136</f>
        <v>-164.40000000000009</v>
      </c>
      <c r="R261" s="1463">
        <f>'Opal Luxury 8.6ha BD'!R136</f>
        <v>0</v>
      </c>
      <c r="S261" s="1463">
        <f>'Opal Luxury 8.6ha BD'!S136</f>
        <v>0</v>
      </c>
      <c r="T261" s="1463">
        <f>'Opal Luxury 8.6ha BD'!T136</f>
        <v>0</v>
      </c>
      <c r="U261" s="1463">
        <f>'Opal Luxury 8.6ha BD'!U136</f>
        <v>0</v>
      </c>
      <c r="V261" s="1463">
        <f>'Opal Luxury 8.6ha BD'!V136</f>
        <v>0</v>
      </c>
      <c r="W261" s="1463"/>
    </row>
    <row r="262" spans="1:23">
      <c r="A262" s="1431">
        <f t="shared" si="270"/>
        <v>7</v>
      </c>
      <c r="B262" s="1431" t="str">
        <f t="shared" si="269"/>
        <v>Opal Cityview</v>
      </c>
      <c r="C262" s="1463">
        <f>'Opal Cityview'!C136</f>
        <v>0</v>
      </c>
      <c r="D262" s="1463">
        <f>'Opal Cityview'!D136</f>
        <v>0</v>
      </c>
      <c r="E262" s="1463">
        <f>'Opal Cityview'!E136</f>
        <v>0</v>
      </c>
      <c r="F262" s="1463">
        <f>'Opal Cityview'!F136</f>
        <v>0</v>
      </c>
      <c r="G262" s="1463">
        <f>'Opal Cityview'!G136</f>
        <v>0</v>
      </c>
      <c r="H262" s="1463">
        <f>'Opal Cityview'!H136</f>
        <v>0</v>
      </c>
      <c r="I262" s="1463">
        <f>'Opal Cityview'!I136</f>
        <v>0</v>
      </c>
      <c r="J262" s="1463">
        <f>'Opal Cityview'!J136</f>
        <v>0</v>
      </c>
      <c r="K262" s="1463">
        <f>'Opal Cityview'!K136</f>
        <v>0</v>
      </c>
      <c r="L262" s="1463">
        <f>'Opal Cityview'!L136</f>
        <v>0</v>
      </c>
      <c r="M262" s="1463">
        <f>'Opal Cityview'!M136</f>
        <v>0</v>
      </c>
      <c r="N262" s="1463">
        <f>'Opal Cityview'!N136</f>
        <v>0</v>
      </c>
      <c r="O262" s="1463">
        <f>'Opal Cityview'!O136</f>
        <v>0</v>
      </c>
      <c r="P262" s="1463">
        <f>'Opal Cityview'!P136</f>
        <v>169.75</v>
      </c>
      <c r="Q262" s="1463">
        <f>'Opal Cityview'!Q136</f>
        <v>169.75</v>
      </c>
      <c r="R262" s="1463">
        <f>'Opal Cityview'!R136</f>
        <v>0</v>
      </c>
      <c r="S262" s="1463">
        <f>'Opal Cityview'!S136</f>
        <v>0</v>
      </c>
      <c r="T262" s="1463">
        <f>'Opal Cityview'!T136</f>
        <v>0</v>
      </c>
      <c r="U262" s="1463">
        <f>'Opal Cityview'!U136</f>
        <v>0</v>
      </c>
      <c r="V262" s="1463">
        <f>'Opal Cityview'!V136</f>
        <v>0</v>
      </c>
      <c r="W262" s="1463"/>
    </row>
    <row r="263" spans="1:23">
      <c r="A263" s="1431">
        <f t="shared" si="270"/>
        <v>8</v>
      </c>
      <c r="B263" s="1431" t="str">
        <f t="shared" si="269"/>
        <v>Park View Thuận An 5ha</v>
      </c>
      <c r="C263" s="1463">
        <f>ParkViewThuanAn5ha!C136</f>
        <v>0</v>
      </c>
      <c r="D263" s="1463">
        <f>ParkViewThuanAn5ha!D136</f>
        <v>0</v>
      </c>
      <c r="E263" s="1463">
        <f>ParkViewThuanAn5ha!E136</f>
        <v>0</v>
      </c>
      <c r="F263" s="1463">
        <f>ParkViewThuanAn5ha!F136</f>
        <v>0</v>
      </c>
      <c r="G263" s="1463">
        <f>ParkViewThuanAn5ha!G136</f>
        <v>0</v>
      </c>
      <c r="H263" s="1463">
        <f>ParkViewThuanAn5ha!H136</f>
        <v>0</v>
      </c>
      <c r="I263" s="1463">
        <f>ParkViewThuanAn5ha!I136</f>
        <v>0</v>
      </c>
      <c r="J263" s="1463">
        <f>ParkViewThuanAn5ha!J136</f>
        <v>0</v>
      </c>
      <c r="K263" s="1463">
        <f>ParkViewThuanAn5ha!K136</f>
        <v>0</v>
      </c>
      <c r="L263" s="1463">
        <f>ParkViewThuanAn5ha!L136</f>
        <v>0</v>
      </c>
      <c r="M263" s="1463">
        <f>ParkViewThuanAn5ha!M136</f>
        <v>0</v>
      </c>
      <c r="N263" s="1463">
        <f>ParkViewThuanAn5ha!N136</f>
        <v>0</v>
      </c>
      <c r="O263" s="1463">
        <f>ParkViewThuanAn5ha!O136</f>
        <v>0</v>
      </c>
      <c r="P263" s="1463">
        <f>ParkViewThuanAn5ha!P136</f>
        <v>0</v>
      </c>
      <c r="Q263" s="1463">
        <f>ParkViewThuanAn5ha!Q136</f>
        <v>0</v>
      </c>
      <c r="R263" s="1463">
        <f>ParkViewThuanAn5ha!R136</f>
        <v>1500</v>
      </c>
      <c r="S263" s="1463">
        <f>ParkViewThuanAn5ha!S136</f>
        <v>2400</v>
      </c>
      <c r="T263" s="1463">
        <f>ParkViewThuanAn5ha!T136</f>
        <v>3900</v>
      </c>
      <c r="U263" s="1463">
        <f>ParkViewThuanAn5ha!U136</f>
        <v>2250</v>
      </c>
      <c r="V263" s="1463">
        <f>ParkViewThuanAn5ha!V136</f>
        <v>0</v>
      </c>
      <c r="W263" s="1463"/>
    </row>
    <row r="264" spans="1:23">
      <c r="A264" s="1431">
        <f t="shared" si="270"/>
        <v>9</v>
      </c>
      <c r="B264" s="1431" t="str">
        <f t="shared" si="269"/>
        <v>Lux Riverview - Lux Star Quận 7</v>
      </c>
      <c r="C264" s="1463">
        <f>'Lux Riverview Q7'!C136</f>
        <v>0</v>
      </c>
      <c r="D264" s="1463">
        <f>'Lux Riverview Q7'!D136</f>
        <v>0</v>
      </c>
      <c r="E264" s="1463">
        <f>'Lux Riverview Q7'!E136</f>
        <v>0</v>
      </c>
      <c r="F264" s="1463">
        <f>'Lux Riverview Q7'!F136</f>
        <v>0</v>
      </c>
      <c r="G264" s="1463">
        <f>'Lux Riverview Q7'!G136</f>
        <v>0</v>
      </c>
      <c r="H264" s="1463">
        <f>'Lux Riverview Q7'!H136</f>
        <v>0</v>
      </c>
      <c r="I264" s="1463">
        <f>'Lux Riverview Q7'!I136</f>
        <v>0</v>
      </c>
      <c r="J264" s="1463">
        <f>'Lux Riverview Q7'!J136</f>
        <v>0</v>
      </c>
      <c r="K264" s="1463">
        <f>'Lux Riverview Q7'!K136</f>
        <v>0</v>
      </c>
      <c r="L264" s="1463">
        <f>'Lux Riverview Q7'!L136</f>
        <v>0</v>
      </c>
      <c r="M264" s="1463">
        <f>'Lux Riverview Q7'!M136</f>
        <v>0</v>
      </c>
      <c r="N264" s="1463">
        <f>'Lux Riverview Q7'!N136</f>
        <v>0</v>
      </c>
      <c r="O264" s="1463">
        <f>'Lux Riverview Q7'!O136</f>
        <v>0</v>
      </c>
      <c r="P264" s="1463">
        <f>'Lux Riverview Q7'!P136</f>
        <v>0</v>
      </c>
      <c r="Q264" s="1463">
        <f>'Lux Riverview Q7'!Q136</f>
        <v>0</v>
      </c>
      <c r="R264" s="1463">
        <f>'Lux Riverview Q7'!R136</f>
        <v>0</v>
      </c>
      <c r="S264" s="1463">
        <f>'Lux Riverview Q7'!S136</f>
        <v>341.04</v>
      </c>
      <c r="T264" s="1463">
        <f>'Lux Riverview Q7'!T136</f>
        <v>941.04</v>
      </c>
      <c r="U264" s="1463">
        <f>'Lux Riverview Q7'!U136</f>
        <v>1541.04</v>
      </c>
      <c r="V264" s="1463">
        <f>'Lux Riverview Q7'!V136</f>
        <v>770.52</v>
      </c>
      <c r="W264" s="1463"/>
    </row>
    <row r="265" spans="1:23">
      <c r="A265" s="1431">
        <f t="shared" si="270"/>
        <v>10</v>
      </c>
      <c r="B265" s="1431" t="str">
        <f t="shared" si="269"/>
        <v>Gem Premium Thu Duc (Opal Premium)</v>
      </c>
      <c r="C265" s="1463">
        <f>'Gem Premium'!C136</f>
        <v>0</v>
      </c>
      <c r="D265" s="1463">
        <f>'Gem Premium'!D136</f>
        <v>0</v>
      </c>
      <c r="E265" s="1463">
        <f>'Gem Premium'!E136</f>
        <v>0</v>
      </c>
      <c r="F265" s="1463">
        <f>'Gem Premium'!F136</f>
        <v>0</v>
      </c>
      <c r="G265" s="1463">
        <f>'Gem Premium'!G136</f>
        <v>0</v>
      </c>
      <c r="H265" s="1463">
        <f>'Gem Premium'!H136</f>
        <v>0</v>
      </c>
      <c r="I265" s="1463">
        <f>'Gem Premium'!I136</f>
        <v>420</v>
      </c>
      <c r="J265" s="1463">
        <f>'Gem Premium'!J136</f>
        <v>840</v>
      </c>
      <c r="K265" s="1463">
        <f>'Gem Premium'!K136</f>
        <v>840</v>
      </c>
      <c r="L265" s="1463">
        <f>'Gem Premium'!L136</f>
        <v>840</v>
      </c>
      <c r="M265" s="1463">
        <f>'Gem Premium'!M136</f>
        <v>840</v>
      </c>
      <c r="N265" s="1463">
        <f>'Gem Premium'!N136</f>
        <v>840</v>
      </c>
      <c r="O265" s="1463">
        <f>'Gem Premium'!O136</f>
        <v>840</v>
      </c>
      <c r="P265" s="1463">
        <f>'Gem Premium'!P136</f>
        <v>840</v>
      </c>
      <c r="Q265" s="1463">
        <f>'Gem Premium'!Q136</f>
        <v>840</v>
      </c>
      <c r="R265" s="1463">
        <f>'Gem Premium'!R136</f>
        <v>4200</v>
      </c>
      <c r="S265" s="1463">
        <f>'Gem Premium'!S136</f>
        <v>8400</v>
      </c>
      <c r="T265" s="1463">
        <f>'Gem Premium'!T136</f>
        <v>11637.5</v>
      </c>
      <c r="U265" s="1463">
        <f>'Gem Premium'!U136</f>
        <v>11807.500000000002</v>
      </c>
      <c r="V265" s="1463">
        <f>'Gem Premium'!V136</f>
        <v>5295.0000000000018</v>
      </c>
      <c r="W265" s="1463"/>
    </row>
    <row r="266" spans="1:23">
      <c r="A266" s="1431">
        <f t="shared" si="270"/>
        <v>11</v>
      </c>
      <c r="B266" s="1431" t="str">
        <f t="shared" si="269"/>
        <v>Gem City Q9 (Opal City old)</v>
      </c>
      <c r="C266" s="1463">
        <f>'Opal City'!C136</f>
        <v>0</v>
      </c>
      <c r="D266" s="1463">
        <f>'Opal City'!D136</f>
        <v>0</v>
      </c>
      <c r="E266" s="1463">
        <f>'Opal City'!E136</f>
        <v>0</v>
      </c>
      <c r="F266" s="1463">
        <f>'Opal City'!F136</f>
        <v>0</v>
      </c>
      <c r="G266" s="1463">
        <f>'Opal City'!G136</f>
        <v>0</v>
      </c>
      <c r="H266" s="1463">
        <f>'Opal City'!H136</f>
        <v>0</v>
      </c>
      <c r="I266" s="1463">
        <f>'Opal City'!I136</f>
        <v>0</v>
      </c>
      <c r="J266" s="1463">
        <f>'Opal City'!J136</f>
        <v>0</v>
      </c>
      <c r="K266" s="1463">
        <f>'Opal City'!K136</f>
        <v>0</v>
      </c>
      <c r="L266" s="1463">
        <f>'Opal City'!L136</f>
        <v>0</v>
      </c>
      <c r="M266" s="1463">
        <f>'Opal City'!M136</f>
        <v>0</v>
      </c>
      <c r="N266" s="1463">
        <f>'Opal City'!N136</f>
        <v>0</v>
      </c>
      <c r="O266" s="1463">
        <f>'Opal City'!O136</f>
        <v>0</v>
      </c>
      <c r="P266" s="1463">
        <f>'Opal City'!P136</f>
        <v>0</v>
      </c>
      <c r="Q266" s="1463">
        <f>'Opal City'!Q136</f>
        <v>0</v>
      </c>
      <c r="R266" s="1463">
        <f>'Opal City'!R136</f>
        <v>1230.42</v>
      </c>
      <c r="S266" s="1463">
        <f>'Opal City'!S136</f>
        <v>2238.42</v>
      </c>
      <c r="T266" s="1463">
        <f>'Opal City'!T136</f>
        <v>3582.42</v>
      </c>
      <c r="U266" s="1463">
        <f>'Opal City'!U136</f>
        <v>2295.21</v>
      </c>
      <c r="V266" s="1463">
        <f>'Opal City'!V136</f>
        <v>0</v>
      </c>
      <c r="W266" s="1463"/>
    </row>
    <row r="267" spans="1:23">
      <c r="A267" s="1431">
        <f t="shared" si="270"/>
        <v>12</v>
      </c>
      <c r="B267" s="1431" t="str">
        <f t="shared" si="269"/>
        <v>Park City Thuận An 10ha</v>
      </c>
      <c r="C267" s="1463">
        <f>ParkCityThuanAn10ha!C136</f>
        <v>0</v>
      </c>
      <c r="D267" s="1463">
        <f>ParkCityThuanAn10ha!D136</f>
        <v>0</v>
      </c>
      <c r="E267" s="1463">
        <f>ParkCityThuanAn10ha!E136</f>
        <v>0</v>
      </c>
      <c r="F267" s="1463">
        <f>ParkCityThuanAn10ha!F136</f>
        <v>0</v>
      </c>
      <c r="G267" s="1463">
        <f>ParkCityThuanAn10ha!G136</f>
        <v>0</v>
      </c>
      <c r="H267" s="1463">
        <f>ParkCityThuanAn10ha!H136</f>
        <v>0</v>
      </c>
      <c r="I267" s="1463">
        <f>ParkCityThuanAn10ha!I136</f>
        <v>0</v>
      </c>
      <c r="J267" s="1463">
        <f>ParkCityThuanAn10ha!J136</f>
        <v>0</v>
      </c>
      <c r="K267" s="1463">
        <f>ParkCityThuanAn10ha!K136</f>
        <v>0</v>
      </c>
      <c r="L267" s="1463">
        <f>ParkCityThuanAn10ha!L136</f>
        <v>0</v>
      </c>
      <c r="M267" s="1463">
        <f>ParkCityThuanAn10ha!M136</f>
        <v>0</v>
      </c>
      <c r="N267" s="1463">
        <f>ParkCityThuanAn10ha!N136</f>
        <v>0</v>
      </c>
      <c r="O267" s="1463">
        <f>ParkCityThuanAn10ha!O136</f>
        <v>0</v>
      </c>
      <c r="P267" s="1463">
        <f>ParkCityThuanAn10ha!P136</f>
        <v>0</v>
      </c>
      <c r="Q267" s="1463">
        <f>ParkCityThuanAn10ha!Q136</f>
        <v>0</v>
      </c>
      <c r="R267" s="1463">
        <f>ParkCityThuanAn10ha!R136</f>
        <v>0</v>
      </c>
      <c r="S267" s="1463">
        <f>ParkCityThuanAn10ha!S136</f>
        <v>1200</v>
      </c>
      <c r="T267" s="1463">
        <f>ParkCityThuanAn10ha!T136</f>
        <v>2100</v>
      </c>
      <c r="U267" s="1463">
        <f>ParkCityThuanAn10ha!U136</f>
        <v>1740</v>
      </c>
      <c r="V267" s="1463">
        <f>ParkCityThuanAn10ha!V136</f>
        <v>1080</v>
      </c>
      <c r="W267" s="1463"/>
    </row>
    <row r="268" spans="1:23">
      <c r="A268" s="1431">
        <f t="shared" si="270"/>
        <v>13</v>
      </c>
      <c r="B268" s="1431" t="str">
        <f t="shared" si="269"/>
        <v>Opal Skyline</v>
      </c>
      <c r="C268" s="1463">
        <f>'Opal Skyline'!C137</f>
        <v>0</v>
      </c>
      <c r="D268" s="1463">
        <f>'Opal Skyline'!D137</f>
        <v>0</v>
      </c>
      <c r="E268" s="1463">
        <f>'Opal Skyline'!E137</f>
        <v>0</v>
      </c>
      <c r="F268" s="1463">
        <f>'Opal Skyline'!F137</f>
        <v>0</v>
      </c>
      <c r="G268" s="1463">
        <f>'Opal Skyline'!G137</f>
        <v>0</v>
      </c>
      <c r="H268" s="1463">
        <f>'Opal Skyline'!H137</f>
        <v>0</v>
      </c>
      <c r="I268" s="1463">
        <f>'Opal Skyline'!I137</f>
        <v>0</v>
      </c>
      <c r="J268" s="1463">
        <f>'Opal Skyline'!J137</f>
        <v>151.25</v>
      </c>
      <c r="K268" s="1463">
        <f>'Opal Skyline'!K137</f>
        <v>548</v>
      </c>
      <c r="L268" s="1463">
        <f>'Opal Skyline'!L137</f>
        <v>912</v>
      </c>
      <c r="M268" s="1463">
        <f>'Opal Skyline'!M137</f>
        <v>1185</v>
      </c>
      <c r="N268" s="1463">
        <f>'Opal Skyline'!N137</f>
        <v>474.00000000000011</v>
      </c>
      <c r="O268" s="1463">
        <f>'Opal Skyline'!O137</f>
        <v>0</v>
      </c>
      <c r="P268" s="1463">
        <f>'Opal Skyline'!P137</f>
        <v>0</v>
      </c>
      <c r="Q268" s="1463">
        <f>'Opal Skyline'!Q137</f>
        <v>0</v>
      </c>
      <c r="R268" s="1463">
        <f>'Opal Skyline'!R137</f>
        <v>0</v>
      </c>
      <c r="S268" s="1463">
        <f>'Opal Skyline'!S137</f>
        <v>0</v>
      </c>
      <c r="T268" s="1463">
        <f>'Opal Skyline'!T137</f>
        <v>0</v>
      </c>
      <c r="U268" s="1463">
        <f>'Opal Skyline'!U137</f>
        <v>0</v>
      </c>
      <c r="V268" s="1463">
        <f>'Opal Skyline'!V137</f>
        <v>0</v>
      </c>
      <c r="W268" s="1463"/>
    </row>
    <row r="269" spans="1:23">
      <c r="A269" s="1431">
        <f t="shared" si="270"/>
        <v>14</v>
      </c>
      <c r="B269" s="1431" t="str">
        <f t="shared" si="269"/>
        <v>Prive</v>
      </c>
      <c r="C269" s="1463">
        <f>Prive!C136</f>
        <v>0</v>
      </c>
      <c r="D269" s="1463">
        <f>Prive!D136</f>
        <v>0</v>
      </c>
      <c r="E269" s="1463">
        <f>Prive!E136</f>
        <v>0</v>
      </c>
      <c r="F269" s="1463">
        <f>Prive!F136</f>
        <v>0</v>
      </c>
      <c r="G269" s="1463">
        <f>Prive!G136</f>
        <v>0</v>
      </c>
      <c r="H269" s="1463">
        <f>Prive!H136</f>
        <v>3093.4560000000001</v>
      </c>
      <c r="I269" s="1463">
        <f>Prive!I136</f>
        <v>3093.4560000000001</v>
      </c>
      <c r="J269" s="1463">
        <f>Prive!J136</f>
        <v>3093.4560000000001</v>
      </c>
      <c r="K269" s="1463">
        <f>Prive!K136</f>
        <v>3093.4560000000001</v>
      </c>
      <c r="L269" s="1463">
        <f>Prive!L136</f>
        <v>3093.4560000000001</v>
      </c>
      <c r="M269" s="1463">
        <f>Prive!M136</f>
        <v>3093.4560000000001</v>
      </c>
      <c r="N269" s="1463">
        <f>Prive!N136</f>
        <v>3849.6669999999995</v>
      </c>
      <c r="O269" s="1463">
        <f>Prive!O136</f>
        <v>3849.6669999999995</v>
      </c>
      <c r="P269" s="1463">
        <f>Prive!P136</f>
        <v>5649.6669999999995</v>
      </c>
      <c r="Q269" s="1463">
        <f>Prive!Q136</f>
        <v>8049.6669999999995</v>
      </c>
      <c r="R269" s="1463">
        <f>Prive!R136</f>
        <v>5549.8001999999997</v>
      </c>
      <c r="S269" s="1463">
        <f>Prive!S136</f>
        <v>924.96669999999995</v>
      </c>
      <c r="T269" s="1463">
        <f>Prive!T136</f>
        <v>0</v>
      </c>
      <c r="U269" s="1463">
        <f>Prive!U136</f>
        <v>0</v>
      </c>
      <c r="V269" s="1463">
        <f>Prive!V136</f>
        <v>0</v>
      </c>
      <c r="W269" s="1463"/>
    </row>
    <row r="270" spans="1:23">
      <c r="A270" s="1457"/>
      <c r="B270" s="1432" t="str">
        <f>B236</f>
        <v>Total</v>
      </c>
      <c r="C270" s="1408">
        <f t="shared" ref="C270:M270" si="271">SUM(C256:C269)</f>
        <v>0</v>
      </c>
      <c r="D270" s="1408">
        <f t="shared" si="271"/>
        <v>0</v>
      </c>
      <c r="E270" s="1408">
        <f t="shared" si="271"/>
        <v>0</v>
      </c>
      <c r="F270" s="1408">
        <f t="shared" si="271"/>
        <v>0</v>
      </c>
      <c r="G270" s="1408">
        <f t="shared" si="271"/>
        <v>200.38839999999999</v>
      </c>
      <c r="H270" s="1408">
        <f t="shared" si="271"/>
        <v>3853.28</v>
      </c>
      <c r="I270" s="1408">
        <f t="shared" si="271"/>
        <v>3967.2060000000001</v>
      </c>
      <c r="J270" s="1408">
        <f t="shared" si="271"/>
        <v>5874.5060000000003</v>
      </c>
      <c r="K270" s="1408">
        <f t="shared" si="271"/>
        <v>8058.2060000000001</v>
      </c>
      <c r="L270" s="1408">
        <f t="shared" si="271"/>
        <v>7502.7060000000001</v>
      </c>
      <c r="M270" s="1408">
        <f t="shared" si="271"/>
        <v>7602.5560000000005</v>
      </c>
      <c r="N270" s="1408">
        <f t="shared" ref="N270:V270" si="272">SUM(N256:N269)</f>
        <v>8006.6669999999995</v>
      </c>
      <c r="O270" s="1408">
        <f t="shared" si="272"/>
        <v>7749.3669999999993</v>
      </c>
      <c r="P270" s="1408">
        <f t="shared" si="272"/>
        <v>8200.6669999999995</v>
      </c>
      <c r="Q270" s="1408">
        <f t="shared" si="272"/>
        <v>8895.0169999999998</v>
      </c>
      <c r="R270" s="1408">
        <f t="shared" si="272"/>
        <v>12480.2202</v>
      </c>
      <c r="S270" s="1408">
        <f t="shared" si="272"/>
        <v>15504.4267</v>
      </c>
      <c r="T270" s="1408">
        <f t="shared" si="272"/>
        <v>22160.959999999999</v>
      </c>
      <c r="U270" s="1408">
        <f t="shared" si="272"/>
        <v>19633.75</v>
      </c>
      <c r="V270" s="1408">
        <f t="shared" si="272"/>
        <v>7145.5200000000023</v>
      </c>
      <c r="W270" s="1410"/>
    </row>
    <row r="272" spans="1:23">
      <c r="B272" s="1407" t="s">
        <v>1646</v>
      </c>
      <c r="C272" s="1455" t="str">
        <f>C255</f>
        <v>Total</v>
      </c>
      <c r="D272" s="1455">
        <f t="shared" ref="D272:M272" si="273">D255</f>
        <v>2013</v>
      </c>
      <c r="E272" s="1455">
        <f t="shared" si="273"/>
        <v>2014</v>
      </c>
      <c r="F272" s="1455">
        <f t="shared" si="273"/>
        <v>2015</v>
      </c>
      <c r="G272" s="1455">
        <f t="shared" si="273"/>
        <v>2016</v>
      </c>
      <c r="H272" s="1455">
        <f t="shared" si="273"/>
        <v>2017</v>
      </c>
      <c r="I272" s="1455">
        <f t="shared" si="273"/>
        <v>2018</v>
      </c>
      <c r="J272" s="1455">
        <f t="shared" si="273"/>
        <v>2019</v>
      </c>
      <c r="K272" s="1455">
        <f t="shared" si="273"/>
        <v>2020</v>
      </c>
      <c r="L272" s="1455">
        <f t="shared" si="273"/>
        <v>2021</v>
      </c>
      <c r="M272" s="1455">
        <f t="shared" si="273"/>
        <v>2022</v>
      </c>
      <c r="N272" s="1455">
        <f t="shared" ref="N272:V272" si="274">N255</f>
        <v>2023</v>
      </c>
      <c r="O272" s="1455">
        <f t="shared" si="274"/>
        <v>2024</v>
      </c>
      <c r="P272" s="1455">
        <f t="shared" si="274"/>
        <v>2025</v>
      </c>
      <c r="Q272" s="1455">
        <f t="shared" si="274"/>
        <v>2026</v>
      </c>
      <c r="R272" s="1455">
        <f t="shared" si="274"/>
        <v>2027</v>
      </c>
      <c r="S272" s="1455">
        <f t="shared" si="274"/>
        <v>2028</v>
      </c>
      <c r="T272" s="1455">
        <f t="shared" si="274"/>
        <v>2029</v>
      </c>
      <c r="U272" s="1455">
        <f t="shared" si="274"/>
        <v>2030</v>
      </c>
      <c r="V272" s="1455">
        <f t="shared" si="274"/>
        <v>2031</v>
      </c>
      <c r="W272" s="1455"/>
    </row>
    <row r="273" spans="1:23">
      <c r="A273" s="1431">
        <v>1</v>
      </c>
      <c r="B273" s="1432" t="str">
        <f t="shared" ref="B273:B286" si="275">B256</f>
        <v>Opal Central Park - Thuận An 1.0ha</v>
      </c>
      <c r="C273" s="1476">
        <f>'Opal Central Park'!C128</f>
        <v>0</v>
      </c>
      <c r="D273" s="1476">
        <f>'Opal Central Park'!D128</f>
        <v>0</v>
      </c>
      <c r="E273" s="1476">
        <f>'Opal Central Park'!E128</f>
        <v>0</v>
      </c>
      <c r="F273" s="1476">
        <f>'Opal Central Park'!F128</f>
        <v>0</v>
      </c>
      <c r="G273" s="1476">
        <f>'Opal Central Park'!G128</f>
        <v>0</v>
      </c>
      <c r="H273" s="1476">
        <f>'Opal Central Park'!H128</f>
        <v>0</v>
      </c>
      <c r="I273" s="1476">
        <f>'Opal Central Park'!I128</f>
        <v>0</v>
      </c>
      <c r="J273" s="1476">
        <f>'Opal Central Park'!J128</f>
        <v>0</v>
      </c>
      <c r="K273" s="1476">
        <f>'Opal Central Park'!K128</f>
        <v>0</v>
      </c>
      <c r="L273" s="1476">
        <f>'Opal Central Park'!L128</f>
        <v>0</v>
      </c>
      <c r="M273" s="1476">
        <f>'Opal Central Park'!M128</f>
        <v>0</v>
      </c>
      <c r="N273" s="1476">
        <f>'Opal Central Park'!N128</f>
        <v>0</v>
      </c>
      <c r="O273" s="1476">
        <f>'Opal Central Park'!O128</f>
        <v>0</v>
      </c>
      <c r="P273" s="1476">
        <f>'Opal Central Park'!P128</f>
        <v>0</v>
      </c>
      <c r="Q273" s="1476">
        <f>'Opal Central Park'!Q128</f>
        <v>0</v>
      </c>
      <c r="R273" s="1476">
        <f>'Opal Central Park'!R128</f>
        <v>0</v>
      </c>
      <c r="S273" s="1476">
        <f>'Opal Central Park'!S128</f>
        <v>0</v>
      </c>
      <c r="T273" s="1476">
        <f>'Opal Central Park'!T128</f>
        <v>0</v>
      </c>
      <c r="U273" s="1476">
        <f>'Opal Central Park'!U128</f>
        <v>0</v>
      </c>
      <c r="V273" s="1476">
        <f>'Opal Central Park'!V128</f>
        <v>0</v>
      </c>
      <c r="W273" s="1463"/>
    </row>
    <row r="274" spans="1:23">
      <c r="A274" s="1431">
        <f>A273+1</f>
        <v>2</v>
      </c>
      <c r="B274" s="1431" t="str">
        <f t="shared" si="275"/>
        <v>St Moritz - Opal Skyview</v>
      </c>
      <c r="C274" s="1463">
        <f>'St Moritz'!C128</f>
        <v>0</v>
      </c>
      <c r="D274" s="1463">
        <f>'St Moritz'!D128</f>
        <v>0</v>
      </c>
      <c r="E274" s="1463">
        <f>'St Moritz'!E128</f>
        <v>0</v>
      </c>
      <c r="F274" s="1463">
        <f>'St Moritz'!F128</f>
        <v>0</v>
      </c>
      <c r="G274" s="1463">
        <f>'St Moritz'!G128</f>
        <v>0</v>
      </c>
      <c r="H274" s="1463">
        <f>'St Moritz'!H128</f>
        <v>0</v>
      </c>
      <c r="I274" s="1463">
        <f>'St Moritz'!I128</f>
        <v>0</v>
      </c>
      <c r="J274" s="1463">
        <f>'St Moritz'!J128</f>
        <v>0</v>
      </c>
      <c r="K274" s="1463">
        <f>'St Moritz'!K128</f>
        <v>263.25</v>
      </c>
      <c r="L274" s="1463">
        <f>'St Moritz'!L128</f>
        <v>526.5</v>
      </c>
      <c r="M274" s="1463">
        <f>'St Moritz'!M128</f>
        <v>0</v>
      </c>
      <c r="N274" s="1463">
        <f>'St Moritz'!N128</f>
        <v>0</v>
      </c>
      <c r="O274" s="1463">
        <f>'St Moritz'!O128</f>
        <v>0</v>
      </c>
      <c r="P274" s="1463">
        <f>'St Moritz'!P128</f>
        <v>0</v>
      </c>
      <c r="Q274" s="1463">
        <f>'St Moritz'!Q128</f>
        <v>0</v>
      </c>
      <c r="R274" s="1463">
        <f>'St Moritz'!R128</f>
        <v>0</v>
      </c>
      <c r="S274" s="1463">
        <f>'St Moritz'!S128</f>
        <v>0</v>
      </c>
      <c r="T274" s="1463">
        <f>'St Moritz'!T128</f>
        <v>0</v>
      </c>
      <c r="U274" s="1463">
        <f>'St Moritz'!U128</f>
        <v>0</v>
      </c>
      <c r="V274" s="1463">
        <f>'St Moritz'!V128</f>
        <v>0</v>
      </c>
      <c r="W274" s="1463"/>
    </row>
    <row r="275" spans="1:23">
      <c r="A275" s="1431">
        <f t="shared" ref="A275:A286" si="276">A274+1</f>
        <v>3</v>
      </c>
      <c r="B275" s="1431" t="str">
        <f t="shared" si="275"/>
        <v>Opal Riverside</v>
      </c>
      <c r="C275" s="1463">
        <f>'Opal Riverside'!C128</f>
        <v>0</v>
      </c>
      <c r="D275" s="1463">
        <f>'Opal Riverside'!D128</f>
        <v>0</v>
      </c>
      <c r="E275" s="1463">
        <f>'Opal Riverside'!E128</f>
        <v>0</v>
      </c>
      <c r="F275" s="1463">
        <f>'Opal Riverside'!F128</f>
        <v>0</v>
      </c>
      <c r="G275" s="1463">
        <f>'Opal Riverside'!G128</f>
        <v>214.30553600000005</v>
      </c>
      <c r="H275" s="1463">
        <f>'Opal Riverside'!H128</f>
        <v>750.06937600000015</v>
      </c>
      <c r="I275" s="1463">
        <f>'Opal Riverside'!I128</f>
        <v>0</v>
      </c>
      <c r="J275" s="1463">
        <f>'Opal Riverside'!J128</f>
        <v>0</v>
      </c>
      <c r="K275" s="1463">
        <f>'Opal Riverside'!K128</f>
        <v>0</v>
      </c>
      <c r="L275" s="1463">
        <f>'Opal Riverside'!L128</f>
        <v>0</v>
      </c>
      <c r="M275" s="1463">
        <f>'Opal Riverside'!M128</f>
        <v>0</v>
      </c>
      <c r="N275" s="1463">
        <f>'Opal Riverside'!N128</f>
        <v>0</v>
      </c>
      <c r="O275" s="1463">
        <f>'Opal Riverside'!O128</f>
        <v>0</v>
      </c>
      <c r="P275" s="1463">
        <f>'Opal Riverside'!P128</f>
        <v>0</v>
      </c>
      <c r="Q275" s="1463">
        <f>'Opal Riverside'!Q128</f>
        <v>0</v>
      </c>
      <c r="R275" s="1463">
        <f>'Opal Riverside'!R128</f>
        <v>0</v>
      </c>
      <c r="S275" s="1463">
        <f>'Opal Riverside'!S128</f>
        <v>0</v>
      </c>
      <c r="T275" s="1463">
        <f>'Opal Riverside'!T128</f>
        <v>0</v>
      </c>
      <c r="U275" s="1463">
        <f>'Opal Riverside'!U128</f>
        <v>0</v>
      </c>
      <c r="V275" s="1463">
        <f>'Opal Riverside'!V128</f>
        <v>0</v>
      </c>
      <c r="W275" s="1463"/>
    </row>
    <row r="276" spans="1:23">
      <c r="A276" s="1431">
        <f t="shared" si="276"/>
        <v>4</v>
      </c>
      <c r="B276" s="1431" t="str">
        <f t="shared" si="275"/>
        <v>Opal Garden</v>
      </c>
      <c r="C276" s="1463">
        <f>'Opal Garden'!C128</f>
        <v>0</v>
      </c>
      <c r="D276" s="1463">
        <f>'Opal Garden'!D128</f>
        <v>0</v>
      </c>
      <c r="E276" s="1463">
        <f>'Opal Garden'!E128</f>
        <v>0</v>
      </c>
      <c r="F276" s="1463">
        <f>'Opal Garden'!F128</f>
        <v>0</v>
      </c>
      <c r="G276" s="1463">
        <f>'Opal Garden'!G128</f>
        <v>69.048299999999998</v>
      </c>
      <c r="H276" s="1463">
        <f>'Opal Garden'!H128</f>
        <v>483.33809999999994</v>
      </c>
      <c r="I276" s="1463">
        <f>'Opal Garden'!I128</f>
        <v>690.48299999999995</v>
      </c>
      <c r="J276" s="1463">
        <f>'Opal Garden'!J128</f>
        <v>0</v>
      </c>
      <c r="K276" s="1463">
        <f>'Opal Garden'!K128</f>
        <v>0</v>
      </c>
      <c r="L276" s="1463">
        <f>'Opal Garden'!L128</f>
        <v>0</v>
      </c>
      <c r="M276" s="1463">
        <f>'Opal Garden'!M128</f>
        <v>0</v>
      </c>
      <c r="N276" s="1463">
        <f>'Opal Garden'!N128</f>
        <v>0</v>
      </c>
      <c r="O276" s="1463">
        <f>'Opal Garden'!O128</f>
        <v>0</v>
      </c>
      <c r="P276" s="1463">
        <f>'Opal Garden'!P128</f>
        <v>0</v>
      </c>
      <c r="Q276" s="1463">
        <f>'Opal Garden'!Q128</f>
        <v>0</v>
      </c>
      <c r="R276" s="1463">
        <f>'Opal Garden'!R128</f>
        <v>0</v>
      </c>
      <c r="S276" s="1463">
        <f>'Opal Garden'!S128</f>
        <v>0</v>
      </c>
      <c r="T276" s="1463">
        <f>'Opal Garden'!T128</f>
        <v>0</v>
      </c>
      <c r="U276" s="1463">
        <f>'Opal Garden'!U128</f>
        <v>0</v>
      </c>
      <c r="V276" s="1463">
        <f>'Opal Garden'!V128</f>
        <v>0</v>
      </c>
      <c r="W276" s="1463"/>
    </row>
    <row r="277" spans="1:23">
      <c r="A277" s="1431">
        <f t="shared" si="276"/>
        <v>5</v>
      </c>
      <c r="B277" s="1431" t="str">
        <f t="shared" si="275"/>
        <v>Gem Sky World Long Thanh</v>
      </c>
      <c r="C277" s="1463">
        <f>'Long Thanh 92ha'!C128</f>
        <v>0</v>
      </c>
      <c r="D277" s="1463">
        <f>'Long Thanh 92ha'!D128</f>
        <v>0</v>
      </c>
      <c r="E277" s="1463">
        <f>'Long Thanh 92ha'!E128</f>
        <v>0</v>
      </c>
      <c r="F277" s="1463">
        <f>'Long Thanh 92ha'!F128</f>
        <v>0</v>
      </c>
      <c r="G277" s="1463">
        <f>'Long Thanh 92ha'!G128</f>
        <v>0</v>
      </c>
      <c r="H277" s="1463">
        <f>'Long Thanh 92ha'!H128</f>
        <v>0</v>
      </c>
      <c r="I277" s="1463">
        <f>'Long Thanh 92ha'!I128</f>
        <v>0</v>
      </c>
      <c r="J277" s="1463">
        <f>'Long Thanh 92ha'!J128</f>
        <v>0</v>
      </c>
      <c r="K277" s="1463">
        <f>'Long Thanh 92ha'!K128</f>
        <v>311.31750000000005</v>
      </c>
      <c r="L277" s="1463">
        <f>'Long Thanh 92ha'!L128</f>
        <v>0</v>
      </c>
      <c r="M277" s="1463">
        <f>'Long Thanh 92ha'!M128</f>
        <v>0</v>
      </c>
      <c r="N277" s="1463">
        <f>'Long Thanh 92ha'!N128</f>
        <v>0</v>
      </c>
      <c r="O277" s="1463">
        <f>'Long Thanh 92ha'!O128</f>
        <v>0</v>
      </c>
      <c r="P277" s="1463">
        <f>'Long Thanh 92ha'!P128</f>
        <v>0</v>
      </c>
      <c r="Q277" s="1463">
        <f>'Long Thanh 92ha'!Q128</f>
        <v>0</v>
      </c>
      <c r="R277" s="1463">
        <f>'Long Thanh 92ha'!R128</f>
        <v>0</v>
      </c>
      <c r="S277" s="1463">
        <f>'Long Thanh 92ha'!S128</f>
        <v>0</v>
      </c>
      <c r="T277" s="1463">
        <f>'Long Thanh 92ha'!T128</f>
        <v>0</v>
      </c>
      <c r="U277" s="1463">
        <f>'Long Thanh 92ha'!U128</f>
        <v>0</v>
      </c>
      <c r="V277" s="1463">
        <f>'Long Thanh 92ha'!V128</f>
        <v>0</v>
      </c>
      <c r="W277" s="1463"/>
    </row>
    <row r="278" spans="1:23">
      <c r="A278" s="1431">
        <f t="shared" si="276"/>
        <v>6</v>
      </c>
      <c r="B278" s="1431" t="str">
        <f t="shared" si="275"/>
        <v>Opal Luxury 8.6ha Binh Duong</v>
      </c>
      <c r="C278" s="1463">
        <f>'Opal Luxury 8.6ha BD'!C128</f>
        <v>0</v>
      </c>
      <c r="D278" s="1463">
        <f>'Opal Luxury 8.6ha BD'!D128</f>
        <v>0</v>
      </c>
      <c r="E278" s="1463">
        <f>'Opal Luxury 8.6ha BD'!E128</f>
        <v>0</v>
      </c>
      <c r="F278" s="1463">
        <f>'Opal Luxury 8.6ha BD'!F128</f>
        <v>0</v>
      </c>
      <c r="G278" s="1463">
        <f>'Opal Luxury 8.6ha BD'!G128</f>
        <v>0</v>
      </c>
      <c r="H278" s="1463">
        <f>'Opal Luxury 8.6ha BD'!H128</f>
        <v>0</v>
      </c>
      <c r="I278" s="1463">
        <f>'Opal Luxury 8.6ha BD'!I128</f>
        <v>0</v>
      </c>
      <c r="J278" s="1463">
        <f>'Opal Luxury 8.6ha BD'!J128</f>
        <v>0</v>
      </c>
      <c r="K278" s="1463">
        <f>'Opal Luxury 8.6ha BD'!K128</f>
        <v>0</v>
      </c>
      <c r="L278" s="1463">
        <f>'Opal Luxury 8.6ha BD'!L128</f>
        <v>0</v>
      </c>
      <c r="M278" s="1463">
        <f>'Opal Luxury 8.6ha BD'!M128</f>
        <v>0</v>
      </c>
      <c r="N278" s="1463">
        <f>'Opal Luxury 8.6ha BD'!N128</f>
        <v>0</v>
      </c>
      <c r="O278" s="1463">
        <f>'Opal Luxury 8.6ha BD'!O128</f>
        <v>0</v>
      </c>
      <c r="P278" s="1463">
        <f>'Opal Luxury 8.6ha BD'!P128</f>
        <v>0</v>
      </c>
      <c r="Q278" s="1463">
        <f>'Opal Luxury 8.6ha BD'!Q128</f>
        <v>0</v>
      </c>
      <c r="R278" s="1463">
        <f>'Opal Luxury 8.6ha BD'!R128</f>
        <v>0</v>
      </c>
      <c r="S278" s="1463">
        <f>'Opal Luxury 8.6ha BD'!S128</f>
        <v>2119.8351421439993</v>
      </c>
      <c r="T278" s="1463">
        <f>'Opal Luxury 8.6ha BD'!T128</f>
        <v>0</v>
      </c>
      <c r="U278" s="1463">
        <f>'Opal Luxury 8.6ha BD'!U128</f>
        <v>0</v>
      </c>
      <c r="V278" s="1463">
        <f>'Opal Luxury 8.6ha BD'!V128</f>
        <v>0</v>
      </c>
      <c r="W278" s="1463"/>
    </row>
    <row r="279" spans="1:23">
      <c r="A279" s="1431">
        <f t="shared" si="276"/>
        <v>7</v>
      </c>
      <c r="B279" s="1431" t="str">
        <f t="shared" si="275"/>
        <v>Opal Cityview</v>
      </c>
      <c r="C279" s="1463">
        <f>'Opal Cityview'!C128</f>
        <v>0</v>
      </c>
      <c r="D279" s="1463">
        <f>'Opal Cityview'!D128</f>
        <v>0</v>
      </c>
      <c r="E279" s="1463">
        <f>'Opal Cityview'!E128</f>
        <v>0</v>
      </c>
      <c r="F279" s="1463">
        <f>'Opal Cityview'!F128</f>
        <v>0</v>
      </c>
      <c r="G279" s="1463">
        <f>'Opal Cityview'!G128</f>
        <v>0</v>
      </c>
      <c r="H279" s="1463">
        <f>'Opal Cityview'!H128</f>
        <v>0</v>
      </c>
      <c r="I279" s="1463">
        <f>'Opal Cityview'!I128</f>
        <v>0</v>
      </c>
      <c r="J279" s="1463">
        <f>'Opal Cityview'!J128</f>
        <v>0</v>
      </c>
      <c r="K279" s="1463">
        <f>'Opal Cityview'!K128</f>
        <v>0</v>
      </c>
      <c r="L279" s="1463">
        <f>'Opal Cityview'!L128</f>
        <v>0</v>
      </c>
      <c r="M279" s="1463">
        <f>'Opal Cityview'!M128</f>
        <v>0</v>
      </c>
      <c r="N279" s="1463">
        <f>'Opal Cityview'!N128</f>
        <v>0</v>
      </c>
      <c r="O279" s="1463">
        <f>'Opal Cityview'!O128</f>
        <v>0</v>
      </c>
      <c r="P279" s="1463">
        <f>'Opal Cityview'!P128</f>
        <v>836.87175000000013</v>
      </c>
      <c r="Q279" s="1463">
        <f>'Opal Cityview'!Q128</f>
        <v>836.87175000000002</v>
      </c>
      <c r="R279" s="1463">
        <f>'Opal Cityview'!R128</f>
        <v>0</v>
      </c>
      <c r="S279" s="1463">
        <f>'Opal Cityview'!S128</f>
        <v>0</v>
      </c>
      <c r="T279" s="1463">
        <f>'Opal Cityview'!T128</f>
        <v>0</v>
      </c>
      <c r="U279" s="1463">
        <f>'Opal Cityview'!U128</f>
        <v>0</v>
      </c>
      <c r="V279" s="1463">
        <f>'Opal Cityview'!V128</f>
        <v>0</v>
      </c>
      <c r="W279" s="1463"/>
    </row>
    <row r="280" spans="1:23">
      <c r="A280" s="1431">
        <f t="shared" si="276"/>
        <v>8</v>
      </c>
      <c r="B280" s="1431" t="str">
        <f t="shared" si="275"/>
        <v>Park View Thuận An 5ha</v>
      </c>
      <c r="C280" s="1463">
        <f>ParkViewThuanAn5ha!C128</f>
        <v>0</v>
      </c>
      <c r="D280" s="1463">
        <f>ParkViewThuanAn5ha!D128</f>
        <v>0</v>
      </c>
      <c r="E280" s="1463">
        <f>ParkViewThuanAn5ha!E128</f>
        <v>0</v>
      </c>
      <c r="F280" s="1463">
        <f>ParkViewThuanAn5ha!F128</f>
        <v>0</v>
      </c>
      <c r="G280" s="1463">
        <f>ParkViewThuanAn5ha!G128</f>
        <v>0</v>
      </c>
      <c r="H280" s="1463">
        <f>ParkViewThuanAn5ha!H128</f>
        <v>0</v>
      </c>
      <c r="I280" s="1463">
        <f>ParkViewThuanAn5ha!I128</f>
        <v>0</v>
      </c>
      <c r="J280" s="1463">
        <f>ParkViewThuanAn5ha!J128</f>
        <v>0</v>
      </c>
      <c r="K280" s="1463">
        <f>ParkViewThuanAn5ha!K128</f>
        <v>0</v>
      </c>
      <c r="L280" s="1463">
        <f>ParkViewThuanAn5ha!L128</f>
        <v>0</v>
      </c>
      <c r="M280" s="1463">
        <f>ParkViewThuanAn5ha!M128</f>
        <v>0</v>
      </c>
      <c r="N280" s="1463">
        <f>ParkViewThuanAn5ha!N128</f>
        <v>0</v>
      </c>
      <c r="O280" s="1463">
        <f>ParkViewThuanAn5ha!O128</f>
        <v>0</v>
      </c>
      <c r="P280" s="1463">
        <f>ParkViewThuanAn5ha!P128</f>
        <v>0</v>
      </c>
      <c r="Q280" s="1463">
        <f>ParkViewThuanAn5ha!Q128</f>
        <v>0</v>
      </c>
      <c r="R280" s="1463">
        <f>ParkViewThuanAn5ha!R128</f>
        <v>0</v>
      </c>
      <c r="S280" s="1463">
        <f>ParkViewThuanAn5ha!S128</f>
        <v>1312.5</v>
      </c>
      <c r="T280" s="1463">
        <f>ParkViewThuanAn5ha!T128</f>
        <v>4812.5</v>
      </c>
      <c r="U280" s="1463">
        <f>ParkViewThuanAn5ha!U128</f>
        <v>3500</v>
      </c>
      <c r="V280" s="1463">
        <f>ParkViewThuanAn5ha!V128</f>
        <v>0</v>
      </c>
      <c r="W280" s="1463"/>
    </row>
    <row r="281" spans="1:23">
      <c r="A281" s="1431">
        <f t="shared" si="276"/>
        <v>9</v>
      </c>
      <c r="B281" s="1431" t="str">
        <f t="shared" si="275"/>
        <v>Lux Riverview - Lux Star Quận 7</v>
      </c>
      <c r="C281" s="1463">
        <f>'Lux Riverview Q7'!C128</f>
        <v>0</v>
      </c>
      <c r="D281" s="1463">
        <f>'Lux Riverview Q7'!D128</f>
        <v>0</v>
      </c>
      <c r="E281" s="1463">
        <f>'Lux Riverview Q7'!E128</f>
        <v>0</v>
      </c>
      <c r="F281" s="1463">
        <f>'Lux Riverview Q7'!F128</f>
        <v>0</v>
      </c>
      <c r="G281" s="1463">
        <f>'Lux Riverview Q7'!G128</f>
        <v>0</v>
      </c>
      <c r="H281" s="1463">
        <f>'Lux Riverview Q7'!H128</f>
        <v>0</v>
      </c>
      <c r="I281" s="1463">
        <f>'Lux Riverview Q7'!I128</f>
        <v>0</v>
      </c>
      <c r="J281" s="1463">
        <f>'Lux Riverview Q7'!J128</f>
        <v>0</v>
      </c>
      <c r="K281" s="1463">
        <f>'Lux Riverview Q7'!K128</f>
        <v>0</v>
      </c>
      <c r="L281" s="1463">
        <f>'Lux Riverview Q7'!L128</f>
        <v>0</v>
      </c>
      <c r="M281" s="1463">
        <f>'Lux Riverview Q7'!M128</f>
        <v>0</v>
      </c>
      <c r="N281" s="1463">
        <f>'Lux Riverview Q7'!N128</f>
        <v>0</v>
      </c>
      <c r="O281" s="1463">
        <f>'Lux Riverview Q7'!O128</f>
        <v>0</v>
      </c>
      <c r="P281" s="1463">
        <f>'Lux Riverview Q7'!P128</f>
        <v>0</v>
      </c>
      <c r="Q281" s="1463">
        <f>'Lux Riverview Q7'!Q128</f>
        <v>0</v>
      </c>
      <c r="R281" s="1463">
        <f>'Lux Riverview Q7'!R128</f>
        <v>0</v>
      </c>
      <c r="S281" s="1463">
        <f>'Lux Riverview Q7'!S128</f>
        <v>0</v>
      </c>
      <c r="T281" s="1463">
        <f>'Lux Riverview Q7'!T128</f>
        <v>1632.0000000000002</v>
      </c>
      <c r="U281" s="1463">
        <f>'Lux Riverview Q7'!U128</f>
        <v>3264.0000000000005</v>
      </c>
      <c r="V281" s="1463">
        <f>'Lux Riverview Q7'!V128</f>
        <v>1632.0000000000002</v>
      </c>
      <c r="W281" s="1463"/>
    </row>
    <row r="282" spans="1:23">
      <c r="A282" s="1431">
        <f t="shared" si="276"/>
        <v>10</v>
      </c>
      <c r="B282" s="1431" t="str">
        <f t="shared" si="275"/>
        <v>Gem Premium Thu Duc (Opal Premium)</v>
      </c>
      <c r="C282" s="1463">
        <f>'Gem Premium'!C128</f>
        <v>0</v>
      </c>
      <c r="D282" s="1463">
        <f>'Gem Premium'!D128</f>
        <v>0</v>
      </c>
      <c r="E282" s="1463">
        <f>'Gem Premium'!E128</f>
        <v>0</v>
      </c>
      <c r="F282" s="1463">
        <f>'Gem Premium'!F128</f>
        <v>0</v>
      </c>
      <c r="G282" s="1463">
        <f>'Gem Premium'!G128</f>
        <v>0</v>
      </c>
      <c r="H282" s="1463">
        <f>'Gem Premium'!H128</f>
        <v>0</v>
      </c>
      <c r="I282" s="1463">
        <f>'Gem Premium'!I128</f>
        <v>0</v>
      </c>
      <c r="J282" s="1463">
        <f>'Gem Premium'!J128</f>
        <v>0</v>
      </c>
      <c r="K282" s="1463">
        <f>'Gem Premium'!K128</f>
        <v>0</v>
      </c>
      <c r="L282" s="1463">
        <f>'Gem Premium'!L128</f>
        <v>0</v>
      </c>
      <c r="M282" s="1463">
        <f>'Gem Premium'!M128</f>
        <v>0</v>
      </c>
      <c r="N282" s="1463">
        <f>'Gem Premium'!N128</f>
        <v>0</v>
      </c>
      <c r="O282" s="1463">
        <f>'Gem Premium'!O128</f>
        <v>0</v>
      </c>
      <c r="P282" s="1463">
        <f>'Gem Premium'!P128</f>
        <v>0</v>
      </c>
      <c r="Q282" s="1463">
        <f>'Gem Premium'!Q128</f>
        <v>0</v>
      </c>
      <c r="R282" s="1463">
        <f>'Gem Premium'!R128</f>
        <v>0</v>
      </c>
      <c r="S282" s="1463">
        <f>'Gem Premium'!S128</f>
        <v>4860</v>
      </c>
      <c r="T282" s="1463">
        <f>'Gem Premium'!T128</f>
        <v>18306</v>
      </c>
      <c r="U282" s="1463">
        <f>'Gem Premium'!U128</f>
        <v>26265.600000000002</v>
      </c>
      <c r="V282" s="1463">
        <f>'Gem Premium'!V128</f>
        <v>12819.600000000006</v>
      </c>
      <c r="W282" s="1463"/>
    </row>
    <row r="283" spans="1:23">
      <c r="A283" s="1431">
        <f t="shared" si="276"/>
        <v>11</v>
      </c>
      <c r="B283" s="1431" t="str">
        <f t="shared" si="275"/>
        <v>Gem City Q9 (Opal City old)</v>
      </c>
      <c r="C283" s="1463">
        <f>'Opal City'!C128</f>
        <v>0</v>
      </c>
      <c r="D283" s="1463">
        <f>'Opal City'!D128</f>
        <v>0</v>
      </c>
      <c r="E283" s="1463">
        <f>'Opal City'!E128</f>
        <v>0</v>
      </c>
      <c r="F283" s="1463">
        <f>'Opal City'!F128</f>
        <v>0</v>
      </c>
      <c r="G283" s="1463">
        <f>'Opal City'!G128</f>
        <v>0</v>
      </c>
      <c r="H283" s="1463">
        <f>'Opal City'!H128</f>
        <v>0</v>
      </c>
      <c r="I283" s="1463">
        <f>'Opal City'!I128</f>
        <v>0</v>
      </c>
      <c r="J283" s="1463">
        <f>'Opal City'!J128</f>
        <v>0</v>
      </c>
      <c r="K283" s="1463">
        <f>'Opal City'!K128</f>
        <v>0</v>
      </c>
      <c r="L283" s="1463">
        <f>'Opal City'!L128</f>
        <v>0</v>
      </c>
      <c r="M283" s="1463">
        <f>'Opal City'!M128</f>
        <v>0</v>
      </c>
      <c r="N283" s="1463">
        <f>'Opal City'!N128</f>
        <v>0</v>
      </c>
      <c r="O283" s="1463">
        <f>'Opal City'!O128</f>
        <v>0</v>
      </c>
      <c r="P283" s="1463">
        <f>'Opal City'!P128</f>
        <v>0</v>
      </c>
      <c r="Q283" s="1463">
        <f>'Opal City'!Q128</f>
        <v>0</v>
      </c>
      <c r="R283" s="1463">
        <f>'Opal City'!R128</f>
        <v>1786.8577867560002</v>
      </c>
      <c r="S283" s="1463">
        <f>'Opal City'!S128</f>
        <v>5720.9230139304609</v>
      </c>
      <c r="T283" s="1463">
        <f>'Opal City'!T128</f>
        <v>10079.754117979935</v>
      </c>
      <c r="U283" s="1463">
        <f>'Opal City'!U128</f>
        <v>6145.6888908054752</v>
      </c>
      <c r="V283" s="1463">
        <f>'Opal City'!V128</f>
        <v>0</v>
      </c>
      <c r="W283" s="1463"/>
    </row>
    <row r="284" spans="1:23">
      <c r="A284" s="1431">
        <f t="shared" si="276"/>
        <v>12</v>
      </c>
      <c r="B284" s="1431" t="str">
        <f t="shared" si="275"/>
        <v>Park City Thuận An 10ha</v>
      </c>
      <c r="C284" s="1463">
        <f>ParkCityThuanAn10ha!C128</f>
        <v>0</v>
      </c>
      <c r="D284" s="1463">
        <f>ParkCityThuanAn10ha!D128</f>
        <v>0</v>
      </c>
      <c r="E284" s="1463">
        <f>ParkCityThuanAn10ha!E128</f>
        <v>0</v>
      </c>
      <c r="F284" s="1463">
        <f>ParkCityThuanAn10ha!F128</f>
        <v>0</v>
      </c>
      <c r="G284" s="1463">
        <f>ParkCityThuanAn10ha!G128</f>
        <v>0</v>
      </c>
      <c r="H284" s="1463">
        <f>ParkCityThuanAn10ha!H128</f>
        <v>0</v>
      </c>
      <c r="I284" s="1463">
        <f>ParkCityThuanAn10ha!I128</f>
        <v>0</v>
      </c>
      <c r="J284" s="1463">
        <f>ParkCityThuanAn10ha!J128</f>
        <v>0</v>
      </c>
      <c r="K284" s="1463">
        <f>ParkCityThuanAn10ha!K128</f>
        <v>0</v>
      </c>
      <c r="L284" s="1463">
        <f>ParkCityThuanAn10ha!L128</f>
        <v>0</v>
      </c>
      <c r="M284" s="1463">
        <f>ParkCityThuanAn10ha!M128</f>
        <v>0</v>
      </c>
      <c r="N284" s="1463">
        <f>ParkCityThuanAn10ha!N128</f>
        <v>0</v>
      </c>
      <c r="O284" s="1463">
        <f>ParkCityThuanAn10ha!O128</f>
        <v>0</v>
      </c>
      <c r="P284" s="1463">
        <f>ParkCityThuanAn10ha!P128</f>
        <v>0</v>
      </c>
      <c r="Q284" s="1463">
        <f>ParkCityThuanAn10ha!Q128</f>
        <v>0</v>
      </c>
      <c r="R284" s="1463">
        <f>ParkCityThuanAn10ha!R128</f>
        <v>0</v>
      </c>
      <c r="S284" s="1463">
        <f>ParkCityThuanAn10ha!S128</f>
        <v>0</v>
      </c>
      <c r="T284" s="1463">
        <f>ParkCityThuanAn10ha!T128</f>
        <v>1312.5</v>
      </c>
      <c r="U284" s="1463">
        <f>ParkCityThuanAn10ha!U128</f>
        <v>1312.5</v>
      </c>
      <c r="V284" s="1463">
        <f>ParkCityThuanAn10ha!V128</f>
        <v>1750</v>
      </c>
      <c r="W284" s="1463"/>
    </row>
    <row r="285" spans="1:23">
      <c r="A285" s="1431">
        <f t="shared" si="276"/>
        <v>13</v>
      </c>
      <c r="B285" s="1431" t="str">
        <f t="shared" si="275"/>
        <v>Opal Skyline</v>
      </c>
      <c r="C285" s="1463">
        <f>'Opal Skyline'!C129</f>
        <v>0</v>
      </c>
      <c r="D285" s="1463">
        <f>'Opal Skyline'!D129</f>
        <v>0</v>
      </c>
      <c r="E285" s="1463">
        <f>'Opal Skyline'!E129</f>
        <v>0</v>
      </c>
      <c r="F285" s="1463">
        <f>'Opal Skyline'!F129</f>
        <v>0</v>
      </c>
      <c r="G285" s="1463">
        <f>'Opal Skyline'!G129</f>
        <v>0</v>
      </c>
      <c r="H285" s="1463">
        <f>'Opal Skyline'!H129</f>
        <v>0</v>
      </c>
      <c r="I285" s="1463">
        <f>'Opal Skyline'!I129</f>
        <v>0</v>
      </c>
      <c r="J285" s="1463">
        <f>'Opal Skyline'!J129</f>
        <v>0</v>
      </c>
      <c r="K285" s="1463">
        <f>'Opal Skyline'!K129</f>
        <v>120.575</v>
      </c>
      <c r="L285" s="1463">
        <f>'Opal Skyline'!L129</f>
        <v>844.02499999999998</v>
      </c>
      <c r="M285" s="1463">
        <f>'Opal Skyline'!M129</f>
        <v>1808.625</v>
      </c>
      <c r="N285" s="1463">
        <f>'Opal Skyline'!N129</f>
        <v>964.60000000000014</v>
      </c>
      <c r="O285" s="1463">
        <f>'Opal Skyline'!O129</f>
        <v>0</v>
      </c>
      <c r="P285" s="1463">
        <f>'Opal Skyline'!P129</f>
        <v>0</v>
      </c>
      <c r="Q285" s="1463">
        <f>'Opal Skyline'!Q129</f>
        <v>0</v>
      </c>
      <c r="R285" s="1463">
        <f>'Opal Skyline'!R129</f>
        <v>0</v>
      </c>
      <c r="S285" s="1463">
        <f>'Opal Skyline'!S129</f>
        <v>0</v>
      </c>
      <c r="T285" s="1463">
        <f>'Opal Skyline'!T129</f>
        <v>0</v>
      </c>
      <c r="U285" s="1463">
        <f>'Opal Skyline'!U129</f>
        <v>0</v>
      </c>
      <c r="V285" s="1463">
        <f>'Opal Skyline'!V129</f>
        <v>0</v>
      </c>
      <c r="W285" s="1463"/>
    </row>
    <row r="286" spans="1:23">
      <c r="A286" s="1431">
        <f t="shared" si="276"/>
        <v>14</v>
      </c>
      <c r="B286" s="1431" t="str">
        <f t="shared" si="275"/>
        <v>Prive</v>
      </c>
      <c r="C286" s="1463">
        <f>Prive!C128</f>
        <v>0</v>
      </c>
      <c r="D286" s="1463">
        <f>Prive!D128</f>
        <v>0</v>
      </c>
      <c r="E286" s="1463">
        <f>Prive!E128</f>
        <v>0</v>
      </c>
      <c r="F286" s="1463">
        <f>Prive!F128</f>
        <v>0</v>
      </c>
      <c r="G286" s="1463">
        <f>Prive!G128</f>
        <v>0</v>
      </c>
      <c r="H286" s="1463">
        <f>Prive!H128</f>
        <v>0</v>
      </c>
      <c r="I286" s="1463">
        <f>Prive!I128</f>
        <v>0</v>
      </c>
      <c r="J286" s="1463">
        <f>Prive!J128</f>
        <v>0</v>
      </c>
      <c r="K286" s="1463">
        <f>Prive!K128</f>
        <v>0</v>
      </c>
      <c r="L286" s="1463">
        <f>Prive!L128</f>
        <v>0</v>
      </c>
      <c r="M286" s="1463">
        <f>Prive!M128</f>
        <v>0</v>
      </c>
      <c r="N286" s="1463">
        <f>Prive!N128</f>
        <v>0</v>
      </c>
      <c r="O286" s="1463">
        <f>Prive!O128</f>
        <v>0</v>
      </c>
      <c r="P286" s="1463">
        <f>Prive!P128</f>
        <v>3342.7169999999996</v>
      </c>
      <c r="Q286" s="1463">
        <f>Prive!Q128</f>
        <v>9586.4348250000003</v>
      </c>
      <c r="R286" s="1463">
        <f>Prive!R128</f>
        <v>7157.6591000000026</v>
      </c>
      <c r="S286" s="1463">
        <f>Prive!S128</f>
        <v>0</v>
      </c>
      <c r="T286" s="1463">
        <f>Prive!T128</f>
        <v>0</v>
      </c>
      <c r="U286" s="1463">
        <f>Prive!U128</f>
        <v>0</v>
      </c>
      <c r="V286" s="1463">
        <f>Prive!V128</f>
        <v>0</v>
      </c>
      <c r="W286" s="1463"/>
    </row>
    <row r="287" spans="1:23">
      <c r="A287" s="1457"/>
      <c r="B287" s="1432" t="str">
        <f>B270</f>
        <v>Total</v>
      </c>
      <c r="C287" s="1408">
        <f t="shared" ref="C287:M287" si="277">SUM(C273:C286)</f>
        <v>0</v>
      </c>
      <c r="D287" s="1408">
        <f t="shared" si="277"/>
        <v>0</v>
      </c>
      <c r="E287" s="1408">
        <f t="shared" si="277"/>
        <v>0</v>
      </c>
      <c r="F287" s="1408">
        <f t="shared" si="277"/>
        <v>0</v>
      </c>
      <c r="G287" s="1408">
        <f t="shared" si="277"/>
        <v>283.35383600000006</v>
      </c>
      <c r="H287" s="1408">
        <f t="shared" si="277"/>
        <v>1233.4074760000001</v>
      </c>
      <c r="I287" s="1408">
        <f t="shared" si="277"/>
        <v>690.48299999999995</v>
      </c>
      <c r="J287" s="1408">
        <f t="shared" si="277"/>
        <v>0</v>
      </c>
      <c r="K287" s="1408">
        <f t="shared" si="277"/>
        <v>695.14250000000015</v>
      </c>
      <c r="L287" s="1408">
        <f t="shared" si="277"/>
        <v>1370.5250000000001</v>
      </c>
      <c r="M287" s="1408">
        <f t="shared" si="277"/>
        <v>1808.625</v>
      </c>
      <c r="N287" s="1408">
        <f t="shared" ref="N287:V287" si="278">SUM(N273:N286)</f>
        <v>964.60000000000014</v>
      </c>
      <c r="O287" s="1408">
        <f t="shared" si="278"/>
        <v>0</v>
      </c>
      <c r="P287" s="1408">
        <f t="shared" si="278"/>
        <v>4179.5887499999999</v>
      </c>
      <c r="Q287" s="1408">
        <f t="shared" si="278"/>
        <v>10423.306575000001</v>
      </c>
      <c r="R287" s="1408">
        <f t="shared" si="278"/>
        <v>8944.5168867560024</v>
      </c>
      <c r="S287" s="1408">
        <f t="shared" si="278"/>
        <v>14013.258156074458</v>
      </c>
      <c r="T287" s="1408">
        <f t="shared" si="278"/>
        <v>36142.754117979937</v>
      </c>
      <c r="U287" s="1408">
        <f t="shared" si="278"/>
        <v>40487.788890805481</v>
      </c>
      <c r="V287" s="1408">
        <f t="shared" si="278"/>
        <v>16201.600000000006</v>
      </c>
      <c r="W287" s="1410"/>
    </row>
    <row r="288" spans="1:23">
      <c r="A288" s="1447"/>
      <c r="B288" s="1447"/>
      <c r="C288" s="1410"/>
      <c r="D288" s="1410"/>
      <c r="E288" s="1410"/>
      <c r="F288" s="1410"/>
      <c r="G288" s="1410"/>
      <c r="H288" s="1410"/>
      <c r="I288" s="1410"/>
      <c r="J288" s="1410"/>
      <c r="K288" s="1410"/>
      <c r="L288" s="1410"/>
      <c r="M288" s="1410"/>
      <c r="N288" s="1410"/>
      <c r="O288" s="1410"/>
      <c r="P288" s="1410"/>
      <c r="Q288" s="1410"/>
      <c r="R288" s="1410"/>
      <c r="S288" s="1410"/>
      <c r="T288" s="1410"/>
      <c r="U288" s="1410"/>
      <c r="V288" s="1410"/>
      <c r="W288" s="1410"/>
    </row>
    <row r="289" spans="1:23">
      <c r="B289" s="1407" t="s">
        <v>1175</v>
      </c>
      <c r="C289" s="1455" t="s">
        <v>642</v>
      </c>
      <c r="D289" s="1431">
        <v>2013</v>
      </c>
      <c r="E289" s="1431">
        <v>2014</v>
      </c>
      <c r="F289" s="1431">
        <v>2015</v>
      </c>
      <c r="G289" s="1431">
        <v>2016</v>
      </c>
      <c r="H289" s="1431">
        <v>2017</v>
      </c>
      <c r="I289" s="1431">
        <v>2018</v>
      </c>
      <c r="J289" s="1431">
        <v>2019</v>
      </c>
      <c r="K289" s="1431">
        <v>2020</v>
      </c>
      <c r="L289" s="1431">
        <v>2021</v>
      </c>
      <c r="M289" s="1431">
        <v>2022</v>
      </c>
      <c r="N289" s="1431">
        <v>2022</v>
      </c>
      <c r="O289" s="1431">
        <v>2022</v>
      </c>
      <c r="P289" s="1431">
        <v>2022</v>
      </c>
      <c r="Q289" s="1431">
        <v>2022</v>
      </c>
      <c r="R289" s="1431">
        <v>2022</v>
      </c>
      <c r="S289" s="1431">
        <v>2022</v>
      </c>
      <c r="T289" s="1431">
        <v>2022</v>
      </c>
      <c r="U289" s="1431">
        <v>2022</v>
      </c>
      <c r="V289" s="1431">
        <v>2022</v>
      </c>
    </row>
    <row r="290" spans="1:23">
      <c r="A290" s="1431">
        <v>1</v>
      </c>
      <c r="B290" s="1432" t="str">
        <f t="shared" ref="B290:B303" si="279">B36</f>
        <v>Opal Central Park - Thuận An 1.0ha</v>
      </c>
      <c r="C290" s="1476">
        <f>'Opal Central Park'!C63</f>
        <v>0</v>
      </c>
      <c r="D290" s="1476">
        <f>'Opal Central Park'!D63</f>
        <v>0</v>
      </c>
      <c r="E290" s="1476">
        <f>'Opal Central Park'!E63</f>
        <v>0</v>
      </c>
      <c r="F290" s="1476">
        <f>'Opal Central Park'!F63</f>
        <v>0</v>
      </c>
      <c r="G290" s="1476">
        <f>'Opal Central Park'!G63</f>
        <v>0</v>
      </c>
      <c r="H290" s="1476">
        <f>'Opal Central Park'!H63</f>
        <v>0</v>
      </c>
      <c r="I290" s="1476">
        <f>'Opal Central Park'!I63</f>
        <v>0</v>
      </c>
      <c r="J290" s="1476">
        <f>'Opal Central Park'!J63</f>
        <v>0</v>
      </c>
      <c r="K290" s="1476">
        <f>'Opal Central Park'!K63</f>
        <v>0</v>
      </c>
      <c r="L290" s="1476">
        <f>'Opal Central Park'!L63</f>
        <v>0</v>
      </c>
      <c r="M290" s="1476">
        <f>'Opal Central Park'!M63</f>
        <v>0</v>
      </c>
      <c r="N290" s="1476">
        <f>'Opal Central Park'!N63</f>
        <v>0</v>
      </c>
      <c r="O290" s="1476">
        <f>'Opal Central Park'!O63</f>
        <v>0</v>
      </c>
      <c r="P290" s="1476">
        <f>'Opal Central Park'!P63</f>
        <v>0</v>
      </c>
      <c r="Q290" s="1476">
        <f>'Opal Central Park'!Q63</f>
        <v>0</v>
      </c>
      <c r="R290" s="1476">
        <f>'Opal Central Park'!R63</f>
        <v>0</v>
      </c>
      <c r="S290" s="1476">
        <f>'Opal Central Park'!S63</f>
        <v>0</v>
      </c>
      <c r="T290" s="1476">
        <f>'Opal Central Park'!T63</f>
        <v>0</v>
      </c>
      <c r="U290" s="1476">
        <f>'Opal Central Park'!U63</f>
        <v>0</v>
      </c>
      <c r="V290" s="1476">
        <f>'Opal Central Park'!V63</f>
        <v>0</v>
      </c>
      <c r="W290" s="1463"/>
    </row>
    <row r="291" spans="1:23">
      <c r="A291" s="1431">
        <f>A290+1</f>
        <v>2</v>
      </c>
      <c r="B291" s="1431" t="str">
        <f t="shared" si="279"/>
        <v>St Moritz - Opal Skyview</v>
      </c>
      <c r="C291" s="1463">
        <f>'St Moritz'!C63</f>
        <v>526.5</v>
      </c>
      <c r="D291" s="1463">
        <f>'St Moritz'!D63</f>
        <v>0</v>
      </c>
      <c r="E291" s="1463">
        <f>'St Moritz'!E63</f>
        <v>0</v>
      </c>
      <c r="F291" s="1463">
        <f>'St Moritz'!F63</f>
        <v>0</v>
      </c>
      <c r="G291" s="1463">
        <f>'St Moritz'!G63</f>
        <v>0</v>
      </c>
      <c r="H291" s="1463">
        <f>'St Moritz'!H63</f>
        <v>0</v>
      </c>
      <c r="I291" s="1463">
        <f>'St Moritz'!I63</f>
        <v>0</v>
      </c>
      <c r="J291" s="1463">
        <f>'St Moritz'!J63</f>
        <v>0</v>
      </c>
      <c r="K291" s="1463">
        <f>'St Moritz'!K63</f>
        <v>263.25</v>
      </c>
      <c r="L291" s="1463">
        <f>'St Moritz'!L63</f>
        <v>263.25</v>
      </c>
      <c r="M291" s="1463">
        <f>'St Moritz'!M63</f>
        <v>0</v>
      </c>
      <c r="N291" s="1463">
        <f>'St Moritz'!N63</f>
        <v>0</v>
      </c>
      <c r="O291" s="1463">
        <f>'St Moritz'!O63</f>
        <v>0</v>
      </c>
      <c r="P291" s="1463">
        <f>'St Moritz'!P63</f>
        <v>0</v>
      </c>
      <c r="Q291" s="1463">
        <f>'St Moritz'!Q63</f>
        <v>0</v>
      </c>
      <c r="R291" s="1463">
        <f>'St Moritz'!R63</f>
        <v>0</v>
      </c>
      <c r="S291" s="1463">
        <f>'St Moritz'!S63</f>
        <v>0</v>
      </c>
      <c r="T291" s="1463">
        <f>'St Moritz'!T63</f>
        <v>0</v>
      </c>
      <c r="U291" s="1463">
        <f>'St Moritz'!U63</f>
        <v>0</v>
      </c>
      <c r="V291" s="1463">
        <f>'St Moritz'!V63</f>
        <v>0</v>
      </c>
      <c r="W291" s="1463"/>
    </row>
    <row r="292" spans="1:23">
      <c r="A292" s="1431">
        <f t="shared" ref="A292:A303" si="280">A291+1</f>
        <v>3</v>
      </c>
      <c r="B292" s="1431" t="str">
        <f t="shared" si="279"/>
        <v>Opal Riverside</v>
      </c>
      <c r="C292" s="1463">
        <f>'Opal Riverside'!C63</f>
        <v>1071.5276800000001</v>
      </c>
      <c r="D292" s="1463">
        <f>'Opal Riverside'!D63</f>
        <v>0</v>
      </c>
      <c r="E292" s="1463">
        <f>'Opal Riverside'!E63</f>
        <v>0</v>
      </c>
      <c r="F292" s="1463">
        <f>'Opal Riverside'!F63</f>
        <v>0</v>
      </c>
      <c r="G292" s="1463">
        <f>'Opal Riverside'!G63</f>
        <v>214.30553600000005</v>
      </c>
      <c r="H292" s="1463">
        <f>'Opal Riverside'!H63</f>
        <v>857.22214400000018</v>
      </c>
      <c r="I292" s="1463">
        <f>'Opal Riverside'!I63</f>
        <v>0</v>
      </c>
      <c r="J292" s="1463">
        <f>'Opal Riverside'!J63</f>
        <v>0</v>
      </c>
      <c r="K292" s="1463">
        <f>'Opal Riverside'!K63</f>
        <v>0</v>
      </c>
      <c r="L292" s="1463">
        <f>'Opal Riverside'!L63</f>
        <v>0</v>
      </c>
      <c r="M292" s="1463">
        <f>'Opal Riverside'!M63</f>
        <v>0</v>
      </c>
      <c r="N292" s="1463">
        <f>'Opal Riverside'!N63</f>
        <v>0</v>
      </c>
      <c r="O292" s="1463">
        <f>'Opal Riverside'!O63</f>
        <v>0</v>
      </c>
      <c r="P292" s="1463">
        <f>'Opal Riverside'!P63</f>
        <v>0</v>
      </c>
      <c r="Q292" s="1463">
        <f>'Opal Riverside'!Q63</f>
        <v>0</v>
      </c>
      <c r="R292" s="1463">
        <f>'Opal Riverside'!R63</f>
        <v>0</v>
      </c>
      <c r="S292" s="1463">
        <f>'Opal Riverside'!S63</f>
        <v>0</v>
      </c>
      <c r="T292" s="1463">
        <f>'Opal Riverside'!T63</f>
        <v>0</v>
      </c>
      <c r="U292" s="1463">
        <f>'Opal Riverside'!U63</f>
        <v>0</v>
      </c>
      <c r="V292" s="1463">
        <f>'Opal Riverside'!V63</f>
        <v>0</v>
      </c>
      <c r="W292" s="1463"/>
    </row>
    <row r="293" spans="1:23">
      <c r="A293" s="1431">
        <f t="shared" si="280"/>
        <v>4</v>
      </c>
      <c r="B293" s="1431" t="str">
        <f t="shared" si="279"/>
        <v>Opal Garden</v>
      </c>
      <c r="C293" s="1463">
        <f>'Opal Garden'!C63</f>
        <v>690.48299999999995</v>
      </c>
      <c r="D293" s="1463">
        <f>'Opal Garden'!D63</f>
        <v>0</v>
      </c>
      <c r="E293" s="1463">
        <f>'Opal Garden'!E63</f>
        <v>0</v>
      </c>
      <c r="F293" s="1463">
        <f>'Opal Garden'!F63</f>
        <v>0</v>
      </c>
      <c r="G293" s="1463">
        <f>'Opal Garden'!G63</f>
        <v>69.048299999999998</v>
      </c>
      <c r="H293" s="1463">
        <f>'Opal Garden'!H63</f>
        <v>414.28979999999996</v>
      </c>
      <c r="I293" s="1463">
        <f>'Opal Garden'!I63</f>
        <v>207.14490000000001</v>
      </c>
      <c r="J293" s="1463">
        <f>'Opal Garden'!J63</f>
        <v>0</v>
      </c>
      <c r="K293" s="1463">
        <f>'Opal Garden'!K63</f>
        <v>0</v>
      </c>
      <c r="L293" s="1463">
        <f>'Opal Garden'!L63</f>
        <v>0</v>
      </c>
      <c r="M293" s="1463">
        <f>'Opal Garden'!M63</f>
        <v>0</v>
      </c>
      <c r="N293" s="1463">
        <f>'Opal Garden'!N63</f>
        <v>0</v>
      </c>
      <c r="O293" s="1463">
        <f>'Opal Garden'!O63</f>
        <v>0</v>
      </c>
      <c r="P293" s="1463">
        <f>'Opal Garden'!P63</f>
        <v>0</v>
      </c>
      <c r="Q293" s="1463">
        <f>'Opal Garden'!Q63</f>
        <v>0</v>
      </c>
      <c r="R293" s="1463">
        <f>'Opal Garden'!R63</f>
        <v>0</v>
      </c>
      <c r="S293" s="1463">
        <f>'Opal Garden'!S63</f>
        <v>0</v>
      </c>
      <c r="T293" s="1463">
        <f>'Opal Garden'!T63</f>
        <v>0</v>
      </c>
      <c r="U293" s="1463">
        <f>'Opal Garden'!U63</f>
        <v>0</v>
      </c>
      <c r="V293" s="1463">
        <f>'Opal Garden'!V63</f>
        <v>0</v>
      </c>
      <c r="W293" s="1463"/>
    </row>
    <row r="294" spans="1:23">
      <c r="A294" s="1431">
        <f t="shared" si="280"/>
        <v>5</v>
      </c>
      <c r="B294" s="1431" t="str">
        <f t="shared" si="279"/>
        <v>Gem Sky World Long Thanh</v>
      </c>
      <c r="C294" s="1463">
        <f>'Long Thanh 92ha'!C63</f>
        <v>15141.795</v>
      </c>
      <c r="D294" s="1463">
        <f>'Long Thanh 92ha'!D63</f>
        <v>0</v>
      </c>
      <c r="E294" s="1463">
        <f>'Long Thanh 92ha'!E63</f>
        <v>0</v>
      </c>
      <c r="F294" s="1463">
        <f>'Long Thanh 92ha'!F63</f>
        <v>0</v>
      </c>
      <c r="G294" s="1463">
        <f>'Long Thanh 92ha'!G63</f>
        <v>0</v>
      </c>
      <c r="H294" s="1463">
        <f>'Long Thanh 92ha'!H63</f>
        <v>0</v>
      </c>
      <c r="I294" s="1463">
        <f>'Long Thanh 92ha'!I63</f>
        <v>0</v>
      </c>
      <c r="J294" s="1463">
        <f>'Long Thanh 92ha'!J63</f>
        <v>0</v>
      </c>
      <c r="K294" s="1463">
        <f>'Long Thanh 92ha'!K63</f>
        <v>311.31750000000005</v>
      </c>
      <c r="L294" s="1463">
        <f>'Long Thanh 92ha'!L63</f>
        <v>1221.3225000000002</v>
      </c>
      <c r="M294" s="1463">
        <f>'Long Thanh 92ha'!M63</f>
        <v>2466.5925000000002</v>
      </c>
      <c r="N294" s="1463">
        <f>'Long Thanh 92ha'!N63</f>
        <v>2490.54</v>
      </c>
      <c r="O294" s="1463">
        <f>'Long Thanh 92ha'!O63</f>
        <v>1293.165</v>
      </c>
      <c r="P294" s="1463">
        <f>'Long Thanh 92ha'!P63</f>
        <v>432.45000000000005</v>
      </c>
      <c r="Q294" s="1463">
        <f>'Long Thanh 92ha'!Q63</f>
        <v>1904.2215000000001</v>
      </c>
      <c r="R294" s="1463">
        <f>'Long Thanh 92ha'!R63</f>
        <v>2943.5430000000001</v>
      </c>
      <c r="S294" s="1463">
        <f>'Long Thanh 92ha'!S63</f>
        <v>2078.643</v>
      </c>
      <c r="T294" s="1463">
        <f>'Long Thanh 92ha'!T63</f>
        <v>0</v>
      </c>
      <c r="U294" s="1463">
        <f>'Long Thanh 92ha'!U63</f>
        <v>0</v>
      </c>
      <c r="V294" s="1463">
        <f>'Long Thanh 92ha'!V63</f>
        <v>0</v>
      </c>
      <c r="W294" s="1463"/>
    </row>
    <row r="295" spans="1:23">
      <c r="A295" s="1431">
        <f t="shared" si="280"/>
        <v>6</v>
      </c>
      <c r="B295" s="1431" t="str">
        <f t="shared" si="279"/>
        <v>Opal Luxury 8.6ha Binh Duong</v>
      </c>
      <c r="C295" s="1463">
        <f>'Opal Luxury 8.6ha BD'!C63</f>
        <v>8122.027590144</v>
      </c>
      <c r="D295" s="1463">
        <f>'Opal Luxury 8.6ha BD'!D63</f>
        <v>0</v>
      </c>
      <c r="E295" s="1463">
        <f>'Opal Luxury 8.6ha BD'!E63</f>
        <v>0</v>
      </c>
      <c r="F295" s="1463">
        <f>'Opal Luxury 8.6ha BD'!F63</f>
        <v>0</v>
      </c>
      <c r="G295" s="1463">
        <f>'Opal Luxury 8.6ha BD'!G63</f>
        <v>0</v>
      </c>
      <c r="H295" s="1463">
        <f>'Opal Luxury 8.6ha BD'!H63</f>
        <v>0</v>
      </c>
      <c r="I295" s="1463">
        <f>'Opal Luxury 8.6ha BD'!I63</f>
        <v>0</v>
      </c>
      <c r="J295" s="1463">
        <f>'Opal Luxury 8.6ha BD'!J63</f>
        <v>0</v>
      </c>
      <c r="K295" s="1463">
        <f>'Opal Luxury 8.6ha BD'!K63</f>
        <v>0</v>
      </c>
      <c r="L295" s="1463">
        <f>'Opal Luxury 8.6ha BD'!L63</f>
        <v>0</v>
      </c>
      <c r="M295" s="1463">
        <f>'Opal Luxury 8.6ha BD'!M63</f>
        <v>0</v>
      </c>
      <c r="N295" s="1463">
        <f>'Opal Luxury 8.6ha BD'!N63</f>
        <v>0</v>
      </c>
      <c r="O295" s="1463">
        <f>'Opal Luxury 8.6ha BD'!O63</f>
        <v>0</v>
      </c>
      <c r="P295" s="1463">
        <f>'Opal Luxury 8.6ha BD'!P63</f>
        <v>594.27647999999999</v>
      </c>
      <c r="Q295" s="1463">
        <f>'Opal Luxury 8.6ha BD'!Q63</f>
        <v>2388.9914496000001</v>
      </c>
      <c r="R295" s="1463">
        <f>'Opal Luxury 8.6ha BD'!R63</f>
        <v>2942.721294336</v>
      </c>
      <c r="S295" s="1463">
        <f>'Opal Luxury 8.6ha BD'!S63</f>
        <v>2196.0383662080003</v>
      </c>
      <c r="T295" s="1463">
        <f>'Opal Luxury 8.6ha BD'!T63</f>
        <v>0</v>
      </c>
      <c r="U295" s="1463">
        <f>'Opal Luxury 8.6ha BD'!U63</f>
        <v>0</v>
      </c>
      <c r="V295" s="1463">
        <f>'Opal Luxury 8.6ha BD'!V63</f>
        <v>0</v>
      </c>
      <c r="W295" s="1463"/>
    </row>
    <row r="296" spans="1:23">
      <c r="A296" s="1431">
        <f t="shared" si="280"/>
        <v>7</v>
      </c>
      <c r="B296" s="1431" t="str">
        <f t="shared" si="279"/>
        <v>Opal Cityview</v>
      </c>
      <c r="C296" s="1463">
        <f>'Opal Cityview'!C63</f>
        <v>3380.9618700000005</v>
      </c>
      <c r="D296" s="1463">
        <f>'Opal Cityview'!D63</f>
        <v>0</v>
      </c>
      <c r="E296" s="1463">
        <f>'Opal Cityview'!E63</f>
        <v>0</v>
      </c>
      <c r="F296" s="1463">
        <f>'Opal Cityview'!F63</f>
        <v>0</v>
      </c>
      <c r="G296" s="1463">
        <f>'Opal Cityview'!G63</f>
        <v>0</v>
      </c>
      <c r="H296" s="1463">
        <f>'Opal Cityview'!H63</f>
        <v>0</v>
      </c>
      <c r="I296" s="1463">
        <f>'Opal Cityview'!I63</f>
        <v>0</v>
      </c>
      <c r="J296" s="1463">
        <f>'Opal Cityview'!J63</f>
        <v>0</v>
      </c>
      <c r="K296" s="1463">
        <f>'Opal Cityview'!K63</f>
        <v>0</v>
      </c>
      <c r="L296" s="1463">
        <f>'Opal Cityview'!L63</f>
        <v>0</v>
      </c>
      <c r="M296" s="1463">
        <f>'Opal Cityview'!M63</f>
        <v>0</v>
      </c>
      <c r="N296" s="1463">
        <f>'Opal Cityview'!N63</f>
        <v>0</v>
      </c>
      <c r="O296" s="1463">
        <f>'Opal Cityview'!O63</f>
        <v>0</v>
      </c>
      <c r="P296" s="1463">
        <f>'Opal Cityview'!P63</f>
        <v>836.87175000000013</v>
      </c>
      <c r="Q296" s="1463">
        <f>'Opal Cityview'!Q63</f>
        <v>1690.4809350000003</v>
      </c>
      <c r="R296" s="1463">
        <f>'Opal Cityview'!R63</f>
        <v>853.60918500000014</v>
      </c>
      <c r="S296" s="1463">
        <f>'Opal Cityview'!S63</f>
        <v>0</v>
      </c>
      <c r="T296" s="1463">
        <f>'Opal Cityview'!T63</f>
        <v>0</v>
      </c>
      <c r="U296" s="1463">
        <f>'Opal Cityview'!U63</f>
        <v>0</v>
      </c>
      <c r="V296" s="1463">
        <f>'Opal Cityview'!V63</f>
        <v>0</v>
      </c>
      <c r="W296" s="1463"/>
    </row>
    <row r="297" spans="1:23">
      <c r="A297" s="1431">
        <f t="shared" si="280"/>
        <v>8</v>
      </c>
      <c r="B297" s="1431" t="str">
        <f t="shared" si="279"/>
        <v>Park View Thuận An 5ha</v>
      </c>
      <c r="C297" s="1463">
        <f>ParkViewThuanAn5ha!C63</f>
        <v>8750</v>
      </c>
      <c r="D297" s="1463">
        <f>ParkViewThuanAn5ha!D63</f>
        <v>0</v>
      </c>
      <c r="E297" s="1463">
        <f>ParkViewThuanAn5ha!E63</f>
        <v>0</v>
      </c>
      <c r="F297" s="1463">
        <f>ParkViewThuanAn5ha!F63</f>
        <v>0</v>
      </c>
      <c r="G297" s="1463">
        <f>ParkViewThuanAn5ha!G63</f>
        <v>0</v>
      </c>
      <c r="H297" s="1463">
        <f>ParkViewThuanAn5ha!H63</f>
        <v>0</v>
      </c>
      <c r="I297" s="1463">
        <f>ParkViewThuanAn5ha!I63</f>
        <v>0</v>
      </c>
      <c r="J297" s="1463">
        <f>ParkViewThuanAn5ha!J63</f>
        <v>0</v>
      </c>
      <c r="K297" s="1463">
        <f>ParkViewThuanAn5ha!K63</f>
        <v>0</v>
      </c>
      <c r="L297" s="1463">
        <f>ParkViewThuanAn5ha!L63</f>
        <v>0</v>
      </c>
      <c r="M297" s="1463">
        <f>ParkViewThuanAn5ha!M63</f>
        <v>0</v>
      </c>
      <c r="N297" s="1463">
        <f>ParkViewThuanAn5ha!N63</f>
        <v>0</v>
      </c>
      <c r="O297" s="1463">
        <f>ParkViewThuanAn5ha!O63</f>
        <v>0</v>
      </c>
      <c r="P297" s="1463">
        <f>ParkViewThuanAn5ha!P63</f>
        <v>0</v>
      </c>
      <c r="Q297" s="1463">
        <f>ParkViewThuanAn5ha!Q63</f>
        <v>0</v>
      </c>
      <c r="R297" s="1463">
        <f>ParkViewThuanAn5ha!R63</f>
        <v>0</v>
      </c>
      <c r="S297" s="1463">
        <f>ParkViewThuanAn5ha!S63</f>
        <v>1312.5</v>
      </c>
      <c r="T297" s="1463">
        <f>ParkViewThuanAn5ha!T63</f>
        <v>3500</v>
      </c>
      <c r="U297" s="1463">
        <f>ParkViewThuanAn5ha!U63</f>
        <v>3062.5</v>
      </c>
      <c r="V297" s="1463">
        <f>ParkViewThuanAn5ha!V63</f>
        <v>875</v>
      </c>
      <c r="W297" s="1463"/>
    </row>
    <row r="298" spans="1:23">
      <c r="A298" s="1431">
        <f t="shared" si="280"/>
        <v>9</v>
      </c>
      <c r="B298" s="1431" t="str">
        <f t="shared" si="279"/>
        <v>Lux Riverview - Lux Star Quận 7</v>
      </c>
      <c r="C298" s="1463">
        <f>'Lux Riverview Q7'!C63</f>
        <v>0</v>
      </c>
      <c r="D298" s="1463">
        <f>'Lux Riverview Q7'!D63</f>
        <v>0</v>
      </c>
      <c r="E298" s="1463">
        <f>'Lux Riverview Q7'!E63</f>
        <v>0</v>
      </c>
      <c r="F298" s="1463">
        <f>'Lux Riverview Q7'!F63</f>
        <v>0</v>
      </c>
      <c r="G298" s="1463">
        <f>'Lux Riverview Q7'!G63</f>
        <v>0</v>
      </c>
      <c r="H298" s="1463">
        <f>'Lux Riverview Q7'!H63</f>
        <v>0</v>
      </c>
      <c r="I298" s="1463">
        <f>'Lux Riverview Q7'!I63</f>
        <v>0</v>
      </c>
      <c r="J298" s="1463">
        <f>'Lux Riverview Q7'!J63</f>
        <v>0</v>
      </c>
      <c r="K298" s="1463">
        <f>'Lux Riverview Q7'!K63</f>
        <v>0</v>
      </c>
      <c r="L298" s="1463">
        <f>'Lux Riverview Q7'!L63</f>
        <v>0</v>
      </c>
      <c r="M298" s="1463">
        <f>'Lux Riverview Q7'!M63</f>
        <v>0</v>
      </c>
      <c r="N298" s="1463">
        <f>'Lux Riverview Q7'!N63</f>
        <v>0</v>
      </c>
      <c r="O298" s="1463">
        <f>'Lux Riverview Q7'!O63</f>
        <v>0</v>
      </c>
      <c r="P298" s="1463">
        <f>'Lux Riverview Q7'!P63</f>
        <v>0</v>
      </c>
      <c r="Q298" s="1463">
        <f>'Lux Riverview Q7'!Q63</f>
        <v>0</v>
      </c>
      <c r="R298" s="1463">
        <f>'Lux Riverview Q7'!R63</f>
        <v>0</v>
      </c>
      <c r="S298" s="1463">
        <f>'Lux Riverview Q7'!S63</f>
        <v>0</v>
      </c>
      <c r="T298" s="1463">
        <f>'Lux Riverview Q7'!T63</f>
        <v>1632.0000000000002</v>
      </c>
      <c r="U298" s="1463">
        <f>'Lux Riverview Q7'!U63</f>
        <v>1632.0000000000002</v>
      </c>
      <c r="V298" s="1463">
        <f>'Lux Riverview Q7'!V63</f>
        <v>0</v>
      </c>
      <c r="W298" s="1463"/>
    </row>
    <row r="299" spans="1:23">
      <c r="A299" s="1431">
        <f t="shared" si="280"/>
        <v>10</v>
      </c>
      <c r="B299" s="1431" t="str">
        <f t="shared" si="279"/>
        <v>Gem Premium Thu Duc (Opal Premium)</v>
      </c>
      <c r="C299" s="1463">
        <f>'Gem Premium'!C63</f>
        <v>38296.800000000003</v>
      </c>
      <c r="D299" s="1463">
        <f>'Gem Premium'!D63</f>
        <v>0</v>
      </c>
      <c r="E299" s="1463">
        <f>'Gem Premium'!E63</f>
        <v>0</v>
      </c>
      <c r="F299" s="1463">
        <f>'Gem Premium'!F63</f>
        <v>0</v>
      </c>
      <c r="G299" s="1463">
        <f>'Gem Premium'!G63</f>
        <v>0</v>
      </c>
      <c r="H299" s="1463">
        <f>'Gem Premium'!H63</f>
        <v>0</v>
      </c>
      <c r="I299" s="1463">
        <f>'Gem Premium'!I63</f>
        <v>0</v>
      </c>
      <c r="J299" s="1463">
        <f>'Gem Premium'!J63</f>
        <v>0</v>
      </c>
      <c r="K299" s="1463">
        <f>'Gem Premium'!K63</f>
        <v>0</v>
      </c>
      <c r="L299" s="1463">
        <f>'Gem Premium'!L63</f>
        <v>0</v>
      </c>
      <c r="M299" s="1463">
        <f>'Gem Premium'!M63</f>
        <v>0</v>
      </c>
      <c r="N299" s="1463">
        <f>'Gem Premium'!N63</f>
        <v>0</v>
      </c>
      <c r="O299" s="1463">
        <f>'Gem Premium'!O63</f>
        <v>0</v>
      </c>
      <c r="P299" s="1463">
        <f>'Gem Premium'!P63</f>
        <v>0</v>
      </c>
      <c r="Q299" s="1463">
        <f>'Gem Premium'!Q63</f>
        <v>0</v>
      </c>
      <c r="R299" s="1463">
        <f>'Gem Premium'!R63</f>
        <v>0</v>
      </c>
      <c r="S299" s="1463">
        <f>'Gem Premium'!S63</f>
        <v>4860</v>
      </c>
      <c r="T299" s="1463">
        <f>'Gem Premium'!T63</f>
        <v>13446</v>
      </c>
      <c r="U299" s="1463">
        <f>'Gem Premium'!U63</f>
        <v>19990.800000000003</v>
      </c>
      <c r="V299" s="1463">
        <f>'Gem Premium'!V63</f>
        <v>16632</v>
      </c>
      <c r="W299" s="1463"/>
    </row>
    <row r="300" spans="1:23">
      <c r="A300" s="1431">
        <f t="shared" si="280"/>
        <v>11</v>
      </c>
      <c r="B300" s="1431" t="str">
        <f t="shared" si="279"/>
        <v>Gem City Q9 (Opal City old)</v>
      </c>
      <c r="C300" s="1463">
        <f>'Opal City'!C63</f>
        <v>12291.37778161095</v>
      </c>
      <c r="D300" s="1463">
        <f>'Opal City'!D63</f>
        <v>0</v>
      </c>
      <c r="E300" s="1463">
        <f>'Opal City'!E63</f>
        <v>0</v>
      </c>
      <c r="F300" s="1463">
        <f>'Opal City'!F63</f>
        <v>0</v>
      </c>
      <c r="G300" s="1463">
        <f>'Opal City'!G63</f>
        <v>0</v>
      </c>
      <c r="H300" s="1463">
        <f>'Opal City'!H63</f>
        <v>0</v>
      </c>
      <c r="I300" s="1463">
        <f>'Opal City'!I63</f>
        <v>0</v>
      </c>
      <c r="J300" s="1463">
        <f>'Opal City'!J63</f>
        <v>0</v>
      </c>
      <c r="K300" s="1463">
        <f>'Opal City'!K63</f>
        <v>0</v>
      </c>
      <c r="L300" s="1463">
        <f>'Opal City'!L63</f>
        <v>0</v>
      </c>
      <c r="M300" s="1463">
        <f>'Opal City'!M63</f>
        <v>0</v>
      </c>
      <c r="N300" s="1463">
        <f>'Opal City'!N63</f>
        <v>0</v>
      </c>
      <c r="O300" s="1463">
        <f>'Opal City'!O63</f>
        <v>0</v>
      </c>
      <c r="P300" s="1463">
        <f>'Opal City'!P63</f>
        <v>0</v>
      </c>
      <c r="Q300" s="1463">
        <f>'Opal City'!Q63</f>
        <v>0</v>
      </c>
      <c r="R300" s="1463">
        <f>'Opal City'!R63</f>
        <v>1786.8577867560002</v>
      </c>
      <c r="S300" s="1463">
        <f>'Opal City'!S63</f>
        <v>3934.0652271744607</v>
      </c>
      <c r="T300" s="1463">
        <f>'Opal City'!T63</f>
        <v>4358.8311040494746</v>
      </c>
      <c r="U300" s="1463">
        <f>'Opal City'!U63</f>
        <v>2211.6236636310141</v>
      </c>
      <c r="V300" s="1463">
        <f>'Opal City'!V63</f>
        <v>0</v>
      </c>
      <c r="W300" s="1463"/>
    </row>
    <row r="301" spans="1:23">
      <c r="A301" s="1431">
        <f t="shared" si="280"/>
        <v>12</v>
      </c>
      <c r="B301" s="1431" t="str">
        <f t="shared" si="279"/>
        <v>Park City Thuận An 10ha</v>
      </c>
      <c r="C301" s="1463">
        <f>ParkCityThuanAn10ha!C63</f>
        <v>8750</v>
      </c>
      <c r="D301" s="1463">
        <f>ParkCityThuanAn10ha!D63</f>
        <v>0</v>
      </c>
      <c r="E301" s="1463">
        <f>ParkCityThuanAn10ha!E63</f>
        <v>0</v>
      </c>
      <c r="F301" s="1463">
        <f>ParkCityThuanAn10ha!F63</f>
        <v>0</v>
      </c>
      <c r="G301" s="1463">
        <f>ParkCityThuanAn10ha!G63</f>
        <v>0</v>
      </c>
      <c r="H301" s="1463">
        <f>ParkCityThuanAn10ha!H63</f>
        <v>0</v>
      </c>
      <c r="I301" s="1463">
        <f>ParkCityThuanAn10ha!I63</f>
        <v>0</v>
      </c>
      <c r="J301" s="1463">
        <f>ParkCityThuanAn10ha!J63</f>
        <v>0</v>
      </c>
      <c r="K301" s="1463">
        <f>ParkCityThuanAn10ha!K63</f>
        <v>0</v>
      </c>
      <c r="L301" s="1463">
        <f>ParkCityThuanAn10ha!L63</f>
        <v>0</v>
      </c>
      <c r="M301" s="1463">
        <f>ParkCityThuanAn10ha!M63</f>
        <v>0</v>
      </c>
      <c r="N301" s="1463">
        <f>ParkCityThuanAn10ha!N63</f>
        <v>0</v>
      </c>
      <c r="O301" s="1463">
        <f>ParkCityThuanAn10ha!O63</f>
        <v>0</v>
      </c>
      <c r="P301" s="1463">
        <f>ParkCityThuanAn10ha!P63</f>
        <v>0</v>
      </c>
      <c r="Q301" s="1463">
        <f>ParkCityThuanAn10ha!Q63</f>
        <v>0</v>
      </c>
      <c r="R301" s="1463">
        <f>ParkCityThuanAn10ha!R63</f>
        <v>0</v>
      </c>
      <c r="S301" s="1463">
        <f>ParkCityThuanAn10ha!S63</f>
        <v>0</v>
      </c>
      <c r="T301" s="1463">
        <f>ParkCityThuanAn10ha!T63</f>
        <v>1312.5</v>
      </c>
      <c r="U301" s="1463">
        <f>ParkCityThuanAn10ha!U63</f>
        <v>2625</v>
      </c>
      <c r="V301" s="1463">
        <f>ParkCityThuanAn10ha!V63</f>
        <v>3062.5</v>
      </c>
      <c r="W301" s="1463"/>
    </row>
    <row r="302" spans="1:23">
      <c r="A302" s="1431">
        <f t="shared" si="280"/>
        <v>13</v>
      </c>
      <c r="B302" s="1431" t="str">
        <f t="shared" si="279"/>
        <v>Opal Skyline</v>
      </c>
      <c r="C302" s="1463">
        <f>'Opal Skyline'!C63</f>
        <v>2411.5</v>
      </c>
      <c r="D302" s="1463">
        <f>'Opal Skyline'!D63</f>
        <v>0</v>
      </c>
      <c r="E302" s="1463">
        <f>'Opal Skyline'!E63</f>
        <v>0</v>
      </c>
      <c r="F302" s="1463">
        <f>'Opal Skyline'!F63</f>
        <v>0</v>
      </c>
      <c r="G302" s="1463">
        <f>'Opal Skyline'!G63</f>
        <v>0</v>
      </c>
      <c r="H302" s="1463">
        <f>'Opal Skyline'!H63</f>
        <v>0</v>
      </c>
      <c r="I302" s="1463">
        <f>'Opal Skyline'!I63</f>
        <v>0</v>
      </c>
      <c r="J302" s="1463">
        <f>'Opal Skyline'!J63</f>
        <v>0</v>
      </c>
      <c r="K302" s="1463">
        <f>'Opal Skyline'!K63</f>
        <v>120.575</v>
      </c>
      <c r="L302" s="1463">
        <f>'Opal Skyline'!L63</f>
        <v>723.44999999999993</v>
      </c>
      <c r="M302" s="1463">
        <f>'Opal Skyline'!M63</f>
        <v>964.6</v>
      </c>
      <c r="N302" s="1463">
        <f>'Opal Skyline'!N63</f>
        <v>602.875</v>
      </c>
      <c r="O302" s="1463">
        <f>'Opal Skyline'!O63</f>
        <v>0</v>
      </c>
      <c r="P302" s="1463">
        <f>'Opal Skyline'!P63</f>
        <v>0</v>
      </c>
      <c r="Q302" s="1463">
        <f>'Opal Skyline'!Q63</f>
        <v>0</v>
      </c>
      <c r="R302" s="1463">
        <f>'Opal Skyline'!R63</f>
        <v>0</v>
      </c>
      <c r="S302" s="1463">
        <f>'Opal Skyline'!S63</f>
        <v>0</v>
      </c>
      <c r="T302" s="1463">
        <f>'Opal Skyline'!T63</f>
        <v>0</v>
      </c>
      <c r="U302" s="1463">
        <f>'Opal Skyline'!U63</f>
        <v>0</v>
      </c>
      <c r="V302" s="1463">
        <f>'Opal Skyline'!V63</f>
        <v>0</v>
      </c>
      <c r="W302" s="1463"/>
    </row>
    <row r="303" spans="1:23">
      <c r="A303" s="1431">
        <f t="shared" si="280"/>
        <v>14</v>
      </c>
      <c r="B303" s="1431" t="str">
        <f t="shared" si="279"/>
        <v>Prive</v>
      </c>
      <c r="C303" s="1463">
        <f>Prive!C63</f>
        <v>35430.147249999995</v>
      </c>
      <c r="D303" s="1463">
        <f>Prive!D63</f>
        <v>0</v>
      </c>
      <c r="E303" s="1463">
        <f>Prive!E63</f>
        <v>0</v>
      </c>
      <c r="F303" s="1463">
        <f>Prive!F63</f>
        <v>0</v>
      </c>
      <c r="G303" s="1463">
        <f>Prive!G63</f>
        <v>0</v>
      </c>
      <c r="H303" s="1463">
        <f>Prive!H63</f>
        <v>0</v>
      </c>
      <c r="I303" s="1463">
        <f>Prive!I63</f>
        <v>0</v>
      </c>
      <c r="J303" s="1463">
        <f>Prive!J63</f>
        <v>0</v>
      </c>
      <c r="K303" s="1463">
        <f>Prive!K63</f>
        <v>0</v>
      </c>
      <c r="L303" s="1463">
        <f>Prive!L63</f>
        <v>0</v>
      </c>
      <c r="M303" s="1463">
        <f>Prive!M63</f>
        <v>0</v>
      </c>
      <c r="N303" s="1463">
        <f>Prive!N63</f>
        <v>0</v>
      </c>
      <c r="O303" s="1463">
        <f>Prive!O63</f>
        <v>0</v>
      </c>
      <c r="P303" s="1463">
        <f>Prive!P63</f>
        <v>3342.7169999999996</v>
      </c>
      <c r="Q303" s="1463">
        <f>Prive!Q63</f>
        <v>6243.7178249999997</v>
      </c>
      <c r="R303" s="1463">
        <f>Prive!R63</f>
        <v>11743.283174999999</v>
      </c>
      <c r="S303" s="1463">
        <f>Prive!S63</f>
        <v>8253.3274499999989</v>
      </c>
      <c r="T303" s="1463">
        <f>Prive!T63</f>
        <v>5847.1018000000004</v>
      </c>
      <c r="U303" s="1463">
        <f>Prive!U63</f>
        <v>0</v>
      </c>
      <c r="V303" s="1463">
        <f>Prive!V63</f>
        <v>0</v>
      </c>
      <c r="W303" s="1463"/>
    </row>
    <row r="304" spans="1:23">
      <c r="A304" s="1457"/>
      <c r="B304" s="1432" t="str">
        <f>B50</f>
        <v>Total</v>
      </c>
      <c r="C304" s="1408">
        <f t="shared" ref="C304:M304" si="281">SUM(C290:C303)</f>
        <v>134863.12017175494</v>
      </c>
      <c r="D304" s="1408">
        <f t="shared" si="281"/>
        <v>0</v>
      </c>
      <c r="E304" s="1408">
        <f t="shared" si="281"/>
        <v>0</v>
      </c>
      <c r="F304" s="1408">
        <f t="shared" si="281"/>
        <v>0</v>
      </c>
      <c r="G304" s="1408">
        <f t="shared" si="281"/>
        <v>283.35383600000006</v>
      </c>
      <c r="H304" s="1408">
        <f t="shared" si="281"/>
        <v>1271.5119440000001</v>
      </c>
      <c r="I304" s="1408">
        <f t="shared" si="281"/>
        <v>207.14490000000001</v>
      </c>
      <c r="J304" s="1408">
        <f t="shared" si="281"/>
        <v>0</v>
      </c>
      <c r="K304" s="1408">
        <f t="shared" si="281"/>
        <v>695.14250000000015</v>
      </c>
      <c r="L304" s="1408">
        <f t="shared" si="281"/>
        <v>2208.0225</v>
      </c>
      <c r="M304" s="1408">
        <f t="shared" si="281"/>
        <v>3431.1925000000001</v>
      </c>
      <c r="N304" s="1408">
        <f t="shared" ref="N304:V304" si="282">SUM(N290:N303)</f>
        <v>3093.415</v>
      </c>
      <c r="O304" s="1408">
        <f t="shared" si="282"/>
        <v>1293.165</v>
      </c>
      <c r="P304" s="1408">
        <f t="shared" si="282"/>
        <v>5206.3152300000002</v>
      </c>
      <c r="Q304" s="1408">
        <f t="shared" si="282"/>
        <v>12227.411709600001</v>
      </c>
      <c r="R304" s="1408">
        <f t="shared" si="282"/>
        <v>20270.014441092</v>
      </c>
      <c r="S304" s="1408">
        <f t="shared" si="282"/>
        <v>22634.574043382461</v>
      </c>
      <c r="T304" s="1408">
        <f t="shared" si="282"/>
        <v>30096.432904049474</v>
      </c>
      <c r="U304" s="1408">
        <f t="shared" si="282"/>
        <v>29521.923663631016</v>
      </c>
      <c r="V304" s="1408">
        <f t="shared" si="282"/>
        <v>20569.5</v>
      </c>
      <c r="W304" s="1410"/>
    </row>
    <row r="305" spans="1:23">
      <c r="A305" s="1447"/>
      <c r="C305" s="1410"/>
      <c r="D305" s="1410"/>
      <c r="E305" s="1410"/>
      <c r="F305" s="1410"/>
      <c r="G305" s="1410"/>
      <c r="H305" s="1410"/>
      <c r="I305" s="1410"/>
      <c r="J305" s="1410"/>
      <c r="K305" s="1410"/>
      <c r="L305" s="1410"/>
      <c r="M305" s="1410"/>
      <c r="N305" s="1410"/>
      <c r="O305" s="1410"/>
      <c r="P305" s="1410"/>
      <c r="Q305" s="1410"/>
      <c r="R305" s="1410"/>
      <c r="S305" s="1410"/>
      <c r="T305" s="1410"/>
      <c r="U305" s="1410"/>
      <c r="V305" s="1410"/>
      <c r="W305" s="1410"/>
    </row>
    <row r="306" spans="1:23">
      <c r="B306" s="1407" t="s">
        <v>1803</v>
      </c>
      <c r="C306" s="1455" t="s">
        <v>642</v>
      </c>
      <c r="D306" s="1431">
        <v>2013</v>
      </c>
      <c r="E306" s="1431">
        <v>2014</v>
      </c>
      <c r="F306" s="1431">
        <v>2015</v>
      </c>
      <c r="G306" s="1431">
        <v>2016</v>
      </c>
      <c r="H306" s="1431">
        <v>2017</v>
      </c>
      <c r="I306" s="1431">
        <v>2018</v>
      </c>
      <c r="J306" s="1431">
        <v>2019</v>
      </c>
      <c r="K306" s="1431">
        <v>2020</v>
      </c>
      <c r="L306" s="1431">
        <v>2021</v>
      </c>
      <c r="M306" s="1431">
        <v>2022</v>
      </c>
      <c r="N306" s="1431">
        <v>2022</v>
      </c>
      <c r="O306" s="1431">
        <v>2022</v>
      </c>
      <c r="P306" s="1431">
        <v>2022</v>
      </c>
      <c r="Q306" s="1431">
        <v>2022</v>
      </c>
      <c r="R306" s="1431">
        <v>2022</v>
      </c>
      <c r="S306" s="1431">
        <v>2022</v>
      </c>
      <c r="T306" s="1431">
        <v>2022</v>
      </c>
      <c r="U306" s="1431">
        <v>2022</v>
      </c>
      <c r="V306" s="1431">
        <v>2022</v>
      </c>
    </row>
    <row r="307" spans="1:23">
      <c r="A307" s="1431">
        <v>1</v>
      </c>
      <c r="B307" s="1432" t="str">
        <f t="shared" ref="B307:B320" si="283">B290</f>
        <v>Opal Central Park - Thuận An 1.0ha</v>
      </c>
      <c r="C307" s="1476">
        <f>'Opal Central Park'!C98</f>
        <v>0</v>
      </c>
      <c r="D307" s="1476">
        <f>'Opal Central Park'!D98</f>
        <v>0</v>
      </c>
      <c r="E307" s="1476">
        <f>'Opal Central Park'!E98</f>
        <v>0</v>
      </c>
      <c r="F307" s="1476">
        <f>'Opal Central Park'!F98</f>
        <v>0</v>
      </c>
      <c r="G307" s="1476">
        <f>'Opal Central Park'!G98</f>
        <v>0</v>
      </c>
      <c r="H307" s="1476">
        <f>'Opal Central Park'!H98</f>
        <v>0</v>
      </c>
      <c r="I307" s="1476">
        <f>'Opal Central Park'!I98</f>
        <v>0</v>
      </c>
      <c r="J307" s="1476">
        <f>'Opal Central Park'!J98</f>
        <v>0</v>
      </c>
      <c r="K307" s="1476">
        <f>'Opal Central Park'!K98</f>
        <v>0</v>
      </c>
      <c r="L307" s="1476">
        <f>'Opal Central Park'!L98</f>
        <v>0</v>
      </c>
      <c r="M307" s="1476">
        <f>'Opal Central Park'!M98</f>
        <v>0</v>
      </c>
      <c r="N307" s="1476">
        <f>'Opal Central Park'!N98</f>
        <v>0</v>
      </c>
      <c r="O307" s="1476">
        <f>'Opal Central Park'!O98</f>
        <v>0</v>
      </c>
      <c r="P307" s="1476">
        <f>'Opal Central Park'!P98</f>
        <v>0</v>
      </c>
      <c r="Q307" s="1476">
        <f>'Opal Central Park'!Q98</f>
        <v>0</v>
      </c>
      <c r="R307" s="1476">
        <f>'Opal Central Park'!R98</f>
        <v>0</v>
      </c>
      <c r="S307" s="1476">
        <f>'Opal Central Park'!S98</f>
        <v>0</v>
      </c>
      <c r="T307" s="1476">
        <f>'Opal Central Park'!T98</f>
        <v>0</v>
      </c>
      <c r="U307" s="1476">
        <f>'Opal Central Park'!U98</f>
        <v>0</v>
      </c>
      <c r="V307" s="1476">
        <f>'Opal Central Park'!V98</f>
        <v>0</v>
      </c>
      <c r="W307" s="1463"/>
    </row>
    <row r="308" spans="1:23">
      <c r="A308" s="1431">
        <f>A307+1</f>
        <v>2</v>
      </c>
      <c r="B308" s="1431" t="str">
        <f t="shared" si="283"/>
        <v>St Moritz - Opal Skyview</v>
      </c>
      <c r="C308" s="1463">
        <f>'St Moritz'!C98</f>
        <v>347.22059999999999</v>
      </c>
      <c r="D308" s="1463">
        <f>'St Moritz'!D98</f>
        <v>0</v>
      </c>
      <c r="E308" s="1463">
        <f>'St Moritz'!E98</f>
        <v>0</v>
      </c>
      <c r="F308" s="1463">
        <f>'St Moritz'!F98</f>
        <v>0</v>
      </c>
      <c r="G308" s="1463">
        <f>'St Moritz'!G98</f>
        <v>0</v>
      </c>
      <c r="H308" s="1463">
        <f>'St Moritz'!H98</f>
        <v>96</v>
      </c>
      <c r="I308" s="1463">
        <f>'St Moritz'!I98</f>
        <v>0</v>
      </c>
      <c r="J308" s="1463">
        <f>'St Moritz'!J98</f>
        <v>24</v>
      </c>
      <c r="K308" s="1463">
        <f>'St Moritz'!K98</f>
        <v>72</v>
      </c>
      <c r="L308" s="1463">
        <f>'St Moritz'!L98</f>
        <v>72</v>
      </c>
      <c r="M308" s="1463">
        <f>'St Moritz'!M98</f>
        <v>83.220600000000005</v>
      </c>
      <c r="N308" s="1463">
        <f>'St Moritz'!N98</f>
        <v>0</v>
      </c>
      <c r="O308" s="1463">
        <f>'St Moritz'!O98</f>
        <v>0</v>
      </c>
      <c r="P308" s="1463">
        <f>'St Moritz'!P98</f>
        <v>0</v>
      </c>
      <c r="Q308" s="1463">
        <f>'St Moritz'!Q98</f>
        <v>0</v>
      </c>
      <c r="R308" s="1463">
        <f>'St Moritz'!R98</f>
        <v>0</v>
      </c>
      <c r="S308" s="1463">
        <f>'St Moritz'!S98</f>
        <v>0</v>
      </c>
      <c r="T308" s="1463">
        <f>'St Moritz'!T98</f>
        <v>0</v>
      </c>
      <c r="U308" s="1463">
        <f>'St Moritz'!U98</f>
        <v>0</v>
      </c>
      <c r="V308" s="1463">
        <f>'St Moritz'!V98</f>
        <v>0</v>
      </c>
      <c r="W308" s="1463"/>
    </row>
    <row r="309" spans="1:23">
      <c r="A309" s="1431">
        <f t="shared" ref="A309:A320" si="284">A308+1</f>
        <v>3</v>
      </c>
      <c r="B309" s="1431" t="str">
        <f t="shared" si="283"/>
        <v>Opal Riverside</v>
      </c>
      <c r="C309" s="1463">
        <f>'Opal Riverside'!C98</f>
        <v>761.27137665279997</v>
      </c>
      <c r="D309" s="1463">
        <f>'Opal Riverside'!D98</f>
        <v>0</v>
      </c>
      <c r="E309" s="1463">
        <f>'Opal Riverside'!E98</f>
        <v>0</v>
      </c>
      <c r="F309" s="1463">
        <f>'Opal Riverside'!F98</f>
        <v>0</v>
      </c>
      <c r="G309" s="1463">
        <f>'Opal Riverside'!G98</f>
        <v>142.8484</v>
      </c>
      <c r="H309" s="1463">
        <f>'Opal Riverside'!H98</f>
        <v>481.67001299583995</v>
      </c>
      <c r="I309" s="1463">
        <f>'Opal Riverside'!I98</f>
        <v>136.75296365696005</v>
      </c>
      <c r="J309" s="1463">
        <f>'Opal Riverside'!J98</f>
        <v>0</v>
      </c>
      <c r="K309" s="1463">
        <f>'Opal Riverside'!K98</f>
        <v>0</v>
      </c>
      <c r="L309" s="1463">
        <f>'Opal Riverside'!L98</f>
        <v>0</v>
      </c>
      <c r="M309" s="1463">
        <f>'Opal Riverside'!M98</f>
        <v>0</v>
      </c>
      <c r="N309" s="1463">
        <f>'Opal Riverside'!N98</f>
        <v>0</v>
      </c>
      <c r="O309" s="1463">
        <f>'Opal Riverside'!O98</f>
        <v>0</v>
      </c>
      <c r="P309" s="1463">
        <f>'Opal Riverside'!P98</f>
        <v>0</v>
      </c>
      <c r="Q309" s="1463">
        <f>'Opal Riverside'!Q98</f>
        <v>0</v>
      </c>
      <c r="R309" s="1463">
        <f>'Opal Riverside'!R98</f>
        <v>0</v>
      </c>
      <c r="S309" s="1463">
        <f>'Opal Riverside'!S98</f>
        <v>0</v>
      </c>
      <c r="T309" s="1463">
        <f>'Opal Riverside'!T98</f>
        <v>0</v>
      </c>
      <c r="U309" s="1463">
        <f>'Opal Riverside'!U98</f>
        <v>0</v>
      </c>
      <c r="V309" s="1463">
        <f>'Opal Riverside'!V98</f>
        <v>0</v>
      </c>
      <c r="W309" s="1463"/>
    </row>
    <row r="310" spans="1:23">
      <c r="A310" s="1431">
        <f t="shared" si="284"/>
        <v>4</v>
      </c>
      <c r="B310" s="1431" t="str">
        <f t="shared" si="283"/>
        <v>Opal Garden</v>
      </c>
      <c r="C310" s="1463">
        <f>'Opal Garden'!C98</f>
        <v>485.27166167999997</v>
      </c>
      <c r="D310" s="1463">
        <f>'Opal Garden'!D98</f>
        <v>0</v>
      </c>
      <c r="E310" s="1463">
        <f>'Opal Garden'!E98</f>
        <v>0</v>
      </c>
      <c r="F310" s="1463">
        <f>'Opal Garden'!F98</f>
        <v>0</v>
      </c>
      <c r="G310" s="1463">
        <f>'Opal Garden'!G98</f>
        <v>57.54</v>
      </c>
      <c r="H310" s="1463">
        <f>'Opal Garden'!H98</f>
        <v>210.14699999999996</v>
      </c>
      <c r="I310" s="1463">
        <f>'Opal Garden'!I98</f>
        <v>90.062999999999988</v>
      </c>
      <c r="J310" s="1463">
        <f>'Opal Garden'!J98</f>
        <v>127.52166167999999</v>
      </c>
      <c r="K310" s="1463">
        <f>'Opal Garden'!K98</f>
        <v>0</v>
      </c>
      <c r="L310" s="1463">
        <f>'Opal Garden'!L98</f>
        <v>0</v>
      </c>
      <c r="M310" s="1463">
        <f>'Opal Garden'!M98</f>
        <v>0</v>
      </c>
      <c r="N310" s="1463">
        <f>'Opal Garden'!N98</f>
        <v>0</v>
      </c>
      <c r="O310" s="1463">
        <f>'Opal Garden'!O98</f>
        <v>0</v>
      </c>
      <c r="P310" s="1463">
        <f>'Opal Garden'!P98</f>
        <v>0</v>
      </c>
      <c r="Q310" s="1463">
        <f>'Opal Garden'!Q98</f>
        <v>0</v>
      </c>
      <c r="R310" s="1463">
        <f>'Opal Garden'!R98</f>
        <v>0</v>
      </c>
      <c r="S310" s="1463">
        <f>'Opal Garden'!S98</f>
        <v>0</v>
      </c>
      <c r="T310" s="1463">
        <f>'Opal Garden'!T98</f>
        <v>0</v>
      </c>
      <c r="U310" s="1463">
        <f>'Opal Garden'!U98</f>
        <v>0</v>
      </c>
      <c r="V310" s="1463">
        <f>'Opal Garden'!V98</f>
        <v>0</v>
      </c>
      <c r="W310" s="1463"/>
    </row>
    <row r="311" spans="1:23">
      <c r="A311" s="1431">
        <f t="shared" si="284"/>
        <v>5</v>
      </c>
      <c r="B311" s="1431" t="str">
        <f t="shared" si="283"/>
        <v>Gem Sky World Long Thanh</v>
      </c>
      <c r="C311" s="1463">
        <f>'Long Thanh 92ha'!C98</f>
        <v>10347.073951499999</v>
      </c>
      <c r="D311" s="1463">
        <f>'Long Thanh 92ha'!D98</f>
        <v>0</v>
      </c>
      <c r="E311" s="1463">
        <f>'Long Thanh 92ha'!E98</f>
        <v>0</v>
      </c>
      <c r="F311" s="1463">
        <f>'Long Thanh 92ha'!F98</f>
        <v>0</v>
      </c>
      <c r="G311" s="1463">
        <f>'Long Thanh 92ha'!G98</f>
        <v>0</v>
      </c>
      <c r="H311" s="1463">
        <f>'Long Thanh 92ha'!H98</f>
        <v>0</v>
      </c>
      <c r="I311" s="1463">
        <f>'Long Thanh 92ha'!I98</f>
        <v>0</v>
      </c>
      <c r="J311" s="1463">
        <f>'Long Thanh 92ha'!J98</f>
        <v>1669.8000000000002</v>
      </c>
      <c r="K311" s="1463">
        <f>'Long Thanh 92ha'!K98</f>
        <v>1714.95</v>
      </c>
      <c r="L311" s="1463">
        <f>'Long Thanh 92ha'!L98</f>
        <v>1595.2684878749999</v>
      </c>
      <c r="M311" s="1463">
        <f>'Long Thanh 92ha'!M98</f>
        <v>1212.9110927250001</v>
      </c>
      <c r="N311" s="1463">
        <f>'Long Thanh 92ha'!N98</f>
        <v>963.60739515000012</v>
      </c>
      <c r="O311" s="1463">
        <f>'Long Thanh 92ha'!O98</f>
        <v>598.053697575</v>
      </c>
      <c r="P311" s="1463">
        <f>'Long Thanh 92ha'!P98</f>
        <v>1345.9647903000002</v>
      </c>
      <c r="Q311" s="1463">
        <f>'Long Thanh 92ha'!Q98</f>
        <v>1246.5184878749999</v>
      </c>
      <c r="R311" s="1463">
        <f>'Long Thanh 92ha'!R98</f>
        <v>0</v>
      </c>
      <c r="S311" s="1463">
        <f>'Long Thanh 92ha'!S98</f>
        <v>0</v>
      </c>
      <c r="T311" s="1463">
        <f>'Long Thanh 92ha'!T98</f>
        <v>0</v>
      </c>
      <c r="U311" s="1463">
        <f>'Long Thanh 92ha'!U98</f>
        <v>0</v>
      </c>
      <c r="V311" s="1463">
        <f>'Long Thanh 92ha'!V98</f>
        <v>0</v>
      </c>
      <c r="W311" s="1463"/>
    </row>
    <row r="312" spans="1:23">
      <c r="A312" s="1431">
        <f t="shared" si="284"/>
        <v>6</v>
      </c>
      <c r="B312" s="1431" t="str">
        <f t="shared" si="283"/>
        <v>Opal Luxury 8.6ha Binh Duong</v>
      </c>
      <c r="C312" s="1463">
        <f>'Opal Luxury 8.6ha BD'!C98</f>
        <v>4388.3781911655997</v>
      </c>
      <c r="D312" s="1463">
        <f>'Opal Luxury 8.6ha BD'!D98</f>
        <v>0</v>
      </c>
      <c r="E312" s="1463">
        <f>'Opal Luxury 8.6ha BD'!E98</f>
        <v>0</v>
      </c>
      <c r="F312" s="1463">
        <f>'Opal Luxury 8.6ha BD'!F98</f>
        <v>0</v>
      </c>
      <c r="G312" s="1463">
        <f>'Opal Luxury 8.6ha BD'!G98</f>
        <v>0</v>
      </c>
      <c r="H312" s="1463">
        <f>'Opal Luxury 8.6ha BD'!H98</f>
        <v>0</v>
      </c>
      <c r="I312" s="1463">
        <f>'Opal Luxury 8.6ha BD'!I98</f>
        <v>0</v>
      </c>
      <c r="J312" s="1463">
        <f>'Opal Luxury 8.6ha BD'!J98</f>
        <v>0</v>
      </c>
      <c r="K312" s="1463">
        <f>'Opal Luxury 8.6ha BD'!K98</f>
        <v>0</v>
      </c>
      <c r="L312" s="1463">
        <f>'Opal Luxury 8.6ha BD'!L98</f>
        <v>0</v>
      </c>
      <c r="M312" s="1463">
        <f>'Opal Luxury 8.6ha BD'!M98</f>
        <v>430</v>
      </c>
      <c r="N312" s="1463">
        <f>'Opal Luxury 8.6ha BD'!N98</f>
        <v>430</v>
      </c>
      <c r="O312" s="1463">
        <f>'Opal Luxury 8.6ha BD'!O98</f>
        <v>136</v>
      </c>
      <c r="P312" s="1463">
        <f>'Opal Luxury 8.6ha BD'!P98</f>
        <v>1179.7701860245199</v>
      </c>
      <c r="Q312" s="1463">
        <f>'Opal Luxury 8.6ha BD'!Q98</f>
        <v>1082.7648030846481</v>
      </c>
      <c r="R312" s="1463">
        <f>'Opal Luxury 8.6ha BD'!R98</f>
        <v>1129.8432020564319</v>
      </c>
      <c r="S312" s="1463">
        <f>'Opal Luxury 8.6ha BD'!S98</f>
        <v>0</v>
      </c>
      <c r="T312" s="1463">
        <f>'Opal Luxury 8.6ha BD'!T98</f>
        <v>0</v>
      </c>
      <c r="U312" s="1463">
        <f>'Opal Luxury 8.6ha BD'!U98</f>
        <v>0</v>
      </c>
      <c r="V312" s="1463">
        <f>'Opal Luxury 8.6ha BD'!V98</f>
        <v>0</v>
      </c>
      <c r="W312" s="1463"/>
    </row>
    <row r="313" spans="1:23">
      <c r="A313" s="1431">
        <f t="shared" si="284"/>
        <v>7</v>
      </c>
      <c r="B313" s="1431" t="str">
        <f t="shared" si="283"/>
        <v>Opal Cityview</v>
      </c>
      <c r="C313" s="1463">
        <f>'Opal Cityview'!C98</f>
        <v>2297.7929769315001</v>
      </c>
      <c r="D313" s="1463">
        <f>'Opal Cityview'!D98</f>
        <v>0</v>
      </c>
      <c r="E313" s="1463">
        <f>'Opal Cityview'!E98</f>
        <v>0</v>
      </c>
      <c r="F313" s="1463">
        <f>'Opal Cityview'!F98</f>
        <v>0</v>
      </c>
      <c r="G313" s="1463">
        <f>'Opal Cityview'!G98</f>
        <v>0</v>
      </c>
      <c r="H313" s="1463">
        <f>'Opal Cityview'!H98</f>
        <v>0</v>
      </c>
      <c r="I313" s="1463">
        <f>'Opal Cityview'!I98</f>
        <v>0</v>
      </c>
      <c r="J313" s="1463">
        <f>'Opal Cityview'!J98</f>
        <v>0</v>
      </c>
      <c r="K313" s="1463">
        <f>'Opal Cityview'!K98</f>
        <v>0</v>
      </c>
      <c r="L313" s="1463">
        <f>'Opal Cityview'!L98</f>
        <v>0</v>
      </c>
      <c r="M313" s="1463">
        <f>'Opal Cityview'!M98</f>
        <v>0</v>
      </c>
      <c r="N313" s="1463">
        <f>'Opal Cityview'!N98</f>
        <v>0</v>
      </c>
      <c r="O313" s="1463">
        <f>'Opal Cityview'!O98</f>
        <v>0</v>
      </c>
      <c r="P313" s="1463">
        <f>'Opal Cityview'!P98</f>
        <v>169.75</v>
      </c>
      <c r="Q313" s="1463">
        <f>'Opal Cityview'!Q98</f>
        <v>1142.0297758148999</v>
      </c>
      <c r="R313" s="1463">
        <f>'Opal Cityview'!R98</f>
        <v>986.01320111660004</v>
      </c>
      <c r="S313" s="1463">
        <f>'Opal Cityview'!S98</f>
        <v>0</v>
      </c>
      <c r="T313" s="1463">
        <f>'Opal Cityview'!T98</f>
        <v>0</v>
      </c>
      <c r="U313" s="1463">
        <f>'Opal Cityview'!U98</f>
        <v>0</v>
      </c>
      <c r="V313" s="1463">
        <f>'Opal Cityview'!V98</f>
        <v>0</v>
      </c>
      <c r="W313" s="1463"/>
    </row>
    <row r="314" spans="1:23">
      <c r="A314" s="1431">
        <f t="shared" si="284"/>
        <v>8</v>
      </c>
      <c r="B314" s="1431" t="str">
        <f t="shared" si="283"/>
        <v>Park View Thuận An 5ha</v>
      </c>
      <c r="C314" s="1463">
        <f>ParkViewThuanAn5ha!C98</f>
        <v>6305.1916666666666</v>
      </c>
      <c r="D314" s="1463">
        <f>ParkViewThuanAn5ha!D98</f>
        <v>0</v>
      </c>
      <c r="E314" s="1463">
        <f>ParkViewThuanAn5ha!E98</f>
        <v>0</v>
      </c>
      <c r="F314" s="1463">
        <f>ParkViewThuanAn5ha!F98</f>
        <v>0</v>
      </c>
      <c r="G314" s="1463">
        <f>ParkViewThuanAn5ha!G98</f>
        <v>0</v>
      </c>
      <c r="H314" s="1463">
        <f>ParkViewThuanAn5ha!H98</f>
        <v>0</v>
      </c>
      <c r="I314" s="1463">
        <f>ParkViewThuanAn5ha!I98</f>
        <v>0</v>
      </c>
      <c r="J314" s="1463">
        <f>ParkViewThuanAn5ha!J98</f>
        <v>0</v>
      </c>
      <c r="K314" s="1463">
        <f>ParkViewThuanAn5ha!K98</f>
        <v>0</v>
      </c>
      <c r="L314" s="1463">
        <f>ParkViewThuanAn5ha!L98</f>
        <v>0</v>
      </c>
      <c r="M314" s="1463">
        <f>ParkViewThuanAn5ha!M98</f>
        <v>0</v>
      </c>
      <c r="N314" s="1463">
        <f>ParkViewThuanAn5ha!N98</f>
        <v>0</v>
      </c>
      <c r="O314" s="1463">
        <f>ParkViewThuanAn5ha!O98</f>
        <v>0</v>
      </c>
      <c r="P314" s="1463">
        <f>ParkViewThuanAn5ha!P98</f>
        <v>0</v>
      </c>
      <c r="Q314" s="1463">
        <f>ParkViewThuanAn5ha!Q98</f>
        <v>0</v>
      </c>
      <c r="R314" s="1463">
        <f>ParkViewThuanAn5ha!R98</f>
        <v>1500</v>
      </c>
      <c r="S314" s="1463">
        <f>ParkViewThuanAn5ha!S98</f>
        <v>900</v>
      </c>
      <c r="T314" s="1463">
        <f>ParkViewThuanAn5ha!T98</f>
        <v>1500</v>
      </c>
      <c r="U314" s="1463">
        <f>ParkViewThuanAn5ha!U98</f>
        <v>1515</v>
      </c>
      <c r="V314" s="1463">
        <f>ParkViewThuanAn5ha!V98</f>
        <v>890.19166666666683</v>
      </c>
      <c r="W314" s="1463"/>
    </row>
    <row r="315" spans="1:23">
      <c r="A315" s="1431">
        <f t="shared" si="284"/>
        <v>9</v>
      </c>
      <c r="B315" s="1431" t="str">
        <f t="shared" si="283"/>
        <v>Lux Riverview - Lux Star Quận 7</v>
      </c>
      <c r="C315" s="1463">
        <f>'Lux Riverview Q7'!C98</f>
        <v>2251.2000000000003</v>
      </c>
      <c r="D315" s="1463">
        <f>'Lux Riverview Q7'!D98</f>
        <v>0</v>
      </c>
      <c r="E315" s="1463">
        <f>'Lux Riverview Q7'!E98</f>
        <v>0</v>
      </c>
      <c r="F315" s="1463">
        <f>'Lux Riverview Q7'!F98</f>
        <v>0</v>
      </c>
      <c r="G315" s="1463">
        <f>'Lux Riverview Q7'!G98</f>
        <v>0</v>
      </c>
      <c r="H315" s="1463">
        <f>'Lux Riverview Q7'!H98</f>
        <v>0</v>
      </c>
      <c r="I315" s="1463">
        <f>'Lux Riverview Q7'!I98</f>
        <v>0</v>
      </c>
      <c r="J315" s="1463">
        <f>'Lux Riverview Q7'!J98</f>
        <v>0</v>
      </c>
      <c r="K315" s="1463">
        <f>'Lux Riverview Q7'!K98</f>
        <v>0</v>
      </c>
      <c r="L315" s="1463">
        <f>'Lux Riverview Q7'!L98</f>
        <v>0</v>
      </c>
      <c r="M315" s="1463">
        <f>'Lux Riverview Q7'!M98</f>
        <v>0</v>
      </c>
      <c r="N315" s="1463">
        <f>'Lux Riverview Q7'!N98</f>
        <v>0</v>
      </c>
      <c r="O315" s="1463">
        <f>'Lux Riverview Q7'!O98</f>
        <v>0</v>
      </c>
      <c r="P315" s="1463">
        <f>'Lux Riverview Q7'!P98</f>
        <v>0</v>
      </c>
      <c r="Q315" s="1463">
        <f>'Lux Riverview Q7'!Q98</f>
        <v>0</v>
      </c>
      <c r="R315" s="1463">
        <f>'Lux Riverview Q7'!R98</f>
        <v>0</v>
      </c>
      <c r="S315" s="1463">
        <f>'Lux Riverview Q7'!S98</f>
        <v>341.04</v>
      </c>
      <c r="T315" s="1463">
        <f>'Lux Riverview Q7'!T98</f>
        <v>600</v>
      </c>
      <c r="U315" s="1463">
        <f>'Lux Riverview Q7'!U98</f>
        <v>600</v>
      </c>
      <c r="V315" s="1463">
        <f>'Lux Riverview Q7'!V98</f>
        <v>355.0800000000001</v>
      </c>
      <c r="W315" s="1463"/>
    </row>
    <row r="316" spans="1:23">
      <c r="A316" s="1431">
        <f t="shared" si="284"/>
        <v>10</v>
      </c>
      <c r="B316" s="1431" t="str">
        <f t="shared" si="283"/>
        <v>Gem Premium Thu Duc (Opal Premium)</v>
      </c>
      <c r="C316" s="1463">
        <f>'Gem Premium'!C98</f>
        <v>32022.9133</v>
      </c>
      <c r="D316" s="1463">
        <f>'Gem Premium'!D98</f>
        <v>0</v>
      </c>
      <c r="E316" s="1463">
        <f>'Gem Premium'!E98</f>
        <v>0</v>
      </c>
      <c r="F316" s="1463">
        <f>'Gem Premium'!F98</f>
        <v>0</v>
      </c>
      <c r="G316" s="1463">
        <f>'Gem Premium'!G98</f>
        <v>0</v>
      </c>
      <c r="H316" s="1463">
        <f>'Gem Premium'!H98</f>
        <v>0</v>
      </c>
      <c r="I316" s="1463">
        <f>'Gem Premium'!I98</f>
        <v>420</v>
      </c>
      <c r="J316" s="1463">
        <f>'Gem Premium'!J98</f>
        <v>420</v>
      </c>
      <c r="K316" s="1463">
        <f>'Gem Premium'!K98</f>
        <v>0</v>
      </c>
      <c r="L316" s="1463">
        <f>'Gem Premium'!L98</f>
        <v>0</v>
      </c>
      <c r="M316" s="1463">
        <f>'Gem Premium'!M98</f>
        <v>0</v>
      </c>
      <c r="N316" s="1463">
        <f>'Gem Premium'!N98</f>
        <v>0</v>
      </c>
      <c r="O316" s="1463">
        <f>'Gem Premium'!O98</f>
        <v>0</v>
      </c>
      <c r="P316" s="1463">
        <f>'Gem Premium'!P98</f>
        <v>0</v>
      </c>
      <c r="Q316" s="1463">
        <f>'Gem Premium'!Q98</f>
        <v>0</v>
      </c>
      <c r="R316" s="1463">
        <f>'Gem Premium'!R98</f>
        <v>3360</v>
      </c>
      <c r="S316" s="1463">
        <f>'Gem Premium'!S98</f>
        <v>4200</v>
      </c>
      <c r="T316" s="1463">
        <f>'Gem Premium'!T98</f>
        <v>3237.5</v>
      </c>
      <c r="U316" s="1463">
        <f>'Gem Premium'!U98</f>
        <v>6574.58266</v>
      </c>
      <c r="V316" s="1463">
        <f>'Gem Premium'!V98</f>
        <v>9498.9566500000001</v>
      </c>
      <c r="W316" s="1463"/>
    </row>
    <row r="317" spans="1:23">
      <c r="A317" s="1431">
        <f t="shared" si="284"/>
        <v>11</v>
      </c>
      <c r="B317" s="1431" t="str">
        <f t="shared" si="283"/>
        <v>Gem City Q9 (Opal City old)</v>
      </c>
      <c r="C317" s="1463">
        <f>'Opal City'!C98</f>
        <v>7261.1085651750209</v>
      </c>
      <c r="D317" s="1463">
        <f>'Opal City'!D98</f>
        <v>0</v>
      </c>
      <c r="E317" s="1463">
        <f>'Opal City'!E98</f>
        <v>0</v>
      </c>
      <c r="F317" s="1463">
        <f>'Opal City'!F98</f>
        <v>0</v>
      </c>
      <c r="G317" s="1463">
        <f>'Opal City'!G98</f>
        <v>0</v>
      </c>
      <c r="H317" s="1463">
        <f>'Opal City'!H98</f>
        <v>0</v>
      </c>
      <c r="I317" s="1463">
        <f>'Opal City'!I98</f>
        <v>0</v>
      </c>
      <c r="J317" s="1463">
        <f>'Opal City'!J98</f>
        <v>0</v>
      </c>
      <c r="K317" s="1463">
        <f>'Opal City'!K98</f>
        <v>0</v>
      </c>
      <c r="L317" s="1463">
        <f>'Opal City'!L98</f>
        <v>0</v>
      </c>
      <c r="M317" s="1463">
        <f>'Opal City'!M98</f>
        <v>0</v>
      </c>
      <c r="N317" s="1463">
        <f>'Opal City'!N98</f>
        <v>0</v>
      </c>
      <c r="O317" s="1463">
        <f>'Opal City'!O98</f>
        <v>0</v>
      </c>
      <c r="P317" s="1463">
        <f>'Opal City'!P98</f>
        <v>0</v>
      </c>
      <c r="Q317" s="1463">
        <f>'Opal City'!Q98</f>
        <v>0</v>
      </c>
      <c r="R317" s="1463">
        <f>'Opal City'!R98</f>
        <v>1230.42</v>
      </c>
      <c r="S317" s="1463">
        <f>'Opal City'!S98</f>
        <v>1008</v>
      </c>
      <c r="T317" s="1463">
        <f>'Opal City'!T98</f>
        <v>1344</v>
      </c>
      <c r="U317" s="1463">
        <f>'Opal City'!U98</f>
        <v>2343.3442825875104</v>
      </c>
      <c r="V317" s="1463">
        <f>'Opal City'!V98</f>
        <v>1335.3442825875106</v>
      </c>
      <c r="W317" s="1463"/>
    </row>
    <row r="318" spans="1:23">
      <c r="A318" s="1431">
        <f t="shared" si="284"/>
        <v>12</v>
      </c>
      <c r="B318" s="1431" t="str">
        <f t="shared" si="283"/>
        <v>Park City Thuận An 10ha</v>
      </c>
      <c r="C318" s="1463">
        <f>ParkCityThuanAn10ha!C98</f>
        <v>5913.6875</v>
      </c>
      <c r="D318" s="1463">
        <f>ParkCityThuanAn10ha!D98</f>
        <v>0</v>
      </c>
      <c r="E318" s="1463">
        <f>ParkCityThuanAn10ha!E98</f>
        <v>0</v>
      </c>
      <c r="F318" s="1463">
        <f>ParkCityThuanAn10ha!F98</f>
        <v>0</v>
      </c>
      <c r="G318" s="1463">
        <f>ParkCityThuanAn10ha!G98</f>
        <v>0</v>
      </c>
      <c r="H318" s="1463">
        <f>ParkCityThuanAn10ha!H98</f>
        <v>0</v>
      </c>
      <c r="I318" s="1463">
        <f>ParkCityThuanAn10ha!I98</f>
        <v>0</v>
      </c>
      <c r="J318" s="1463">
        <f>ParkCityThuanAn10ha!J98</f>
        <v>0</v>
      </c>
      <c r="K318" s="1463">
        <f>ParkCityThuanAn10ha!K98</f>
        <v>0</v>
      </c>
      <c r="L318" s="1463">
        <f>ParkCityThuanAn10ha!L98</f>
        <v>0</v>
      </c>
      <c r="M318" s="1463">
        <f>ParkCityThuanAn10ha!M98</f>
        <v>0</v>
      </c>
      <c r="N318" s="1463">
        <f>ParkCityThuanAn10ha!N98</f>
        <v>0</v>
      </c>
      <c r="O318" s="1463">
        <f>ParkCityThuanAn10ha!O98</f>
        <v>0</v>
      </c>
      <c r="P318" s="1463">
        <f>ParkCityThuanAn10ha!P98</f>
        <v>0</v>
      </c>
      <c r="Q318" s="1463">
        <f>ParkCityThuanAn10ha!Q98</f>
        <v>0</v>
      </c>
      <c r="R318" s="1463">
        <f>ParkCityThuanAn10ha!R98</f>
        <v>0</v>
      </c>
      <c r="S318" s="1463">
        <f>ParkCityThuanAn10ha!S98</f>
        <v>1200</v>
      </c>
      <c r="T318" s="1463">
        <f>ParkCityThuanAn10ha!T98</f>
        <v>900</v>
      </c>
      <c r="U318" s="1463">
        <f>ParkCityThuanAn10ha!U98</f>
        <v>1414.10625</v>
      </c>
      <c r="V318" s="1463">
        <f>ParkCityThuanAn10ha!V98</f>
        <v>1114.10625</v>
      </c>
      <c r="W318" s="1463"/>
    </row>
    <row r="319" spans="1:23">
      <c r="A319" s="1431">
        <f t="shared" si="284"/>
        <v>13</v>
      </c>
      <c r="B319" s="1431" t="str">
        <f t="shared" si="283"/>
        <v>Opal Skyline</v>
      </c>
      <c r="C319" s="1463">
        <f>'Opal Skyline'!C99</f>
        <v>1522.6100000000001</v>
      </c>
      <c r="D319" s="1463">
        <f>'Opal Skyline'!D99</f>
        <v>0</v>
      </c>
      <c r="E319" s="1463">
        <f>'Opal Skyline'!E99</f>
        <v>0</v>
      </c>
      <c r="F319" s="1463">
        <f>'Opal Skyline'!F99</f>
        <v>0</v>
      </c>
      <c r="G319" s="1463">
        <f>'Opal Skyline'!G99</f>
        <v>0</v>
      </c>
      <c r="H319" s="1463">
        <f>'Opal Skyline'!H99</f>
        <v>0</v>
      </c>
      <c r="I319" s="1463">
        <f>'Opal Skyline'!I99</f>
        <v>0</v>
      </c>
      <c r="J319" s="1463">
        <f>'Opal Skyline'!J99</f>
        <v>151.25</v>
      </c>
      <c r="K319" s="1463">
        <f>'Opal Skyline'!K99</f>
        <v>396.75</v>
      </c>
      <c r="L319" s="1463">
        <f>'Opal Skyline'!L99</f>
        <v>364</v>
      </c>
      <c r="M319" s="1463">
        <f>'Opal Skyline'!M99</f>
        <v>273</v>
      </c>
      <c r="N319" s="1463">
        <f>'Opal Skyline'!N99</f>
        <v>276.344424</v>
      </c>
      <c r="O319" s="1463">
        <f>'Opal Skyline'!O99</f>
        <v>184.22961600000002</v>
      </c>
      <c r="P319" s="1463">
        <f>'Opal Skyline'!P99</f>
        <v>0</v>
      </c>
      <c r="Q319" s="1463">
        <f>'Opal Skyline'!Q99</f>
        <v>0</v>
      </c>
      <c r="R319" s="1463">
        <f>'Opal Skyline'!R99</f>
        <v>0</v>
      </c>
      <c r="S319" s="1463">
        <f>'Opal Skyline'!S99</f>
        <v>0</v>
      </c>
      <c r="T319" s="1463">
        <f>'Opal Skyline'!T99</f>
        <v>0</v>
      </c>
      <c r="U319" s="1463">
        <f>'Opal Skyline'!U99</f>
        <v>0</v>
      </c>
      <c r="V319" s="1463">
        <f>'Opal Skyline'!V99</f>
        <v>0</v>
      </c>
      <c r="W319" s="1463"/>
    </row>
    <row r="320" spans="1:23">
      <c r="A320" s="1431">
        <f t="shared" si="284"/>
        <v>14</v>
      </c>
      <c r="B320" s="1431" t="str">
        <f t="shared" si="283"/>
        <v>Prive</v>
      </c>
      <c r="C320" s="1463">
        <f>Prive!C98</f>
        <v>18387.840181899999</v>
      </c>
      <c r="D320" s="1463">
        <f>Prive!D98</f>
        <v>0</v>
      </c>
      <c r="E320" s="1463">
        <f>Prive!E98</f>
        <v>0</v>
      </c>
      <c r="F320" s="1463">
        <f>Prive!F98</f>
        <v>0</v>
      </c>
      <c r="G320" s="1463">
        <f>Prive!G98</f>
        <v>0</v>
      </c>
      <c r="H320" s="1463">
        <f>Prive!H98</f>
        <v>3093.4560000000001</v>
      </c>
      <c r="I320" s="1463">
        <f>Prive!I98</f>
        <v>0</v>
      </c>
      <c r="J320" s="1463">
        <f>Prive!J98</f>
        <v>0</v>
      </c>
      <c r="K320" s="1463">
        <f>Prive!K98</f>
        <v>0</v>
      </c>
      <c r="L320" s="1463">
        <f>Prive!L98</f>
        <v>0</v>
      </c>
      <c r="M320" s="1463">
        <f>Prive!M98</f>
        <v>0</v>
      </c>
      <c r="N320" s="1463">
        <f>Prive!N98</f>
        <v>756.21099999999956</v>
      </c>
      <c r="O320" s="1463">
        <f>Prive!O98</f>
        <v>0</v>
      </c>
      <c r="P320" s="1463">
        <f>Prive!P98</f>
        <v>1800</v>
      </c>
      <c r="Q320" s="1463">
        <f>Prive!Q98</f>
        <v>2400</v>
      </c>
      <c r="R320" s="1463">
        <f>Prive!R98</f>
        <v>4855.2692727599997</v>
      </c>
      <c r="S320" s="1463">
        <f>Prive!S98</f>
        <v>4569.0865909499989</v>
      </c>
      <c r="T320" s="1463">
        <f>Prive!T98</f>
        <v>913.81731818999992</v>
      </c>
      <c r="U320" s="1463">
        <f>Prive!U98</f>
        <v>0</v>
      </c>
      <c r="V320" s="1463">
        <f>Prive!V98</f>
        <v>0</v>
      </c>
      <c r="W320" s="1463"/>
    </row>
    <row r="321" spans="1:23">
      <c r="A321" s="1457"/>
      <c r="B321" s="1432" t="str">
        <f>B304</f>
        <v>Total</v>
      </c>
      <c r="C321" s="1408">
        <f t="shared" ref="C321:M321" si="285">SUM(C307:C320)</f>
        <v>92291.559971671581</v>
      </c>
      <c r="D321" s="1408">
        <f t="shared" si="285"/>
        <v>0</v>
      </c>
      <c r="E321" s="1408">
        <f t="shared" si="285"/>
        <v>0</v>
      </c>
      <c r="F321" s="1408">
        <f t="shared" si="285"/>
        <v>0</v>
      </c>
      <c r="G321" s="1408">
        <f t="shared" si="285"/>
        <v>200.38839999999999</v>
      </c>
      <c r="H321" s="1408">
        <f t="shared" si="285"/>
        <v>3881.27301299584</v>
      </c>
      <c r="I321" s="1408">
        <f t="shared" si="285"/>
        <v>646.81596365696009</v>
      </c>
      <c r="J321" s="1408">
        <f t="shared" si="285"/>
        <v>2392.57166168</v>
      </c>
      <c r="K321" s="1408">
        <f t="shared" si="285"/>
        <v>2183.6999999999998</v>
      </c>
      <c r="L321" s="1408">
        <f t="shared" si="285"/>
        <v>2031.2684878749999</v>
      </c>
      <c r="M321" s="1408">
        <f t="shared" si="285"/>
        <v>1999.1316927250002</v>
      </c>
      <c r="N321" s="1408">
        <f t="shared" ref="N321:V321" si="286">SUM(N307:N320)</f>
        <v>2426.1628191499995</v>
      </c>
      <c r="O321" s="1408">
        <f t="shared" si="286"/>
        <v>918.28331357499997</v>
      </c>
      <c r="P321" s="1408">
        <f t="shared" si="286"/>
        <v>4495.4849763245202</v>
      </c>
      <c r="Q321" s="1408">
        <f t="shared" si="286"/>
        <v>5871.3130667745481</v>
      </c>
      <c r="R321" s="1408">
        <f t="shared" si="286"/>
        <v>13061.545675933034</v>
      </c>
      <c r="S321" s="1408">
        <f t="shared" si="286"/>
        <v>12218.12659095</v>
      </c>
      <c r="T321" s="1408">
        <f t="shared" si="286"/>
        <v>8495.3173181900002</v>
      </c>
      <c r="U321" s="1408">
        <f t="shared" si="286"/>
        <v>12447.033192587511</v>
      </c>
      <c r="V321" s="1408">
        <f t="shared" si="286"/>
        <v>13193.678849254178</v>
      </c>
      <c r="W321" s="1410"/>
    </row>
    <row r="323" spans="1:23">
      <c r="B323" s="1407" t="s">
        <v>855</v>
      </c>
      <c r="C323" s="1455" t="s">
        <v>642</v>
      </c>
      <c r="D323" s="1431">
        <v>2013</v>
      </c>
      <c r="E323" s="1431">
        <v>2014</v>
      </c>
      <c r="F323" s="1431">
        <v>2015</v>
      </c>
      <c r="G323" s="1431">
        <v>2016</v>
      </c>
      <c r="H323" s="1431">
        <v>2017</v>
      </c>
      <c r="I323" s="1431">
        <v>2018</v>
      </c>
      <c r="J323" s="1431">
        <v>2019</v>
      </c>
      <c r="K323" s="1431">
        <v>2020</v>
      </c>
      <c r="L323" s="1431">
        <v>2021</v>
      </c>
      <c r="M323" s="1431">
        <v>2022</v>
      </c>
      <c r="N323" s="1431">
        <v>2022</v>
      </c>
      <c r="O323" s="1431">
        <v>2022</v>
      </c>
      <c r="P323" s="1431">
        <v>2022</v>
      </c>
      <c r="Q323" s="1431">
        <v>2022</v>
      </c>
      <c r="R323" s="1431">
        <v>2022</v>
      </c>
      <c r="S323" s="1431">
        <v>2022</v>
      </c>
      <c r="T323" s="1431">
        <v>2022</v>
      </c>
      <c r="U323" s="1431">
        <v>2022</v>
      </c>
      <c r="V323" s="1431">
        <v>2022</v>
      </c>
    </row>
    <row r="324" spans="1:23">
      <c r="A324" s="1431">
        <v>1</v>
      </c>
      <c r="B324" s="1432" t="str">
        <f t="shared" ref="B324:B337" si="287">B307</f>
        <v>Opal Central Park - Thuận An 1.0ha</v>
      </c>
      <c r="C324" s="1408">
        <f t="shared" ref="C324:M324" si="288">C290-C307</f>
        <v>0</v>
      </c>
      <c r="D324" s="1408">
        <f t="shared" si="288"/>
        <v>0</v>
      </c>
      <c r="E324" s="1408">
        <f t="shared" si="288"/>
        <v>0</v>
      </c>
      <c r="F324" s="1408">
        <f t="shared" si="288"/>
        <v>0</v>
      </c>
      <c r="G324" s="1408">
        <f t="shared" si="288"/>
        <v>0</v>
      </c>
      <c r="H324" s="1408">
        <f t="shared" si="288"/>
        <v>0</v>
      </c>
      <c r="I324" s="1408">
        <f t="shared" si="288"/>
        <v>0</v>
      </c>
      <c r="J324" s="1408">
        <f t="shared" si="288"/>
        <v>0</v>
      </c>
      <c r="K324" s="1408">
        <f t="shared" si="288"/>
        <v>0</v>
      </c>
      <c r="L324" s="1408">
        <f t="shared" si="288"/>
        <v>0</v>
      </c>
      <c r="M324" s="1408">
        <f t="shared" si="288"/>
        <v>0</v>
      </c>
      <c r="N324" s="1408">
        <f t="shared" ref="N324:V324" si="289">N290-N307</f>
        <v>0</v>
      </c>
      <c r="O324" s="1408">
        <f t="shared" si="289"/>
        <v>0</v>
      </c>
      <c r="P324" s="1408">
        <f t="shared" si="289"/>
        <v>0</v>
      </c>
      <c r="Q324" s="1408">
        <f t="shared" si="289"/>
        <v>0</v>
      </c>
      <c r="R324" s="1408">
        <f t="shared" si="289"/>
        <v>0</v>
      </c>
      <c r="S324" s="1408">
        <f t="shared" si="289"/>
        <v>0</v>
      </c>
      <c r="T324" s="1408">
        <f t="shared" si="289"/>
        <v>0</v>
      </c>
      <c r="U324" s="1408">
        <f t="shared" si="289"/>
        <v>0</v>
      </c>
      <c r="V324" s="1408">
        <f t="shared" si="289"/>
        <v>0</v>
      </c>
      <c r="W324" s="1410"/>
    </row>
    <row r="325" spans="1:23">
      <c r="A325" s="1431">
        <f>A324+1</f>
        <v>2</v>
      </c>
      <c r="B325" s="1431" t="str">
        <f t="shared" si="287"/>
        <v>St Moritz - Opal Skyview</v>
      </c>
      <c r="C325" s="1410">
        <f t="shared" ref="C325:M325" si="290">C291-C308</f>
        <v>179.27940000000001</v>
      </c>
      <c r="D325" s="1410">
        <f t="shared" si="290"/>
        <v>0</v>
      </c>
      <c r="E325" s="1410">
        <f t="shared" si="290"/>
        <v>0</v>
      </c>
      <c r="F325" s="1410">
        <f t="shared" si="290"/>
        <v>0</v>
      </c>
      <c r="G325" s="1410">
        <f t="shared" si="290"/>
        <v>0</v>
      </c>
      <c r="H325" s="1410">
        <f t="shared" si="290"/>
        <v>-96</v>
      </c>
      <c r="I325" s="1410">
        <f t="shared" si="290"/>
        <v>0</v>
      </c>
      <c r="J325" s="1410">
        <f t="shared" si="290"/>
        <v>-24</v>
      </c>
      <c r="K325" s="1410">
        <f t="shared" si="290"/>
        <v>191.25</v>
      </c>
      <c r="L325" s="1410">
        <f t="shared" si="290"/>
        <v>191.25</v>
      </c>
      <c r="M325" s="1410">
        <f t="shared" si="290"/>
        <v>-83.220600000000005</v>
      </c>
      <c r="N325" s="1410">
        <f t="shared" ref="N325:V325" si="291">N291-N308</f>
        <v>0</v>
      </c>
      <c r="O325" s="1410">
        <f t="shared" si="291"/>
        <v>0</v>
      </c>
      <c r="P325" s="1410">
        <f t="shared" si="291"/>
        <v>0</v>
      </c>
      <c r="Q325" s="1410">
        <f t="shared" si="291"/>
        <v>0</v>
      </c>
      <c r="R325" s="1410">
        <f t="shared" si="291"/>
        <v>0</v>
      </c>
      <c r="S325" s="1410">
        <f t="shared" si="291"/>
        <v>0</v>
      </c>
      <c r="T325" s="1410">
        <f t="shared" si="291"/>
        <v>0</v>
      </c>
      <c r="U325" s="1410">
        <f t="shared" si="291"/>
        <v>0</v>
      </c>
      <c r="V325" s="1410">
        <f t="shared" si="291"/>
        <v>0</v>
      </c>
      <c r="W325" s="1410"/>
    </row>
    <row r="326" spans="1:23">
      <c r="A326" s="1431">
        <f t="shared" ref="A326:A337" si="292">A325+1</f>
        <v>3</v>
      </c>
      <c r="B326" s="1431" t="str">
        <f t="shared" si="287"/>
        <v>Opal Riverside</v>
      </c>
      <c r="C326" s="1410">
        <f t="shared" ref="C326:M326" si="293">C292-C309</f>
        <v>310.25630334720017</v>
      </c>
      <c r="D326" s="1410">
        <f t="shared" si="293"/>
        <v>0</v>
      </c>
      <c r="E326" s="1410">
        <f t="shared" si="293"/>
        <v>0</v>
      </c>
      <c r="F326" s="1410">
        <f t="shared" si="293"/>
        <v>0</v>
      </c>
      <c r="G326" s="1410">
        <f t="shared" si="293"/>
        <v>71.457136000000048</v>
      </c>
      <c r="H326" s="1410">
        <f t="shared" si="293"/>
        <v>375.55213100416023</v>
      </c>
      <c r="I326" s="1410">
        <f t="shared" si="293"/>
        <v>-136.75296365696005</v>
      </c>
      <c r="J326" s="1410">
        <f t="shared" si="293"/>
        <v>0</v>
      </c>
      <c r="K326" s="1410">
        <f t="shared" si="293"/>
        <v>0</v>
      </c>
      <c r="L326" s="1410">
        <f t="shared" si="293"/>
        <v>0</v>
      </c>
      <c r="M326" s="1410">
        <f t="shared" si="293"/>
        <v>0</v>
      </c>
      <c r="N326" s="1410">
        <f t="shared" ref="N326:V326" si="294">N292-N309</f>
        <v>0</v>
      </c>
      <c r="O326" s="1410">
        <f t="shared" si="294"/>
        <v>0</v>
      </c>
      <c r="P326" s="1410">
        <f t="shared" si="294"/>
        <v>0</v>
      </c>
      <c r="Q326" s="1410">
        <f t="shared" si="294"/>
        <v>0</v>
      </c>
      <c r="R326" s="1410">
        <f t="shared" si="294"/>
        <v>0</v>
      </c>
      <c r="S326" s="1410">
        <f t="shared" si="294"/>
        <v>0</v>
      </c>
      <c r="T326" s="1410">
        <f t="shared" si="294"/>
        <v>0</v>
      </c>
      <c r="U326" s="1410">
        <f t="shared" si="294"/>
        <v>0</v>
      </c>
      <c r="V326" s="1410">
        <f t="shared" si="294"/>
        <v>0</v>
      </c>
      <c r="W326" s="1410"/>
    </row>
    <row r="327" spans="1:23">
      <c r="A327" s="1431">
        <f t="shared" si="292"/>
        <v>4</v>
      </c>
      <c r="B327" s="1431" t="str">
        <f t="shared" si="287"/>
        <v>Opal Garden</v>
      </c>
      <c r="C327" s="1410">
        <f t="shared" ref="C327:M327" si="295">C293-C310</f>
        <v>205.21133831999998</v>
      </c>
      <c r="D327" s="1410">
        <f t="shared" si="295"/>
        <v>0</v>
      </c>
      <c r="E327" s="1410">
        <f t="shared" si="295"/>
        <v>0</v>
      </c>
      <c r="F327" s="1410">
        <f t="shared" si="295"/>
        <v>0</v>
      </c>
      <c r="G327" s="1410">
        <f t="shared" si="295"/>
        <v>11.508299999999998</v>
      </c>
      <c r="H327" s="1410">
        <f t="shared" si="295"/>
        <v>204.14279999999999</v>
      </c>
      <c r="I327" s="1410">
        <f t="shared" si="295"/>
        <v>117.08190000000002</v>
      </c>
      <c r="J327" s="1410">
        <f t="shared" si="295"/>
        <v>-127.52166167999999</v>
      </c>
      <c r="K327" s="1410">
        <f t="shared" si="295"/>
        <v>0</v>
      </c>
      <c r="L327" s="1410">
        <f t="shared" si="295"/>
        <v>0</v>
      </c>
      <c r="M327" s="1410">
        <f t="shared" si="295"/>
        <v>0</v>
      </c>
      <c r="N327" s="1410">
        <f t="shared" ref="N327:V327" si="296">N293-N310</f>
        <v>0</v>
      </c>
      <c r="O327" s="1410">
        <f t="shared" si="296"/>
        <v>0</v>
      </c>
      <c r="P327" s="1410">
        <f t="shared" si="296"/>
        <v>0</v>
      </c>
      <c r="Q327" s="1410">
        <f t="shared" si="296"/>
        <v>0</v>
      </c>
      <c r="R327" s="1410">
        <f t="shared" si="296"/>
        <v>0</v>
      </c>
      <c r="S327" s="1410">
        <f t="shared" si="296"/>
        <v>0</v>
      </c>
      <c r="T327" s="1410">
        <f t="shared" si="296"/>
        <v>0</v>
      </c>
      <c r="U327" s="1410">
        <f t="shared" si="296"/>
        <v>0</v>
      </c>
      <c r="V327" s="1410">
        <f t="shared" si="296"/>
        <v>0</v>
      </c>
      <c r="W327" s="1410"/>
    </row>
    <row r="328" spans="1:23">
      <c r="A328" s="1431">
        <f t="shared" si="292"/>
        <v>5</v>
      </c>
      <c r="B328" s="1431" t="str">
        <f t="shared" si="287"/>
        <v>Gem Sky World Long Thanh</v>
      </c>
      <c r="C328" s="1410">
        <f t="shared" ref="C328:M328" si="297">C294-C311</f>
        <v>4794.7210485000014</v>
      </c>
      <c r="D328" s="1410">
        <f t="shared" si="297"/>
        <v>0</v>
      </c>
      <c r="E328" s="1410">
        <f t="shared" si="297"/>
        <v>0</v>
      </c>
      <c r="F328" s="1410">
        <f t="shared" si="297"/>
        <v>0</v>
      </c>
      <c r="G328" s="1410">
        <f t="shared" si="297"/>
        <v>0</v>
      </c>
      <c r="H328" s="1410">
        <f t="shared" si="297"/>
        <v>0</v>
      </c>
      <c r="I328" s="1410">
        <f t="shared" si="297"/>
        <v>0</v>
      </c>
      <c r="J328" s="1410">
        <f t="shared" si="297"/>
        <v>-1669.8000000000002</v>
      </c>
      <c r="K328" s="1410">
        <f t="shared" si="297"/>
        <v>-1403.6324999999999</v>
      </c>
      <c r="L328" s="1410">
        <f t="shared" si="297"/>
        <v>-373.94598787499967</v>
      </c>
      <c r="M328" s="1410">
        <f t="shared" si="297"/>
        <v>1253.6814072750001</v>
      </c>
      <c r="N328" s="1410">
        <f t="shared" ref="N328:V328" si="298">N294-N311</f>
        <v>1526.9326048499997</v>
      </c>
      <c r="O328" s="1410">
        <f t="shared" si="298"/>
        <v>695.11130242499996</v>
      </c>
      <c r="P328" s="1410">
        <f t="shared" si="298"/>
        <v>-913.51479030000019</v>
      </c>
      <c r="Q328" s="1410">
        <f t="shared" si="298"/>
        <v>657.70301212500021</v>
      </c>
      <c r="R328" s="1410">
        <f t="shared" si="298"/>
        <v>2943.5430000000001</v>
      </c>
      <c r="S328" s="1410">
        <f t="shared" si="298"/>
        <v>2078.643</v>
      </c>
      <c r="T328" s="1410">
        <f t="shared" si="298"/>
        <v>0</v>
      </c>
      <c r="U328" s="1410">
        <f t="shared" si="298"/>
        <v>0</v>
      </c>
      <c r="V328" s="1410">
        <f t="shared" si="298"/>
        <v>0</v>
      </c>
      <c r="W328" s="1410"/>
    </row>
    <row r="329" spans="1:23">
      <c r="A329" s="1431">
        <f t="shared" si="292"/>
        <v>6</v>
      </c>
      <c r="B329" s="1431" t="str">
        <f t="shared" si="287"/>
        <v>Opal Luxury 8.6ha Binh Duong</v>
      </c>
      <c r="C329" s="1410">
        <f t="shared" ref="C329:M329" si="299">C295-C312</f>
        <v>3733.6493989784003</v>
      </c>
      <c r="D329" s="1410">
        <f t="shared" si="299"/>
        <v>0</v>
      </c>
      <c r="E329" s="1410">
        <f t="shared" si="299"/>
        <v>0</v>
      </c>
      <c r="F329" s="1410">
        <f t="shared" si="299"/>
        <v>0</v>
      </c>
      <c r="G329" s="1410">
        <f t="shared" si="299"/>
        <v>0</v>
      </c>
      <c r="H329" s="1410">
        <f t="shared" si="299"/>
        <v>0</v>
      </c>
      <c r="I329" s="1410">
        <f t="shared" si="299"/>
        <v>0</v>
      </c>
      <c r="J329" s="1410">
        <f t="shared" si="299"/>
        <v>0</v>
      </c>
      <c r="K329" s="1410">
        <f t="shared" si="299"/>
        <v>0</v>
      </c>
      <c r="L329" s="1410">
        <f t="shared" si="299"/>
        <v>0</v>
      </c>
      <c r="M329" s="1410">
        <f t="shared" si="299"/>
        <v>-430</v>
      </c>
      <c r="N329" s="1410">
        <f t="shared" ref="N329:V329" si="300">N295-N312</f>
        <v>-430</v>
      </c>
      <c r="O329" s="1410">
        <f t="shared" si="300"/>
        <v>-136</v>
      </c>
      <c r="P329" s="1410">
        <f t="shared" si="300"/>
        <v>-585.49370602451995</v>
      </c>
      <c r="Q329" s="1410">
        <f t="shared" si="300"/>
        <v>1306.2266465153521</v>
      </c>
      <c r="R329" s="1410">
        <f t="shared" si="300"/>
        <v>1812.8780922795681</v>
      </c>
      <c r="S329" s="1410">
        <f t="shared" si="300"/>
        <v>2196.0383662080003</v>
      </c>
      <c r="T329" s="1410">
        <f t="shared" si="300"/>
        <v>0</v>
      </c>
      <c r="U329" s="1410">
        <f t="shared" si="300"/>
        <v>0</v>
      </c>
      <c r="V329" s="1410">
        <f t="shared" si="300"/>
        <v>0</v>
      </c>
      <c r="W329" s="1410"/>
    </row>
    <row r="330" spans="1:23">
      <c r="A330" s="1431">
        <f t="shared" si="292"/>
        <v>7</v>
      </c>
      <c r="B330" s="1431" t="str">
        <f t="shared" si="287"/>
        <v>Opal Cityview</v>
      </c>
      <c r="C330" s="1410">
        <f t="shared" ref="C330:M330" si="301">C296-C313</f>
        <v>1083.1688930685004</v>
      </c>
      <c r="D330" s="1410">
        <f t="shared" si="301"/>
        <v>0</v>
      </c>
      <c r="E330" s="1410">
        <f t="shared" si="301"/>
        <v>0</v>
      </c>
      <c r="F330" s="1410">
        <f t="shared" si="301"/>
        <v>0</v>
      </c>
      <c r="G330" s="1410">
        <f t="shared" si="301"/>
        <v>0</v>
      </c>
      <c r="H330" s="1410">
        <f t="shared" si="301"/>
        <v>0</v>
      </c>
      <c r="I330" s="1410">
        <f t="shared" si="301"/>
        <v>0</v>
      </c>
      <c r="J330" s="1410">
        <f t="shared" si="301"/>
        <v>0</v>
      </c>
      <c r="K330" s="1410">
        <f t="shared" si="301"/>
        <v>0</v>
      </c>
      <c r="L330" s="1410">
        <f t="shared" si="301"/>
        <v>0</v>
      </c>
      <c r="M330" s="1410">
        <f t="shared" si="301"/>
        <v>0</v>
      </c>
      <c r="N330" s="1410">
        <f t="shared" ref="N330:V330" si="302">N296-N313</f>
        <v>0</v>
      </c>
      <c r="O330" s="1410">
        <f t="shared" si="302"/>
        <v>0</v>
      </c>
      <c r="P330" s="1410">
        <f t="shared" si="302"/>
        <v>667.12175000000013</v>
      </c>
      <c r="Q330" s="1410">
        <f t="shared" si="302"/>
        <v>548.45115918510032</v>
      </c>
      <c r="R330" s="1410">
        <f t="shared" si="302"/>
        <v>-132.40401611659991</v>
      </c>
      <c r="S330" s="1410">
        <f t="shared" si="302"/>
        <v>0</v>
      </c>
      <c r="T330" s="1410">
        <f t="shared" si="302"/>
        <v>0</v>
      </c>
      <c r="U330" s="1410">
        <f t="shared" si="302"/>
        <v>0</v>
      </c>
      <c r="V330" s="1410">
        <f t="shared" si="302"/>
        <v>0</v>
      </c>
      <c r="W330" s="1410"/>
    </row>
    <row r="331" spans="1:23">
      <c r="A331" s="1431">
        <f t="shared" si="292"/>
        <v>8</v>
      </c>
      <c r="B331" s="1431" t="str">
        <f t="shared" si="287"/>
        <v>Park View Thuận An 5ha</v>
      </c>
      <c r="C331" s="1410">
        <f t="shared" ref="C331:M331" si="303">C297-C314</f>
        <v>2444.8083333333334</v>
      </c>
      <c r="D331" s="1410">
        <f t="shared" si="303"/>
        <v>0</v>
      </c>
      <c r="E331" s="1410">
        <f t="shared" si="303"/>
        <v>0</v>
      </c>
      <c r="F331" s="1410">
        <f t="shared" si="303"/>
        <v>0</v>
      </c>
      <c r="G331" s="1410">
        <f t="shared" si="303"/>
        <v>0</v>
      </c>
      <c r="H331" s="1410">
        <f t="shared" si="303"/>
        <v>0</v>
      </c>
      <c r="I331" s="1410">
        <f t="shared" si="303"/>
        <v>0</v>
      </c>
      <c r="J331" s="1410">
        <f t="shared" si="303"/>
        <v>0</v>
      </c>
      <c r="K331" s="1410">
        <f t="shared" si="303"/>
        <v>0</v>
      </c>
      <c r="L331" s="1410">
        <f t="shared" si="303"/>
        <v>0</v>
      </c>
      <c r="M331" s="1410">
        <f t="shared" si="303"/>
        <v>0</v>
      </c>
      <c r="N331" s="1410">
        <f t="shared" ref="N331:V331" si="304">N297-N314</f>
        <v>0</v>
      </c>
      <c r="O331" s="1410">
        <f t="shared" si="304"/>
        <v>0</v>
      </c>
      <c r="P331" s="1410">
        <f t="shared" si="304"/>
        <v>0</v>
      </c>
      <c r="Q331" s="1410">
        <f t="shared" si="304"/>
        <v>0</v>
      </c>
      <c r="R331" s="1410">
        <f t="shared" si="304"/>
        <v>-1500</v>
      </c>
      <c r="S331" s="1410">
        <f t="shared" si="304"/>
        <v>412.5</v>
      </c>
      <c r="T331" s="1410">
        <f t="shared" si="304"/>
        <v>2000</v>
      </c>
      <c r="U331" s="1410">
        <f t="shared" si="304"/>
        <v>1547.5</v>
      </c>
      <c r="V331" s="1410">
        <f t="shared" si="304"/>
        <v>-15.191666666666833</v>
      </c>
      <c r="W331" s="1410"/>
    </row>
    <row r="332" spans="1:23">
      <c r="A332" s="1431">
        <f t="shared" si="292"/>
        <v>9</v>
      </c>
      <c r="B332" s="1431" t="str">
        <f t="shared" si="287"/>
        <v>Lux Riverview - Lux Star Quận 7</v>
      </c>
      <c r="C332" s="1410">
        <f t="shared" ref="C332:M332" si="305">C298-C315</f>
        <v>-2251.2000000000003</v>
      </c>
      <c r="D332" s="1410">
        <f t="shared" si="305"/>
        <v>0</v>
      </c>
      <c r="E332" s="1410">
        <f t="shared" si="305"/>
        <v>0</v>
      </c>
      <c r="F332" s="1410">
        <f t="shared" si="305"/>
        <v>0</v>
      </c>
      <c r="G332" s="1410">
        <f t="shared" si="305"/>
        <v>0</v>
      </c>
      <c r="H332" s="1410">
        <f t="shared" si="305"/>
        <v>0</v>
      </c>
      <c r="I332" s="1410">
        <f t="shared" si="305"/>
        <v>0</v>
      </c>
      <c r="J332" s="1410">
        <f t="shared" si="305"/>
        <v>0</v>
      </c>
      <c r="K332" s="1410">
        <f t="shared" si="305"/>
        <v>0</v>
      </c>
      <c r="L332" s="1410">
        <f t="shared" si="305"/>
        <v>0</v>
      </c>
      <c r="M332" s="1410">
        <f t="shared" si="305"/>
        <v>0</v>
      </c>
      <c r="N332" s="1410">
        <f t="shared" ref="N332:V332" si="306">N298-N315</f>
        <v>0</v>
      </c>
      <c r="O332" s="1410">
        <f t="shared" si="306"/>
        <v>0</v>
      </c>
      <c r="P332" s="1410">
        <f t="shared" si="306"/>
        <v>0</v>
      </c>
      <c r="Q332" s="1410">
        <f t="shared" si="306"/>
        <v>0</v>
      </c>
      <c r="R332" s="1410">
        <f t="shared" si="306"/>
        <v>0</v>
      </c>
      <c r="S332" s="1410">
        <f t="shared" si="306"/>
        <v>-341.04</v>
      </c>
      <c r="T332" s="1410">
        <f t="shared" si="306"/>
        <v>1032.0000000000002</v>
      </c>
      <c r="U332" s="1410">
        <f t="shared" si="306"/>
        <v>1032.0000000000002</v>
      </c>
      <c r="V332" s="1410">
        <f t="shared" si="306"/>
        <v>-355.0800000000001</v>
      </c>
      <c r="W332" s="1410"/>
    </row>
    <row r="333" spans="1:23">
      <c r="A333" s="1431">
        <f t="shared" si="292"/>
        <v>10</v>
      </c>
      <c r="B333" s="1431" t="str">
        <f t="shared" si="287"/>
        <v>Gem Premium Thu Duc (Opal Premium)</v>
      </c>
      <c r="C333" s="1410">
        <f t="shared" ref="C333:M333" si="307">C299-C316</f>
        <v>6273.8867000000027</v>
      </c>
      <c r="D333" s="1410">
        <f t="shared" si="307"/>
        <v>0</v>
      </c>
      <c r="E333" s="1410">
        <f t="shared" si="307"/>
        <v>0</v>
      </c>
      <c r="F333" s="1410">
        <f t="shared" si="307"/>
        <v>0</v>
      </c>
      <c r="G333" s="1410">
        <f t="shared" si="307"/>
        <v>0</v>
      </c>
      <c r="H333" s="1410">
        <f t="shared" si="307"/>
        <v>0</v>
      </c>
      <c r="I333" s="1410">
        <f t="shared" si="307"/>
        <v>-420</v>
      </c>
      <c r="J333" s="1410">
        <f t="shared" si="307"/>
        <v>-420</v>
      </c>
      <c r="K333" s="1410">
        <f t="shared" si="307"/>
        <v>0</v>
      </c>
      <c r="L333" s="1410">
        <f t="shared" si="307"/>
        <v>0</v>
      </c>
      <c r="M333" s="1410">
        <f t="shared" si="307"/>
        <v>0</v>
      </c>
      <c r="N333" s="1410">
        <f t="shared" ref="N333:V333" si="308">N299-N316</f>
        <v>0</v>
      </c>
      <c r="O333" s="1410">
        <f t="shared" si="308"/>
        <v>0</v>
      </c>
      <c r="P333" s="1410">
        <f t="shared" si="308"/>
        <v>0</v>
      </c>
      <c r="Q333" s="1410">
        <f t="shared" si="308"/>
        <v>0</v>
      </c>
      <c r="R333" s="1410">
        <f t="shared" si="308"/>
        <v>-3360</v>
      </c>
      <c r="S333" s="1410">
        <f t="shared" si="308"/>
        <v>660</v>
      </c>
      <c r="T333" s="1410">
        <f t="shared" si="308"/>
        <v>10208.5</v>
      </c>
      <c r="U333" s="1410">
        <f t="shared" si="308"/>
        <v>13416.217340000003</v>
      </c>
      <c r="V333" s="1410">
        <f t="shared" si="308"/>
        <v>7133.0433499999999</v>
      </c>
      <c r="W333" s="1410"/>
    </row>
    <row r="334" spans="1:23">
      <c r="A334" s="1431">
        <f t="shared" si="292"/>
        <v>11</v>
      </c>
      <c r="B334" s="1431" t="str">
        <f t="shared" si="287"/>
        <v>Gem City Q9 (Opal City old)</v>
      </c>
      <c r="C334" s="1410">
        <f t="shared" ref="C334:M334" si="309">C300-C317</f>
        <v>5030.2692164359296</v>
      </c>
      <c r="D334" s="1410">
        <f t="shared" si="309"/>
        <v>0</v>
      </c>
      <c r="E334" s="1410">
        <f t="shared" si="309"/>
        <v>0</v>
      </c>
      <c r="F334" s="1410">
        <f t="shared" si="309"/>
        <v>0</v>
      </c>
      <c r="G334" s="1410">
        <f t="shared" si="309"/>
        <v>0</v>
      </c>
      <c r="H334" s="1410">
        <f t="shared" si="309"/>
        <v>0</v>
      </c>
      <c r="I334" s="1410">
        <f t="shared" si="309"/>
        <v>0</v>
      </c>
      <c r="J334" s="1410">
        <f t="shared" si="309"/>
        <v>0</v>
      </c>
      <c r="K334" s="1410">
        <f t="shared" si="309"/>
        <v>0</v>
      </c>
      <c r="L334" s="1410">
        <f t="shared" si="309"/>
        <v>0</v>
      </c>
      <c r="M334" s="1410">
        <f t="shared" si="309"/>
        <v>0</v>
      </c>
      <c r="N334" s="1410">
        <f t="shared" ref="N334:V334" si="310">N300-N317</f>
        <v>0</v>
      </c>
      <c r="O334" s="1410">
        <f t="shared" si="310"/>
        <v>0</v>
      </c>
      <c r="P334" s="1410">
        <f t="shared" si="310"/>
        <v>0</v>
      </c>
      <c r="Q334" s="1410">
        <f t="shared" si="310"/>
        <v>0</v>
      </c>
      <c r="R334" s="1410">
        <f t="shared" si="310"/>
        <v>556.43778675600015</v>
      </c>
      <c r="S334" s="1410">
        <f t="shared" si="310"/>
        <v>2926.0652271744607</v>
      </c>
      <c r="T334" s="1410">
        <f t="shared" si="310"/>
        <v>3014.8311040494746</v>
      </c>
      <c r="U334" s="1410">
        <f t="shared" si="310"/>
        <v>-131.72061895649631</v>
      </c>
      <c r="V334" s="1410">
        <f t="shared" si="310"/>
        <v>-1335.3442825875106</v>
      </c>
      <c r="W334" s="1410"/>
    </row>
    <row r="335" spans="1:23">
      <c r="A335" s="1431">
        <f t="shared" si="292"/>
        <v>12</v>
      </c>
      <c r="B335" s="1431" t="str">
        <f t="shared" si="287"/>
        <v>Park City Thuận An 10ha</v>
      </c>
      <c r="C335" s="1410">
        <f t="shared" ref="C335:M335" si="311">C301-C318</f>
        <v>2836.3125</v>
      </c>
      <c r="D335" s="1410">
        <f t="shared" si="311"/>
        <v>0</v>
      </c>
      <c r="E335" s="1410">
        <f t="shared" si="311"/>
        <v>0</v>
      </c>
      <c r="F335" s="1410">
        <f t="shared" si="311"/>
        <v>0</v>
      </c>
      <c r="G335" s="1410">
        <f t="shared" si="311"/>
        <v>0</v>
      </c>
      <c r="H335" s="1410">
        <f t="shared" si="311"/>
        <v>0</v>
      </c>
      <c r="I335" s="1410">
        <f t="shared" si="311"/>
        <v>0</v>
      </c>
      <c r="J335" s="1410">
        <f t="shared" si="311"/>
        <v>0</v>
      </c>
      <c r="K335" s="1410">
        <f t="shared" si="311"/>
        <v>0</v>
      </c>
      <c r="L335" s="1410">
        <f t="shared" si="311"/>
        <v>0</v>
      </c>
      <c r="M335" s="1410">
        <f t="shared" si="311"/>
        <v>0</v>
      </c>
      <c r="N335" s="1410">
        <f t="shared" ref="N335:V335" si="312">N301-N318</f>
        <v>0</v>
      </c>
      <c r="O335" s="1410">
        <f t="shared" si="312"/>
        <v>0</v>
      </c>
      <c r="P335" s="1410">
        <f t="shared" si="312"/>
        <v>0</v>
      </c>
      <c r="Q335" s="1410">
        <f t="shared" si="312"/>
        <v>0</v>
      </c>
      <c r="R335" s="1410">
        <f t="shared" si="312"/>
        <v>0</v>
      </c>
      <c r="S335" s="1410">
        <f t="shared" si="312"/>
        <v>-1200</v>
      </c>
      <c r="T335" s="1410">
        <f t="shared" si="312"/>
        <v>412.5</v>
      </c>
      <c r="U335" s="1410">
        <f t="shared" si="312"/>
        <v>1210.89375</v>
      </c>
      <c r="V335" s="1410">
        <f t="shared" si="312"/>
        <v>1948.39375</v>
      </c>
      <c r="W335" s="1410"/>
    </row>
    <row r="336" spans="1:23">
      <c r="A336" s="1431">
        <f t="shared" si="292"/>
        <v>13</v>
      </c>
      <c r="B336" s="1431" t="str">
        <f t="shared" si="287"/>
        <v>Opal Skyline</v>
      </c>
      <c r="C336" s="1410">
        <f t="shared" ref="C336:M336" si="313">C302-C319</f>
        <v>888.88999999999987</v>
      </c>
      <c r="D336" s="1410">
        <f t="shared" si="313"/>
        <v>0</v>
      </c>
      <c r="E336" s="1410">
        <f t="shared" si="313"/>
        <v>0</v>
      </c>
      <c r="F336" s="1410">
        <f t="shared" si="313"/>
        <v>0</v>
      </c>
      <c r="G336" s="1410">
        <f t="shared" si="313"/>
        <v>0</v>
      </c>
      <c r="H336" s="1410">
        <f t="shared" si="313"/>
        <v>0</v>
      </c>
      <c r="I336" s="1410">
        <f t="shared" si="313"/>
        <v>0</v>
      </c>
      <c r="J336" s="1410">
        <f t="shared" si="313"/>
        <v>-151.25</v>
      </c>
      <c r="K336" s="1410">
        <f t="shared" si="313"/>
        <v>-276.17500000000001</v>
      </c>
      <c r="L336" s="1410">
        <f t="shared" si="313"/>
        <v>359.44999999999993</v>
      </c>
      <c r="M336" s="1410">
        <f t="shared" si="313"/>
        <v>691.6</v>
      </c>
      <c r="N336" s="1410">
        <f t="shared" ref="N336:V336" si="314">N302-N319</f>
        <v>326.530576</v>
      </c>
      <c r="O336" s="1410">
        <f t="shared" si="314"/>
        <v>-184.22961600000002</v>
      </c>
      <c r="P336" s="1410">
        <f t="shared" si="314"/>
        <v>0</v>
      </c>
      <c r="Q336" s="1410">
        <f t="shared" si="314"/>
        <v>0</v>
      </c>
      <c r="R336" s="1410">
        <f t="shared" si="314"/>
        <v>0</v>
      </c>
      <c r="S336" s="1410">
        <f t="shared" si="314"/>
        <v>0</v>
      </c>
      <c r="T336" s="1410">
        <f t="shared" si="314"/>
        <v>0</v>
      </c>
      <c r="U336" s="1410">
        <f t="shared" si="314"/>
        <v>0</v>
      </c>
      <c r="V336" s="1410">
        <f t="shared" si="314"/>
        <v>0</v>
      </c>
      <c r="W336" s="1410"/>
    </row>
    <row r="337" spans="1:23">
      <c r="A337" s="1431">
        <f t="shared" si="292"/>
        <v>14</v>
      </c>
      <c r="B337" s="1431" t="str">
        <f t="shared" si="287"/>
        <v>Prive</v>
      </c>
      <c r="C337" s="1410">
        <f t="shared" ref="C337:M337" si="315">C303-C320</f>
        <v>17042.307068099995</v>
      </c>
      <c r="D337" s="1410">
        <f t="shared" si="315"/>
        <v>0</v>
      </c>
      <c r="E337" s="1410">
        <f t="shared" si="315"/>
        <v>0</v>
      </c>
      <c r="F337" s="1410">
        <f t="shared" si="315"/>
        <v>0</v>
      </c>
      <c r="G337" s="1410">
        <f t="shared" si="315"/>
        <v>0</v>
      </c>
      <c r="H337" s="1410">
        <f t="shared" si="315"/>
        <v>-3093.4560000000001</v>
      </c>
      <c r="I337" s="1410">
        <f t="shared" si="315"/>
        <v>0</v>
      </c>
      <c r="J337" s="1410">
        <f t="shared" si="315"/>
        <v>0</v>
      </c>
      <c r="K337" s="1410">
        <f t="shared" si="315"/>
        <v>0</v>
      </c>
      <c r="L337" s="1410">
        <f t="shared" si="315"/>
        <v>0</v>
      </c>
      <c r="M337" s="1410">
        <f t="shared" si="315"/>
        <v>0</v>
      </c>
      <c r="N337" s="1410">
        <f t="shared" ref="N337:V337" si="316">N303-N320</f>
        <v>-756.21099999999956</v>
      </c>
      <c r="O337" s="1410">
        <f t="shared" si="316"/>
        <v>0</v>
      </c>
      <c r="P337" s="1410">
        <f t="shared" si="316"/>
        <v>1542.7169999999996</v>
      </c>
      <c r="Q337" s="1410">
        <f t="shared" si="316"/>
        <v>3843.7178249999997</v>
      </c>
      <c r="R337" s="1410">
        <f t="shared" si="316"/>
        <v>6888.013902239999</v>
      </c>
      <c r="S337" s="1410">
        <f t="shared" si="316"/>
        <v>3684.2408590499999</v>
      </c>
      <c r="T337" s="1410">
        <f t="shared" si="316"/>
        <v>4933.2844818100002</v>
      </c>
      <c r="U337" s="1410">
        <f t="shared" si="316"/>
        <v>0</v>
      </c>
      <c r="V337" s="1410">
        <f t="shared" si="316"/>
        <v>0</v>
      </c>
      <c r="W337" s="1410"/>
    </row>
    <row r="338" spans="1:23">
      <c r="A338" s="1457"/>
      <c r="B338" s="1432" t="str">
        <f>B321</f>
        <v>Total</v>
      </c>
      <c r="C338" s="1408">
        <f t="shared" ref="C338:M338" si="317">SUM(C324:C337)</f>
        <v>42571.560200083361</v>
      </c>
      <c r="D338" s="1408">
        <f t="shared" si="317"/>
        <v>0</v>
      </c>
      <c r="E338" s="1408">
        <f t="shared" si="317"/>
        <v>0</v>
      </c>
      <c r="F338" s="1408">
        <f t="shared" si="317"/>
        <v>0</v>
      </c>
      <c r="G338" s="1408">
        <f t="shared" si="317"/>
        <v>82.965436000000039</v>
      </c>
      <c r="H338" s="1408">
        <f t="shared" si="317"/>
        <v>-2609.7610689958401</v>
      </c>
      <c r="I338" s="1408">
        <f t="shared" si="317"/>
        <v>-439.67106365696003</v>
      </c>
      <c r="J338" s="1408">
        <f t="shared" si="317"/>
        <v>-2392.57166168</v>
      </c>
      <c r="K338" s="1408">
        <f t="shared" si="317"/>
        <v>-1488.5574999999999</v>
      </c>
      <c r="L338" s="1408">
        <f t="shared" si="317"/>
        <v>176.75401212500026</v>
      </c>
      <c r="M338" s="1408">
        <f t="shared" si="317"/>
        <v>1432.0608072750001</v>
      </c>
      <c r="N338" s="1408">
        <f t="shared" ref="N338:V338" si="318">SUM(N324:N337)</f>
        <v>667.25218085000029</v>
      </c>
      <c r="O338" s="1408">
        <f t="shared" si="318"/>
        <v>374.88168642499994</v>
      </c>
      <c r="P338" s="1408">
        <f t="shared" si="318"/>
        <v>710.83025367547964</v>
      </c>
      <c r="Q338" s="1408">
        <f t="shared" si="318"/>
        <v>6356.0986428254528</v>
      </c>
      <c r="R338" s="1408">
        <f t="shared" si="318"/>
        <v>7208.4687651589684</v>
      </c>
      <c r="S338" s="1408">
        <f t="shared" si="318"/>
        <v>10416.447452432461</v>
      </c>
      <c r="T338" s="1408">
        <f t="shared" si="318"/>
        <v>21601.115585859472</v>
      </c>
      <c r="U338" s="1408">
        <f t="shared" si="318"/>
        <v>17074.890471043505</v>
      </c>
      <c r="V338" s="1408">
        <f t="shared" si="318"/>
        <v>7375.8211507458227</v>
      </c>
      <c r="W338" s="1410"/>
    </row>
  </sheetData>
  <pageMargins left="0.45" right="0.45" top="0.5" bottom="0.5" header="0.3" footer="0.3"/>
  <pageSetup paperSize="9" scale="68" orientation="portrait" r:id="rId1"/>
  <ignoredErrors>
    <ignoredError sqref="N50" formula="1"/>
  </ignoredError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W137"/>
  <sheetViews>
    <sheetView zoomScaleNormal="100" workbookViewId="0">
      <selection activeCell="J67" sqref="J67"/>
    </sheetView>
  </sheetViews>
  <sheetFormatPr defaultColWidth="9.140625" defaultRowHeight="12"/>
  <cols>
    <col min="1" max="1" width="5.85546875" style="1406" customWidth="1"/>
    <col min="2" max="2" width="27.140625" style="1431" customWidth="1"/>
    <col min="3" max="9" width="9.140625" style="1431" customWidth="1"/>
    <col min="10" max="10" width="31.5703125" style="1431" bestFit="1" customWidth="1"/>
    <col min="11" max="13" width="9.140625" style="1431" customWidth="1"/>
    <col min="14" max="14" width="9.140625" style="1431" bestFit="1" customWidth="1"/>
    <col min="15" max="15" width="9.140625" style="1431"/>
    <col min="16" max="16" width="9.85546875" style="1431" bestFit="1" customWidth="1"/>
    <col min="17" max="18" width="9.28515625" style="1431" bestFit="1" customWidth="1"/>
    <col min="19" max="21" width="9.140625" style="1431"/>
    <col min="22" max="22" width="22.5703125" style="1431" bestFit="1" customWidth="1"/>
    <col min="23" max="16384" width="9.140625" style="1431"/>
  </cols>
  <sheetData>
    <row r="1" spans="1:20" ht="21">
      <c r="A1" s="1404" t="s">
        <v>2557</v>
      </c>
    </row>
    <row r="2" spans="1:20">
      <c r="A2" s="1405" t="s">
        <v>1776</v>
      </c>
    </row>
    <row r="4" spans="1:20">
      <c r="B4" s="1407" t="s">
        <v>1539</v>
      </c>
      <c r="F4" s="1407" t="s">
        <v>1540</v>
      </c>
      <c r="K4" s="1407" t="s">
        <v>1595</v>
      </c>
      <c r="P4" s="1407" t="s">
        <v>1783</v>
      </c>
      <c r="S4" s="1431">
        <f>D42/S6</f>
        <v>3537.2666666666669</v>
      </c>
    </row>
    <row r="5" spans="1:20">
      <c r="B5" s="1432" t="s">
        <v>748</v>
      </c>
      <c r="C5" s="1432"/>
      <c r="D5" s="1408">
        <f>SUM(D6:D8)</f>
        <v>14564.189087499999</v>
      </c>
      <c r="F5" s="1432" t="s">
        <v>636</v>
      </c>
      <c r="G5" s="1432"/>
      <c r="H5" s="1432"/>
      <c r="I5" s="1409">
        <v>1</v>
      </c>
      <c r="K5" s="1432" t="s">
        <v>26</v>
      </c>
      <c r="L5" s="1432"/>
      <c r="M5" s="1432"/>
      <c r="N5" s="1441">
        <f>C83</f>
        <v>35430.147249999995</v>
      </c>
      <c r="P5" s="1432" t="s">
        <v>1777</v>
      </c>
      <c r="Q5" s="1432"/>
      <c r="R5" s="1432"/>
      <c r="S5" s="1422">
        <v>3175</v>
      </c>
    </row>
    <row r="6" spans="1:20">
      <c r="B6" s="1431" t="s">
        <v>678</v>
      </c>
      <c r="D6" s="1410">
        <f>SUM(E31:E32)</f>
        <v>3249.6669999999999</v>
      </c>
      <c r="F6" s="1431" t="s">
        <v>1542</v>
      </c>
      <c r="I6" s="1586">
        <v>0.5</v>
      </c>
      <c r="K6" s="1431" t="s">
        <v>197</v>
      </c>
      <c r="N6" s="1436">
        <f>C91</f>
        <v>0.68960417768232674</v>
      </c>
      <c r="P6" s="1431" t="s">
        <v>1778</v>
      </c>
      <c r="S6" s="1440">
        <v>75</v>
      </c>
      <c r="T6" s="1431">
        <f>S6*S5</f>
        <v>238125</v>
      </c>
    </row>
    <row r="7" spans="1:20">
      <c r="B7" s="1431" t="s">
        <v>750</v>
      </c>
      <c r="D7" s="1410">
        <f>C70</f>
        <v>6000</v>
      </c>
      <c r="F7" s="1431" t="s">
        <v>759</v>
      </c>
      <c r="I7" s="1440">
        <f>C114</f>
        <v>7282.0945437499995</v>
      </c>
      <c r="K7" s="1431" t="s">
        <v>1779</v>
      </c>
      <c r="N7" s="1436">
        <f>C92</f>
        <v>0.43168334214586129</v>
      </c>
      <c r="P7" s="1431" t="s">
        <v>1792</v>
      </c>
      <c r="S7" s="2188">
        <v>120</v>
      </c>
    </row>
    <row r="8" spans="1:20">
      <c r="B8" s="1431" t="s">
        <v>656</v>
      </c>
      <c r="D8" s="1440">
        <f>C79</f>
        <v>5314.5220874999986</v>
      </c>
      <c r="F8" s="1431" t="s">
        <v>1544</v>
      </c>
      <c r="I8" s="1433">
        <f>G23</f>
        <v>0.1105</v>
      </c>
      <c r="K8" s="1431" t="s">
        <v>1720</v>
      </c>
      <c r="N8" s="1440">
        <f>C105</f>
        <v>15114.853936687612</v>
      </c>
      <c r="P8" s="1431" t="s">
        <v>1784</v>
      </c>
      <c r="S8" s="1423">
        <f>D32</f>
        <v>48.399192767674961</v>
      </c>
    </row>
    <row r="9" spans="1:20">
      <c r="B9" s="1431" t="s">
        <v>869</v>
      </c>
      <c r="D9" s="1440">
        <f>C119</f>
        <v>1747.7026904999998</v>
      </c>
      <c r="F9" s="1431" t="s">
        <v>1588</v>
      </c>
      <c r="I9" s="1425">
        <f>B109</f>
        <v>0.1969229484551267</v>
      </c>
      <c r="K9" s="1431" t="s">
        <v>1601</v>
      </c>
      <c r="N9" s="1410">
        <f>C90</f>
        <v>15294.604377599995</v>
      </c>
      <c r="P9" s="1431" t="s">
        <v>1560</v>
      </c>
      <c r="S9" s="1416"/>
    </row>
    <row r="10" spans="1:20">
      <c r="B10" s="1431" t="s">
        <v>1543</v>
      </c>
      <c r="D10" s="1412">
        <v>2017</v>
      </c>
      <c r="F10" s="1431" t="s">
        <v>1781</v>
      </c>
      <c r="I10" s="1436">
        <f>C105/C90</f>
        <v>0.98824746057664359</v>
      </c>
      <c r="K10" s="1431" t="s">
        <v>1141</v>
      </c>
      <c r="N10" s="1423">
        <v>67143</v>
      </c>
      <c r="P10" s="1431" t="s">
        <v>1785</v>
      </c>
      <c r="S10" s="1423">
        <v>22</v>
      </c>
    </row>
    <row r="11" spans="1:20">
      <c r="B11" s="1431" t="s">
        <v>751</v>
      </c>
      <c r="D11" s="1412">
        <v>2029</v>
      </c>
      <c r="F11" s="1431" t="s">
        <v>1782</v>
      </c>
      <c r="I11" s="1436">
        <f>C70/C50</f>
        <v>0.16934730633951856</v>
      </c>
      <c r="K11" s="1431" t="s">
        <v>686</v>
      </c>
      <c r="N11" s="1643">
        <v>300000</v>
      </c>
      <c r="P11" s="1431" t="s">
        <v>1786</v>
      </c>
      <c r="S11" s="1596">
        <f>'Opal Central Park'!$S$11</f>
        <v>0.14000000000000001</v>
      </c>
    </row>
    <row r="12" spans="1:20">
      <c r="B12" s="1431" t="s">
        <v>1545</v>
      </c>
      <c r="D12" s="1594">
        <v>2024</v>
      </c>
      <c r="F12" s="1431" t="s">
        <v>1780</v>
      </c>
      <c r="I12" s="1436">
        <f>E32/C50</f>
        <v>9.1720392158404038E-2</v>
      </c>
      <c r="K12" s="1431" t="s">
        <v>1790</v>
      </c>
      <c r="N12" s="1599">
        <v>2</v>
      </c>
      <c r="P12" s="1431" t="s">
        <v>1791</v>
      </c>
      <c r="S12" s="1423"/>
    </row>
    <row r="13" spans="1:20">
      <c r="E13" s="1412"/>
      <c r="J13" s="1413"/>
    </row>
    <row r="14" spans="1:20">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c r="R14" s="1447">
        <f>'Opal Riverside'!R14</f>
        <v>2027</v>
      </c>
      <c r="S14" s="1447">
        <f>'Opal Riverside'!S14</f>
        <v>2028</v>
      </c>
      <c r="T14" s="1447">
        <f>'Opal Riverside'!T14</f>
        <v>2029</v>
      </c>
    </row>
    <row r="15" spans="1:20">
      <c r="B15" s="1432" t="s">
        <v>1547</v>
      </c>
      <c r="C15" s="1432"/>
      <c r="D15" s="1434">
        <f>1-I6</f>
        <v>0.5</v>
      </c>
      <c r="E15" s="1434">
        <f t="shared" ref="E15:T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c r="R15" s="1434">
        <f t="shared" si="0"/>
        <v>0.5</v>
      </c>
      <c r="S15" s="1434">
        <f t="shared" si="0"/>
        <v>0.5</v>
      </c>
      <c r="T15" s="1434">
        <f t="shared" si="0"/>
        <v>0.5</v>
      </c>
    </row>
    <row r="16" spans="1:20">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c r="R16" s="1431">
        <v>1.3</v>
      </c>
      <c r="S16" s="1431">
        <v>1.3</v>
      </c>
      <c r="T16" s="1431">
        <v>1.3</v>
      </c>
    </row>
    <row r="17" spans="1:20">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c r="R17" s="1435">
        <f t="shared" si="0"/>
        <v>5.5E-2</v>
      </c>
      <c r="S17" s="1435">
        <f t="shared" si="0"/>
        <v>5.5E-2</v>
      </c>
      <c r="T17" s="1435">
        <f t="shared" si="0"/>
        <v>5.5E-2</v>
      </c>
    </row>
    <row r="18" spans="1:20">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c r="R18" s="1435">
        <f t="shared" si="0"/>
        <v>7.0000000000000007E-2</v>
      </c>
      <c r="S18" s="1435">
        <f t="shared" si="0"/>
        <v>7.0000000000000007E-2</v>
      </c>
      <c r="T18" s="1435">
        <f t="shared" si="0"/>
        <v>7.0000000000000007E-2</v>
      </c>
    </row>
    <row r="19" spans="1:20">
      <c r="B19" s="1431" t="s">
        <v>758</v>
      </c>
      <c r="D19" s="1433">
        <f t="shared" ref="D19:Q19" si="1">D17+D16*D18</f>
        <v>0.125</v>
      </c>
      <c r="E19" s="1433">
        <f t="shared" si="1"/>
        <v>0.125</v>
      </c>
      <c r="F19" s="1433">
        <f t="shared" si="1"/>
        <v>0.125</v>
      </c>
      <c r="G19" s="1433">
        <f t="shared" si="1"/>
        <v>0.125</v>
      </c>
      <c r="H19" s="1433">
        <f t="shared" si="1"/>
        <v>0.125</v>
      </c>
      <c r="I19" s="1433">
        <f t="shared" si="1"/>
        <v>0.125</v>
      </c>
      <c r="J19" s="1433">
        <f t="shared" si="1"/>
        <v>0.125</v>
      </c>
      <c r="K19" s="1433">
        <f t="shared" si="1"/>
        <v>0.125</v>
      </c>
      <c r="L19" s="1433">
        <f t="shared" si="1"/>
        <v>0.125</v>
      </c>
      <c r="M19" s="1433">
        <f t="shared" si="1"/>
        <v>0.125</v>
      </c>
      <c r="N19" s="1433">
        <f t="shared" si="1"/>
        <v>0.14600000000000002</v>
      </c>
      <c r="O19" s="1433">
        <f t="shared" si="1"/>
        <v>0.14600000000000002</v>
      </c>
      <c r="P19" s="1433">
        <f t="shared" si="1"/>
        <v>0.14600000000000002</v>
      </c>
      <c r="Q19" s="1433">
        <f t="shared" si="1"/>
        <v>0.14600000000000002</v>
      </c>
      <c r="R19" s="1433">
        <f>R17+R16*R18</f>
        <v>0.14600000000000002</v>
      </c>
      <c r="S19" s="1433">
        <f>S17+S16*S18</f>
        <v>0.14600000000000002</v>
      </c>
      <c r="T19" s="1433">
        <f>T17+T16*T18</f>
        <v>0.14600000000000002</v>
      </c>
    </row>
    <row r="20" spans="1:20">
      <c r="B20" s="1431" t="s">
        <v>1542</v>
      </c>
      <c r="D20" s="1436">
        <f t="shared" ref="D20:T20" si="2">$I$6</f>
        <v>0.5</v>
      </c>
      <c r="E20" s="1436">
        <f t="shared" si="2"/>
        <v>0.5</v>
      </c>
      <c r="F20" s="1436">
        <f t="shared" si="2"/>
        <v>0.5</v>
      </c>
      <c r="G20" s="1436">
        <f t="shared" si="2"/>
        <v>0.5</v>
      </c>
      <c r="H20" s="1436">
        <f t="shared" si="2"/>
        <v>0.5</v>
      </c>
      <c r="I20" s="1436">
        <f t="shared" si="2"/>
        <v>0.5</v>
      </c>
      <c r="J20" s="1436">
        <f t="shared" si="2"/>
        <v>0.5</v>
      </c>
      <c r="K20" s="1436">
        <f t="shared" si="2"/>
        <v>0.5</v>
      </c>
      <c r="L20" s="1436">
        <f t="shared" si="2"/>
        <v>0.5</v>
      </c>
      <c r="M20" s="1436">
        <f t="shared" si="2"/>
        <v>0.5</v>
      </c>
      <c r="N20" s="1436">
        <f t="shared" si="2"/>
        <v>0.5</v>
      </c>
      <c r="O20" s="1436">
        <f t="shared" si="2"/>
        <v>0.5</v>
      </c>
      <c r="P20" s="1436">
        <f t="shared" si="2"/>
        <v>0.5</v>
      </c>
      <c r="Q20" s="1436">
        <f t="shared" si="2"/>
        <v>0.5</v>
      </c>
      <c r="R20" s="1436">
        <f t="shared" si="2"/>
        <v>0.5</v>
      </c>
      <c r="S20" s="1436">
        <f t="shared" si="2"/>
        <v>0.5</v>
      </c>
      <c r="T20" s="1436">
        <f t="shared" si="2"/>
        <v>0.5</v>
      </c>
    </row>
    <row r="21" spans="1:20">
      <c r="B21" s="1431" t="s">
        <v>760</v>
      </c>
      <c r="D21" s="1581">
        <f>'Opal Central Park'!D21</f>
        <v>0.14000000000000001</v>
      </c>
      <c r="E21" s="1581">
        <f>'Opal Central Park'!E21</f>
        <v>0.13</v>
      </c>
      <c r="F21" s="1581">
        <f>'Opal Central Park'!F21</f>
        <v>0.1</v>
      </c>
      <c r="G21" s="1581">
        <f>'Opal Central Park'!G21</f>
        <v>0.12</v>
      </c>
      <c r="H21" s="1425">
        <f>G21</f>
        <v>0.12</v>
      </c>
      <c r="I21" s="1418">
        <f t="shared" ref="H21:T22" si="3">H21</f>
        <v>0.12</v>
      </c>
      <c r="J21" s="1418">
        <f t="shared" si="3"/>
        <v>0.12</v>
      </c>
      <c r="K21" s="1418">
        <f t="shared" si="3"/>
        <v>0.12</v>
      </c>
      <c r="L21" s="1418">
        <f t="shared" si="3"/>
        <v>0.12</v>
      </c>
      <c r="M21" s="1418">
        <f t="shared" si="3"/>
        <v>0.12</v>
      </c>
      <c r="N21" s="1418">
        <v>0.13</v>
      </c>
      <c r="O21" s="1418">
        <v>0.13</v>
      </c>
      <c r="P21" s="1418">
        <v>0.08</v>
      </c>
      <c r="Q21" s="1418">
        <v>0.08</v>
      </c>
      <c r="R21" s="1418">
        <v>0.08</v>
      </c>
      <c r="S21" s="1418">
        <v>0.08</v>
      </c>
      <c r="T21" s="1418">
        <v>0.08</v>
      </c>
    </row>
    <row r="22" spans="1:20">
      <c r="B22" s="1431" t="s">
        <v>846</v>
      </c>
      <c r="D22" s="1596">
        <f>'Opal Central Park'!D22</f>
        <v>0.22</v>
      </c>
      <c r="E22" s="1596">
        <f>'Opal Central Park'!E22</f>
        <v>0.22</v>
      </c>
      <c r="F22" s="1596">
        <f>'Opal Central Park'!F22</f>
        <v>0.22</v>
      </c>
      <c r="G22" s="1596">
        <f>'Opal Central Park'!G22</f>
        <v>0.2</v>
      </c>
      <c r="H22" s="1417">
        <f t="shared" si="3"/>
        <v>0.2</v>
      </c>
      <c r="I22" s="1417">
        <f t="shared" si="3"/>
        <v>0.2</v>
      </c>
      <c r="J22" s="1417">
        <f t="shared" si="3"/>
        <v>0.2</v>
      </c>
      <c r="K22" s="1417">
        <f t="shared" si="3"/>
        <v>0.2</v>
      </c>
      <c r="L22" s="1417">
        <f t="shared" si="3"/>
        <v>0.2</v>
      </c>
      <c r="M22" s="1417">
        <f t="shared" si="3"/>
        <v>0.2</v>
      </c>
      <c r="N22" s="1417">
        <f t="shared" si="3"/>
        <v>0.2</v>
      </c>
      <c r="O22" s="1417">
        <f t="shared" si="3"/>
        <v>0.2</v>
      </c>
      <c r="P22" s="1417">
        <f t="shared" si="3"/>
        <v>0.2</v>
      </c>
      <c r="Q22" s="1417">
        <f t="shared" si="3"/>
        <v>0.2</v>
      </c>
      <c r="R22" s="1417">
        <f t="shared" si="3"/>
        <v>0.2</v>
      </c>
      <c r="S22" s="1417">
        <f t="shared" si="3"/>
        <v>0.2</v>
      </c>
      <c r="T22" s="1417">
        <f t="shared" si="3"/>
        <v>0.2</v>
      </c>
    </row>
    <row r="23" spans="1:20">
      <c r="B23" s="1419" t="s">
        <v>14</v>
      </c>
      <c r="C23" s="1432"/>
      <c r="D23" s="1437">
        <f>D19*D15+D21*D20*(1-D22)</f>
        <v>0.11710000000000001</v>
      </c>
      <c r="E23" s="1437">
        <f t="shared" ref="E23:Q23" si="4">E19*E15+E21*E20*(1-E22)</f>
        <v>0.1132</v>
      </c>
      <c r="F23" s="1437">
        <f>F19*F15+F21*F20*(1-F22)</f>
        <v>0.10150000000000001</v>
      </c>
      <c r="G23" s="1437">
        <f>G19*G15+G21*G20*(1-G22)</f>
        <v>0.1105</v>
      </c>
      <c r="H23" s="1437">
        <f>H19*H15+H21*H20*(1-H22)</f>
        <v>0.1105</v>
      </c>
      <c r="I23" s="1437">
        <f>I19*I15+I21*I20*(1-I22)</f>
        <v>0.1105</v>
      </c>
      <c r="J23" s="1437">
        <f t="shared" si="4"/>
        <v>0.1105</v>
      </c>
      <c r="K23" s="1437">
        <f t="shared" si="4"/>
        <v>0.1105</v>
      </c>
      <c r="L23" s="1437">
        <f t="shared" si="4"/>
        <v>0.1105</v>
      </c>
      <c r="M23" s="1437">
        <f t="shared" si="4"/>
        <v>0.1105</v>
      </c>
      <c r="N23" s="1437">
        <f t="shared" si="4"/>
        <v>0.125</v>
      </c>
      <c r="O23" s="1437">
        <f t="shared" si="4"/>
        <v>0.125</v>
      </c>
      <c r="P23" s="1437">
        <f t="shared" si="4"/>
        <v>0.10500000000000001</v>
      </c>
      <c r="Q23" s="1437">
        <f t="shared" si="4"/>
        <v>0.10500000000000001</v>
      </c>
      <c r="R23" s="1437">
        <f>R19*R15+R21*R20*(1-R22)</f>
        <v>0.10500000000000001</v>
      </c>
      <c r="S23" s="1437">
        <f>S19*S15+S21*S20*(1-S22)</f>
        <v>0.10500000000000001</v>
      </c>
      <c r="T23" s="1437">
        <f>T19*T15+T21*T20*(1-T22)</f>
        <v>0.10500000000000001</v>
      </c>
    </row>
    <row r="24" spans="1:20">
      <c r="E24" s="1412"/>
      <c r="J24" s="1413"/>
    </row>
    <row r="25" spans="1:20">
      <c r="E25" s="1412"/>
      <c r="J25" s="1413"/>
    </row>
    <row r="26" spans="1:20" ht="15.75">
      <c r="A26" s="1420" t="s">
        <v>1548</v>
      </c>
      <c r="B26" s="1438"/>
    </row>
    <row r="28" spans="1:20" s="1407" customFormat="1">
      <c r="A28" s="1406" t="s">
        <v>762</v>
      </c>
      <c r="B28" s="1407" t="s">
        <v>1459</v>
      </c>
      <c r="C28" s="1407" t="s">
        <v>764</v>
      </c>
      <c r="D28" s="1407" t="s">
        <v>1549</v>
      </c>
      <c r="E28" s="1407" t="s">
        <v>1550</v>
      </c>
    </row>
    <row r="29" spans="1:20">
      <c r="A29" s="1421"/>
      <c r="B29" s="1432" t="s">
        <v>1551</v>
      </c>
      <c r="C29" s="1432" t="s">
        <v>1552</v>
      </c>
      <c r="D29" s="1432"/>
      <c r="E29" s="1408">
        <f>N10</f>
        <v>67143</v>
      </c>
      <c r="J29" s="2259">
        <f>3250*10^9/67143</f>
        <v>48404152.331590787</v>
      </c>
    </row>
    <row r="30" spans="1:20">
      <c r="B30" s="1431" t="s">
        <v>1553</v>
      </c>
      <c r="C30" s="1431" t="s">
        <v>1552</v>
      </c>
      <c r="E30" s="1410">
        <f>E29</f>
        <v>67143</v>
      </c>
    </row>
    <row r="31" spans="1:20">
      <c r="B31" s="1431" t="s">
        <v>1554</v>
      </c>
      <c r="C31" s="1431" t="s">
        <v>1555</v>
      </c>
      <c r="D31" s="1446"/>
      <c r="E31" s="1410">
        <f>E29*D31</f>
        <v>0</v>
      </c>
    </row>
    <row r="32" spans="1:20">
      <c r="B32" s="1431" t="s">
        <v>1556</v>
      </c>
      <c r="C32" s="1431" t="s">
        <v>1555</v>
      </c>
      <c r="D32" s="1654">
        <f>E32/E29*1000</f>
        <v>48.399192767674961</v>
      </c>
      <c r="E32" s="1440">
        <v>3249.6669999999999</v>
      </c>
    </row>
    <row r="34" spans="1:23">
      <c r="B34" s="1407" t="s">
        <v>773</v>
      </c>
      <c r="C34" s="1431" t="s">
        <v>642</v>
      </c>
      <c r="D34" s="1447">
        <f t="shared" ref="D34:S34" si="5">D14</f>
        <v>2013</v>
      </c>
      <c r="E34" s="1447">
        <f t="shared" si="5"/>
        <v>2014</v>
      </c>
      <c r="F34" s="1447">
        <f t="shared" si="5"/>
        <v>2015</v>
      </c>
      <c r="G34" s="1447">
        <f t="shared" si="5"/>
        <v>2016</v>
      </c>
      <c r="H34" s="1447">
        <f t="shared" si="5"/>
        <v>2017</v>
      </c>
      <c r="I34" s="1447">
        <f t="shared" si="5"/>
        <v>2018</v>
      </c>
      <c r="J34" s="1447">
        <f t="shared" si="5"/>
        <v>2019</v>
      </c>
      <c r="K34" s="1447">
        <f t="shared" si="5"/>
        <v>2020</v>
      </c>
      <c r="L34" s="1447">
        <f t="shared" si="5"/>
        <v>2021</v>
      </c>
      <c r="M34" s="1447">
        <f t="shared" si="5"/>
        <v>2022</v>
      </c>
      <c r="N34" s="1447">
        <f t="shared" si="5"/>
        <v>2023</v>
      </c>
      <c r="O34" s="1447">
        <f t="shared" si="5"/>
        <v>2024</v>
      </c>
      <c r="P34" s="1447">
        <f t="shared" si="5"/>
        <v>2025</v>
      </c>
      <c r="Q34" s="1447">
        <f t="shared" si="5"/>
        <v>2026</v>
      </c>
      <c r="R34" s="1447">
        <f t="shared" si="5"/>
        <v>2027</v>
      </c>
      <c r="S34" s="1447">
        <f t="shared" si="5"/>
        <v>2028</v>
      </c>
      <c r="T34" s="1447">
        <f t="shared" ref="T34" si="6">T14</f>
        <v>2029</v>
      </c>
    </row>
    <row r="35" spans="1:23">
      <c r="B35" s="1432"/>
      <c r="C35" s="1441">
        <f>E32</f>
        <v>3249.6669999999999</v>
      </c>
      <c r="D35" s="1408">
        <f>$C$35*D36</f>
        <v>0</v>
      </c>
      <c r="E35" s="1408">
        <f>$C$35*E36</f>
        <v>0</v>
      </c>
      <c r="F35" s="1408">
        <f>$C$35*F36</f>
        <v>0</v>
      </c>
      <c r="G35" s="1408">
        <f>$C$35*G36</f>
        <v>0</v>
      </c>
      <c r="H35" s="1408">
        <v>3093.4560000000001</v>
      </c>
      <c r="I35" s="1408">
        <f t="shared" ref="I35:T35" si="7">$C$35*I36</f>
        <v>0</v>
      </c>
      <c r="J35" s="1408">
        <f t="shared" si="7"/>
        <v>0</v>
      </c>
      <c r="K35" s="1408">
        <f t="shared" si="7"/>
        <v>0</v>
      </c>
      <c r="L35" s="1408">
        <f t="shared" si="7"/>
        <v>0</v>
      </c>
      <c r="M35" s="1408">
        <f t="shared" si="7"/>
        <v>0</v>
      </c>
      <c r="N35" s="1408">
        <f t="shared" si="7"/>
        <v>156.21099999999961</v>
      </c>
      <c r="O35" s="1408">
        <f t="shared" si="7"/>
        <v>0</v>
      </c>
      <c r="P35" s="1408">
        <f t="shared" si="7"/>
        <v>0</v>
      </c>
      <c r="Q35" s="1408">
        <f t="shared" si="7"/>
        <v>0</v>
      </c>
      <c r="R35" s="1408">
        <f t="shared" si="7"/>
        <v>0</v>
      </c>
      <c r="S35" s="1408">
        <f t="shared" si="7"/>
        <v>0</v>
      </c>
      <c r="T35" s="1408">
        <f t="shared" si="7"/>
        <v>0</v>
      </c>
    </row>
    <row r="36" spans="1:23">
      <c r="B36" s="1442" t="s">
        <v>1559</v>
      </c>
      <c r="C36" s="1436">
        <f>SUM(D36:S36)</f>
        <v>1</v>
      </c>
      <c r="D36" s="1416">
        <v>0</v>
      </c>
      <c r="E36" s="1416">
        <v>0</v>
      </c>
      <c r="F36" s="1416">
        <v>0</v>
      </c>
      <c r="G36" s="1416">
        <v>0</v>
      </c>
      <c r="H36" s="1416">
        <f>H35/C35</f>
        <v>0.95193015161245764</v>
      </c>
      <c r="I36" s="1416">
        <v>0</v>
      </c>
      <c r="J36" s="1416">
        <v>0</v>
      </c>
      <c r="K36" s="1416">
        <v>0</v>
      </c>
      <c r="L36" s="1416">
        <v>0</v>
      </c>
      <c r="M36" s="1416">
        <v>0</v>
      </c>
      <c r="N36" s="1416">
        <f>1-H36</f>
        <v>4.8069848387542358E-2</v>
      </c>
      <c r="O36" s="1416">
        <v>0</v>
      </c>
      <c r="P36" s="1416">
        <v>0</v>
      </c>
      <c r="Q36" s="1416">
        <v>0</v>
      </c>
      <c r="R36" s="1416">
        <v>0</v>
      </c>
      <c r="S36" s="1416">
        <v>0</v>
      </c>
      <c r="T36" s="1416">
        <v>0</v>
      </c>
    </row>
    <row r="39" spans="1:23" s="1407" customFormat="1">
      <c r="A39" s="1406" t="s">
        <v>777</v>
      </c>
      <c r="B39" s="1407" t="s">
        <v>1585</v>
      </c>
      <c r="C39" s="1407" t="s">
        <v>764</v>
      </c>
      <c r="D39" s="1407" t="s">
        <v>1549</v>
      </c>
    </row>
    <row r="40" spans="1:23">
      <c r="A40" s="1421"/>
      <c r="B40" s="1432" t="s">
        <v>686</v>
      </c>
      <c r="C40" s="1432" t="s">
        <v>1552</v>
      </c>
      <c r="D40" s="1426">
        <f>N11</f>
        <v>300000</v>
      </c>
      <c r="F40" s="1440"/>
      <c r="G40" s="1410"/>
      <c r="V40" s="1431" t="s">
        <v>26</v>
      </c>
      <c r="W40" s="1440">
        <f>C50</f>
        <v>35430.147249999995</v>
      </c>
    </row>
    <row r="41" spans="1:23">
      <c r="B41" s="1431" t="s">
        <v>1560</v>
      </c>
      <c r="C41" s="1431" t="s">
        <v>780</v>
      </c>
      <c r="D41" s="1448">
        <f>D42/D40</f>
        <v>0.88431666666666664</v>
      </c>
      <c r="G41" s="1440"/>
      <c r="V41" s="1431" t="s">
        <v>2558</v>
      </c>
      <c r="W41" s="1443">
        <v>0.5</v>
      </c>
    </row>
    <row r="42" spans="1:23">
      <c r="B42" s="1431" t="s">
        <v>781</v>
      </c>
      <c r="C42" s="1431" t="s">
        <v>1552</v>
      </c>
      <c r="D42" s="2178">
        <v>265295</v>
      </c>
      <c r="V42" s="1431" t="s">
        <v>2559</v>
      </c>
      <c r="W42" s="1443">
        <v>0.8</v>
      </c>
    </row>
    <row r="43" spans="1:23">
      <c r="B43" s="1431" t="s">
        <v>1787</v>
      </c>
      <c r="C43" s="1431" t="s">
        <v>1555</v>
      </c>
      <c r="D43" s="1654">
        <f>S7</f>
        <v>120</v>
      </c>
      <c r="V43" s="1431" t="s">
        <v>2560</v>
      </c>
      <c r="W43" s="1443">
        <v>0.08</v>
      </c>
    </row>
    <row r="44" spans="1:23">
      <c r="B44" s="1431" t="s">
        <v>1587</v>
      </c>
      <c r="C44" s="1431" t="s">
        <v>1555</v>
      </c>
      <c r="D44" s="1655">
        <v>20</v>
      </c>
      <c r="V44" s="1431" t="s">
        <v>2561</v>
      </c>
      <c r="W44" s="1431">
        <v>2</v>
      </c>
    </row>
    <row r="45" spans="1:23">
      <c r="B45" s="1431" t="s">
        <v>787</v>
      </c>
      <c r="C45" s="1431" t="s">
        <v>780</v>
      </c>
      <c r="D45" s="1411">
        <v>0</v>
      </c>
      <c r="V45" s="1431" t="s">
        <v>2562</v>
      </c>
      <c r="W45" s="2257">
        <f>W40*W41*W42*W43*W44</f>
        <v>2267.5294239999998</v>
      </c>
    </row>
    <row r="46" spans="1:23">
      <c r="B46" s="1431" t="s">
        <v>1562</v>
      </c>
      <c r="C46" s="1431" t="s">
        <v>780</v>
      </c>
      <c r="D46" s="1448">
        <v>0.15</v>
      </c>
      <c r="E46" s="1431" t="s">
        <v>2563</v>
      </c>
    </row>
    <row r="47" spans="1:23">
      <c r="B47" s="1431" t="s">
        <v>1563</v>
      </c>
      <c r="C47" s="1431" t="s">
        <v>780</v>
      </c>
      <c r="D47" s="1411">
        <v>0.04</v>
      </c>
      <c r="O47" s="1431" t="s">
        <v>808</v>
      </c>
      <c r="P47" s="2187">
        <f>P51*$D$42</f>
        <v>92853.25</v>
      </c>
      <c r="Q47" s="2187">
        <f t="shared" ref="Q47:R47" si="8">Q51*$D$42</f>
        <v>71629.650000000009</v>
      </c>
      <c r="R47" s="2187">
        <f t="shared" si="8"/>
        <v>100812.1</v>
      </c>
    </row>
    <row r="49" spans="1:20" s="1407" customFormat="1">
      <c r="A49" s="1406">
        <v>1</v>
      </c>
      <c r="B49" s="1407" t="s">
        <v>1564</v>
      </c>
      <c r="C49" s="1431" t="str">
        <f>C34</f>
        <v>Total</v>
      </c>
      <c r="D49" s="1431">
        <f>D34</f>
        <v>2013</v>
      </c>
      <c r="E49" s="1431">
        <f>E34</f>
        <v>2014</v>
      </c>
      <c r="F49" s="1431">
        <f>F34</f>
        <v>2015</v>
      </c>
      <c r="G49" s="1431">
        <f t="shared" ref="G49:T49" si="9">F49+1</f>
        <v>2016</v>
      </c>
      <c r="H49" s="1431">
        <f t="shared" si="9"/>
        <v>2017</v>
      </c>
      <c r="I49" s="1431">
        <f t="shared" si="9"/>
        <v>2018</v>
      </c>
      <c r="J49" s="1431">
        <f t="shared" si="9"/>
        <v>2019</v>
      </c>
      <c r="K49" s="1431">
        <f t="shared" si="9"/>
        <v>2020</v>
      </c>
      <c r="L49" s="1431">
        <f t="shared" si="9"/>
        <v>2021</v>
      </c>
      <c r="M49" s="1431">
        <f t="shared" si="9"/>
        <v>2022</v>
      </c>
      <c r="N49" s="1431">
        <f t="shared" si="9"/>
        <v>2023</v>
      </c>
      <c r="O49" s="1431">
        <f t="shared" si="9"/>
        <v>2024</v>
      </c>
      <c r="P49" s="1431">
        <f t="shared" si="9"/>
        <v>2025</v>
      </c>
      <c r="Q49" s="1431">
        <f t="shared" si="9"/>
        <v>2026</v>
      </c>
      <c r="R49" s="1431">
        <f t="shared" si="9"/>
        <v>2027</v>
      </c>
      <c r="S49" s="1431">
        <f t="shared" si="9"/>
        <v>2028</v>
      </c>
      <c r="T49" s="1431">
        <f t="shared" si="9"/>
        <v>2029</v>
      </c>
    </row>
    <row r="50" spans="1:20">
      <c r="B50" s="1432" t="s">
        <v>791</v>
      </c>
      <c r="C50" s="1441">
        <f>SUM(D50:S50)</f>
        <v>35430.147249999995</v>
      </c>
      <c r="D50" s="1441">
        <f>$D$42*D52*D51/1000</f>
        <v>0</v>
      </c>
      <c r="E50" s="1441">
        <f t="shared" ref="E50:M50" si="10">$D$42*E52*E51/1000</f>
        <v>0</v>
      </c>
      <c r="F50" s="1441">
        <f t="shared" si="10"/>
        <v>0</v>
      </c>
      <c r="G50" s="1441">
        <f t="shared" si="10"/>
        <v>0</v>
      </c>
      <c r="H50" s="1441">
        <f t="shared" si="10"/>
        <v>0</v>
      </c>
      <c r="I50" s="1441">
        <f t="shared" si="10"/>
        <v>0</v>
      </c>
      <c r="J50" s="1441">
        <f t="shared" si="10"/>
        <v>0</v>
      </c>
      <c r="K50" s="1441">
        <f t="shared" si="10"/>
        <v>0</v>
      </c>
      <c r="L50" s="1441">
        <f t="shared" si="10"/>
        <v>0</v>
      </c>
      <c r="M50" s="1441">
        <f t="shared" si="10"/>
        <v>0</v>
      </c>
      <c r="N50" s="1441">
        <f t="shared" ref="N50:S50" si="11">$D$42*N52*N51/1000</f>
        <v>0</v>
      </c>
      <c r="O50" s="1441">
        <f t="shared" si="11"/>
        <v>0</v>
      </c>
      <c r="P50" s="1441">
        <f t="shared" si="11"/>
        <v>11142.39</v>
      </c>
      <c r="Q50" s="1441">
        <f t="shared" si="11"/>
        <v>9670.0027499999997</v>
      </c>
      <c r="R50" s="1441">
        <f t="shared" si="11"/>
        <v>14617.754499999999</v>
      </c>
      <c r="S50" s="1441">
        <f t="shared" si="11"/>
        <v>0</v>
      </c>
      <c r="T50" s="1441">
        <f t="shared" ref="T50" si="12">$D$42*T52*T51/1000</f>
        <v>0</v>
      </c>
    </row>
    <row r="51" spans="1:20">
      <c r="B51" s="1444" t="s">
        <v>792</v>
      </c>
      <c r="C51" s="1436">
        <f>SUM(D51:T51)</f>
        <v>1</v>
      </c>
      <c r="D51" s="1416">
        <v>0</v>
      </c>
      <c r="E51" s="1416">
        <v>0</v>
      </c>
      <c r="F51" s="1416">
        <v>0</v>
      </c>
      <c r="G51" s="1416">
        <v>0</v>
      </c>
      <c r="H51" s="1416">
        <v>0</v>
      </c>
      <c r="I51" s="1416">
        <v>0</v>
      </c>
      <c r="J51" s="1416">
        <v>0</v>
      </c>
      <c r="K51" s="1416">
        <v>0</v>
      </c>
      <c r="L51" s="1416">
        <v>0</v>
      </c>
      <c r="M51" s="1416">
        <v>0</v>
      </c>
      <c r="N51" s="1416">
        <v>0</v>
      </c>
      <c r="O51" s="1411">
        <v>0</v>
      </c>
      <c r="P51" s="1411">
        <v>0.35</v>
      </c>
      <c r="Q51" s="1416">
        <v>0.27</v>
      </c>
      <c r="R51" s="1416">
        <v>0.38</v>
      </c>
      <c r="S51" s="1416">
        <v>0</v>
      </c>
      <c r="T51" s="1416">
        <v>0</v>
      </c>
    </row>
    <row r="52" spans="1:20">
      <c r="B52" s="1444" t="s">
        <v>1565</v>
      </c>
      <c r="D52" s="1439"/>
      <c r="E52" s="1439"/>
      <c r="F52" s="1439"/>
      <c r="G52" s="1439"/>
      <c r="H52" s="1439"/>
      <c r="I52" s="1439">
        <v>40</v>
      </c>
      <c r="J52" s="1439"/>
      <c r="K52" s="1439"/>
      <c r="L52" s="1439"/>
      <c r="M52" s="1439"/>
      <c r="N52" s="1439">
        <v>0</v>
      </c>
      <c r="O52" s="1439">
        <f>S7</f>
        <v>120</v>
      </c>
      <c r="P52" s="2256">
        <v>120</v>
      </c>
      <c r="Q52" s="2256">
        <v>135</v>
      </c>
      <c r="R52" s="2256">
        <v>145</v>
      </c>
      <c r="S52" s="1439">
        <f t="shared" ref="S52:T52" si="13">R52*(1+S53)</f>
        <v>150.80000000000001</v>
      </c>
      <c r="T52" s="1439">
        <f t="shared" si="13"/>
        <v>156.83200000000002</v>
      </c>
    </row>
    <row r="53" spans="1:20">
      <c r="B53" s="1444" t="s">
        <v>1563</v>
      </c>
      <c r="E53" s="1443">
        <f t="shared" ref="E53" si="14">D47</f>
        <v>0.04</v>
      </c>
      <c r="F53" s="1443">
        <f>E53</f>
        <v>0.04</v>
      </c>
      <c r="G53" s="1443">
        <f t="shared" ref="G53:T53" si="15">F53</f>
        <v>0.04</v>
      </c>
      <c r="H53" s="1443">
        <f t="shared" si="15"/>
        <v>0.04</v>
      </c>
      <c r="I53" s="1443">
        <f t="shared" si="15"/>
        <v>0.04</v>
      </c>
      <c r="J53" s="1443">
        <f t="shared" si="15"/>
        <v>0.04</v>
      </c>
      <c r="K53" s="1443">
        <f t="shared" si="15"/>
        <v>0.04</v>
      </c>
      <c r="L53" s="1443">
        <f t="shared" si="15"/>
        <v>0.04</v>
      </c>
      <c r="M53" s="1443">
        <f t="shared" si="15"/>
        <v>0.04</v>
      </c>
      <c r="N53" s="1443">
        <f t="shared" si="15"/>
        <v>0.04</v>
      </c>
      <c r="O53" s="1443">
        <f t="shared" si="15"/>
        <v>0.04</v>
      </c>
      <c r="P53" s="1443">
        <f t="shared" si="15"/>
        <v>0.04</v>
      </c>
      <c r="Q53" s="1443">
        <f t="shared" si="15"/>
        <v>0.04</v>
      </c>
      <c r="R53" s="1443">
        <f t="shared" si="15"/>
        <v>0.04</v>
      </c>
      <c r="S53" s="1443">
        <f t="shared" si="15"/>
        <v>0.04</v>
      </c>
      <c r="T53" s="1443">
        <f t="shared" si="15"/>
        <v>0.04</v>
      </c>
    </row>
    <row r="54" spans="1:20">
      <c r="B54" s="1444" t="s">
        <v>1788</v>
      </c>
      <c r="C54" s="1440">
        <f>S5</f>
        <v>3175</v>
      </c>
      <c r="D54" s="1440">
        <f>D51*$C$54</f>
        <v>0</v>
      </c>
      <c r="E54" s="1440">
        <f t="shared" ref="E54:M54" si="16">E51*$C$54</f>
        <v>0</v>
      </c>
      <c r="F54" s="1440">
        <f t="shared" si="16"/>
        <v>0</v>
      </c>
      <c r="G54" s="1440">
        <f t="shared" si="16"/>
        <v>0</v>
      </c>
      <c r="H54" s="1440">
        <f t="shared" si="16"/>
        <v>0</v>
      </c>
      <c r="I54" s="1440">
        <f t="shared" si="16"/>
        <v>0</v>
      </c>
      <c r="J54" s="1440">
        <f t="shared" si="16"/>
        <v>0</v>
      </c>
      <c r="K54" s="1440">
        <f t="shared" si="16"/>
        <v>0</v>
      </c>
      <c r="L54" s="1440">
        <f t="shared" si="16"/>
        <v>0</v>
      </c>
      <c r="M54" s="1440">
        <f t="shared" si="16"/>
        <v>0</v>
      </c>
      <c r="N54" s="1440">
        <f t="shared" ref="N54:S54" si="17">N51*$C$54</f>
        <v>0</v>
      </c>
      <c r="O54" s="1440">
        <f t="shared" si="17"/>
        <v>0</v>
      </c>
      <c r="P54" s="1440">
        <f t="shared" si="17"/>
        <v>1111.25</v>
      </c>
      <c r="Q54" s="1440">
        <f t="shared" si="17"/>
        <v>857.25</v>
      </c>
      <c r="R54" s="1440">
        <f t="shared" si="17"/>
        <v>1206.5</v>
      </c>
      <c r="S54" s="1440">
        <f t="shared" si="17"/>
        <v>0</v>
      </c>
      <c r="T54" s="1440">
        <f t="shared" ref="T54" si="18">T51*$C$54</f>
        <v>0</v>
      </c>
    </row>
    <row r="55" spans="1:20">
      <c r="B55" s="1444"/>
      <c r="F55" s="1443"/>
      <c r="G55" s="1443"/>
    </row>
    <row r="56" spans="1:20" s="1407" customFormat="1">
      <c r="A56" s="1406">
        <v>2</v>
      </c>
      <c r="B56" s="1407" t="s">
        <v>794</v>
      </c>
      <c r="C56" s="1431" t="str">
        <f>C49</f>
        <v>Total</v>
      </c>
      <c r="D56" s="1431">
        <f t="shared" ref="D56:J56" si="19">D49</f>
        <v>2013</v>
      </c>
      <c r="E56" s="1431">
        <f t="shared" si="19"/>
        <v>2014</v>
      </c>
      <c r="F56" s="1431">
        <f t="shared" si="19"/>
        <v>2015</v>
      </c>
      <c r="G56" s="1431">
        <f t="shared" si="19"/>
        <v>2016</v>
      </c>
      <c r="H56" s="1431">
        <f t="shared" si="19"/>
        <v>2017</v>
      </c>
      <c r="I56" s="1431">
        <f t="shared" si="19"/>
        <v>2018</v>
      </c>
      <c r="J56" s="1431">
        <f t="shared" si="19"/>
        <v>2019</v>
      </c>
      <c r="K56" s="1431">
        <f t="shared" ref="K56:S56" si="20">K49</f>
        <v>2020</v>
      </c>
      <c r="L56" s="1431">
        <f t="shared" si="20"/>
        <v>2021</v>
      </c>
      <c r="M56" s="1431">
        <f t="shared" si="20"/>
        <v>2022</v>
      </c>
      <c r="N56" s="1431">
        <f t="shared" si="20"/>
        <v>2023</v>
      </c>
      <c r="O56" s="1431">
        <f t="shared" si="20"/>
        <v>2024</v>
      </c>
      <c r="P56" s="1431">
        <f t="shared" si="20"/>
        <v>2025</v>
      </c>
      <c r="Q56" s="1431">
        <f t="shared" si="20"/>
        <v>2026</v>
      </c>
      <c r="R56" s="1431">
        <f t="shared" si="20"/>
        <v>2027</v>
      </c>
      <c r="S56" s="1431">
        <f t="shared" si="20"/>
        <v>2028</v>
      </c>
      <c r="T56" s="1431">
        <f t="shared" ref="T56" si="21">T49</f>
        <v>2029</v>
      </c>
    </row>
    <row r="57" spans="1:20">
      <c r="B57" s="1432" t="s">
        <v>1586</v>
      </c>
      <c r="C57" s="1408">
        <f>C50</f>
        <v>35430.147249999995</v>
      </c>
      <c r="D57" s="1441">
        <f>$C$57*D58</f>
        <v>0</v>
      </c>
      <c r="E57" s="1441">
        <f t="shared" ref="E57:T57" si="22">$C$57*E58</f>
        <v>0</v>
      </c>
      <c r="F57" s="1441">
        <f t="shared" si="22"/>
        <v>0</v>
      </c>
      <c r="G57" s="1441">
        <f t="shared" si="22"/>
        <v>0</v>
      </c>
      <c r="H57" s="1441">
        <f t="shared" si="22"/>
        <v>0</v>
      </c>
      <c r="I57" s="1441">
        <f t="shared" si="22"/>
        <v>0</v>
      </c>
      <c r="J57" s="1441">
        <f t="shared" si="22"/>
        <v>0</v>
      </c>
      <c r="K57" s="1441">
        <f t="shared" si="22"/>
        <v>0</v>
      </c>
      <c r="L57" s="1441">
        <f t="shared" si="22"/>
        <v>0</v>
      </c>
      <c r="M57" s="1441">
        <f t="shared" si="22"/>
        <v>0</v>
      </c>
      <c r="N57" s="1441">
        <f t="shared" si="22"/>
        <v>0</v>
      </c>
      <c r="O57" s="1441">
        <f t="shared" si="22"/>
        <v>0</v>
      </c>
      <c r="P57" s="1441">
        <f t="shared" si="22"/>
        <v>0</v>
      </c>
      <c r="Q57" s="1441">
        <f t="shared" si="22"/>
        <v>0</v>
      </c>
      <c r="R57" s="1441">
        <f t="shared" si="22"/>
        <v>14172.058899999998</v>
      </c>
      <c r="S57" s="1441">
        <f t="shared" si="22"/>
        <v>17715.073624999997</v>
      </c>
      <c r="T57" s="1441">
        <f t="shared" si="22"/>
        <v>3543.0147249999995</v>
      </c>
    </row>
    <row r="58" spans="1:20">
      <c r="B58" s="1442" t="s">
        <v>794</v>
      </c>
      <c r="C58" s="1417">
        <f>SUM(D58:T58)</f>
        <v>1</v>
      </c>
      <c r="D58" s="1411">
        <v>0</v>
      </c>
      <c r="E58" s="1411">
        <v>0</v>
      </c>
      <c r="F58" s="1411">
        <v>0</v>
      </c>
      <c r="G58" s="1411">
        <v>0</v>
      </c>
      <c r="H58" s="1411">
        <v>0</v>
      </c>
      <c r="I58" s="1411">
        <v>0</v>
      </c>
      <c r="J58" s="1411">
        <v>0</v>
      </c>
      <c r="K58" s="1411">
        <v>0</v>
      </c>
      <c r="L58" s="1411">
        <v>0</v>
      </c>
      <c r="M58" s="1411">
        <v>0</v>
      </c>
      <c r="N58" s="1411">
        <v>0</v>
      </c>
      <c r="O58" s="1411">
        <v>0</v>
      </c>
      <c r="P58" s="1411">
        <v>0</v>
      </c>
      <c r="Q58" s="1411">
        <v>0</v>
      </c>
      <c r="R58" s="1411">
        <v>0.4</v>
      </c>
      <c r="S58" s="1411">
        <v>0.5</v>
      </c>
      <c r="T58" s="1411">
        <v>0.1</v>
      </c>
    </row>
    <row r="59" spans="1:20">
      <c r="B59" s="1442" t="s">
        <v>1777</v>
      </c>
      <c r="C59" s="1410">
        <f>C54</f>
        <v>3175</v>
      </c>
      <c r="D59" s="1410">
        <f>D58*$C$59</f>
        <v>0</v>
      </c>
      <c r="E59" s="1410">
        <f t="shared" ref="E59:M59" si="23">E58*$C$59</f>
        <v>0</v>
      </c>
      <c r="F59" s="1410">
        <f t="shared" si="23"/>
        <v>0</v>
      </c>
      <c r="G59" s="1410">
        <f t="shared" si="23"/>
        <v>0</v>
      </c>
      <c r="H59" s="1410">
        <f t="shared" si="23"/>
        <v>0</v>
      </c>
      <c r="I59" s="1410">
        <f t="shared" si="23"/>
        <v>0</v>
      </c>
      <c r="J59" s="1410">
        <f t="shared" si="23"/>
        <v>0</v>
      </c>
      <c r="K59" s="1410">
        <f t="shared" si="23"/>
        <v>0</v>
      </c>
      <c r="L59" s="1410">
        <f t="shared" si="23"/>
        <v>0</v>
      </c>
      <c r="M59" s="1410">
        <f t="shared" si="23"/>
        <v>0</v>
      </c>
      <c r="N59" s="1410">
        <f t="shared" ref="N59:S59" si="24">N58*$C$59</f>
        <v>0</v>
      </c>
      <c r="O59" s="1410">
        <f t="shared" si="24"/>
        <v>0</v>
      </c>
      <c r="P59" s="1410">
        <f t="shared" si="24"/>
        <v>0</v>
      </c>
      <c r="Q59" s="1410">
        <f t="shared" si="24"/>
        <v>0</v>
      </c>
      <c r="R59" s="1410">
        <f t="shared" si="24"/>
        <v>1270</v>
      </c>
      <c r="S59" s="1410">
        <f t="shared" si="24"/>
        <v>1587.5</v>
      </c>
      <c r="T59" s="1410">
        <f t="shared" ref="T59" si="25">T58*$C$59</f>
        <v>317.5</v>
      </c>
    </row>
    <row r="60" spans="1:20">
      <c r="B60" s="1444"/>
      <c r="C60" s="1425"/>
      <c r="D60" s="1433"/>
      <c r="E60" s="1433"/>
      <c r="F60" s="1433"/>
      <c r="G60" s="1433"/>
    </row>
    <row r="61" spans="1:20">
      <c r="C61" s="1440"/>
      <c r="D61" s="1440"/>
      <c r="E61" s="1440"/>
      <c r="F61" s="1440"/>
      <c r="G61" s="1440"/>
      <c r="O61" s="1440">
        <f>I50-I63</f>
        <v>0</v>
      </c>
    </row>
    <row r="62" spans="1:20" s="1407" customFormat="1">
      <c r="A62" s="1406">
        <v>3</v>
      </c>
      <c r="B62" s="1407" t="s">
        <v>1175</v>
      </c>
      <c r="C62" s="1431" t="str">
        <f>C56</f>
        <v>Total</v>
      </c>
      <c r="D62" s="1431">
        <f t="shared" ref="D62:J62" si="26">D56</f>
        <v>2013</v>
      </c>
      <c r="E62" s="1431">
        <f t="shared" si="26"/>
        <v>2014</v>
      </c>
      <c r="F62" s="1431">
        <f t="shared" si="26"/>
        <v>2015</v>
      </c>
      <c r="G62" s="1431">
        <f t="shared" si="26"/>
        <v>2016</v>
      </c>
      <c r="H62" s="1431">
        <f t="shared" si="26"/>
        <v>2017</v>
      </c>
      <c r="I62" s="1431">
        <f t="shared" si="26"/>
        <v>2018</v>
      </c>
      <c r="J62" s="1431">
        <f t="shared" si="26"/>
        <v>2019</v>
      </c>
      <c r="K62" s="1431">
        <f t="shared" ref="K62:S62" si="27">K56</f>
        <v>2020</v>
      </c>
      <c r="L62" s="1431">
        <f t="shared" si="27"/>
        <v>2021</v>
      </c>
      <c r="M62" s="1431">
        <f t="shared" si="27"/>
        <v>2022</v>
      </c>
      <c r="N62" s="1431">
        <f t="shared" si="27"/>
        <v>2023</v>
      </c>
      <c r="O62" s="1431">
        <f t="shared" si="27"/>
        <v>2024</v>
      </c>
      <c r="P62" s="1431">
        <f t="shared" si="27"/>
        <v>2025</v>
      </c>
      <c r="Q62" s="1431">
        <f t="shared" si="27"/>
        <v>2026</v>
      </c>
      <c r="R62" s="1431">
        <f t="shared" si="27"/>
        <v>2027</v>
      </c>
      <c r="S62" s="1431">
        <f t="shared" si="27"/>
        <v>2028</v>
      </c>
      <c r="T62" s="1431">
        <f t="shared" ref="T62" si="28">T56</f>
        <v>2029</v>
      </c>
    </row>
    <row r="63" spans="1:20">
      <c r="B63" s="1432"/>
      <c r="C63" s="1441">
        <f>SUM(D63:T63)</f>
        <v>35430.147249999995</v>
      </c>
      <c r="D63" s="1408"/>
      <c r="E63" s="1408"/>
      <c r="F63" s="1408">
        <f>D50*$D66+E50*$D65+F50*$D64</f>
        <v>0</v>
      </c>
      <c r="G63" s="1408">
        <f>E50*$D66+F50*$D65+G50*$D64</f>
        <v>0</v>
      </c>
      <c r="H63" s="1408">
        <f t="shared" ref="H63:M63" si="29">F50*$D66+G50*$D65+H50*$D64</f>
        <v>0</v>
      </c>
      <c r="I63" s="1408">
        <f>I54*0.25</f>
        <v>0</v>
      </c>
      <c r="J63" s="1408">
        <v>0</v>
      </c>
      <c r="K63" s="1408">
        <v>0</v>
      </c>
      <c r="L63" s="1408">
        <f t="shared" si="29"/>
        <v>0</v>
      </c>
      <c r="M63" s="1408">
        <f t="shared" si="29"/>
        <v>0</v>
      </c>
      <c r="N63" s="1408">
        <f t="shared" ref="N63:T63" si="30">L50*$D66+M50*$D65+N50*$D64</f>
        <v>0</v>
      </c>
      <c r="O63" s="1408">
        <f>M50*$D66+N50*$D65+O50*$D64+O61/3</f>
        <v>0</v>
      </c>
      <c r="P63" s="1408">
        <f>N50*$D66+O50*$D65+P50*$D64+O61/3</f>
        <v>3342.7169999999996</v>
      </c>
      <c r="Q63" s="1408">
        <f>O50*$D66+P50*$D65+Q50*$D64+O61/3</f>
        <v>6243.7178249999997</v>
      </c>
      <c r="R63" s="1408">
        <f t="shared" si="30"/>
        <v>11743.283174999999</v>
      </c>
      <c r="S63" s="1408">
        <f t="shared" si="30"/>
        <v>8253.3274499999989</v>
      </c>
      <c r="T63" s="1408">
        <f t="shared" si="30"/>
        <v>5847.1018000000004</v>
      </c>
    </row>
    <row r="64" spans="1:20">
      <c r="B64" s="1431" t="s">
        <v>797</v>
      </c>
      <c r="C64" s="1440" t="s">
        <v>798</v>
      </c>
      <c r="D64" s="1416">
        <v>0.3</v>
      </c>
      <c r="E64" s="1440"/>
      <c r="F64" s="1440"/>
      <c r="G64" s="1440"/>
    </row>
    <row r="65" spans="1:20">
      <c r="C65" s="1440" t="s">
        <v>799</v>
      </c>
      <c r="D65" s="1416">
        <v>0.3</v>
      </c>
      <c r="E65" s="1440"/>
      <c r="F65" s="1440"/>
      <c r="G65" s="1440"/>
    </row>
    <row r="66" spans="1:20">
      <c r="C66" s="1440" t="s">
        <v>800</v>
      </c>
      <c r="D66" s="1417">
        <f>1-SUM(D64:D65)</f>
        <v>0.4</v>
      </c>
      <c r="E66" s="1440"/>
      <c r="F66" s="1440"/>
      <c r="G66" s="1440"/>
    </row>
    <row r="67" spans="1:20">
      <c r="C67" s="1440"/>
      <c r="D67" s="1416"/>
      <c r="E67" s="1440"/>
      <c r="F67" s="1440"/>
      <c r="G67" s="1440"/>
    </row>
    <row r="68" spans="1:20">
      <c r="C68" s="1440"/>
      <c r="D68" s="1416"/>
      <c r="E68" s="1440"/>
      <c r="F68" s="1440"/>
      <c r="G68" s="1440"/>
    </row>
    <row r="69" spans="1:20" s="1407" customFormat="1">
      <c r="A69" s="1406">
        <v>4</v>
      </c>
      <c r="B69" s="1407" t="s">
        <v>1462</v>
      </c>
      <c r="C69" s="1440" t="str">
        <f>C62</f>
        <v>Total</v>
      </c>
      <c r="D69" s="1431">
        <f t="shared" ref="D69:J69" si="31">D62</f>
        <v>2013</v>
      </c>
      <c r="E69" s="1431">
        <f t="shared" si="31"/>
        <v>2014</v>
      </c>
      <c r="F69" s="1431">
        <f t="shared" si="31"/>
        <v>2015</v>
      </c>
      <c r="G69" s="1431">
        <f t="shared" si="31"/>
        <v>2016</v>
      </c>
      <c r="H69" s="1431">
        <f t="shared" si="31"/>
        <v>2017</v>
      </c>
      <c r="I69" s="1431">
        <f t="shared" si="31"/>
        <v>2018</v>
      </c>
      <c r="J69" s="1431">
        <f t="shared" si="31"/>
        <v>2019</v>
      </c>
      <c r="K69" s="1431">
        <f t="shared" ref="K69:S69" si="32">K62</f>
        <v>2020</v>
      </c>
      <c r="L69" s="1431">
        <f t="shared" si="32"/>
        <v>2021</v>
      </c>
      <c r="M69" s="1431">
        <f t="shared" si="32"/>
        <v>2022</v>
      </c>
      <c r="N69" s="1431">
        <f t="shared" si="32"/>
        <v>2023</v>
      </c>
      <c r="O69" s="1431">
        <f t="shared" si="32"/>
        <v>2024</v>
      </c>
      <c r="P69" s="1431">
        <f t="shared" si="32"/>
        <v>2025</v>
      </c>
      <c r="Q69" s="1431">
        <f t="shared" si="32"/>
        <v>2026</v>
      </c>
      <c r="R69" s="1431">
        <f t="shared" si="32"/>
        <v>2027</v>
      </c>
      <c r="S69" s="1431">
        <f t="shared" si="32"/>
        <v>2028</v>
      </c>
      <c r="T69" s="1431">
        <f t="shared" ref="T69" si="33">T62</f>
        <v>2029</v>
      </c>
    </row>
    <row r="70" spans="1:20">
      <c r="B70" s="1432" t="s">
        <v>1566</v>
      </c>
      <c r="C70" s="1441">
        <f>D40*D44/1000</f>
        <v>6000</v>
      </c>
      <c r="D70" s="1408">
        <f>$C$70*D71</f>
        <v>0</v>
      </c>
      <c r="E70" s="1408">
        <f t="shared" ref="E70:T70" si="34">$C$70*E71</f>
        <v>0</v>
      </c>
      <c r="F70" s="1408">
        <f t="shared" si="34"/>
        <v>0</v>
      </c>
      <c r="G70" s="1408">
        <f t="shared" si="34"/>
        <v>0</v>
      </c>
      <c r="H70" s="1408">
        <f t="shared" si="34"/>
        <v>0</v>
      </c>
      <c r="I70" s="1408">
        <f t="shared" si="34"/>
        <v>0</v>
      </c>
      <c r="J70" s="1408">
        <f t="shared" si="34"/>
        <v>0</v>
      </c>
      <c r="K70" s="1408">
        <f t="shared" si="34"/>
        <v>0</v>
      </c>
      <c r="L70" s="1408">
        <f t="shared" si="34"/>
        <v>0</v>
      </c>
      <c r="M70" s="1408">
        <f t="shared" si="34"/>
        <v>0</v>
      </c>
      <c r="N70" s="1408">
        <f t="shared" si="34"/>
        <v>600</v>
      </c>
      <c r="O70" s="1408">
        <f t="shared" si="34"/>
        <v>0</v>
      </c>
      <c r="P70" s="1408">
        <f t="shared" si="34"/>
        <v>1800</v>
      </c>
      <c r="Q70" s="1408">
        <f t="shared" si="34"/>
        <v>2400</v>
      </c>
      <c r="R70" s="1408">
        <f t="shared" si="34"/>
        <v>1200</v>
      </c>
      <c r="S70" s="1408">
        <f t="shared" si="34"/>
        <v>0</v>
      </c>
      <c r="T70" s="1408">
        <f t="shared" si="34"/>
        <v>0</v>
      </c>
    </row>
    <row r="71" spans="1:20">
      <c r="B71" s="1431" t="s">
        <v>1559</v>
      </c>
      <c r="C71" s="1436">
        <f>SUM(D71:T71)</f>
        <v>1</v>
      </c>
      <c r="D71" s="1416">
        <v>0</v>
      </c>
      <c r="E71" s="1416">
        <v>0</v>
      </c>
      <c r="F71" s="1416">
        <v>0</v>
      </c>
      <c r="G71" s="1416">
        <v>0</v>
      </c>
      <c r="H71" s="1416">
        <v>0</v>
      </c>
      <c r="I71" s="1416">
        <v>0</v>
      </c>
      <c r="J71" s="1416">
        <v>0</v>
      </c>
      <c r="K71" s="1416">
        <v>0</v>
      </c>
      <c r="L71" s="1416">
        <v>0</v>
      </c>
      <c r="M71" s="1416">
        <v>0</v>
      </c>
      <c r="N71" s="1416">
        <v>0.1</v>
      </c>
      <c r="O71" s="1416">
        <v>0</v>
      </c>
      <c r="P71" s="1416">
        <v>0.3</v>
      </c>
      <c r="Q71" s="1416">
        <v>0.4</v>
      </c>
      <c r="R71" s="1416">
        <v>0.2</v>
      </c>
      <c r="S71" s="1416">
        <v>0</v>
      </c>
      <c r="T71" s="1416">
        <v>0</v>
      </c>
    </row>
    <row r="72" spans="1:20">
      <c r="C72" s="1433"/>
      <c r="D72" s="1425"/>
      <c r="E72" s="1425"/>
      <c r="F72" s="1424"/>
      <c r="G72" s="1424"/>
      <c r="H72" s="1435"/>
    </row>
    <row r="73" spans="1:20">
      <c r="C73" s="1433"/>
      <c r="D73" s="1424"/>
      <c r="E73" s="1424"/>
      <c r="F73" s="1424"/>
      <c r="G73" s="1424"/>
    </row>
    <row r="74" spans="1:20">
      <c r="A74" s="1406">
        <v>5</v>
      </c>
      <c r="B74" s="1407" t="s">
        <v>1466</v>
      </c>
      <c r="C74" s="1431" t="str">
        <f>C69</f>
        <v>Total</v>
      </c>
      <c r="D74" s="1431">
        <f t="shared" ref="D74:I74" si="35">D69</f>
        <v>2013</v>
      </c>
      <c r="E74" s="1431">
        <f t="shared" si="35"/>
        <v>2014</v>
      </c>
      <c r="F74" s="1431">
        <f t="shared" si="35"/>
        <v>2015</v>
      </c>
      <c r="G74" s="1431">
        <f t="shared" si="35"/>
        <v>2016</v>
      </c>
      <c r="H74" s="1431">
        <f t="shared" si="35"/>
        <v>2017</v>
      </c>
      <c r="I74" s="1431">
        <f t="shared" si="35"/>
        <v>2018</v>
      </c>
      <c r="J74" s="1431">
        <f t="shared" ref="J74:T74" si="36">I74+1</f>
        <v>2019</v>
      </c>
      <c r="K74" s="1431">
        <f t="shared" si="36"/>
        <v>2020</v>
      </c>
      <c r="L74" s="1431">
        <f t="shared" si="36"/>
        <v>2021</v>
      </c>
      <c r="M74" s="1431">
        <f t="shared" si="36"/>
        <v>2022</v>
      </c>
      <c r="N74" s="1431">
        <f t="shared" si="36"/>
        <v>2023</v>
      </c>
      <c r="O74" s="1431">
        <f t="shared" si="36"/>
        <v>2024</v>
      </c>
      <c r="P74" s="1431">
        <f t="shared" si="36"/>
        <v>2025</v>
      </c>
      <c r="Q74" s="1431">
        <f t="shared" si="36"/>
        <v>2026</v>
      </c>
      <c r="R74" s="1431">
        <f t="shared" si="36"/>
        <v>2027</v>
      </c>
      <c r="S74" s="1431">
        <f t="shared" si="36"/>
        <v>2028</v>
      </c>
      <c r="T74" s="1431">
        <f t="shared" si="36"/>
        <v>2029</v>
      </c>
    </row>
    <row r="75" spans="1:20">
      <c r="B75" s="1432" t="s">
        <v>1567</v>
      </c>
      <c r="C75" s="1441">
        <f>$C$70*C58</f>
        <v>6000</v>
      </c>
      <c r="D75" s="1441">
        <f t="shared" ref="D75:M75" si="37">$C$70*D58</f>
        <v>0</v>
      </c>
      <c r="E75" s="1441">
        <f t="shared" si="37"/>
        <v>0</v>
      </c>
      <c r="F75" s="1441">
        <f t="shared" si="37"/>
        <v>0</v>
      </c>
      <c r="G75" s="1441">
        <f t="shared" si="37"/>
        <v>0</v>
      </c>
      <c r="H75" s="1441">
        <f t="shared" si="37"/>
        <v>0</v>
      </c>
      <c r="I75" s="1441">
        <f t="shared" si="37"/>
        <v>0</v>
      </c>
      <c r="J75" s="1441">
        <f t="shared" si="37"/>
        <v>0</v>
      </c>
      <c r="K75" s="1441">
        <f t="shared" si="37"/>
        <v>0</v>
      </c>
      <c r="L75" s="1441">
        <f t="shared" si="37"/>
        <v>0</v>
      </c>
      <c r="M75" s="1441">
        <f t="shared" si="37"/>
        <v>0</v>
      </c>
      <c r="N75" s="1441">
        <f t="shared" ref="N75:S75" si="38">$C$70*N58</f>
        <v>0</v>
      </c>
      <c r="O75" s="1441">
        <f t="shared" si="38"/>
        <v>0</v>
      </c>
      <c r="P75" s="1441">
        <f t="shared" si="38"/>
        <v>0</v>
      </c>
      <c r="Q75" s="1441">
        <f t="shared" si="38"/>
        <v>0</v>
      </c>
      <c r="R75" s="1441">
        <f t="shared" si="38"/>
        <v>2400</v>
      </c>
      <c r="S75" s="1441">
        <f t="shared" si="38"/>
        <v>3000</v>
      </c>
      <c r="T75" s="1441">
        <f t="shared" ref="T75" si="39">$C$70*T58</f>
        <v>600</v>
      </c>
    </row>
    <row r="76" spans="1:20">
      <c r="B76" s="1431" t="s">
        <v>803</v>
      </c>
      <c r="C76" s="1440">
        <f>$E$32*C58</f>
        <v>3249.6669999999999</v>
      </c>
      <c r="D76" s="1440">
        <f t="shared" ref="D76:M76" si="40">$E$32*D58</f>
        <v>0</v>
      </c>
      <c r="E76" s="1440">
        <f t="shared" si="40"/>
        <v>0</v>
      </c>
      <c r="F76" s="1440">
        <f t="shared" si="40"/>
        <v>0</v>
      </c>
      <c r="G76" s="1440">
        <f t="shared" si="40"/>
        <v>0</v>
      </c>
      <c r="H76" s="1440">
        <f t="shared" si="40"/>
        <v>0</v>
      </c>
      <c r="I76" s="1440">
        <f t="shared" si="40"/>
        <v>0</v>
      </c>
      <c r="J76" s="1440">
        <f t="shared" si="40"/>
        <v>0</v>
      </c>
      <c r="K76" s="1440">
        <f t="shared" si="40"/>
        <v>0</v>
      </c>
      <c r="L76" s="1440">
        <f t="shared" si="40"/>
        <v>0</v>
      </c>
      <c r="M76" s="1440">
        <f t="shared" si="40"/>
        <v>0</v>
      </c>
      <c r="N76" s="1440">
        <f t="shared" ref="N76:S76" si="41">$E$32*N58</f>
        <v>0</v>
      </c>
      <c r="O76" s="1440">
        <f t="shared" si="41"/>
        <v>0</v>
      </c>
      <c r="P76" s="1440">
        <f t="shared" si="41"/>
        <v>0</v>
      </c>
      <c r="Q76" s="1440">
        <f t="shared" si="41"/>
        <v>0</v>
      </c>
      <c r="R76" s="1440">
        <f t="shared" si="41"/>
        <v>1299.8668</v>
      </c>
      <c r="S76" s="1440">
        <f t="shared" si="41"/>
        <v>1624.8335</v>
      </c>
      <c r="T76" s="1440">
        <f t="shared" ref="T76" si="42">$E$32*T58</f>
        <v>324.9667</v>
      </c>
    </row>
    <row r="77" spans="1:20" s="1447" customFormat="1">
      <c r="A77" s="1459"/>
      <c r="B77" s="1447" t="s">
        <v>804</v>
      </c>
      <c r="C77" s="1458">
        <f>SUMIF(D113:S113,"&lt;="&amp;D11,D119:S119)</f>
        <v>1747.7026904999998</v>
      </c>
      <c r="D77" s="1410">
        <f t="shared" ref="D77:J77" si="43">$C$77*D58</f>
        <v>0</v>
      </c>
      <c r="E77" s="1410">
        <f t="shared" si="43"/>
        <v>0</v>
      </c>
      <c r="F77" s="1410">
        <f t="shared" si="43"/>
        <v>0</v>
      </c>
      <c r="G77" s="1410">
        <f t="shared" si="43"/>
        <v>0</v>
      </c>
      <c r="H77" s="1410">
        <f t="shared" si="43"/>
        <v>0</v>
      </c>
      <c r="I77" s="1410">
        <f t="shared" si="43"/>
        <v>0</v>
      </c>
      <c r="J77" s="1410">
        <f t="shared" si="43"/>
        <v>0</v>
      </c>
      <c r="K77" s="1410">
        <f t="shared" ref="K77:S77" si="44">$C$77*K58</f>
        <v>0</v>
      </c>
      <c r="L77" s="1410">
        <f t="shared" si="44"/>
        <v>0</v>
      </c>
      <c r="M77" s="1410">
        <f t="shared" si="44"/>
        <v>0</v>
      </c>
      <c r="N77" s="1410">
        <f t="shared" si="44"/>
        <v>0</v>
      </c>
      <c r="O77" s="1410">
        <f t="shared" si="44"/>
        <v>0</v>
      </c>
      <c r="P77" s="1410">
        <f t="shared" si="44"/>
        <v>0</v>
      </c>
      <c r="Q77" s="1410">
        <f t="shared" si="44"/>
        <v>0</v>
      </c>
      <c r="R77" s="1410">
        <f t="shared" si="44"/>
        <v>699.08107619999998</v>
      </c>
      <c r="S77" s="1410">
        <f t="shared" si="44"/>
        <v>873.85134524999989</v>
      </c>
      <c r="T77" s="1410">
        <f t="shared" ref="T77" si="45">$C$77*T58</f>
        <v>174.77026905</v>
      </c>
    </row>
    <row r="78" spans="1:20" s="1447" customFormat="1">
      <c r="A78" s="1459"/>
      <c r="B78" s="1447" t="s">
        <v>805</v>
      </c>
      <c r="C78" s="1410">
        <f>SUM(D78:T78)</f>
        <v>0</v>
      </c>
      <c r="D78" s="1410">
        <f t="shared" ref="D78:M78" si="46">IF(D74&gt;$D$11,D119,0)</f>
        <v>0</v>
      </c>
      <c r="E78" s="1410">
        <f t="shared" si="46"/>
        <v>0</v>
      </c>
      <c r="F78" s="1410">
        <f t="shared" si="46"/>
        <v>0</v>
      </c>
      <c r="G78" s="1410">
        <f t="shared" si="46"/>
        <v>0</v>
      </c>
      <c r="H78" s="1410">
        <f t="shared" si="46"/>
        <v>0</v>
      </c>
      <c r="I78" s="1410">
        <f t="shared" si="46"/>
        <v>0</v>
      </c>
      <c r="J78" s="1410">
        <f t="shared" si="46"/>
        <v>0</v>
      </c>
      <c r="K78" s="1410">
        <f t="shared" si="46"/>
        <v>0</v>
      </c>
      <c r="L78" s="1410">
        <f t="shared" si="46"/>
        <v>0</v>
      </c>
      <c r="M78" s="1410">
        <f t="shared" si="46"/>
        <v>0</v>
      </c>
      <c r="N78" s="1410">
        <f t="shared" ref="N78:S78" si="47">IF(N74&gt;$D$11,N119,0)</f>
        <v>0</v>
      </c>
      <c r="O78" s="1410">
        <f t="shared" si="47"/>
        <v>0</v>
      </c>
      <c r="P78" s="1410">
        <f t="shared" si="47"/>
        <v>0</v>
      </c>
      <c r="Q78" s="1410">
        <f>IF(Q74&gt;$D$11,Q119,0)</f>
        <v>0</v>
      </c>
      <c r="R78" s="1410">
        <f t="shared" si="47"/>
        <v>0</v>
      </c>
      <c r="S78" s="1410">
        <f t="shared" si="47"/>
        <v>0</v>
      </c>
      <c r="T78" s="1410">
        <f t="shared" ref="T78" si="48">IF(T74&gt;$D$11,T119,0)</f>
        <v>0</v>
      </c>
    </row>
    <row r="79" spans="1:20">
      <c r="B79" s="1431" t="s">
        <v>656</v>
      </c>
      <c r="C79" s="1440">
        <f>$D$46*C57</f>
        <v>5314.5220874999986</v>
      </c>
      <c r="D79" s="1440">
        <f t="shared" ref="D79:J79" si="49">$D$46*D57</f>
        <v>0</v>
      </c>
      <c r="E79" s="1440">
        <f t="shared" si="49"/>
        <v>0</v>
      </c>
      <c r="F79" s="1440">
        <f t="shared" si="49"/>
        <v>0</v>
      </c>
      <c r="G79" s="1440">
        <f t="shared" si="49"/>
        <v>0</v>
      </c>
      <c r="H79" s="1440">
        <f t="shared" si="49"/>
        <v>0</v>
      </c>
      <c r="I79" s="1440">
        <f t="shared" si="49"/>
        <v>0</v>
      </c>
      <c r="J79" s="1440">
        <f t="shared" si="49"/>
        <v>0</v>
      </c>
      <c r="K79" s="1440">
        <f t="shared" ref="K79:S79" si="50">$D$46*K57</f>
        <v>0</v>
      </c>
      <c r="L79" s="1440">
        <f t="shared" si="50"/>
        <v>0</v>
      </c>
      <c r="M79" s="1440">
        <f t="shared" si="50"/>
        <v>0</v>
      </c>
      <c r="N79" s="1440">
        <f t="shared" si="50"/>
        <v>0</v>
      </c>
      <c r="O79" s="1440">
        <f t="shared" si="50"/>
        <v>0</v>
      </c>
      <c r="P79" s="1440">
        <f t="shared" si="50"/>
        <v>0</v>
      </c>
      <c r="Q79" s="1440">
        <f t="shared" si="50"/>
        <v>0</v>
      </c>
      <c r="R79" s="1440">
        <f t="shared" si="50"/>
        <v>2125.8088349999998</v>
      </c>
      <c r="S79" s="1440">
        <f t="shared" si="50"/>
        <v>2657.2610437499993</v>
      </c>
      <c r="T79" s="1440">
        <f t="shared" ref="T79" si="51">$D$46*T57</f>
        <v>531.45220874999995</v>
      </c>
    </row>
    <row r="80" spans="1:20">
      <c r="C80" s="1440"/>
      <c r="D80" s="1440"/>
      <c r="E80" s="1440"/>
      <c r="F80" s="1440"/>
      <c r="G80" s="1440"/>
    </row>
    <row r="82" spans="1:20" s="1407" customFormat="1">
      <c r="A82" s="1406">
        <v>6</v>
      </c>
      <c r="B82" s="1407" t="s">
        <v>878</v>
      </c>
      <c r="C82" s="1431" t="str">
        <f>C74</f>
        <v>Total</v>
      </c>
      <c r="D82" s="1431">
        <f t="shared" ref="D82:J82" si="52">D74</f>
        <v>2013</v>
      </c>
      <c r="E82" s="1431">
        <f t="shared" si="52"/>
        <v>2014</v>
      </c>
      <c r="F82" s="1431">
        <f t="shared" si="52"/>
        <v>2015</v>
      </c>
      <c r="G82" s="1431">
        <f t="shared" si="52"/>
        <v>2016</v>
      </c>
      <c r="H82" s="1431">
        <f t="shared" si="52"/>
        <v>2017</v>
      </c>
      <c r="I82" s="1431">
        <f t="shared" si="52"/>
        <v>2018</v>
      </c>
      <c r="J82" s="1431">
        <f t="shared" si="52"/>
        <v>2019</v>
      </c>
      <c r="K82" s="1431">
        <f t="shared" ref="K82:S82" si="53">K74</f>
        <v>2020</v>
      </c>
      <c r="L82" s="1431">
        <f t="shared" si="53"/>
        <v>2021</v>
      </c>
      <c r="M82" s="1431">
        <f t="shared" si="53"/>
        <v>2022</v>
      </c>
      <c r="N82" s="1431">
        <f t="shared" si="53"/>
        <v>2023</v>
      </c>
      <c r="O82" s="1431">
        <f t="shared" si="53"/>
        <v>2024</v>
      </c>
      <c r="P82" s="1431">
        <f t="shared" si="53"/>
        <v>2025</v>
      </c>
      <c r="Q82" s="1431">
        <f t="shared" si="53"/>
        <v>2026</v>
      </c>
      <c r="R82" s="1431">
        <f t="shared" si="53"/>
        <v>2027</v>
      </c>
      <c r="S82" s="1431">
        <f t="shared" si="53"/>
        <v>2028</v>
      </c>
      <c r="T82" s="1431">
        <f t="shared" ref="T82" si="54">T74</f>
        <v>2029</v>
      </c>
    </row>
    <row r="83" spans="1:20">
      <c r="B83" s="1432" t="s">
        <v>26</v>
      </c>
      <c r="C83" s="1441">
        <f t="shared" ref="C83:J83" si="55">C57</f>
        <v>35430.147249999995</v>
      </c>
      <c r="D83" s="1441">
        <f t="shared" si="55"/>
        <v>0</v>
      </c>
      <c r="E83" s="1441">
        <f t="shared" si="55"/>
        <v>0</v>
      </c>
      <c r="F83" s="1441">
        <f t="shared" si="55"/>
        <v>0</v>
      </c>
      <c r="G83" s="1441">
        <f t="shared" si="55"/>
        <v>0</v>
      </c>
      <c r="H83" s="1441">
        <f t="shared" si="55"/>
        <v>0</v>
      </c>
      <c r="I83" s="1441">
        <f t="shared" si="55"/>
        <v>0</v>
      </c>
      <c r="J83" s="1441">
        <f t="shared" si="55"/>
        <v>0</v>
      </c>
      <c r="K83" s="1441">
        <f t="shared" ref="K83:S83" si="56">K57</f>
        <v>0</v>
      </c>
      <c r="L83" s="1441">
        <f t="shared" si="56"/>
        <v>0</v>
      </c>
      <c r="M83" s="1441">
        <f t="shared" si="56"/>
        <v>0</v>
      </c>
      <c r="N83" s="1441">
        <f t="shared" si="56"/>
        <v>0</v>
      </c>
      <c r="O83" s="1441">
        <f t="shared" si="56"/>
        <v>0</v>
      </c>
      <c r="P83" s="1441">
        <f t="shared" si="56"/>
        <v>0</v>
      </c>
      <c r="Q83" s="1441">
        <f>Q57</f>
        <v>0</v>
      </c>
      <c r="R83" s="1441">
        <f t="shared" si="56"/>
        <v>14172.058899999998</v>
      </c>
      <c r="S83" s="1441">
        <f t="shared" si="56"/>
        <v>17715.073624999997</v>
      </c>
      <c r="T83" s="1441">
        <f t="shared" ref="T83" si="57">T57</f>
        <v>3543.0147249999995</v>
      </c>
    </row>
    <row r="84" spans="1:20">
      <c r="B84" s="1431" t="s">
        <v>432</v>
      </c>
      <c r="C84" s="1440">
        <f>SUM(C75:C77)</f>
        <v>10997.3696905</v>
      </c>
      <c r="D84" s="1440">
        <f>SUM(D75:D77)</f>
        <v>0</v>
      </c>
      <c r="E84" s="1440">
        <f t="shared" ref="E84:J84" si="58">SUM(E75:E77)</f>
        <v>0</v>
      </c>
      <c r="F84" s="1440">
        <f t="shared" si="58"/>
        <v>0</v>
      </c>
      <c r="G84" s="1440">
        <f t="shared" si="58"/>
        <v>0</v>
      </c>
      <c r="H84" s="1440">
        <f t="shared" si="58"/>
        <v>0</v>
      </c>
      <c r="I84" s="1440">
        <f t="shared" si="58"/>
        <v>0</v>
      </c>
      <c r="J84" s="1440">
        <f t="shared" si="58"/>
        <v>0</v>
      </c>
      <c r="K84" s="1440">
        <f t="shared" ref="K84:S84" si="59">SUM(K75:K77)</f>
        <v>0</v>
      </c>
      <c r="L84" s="1440">
        <f t="shared" si="59"/>
        <v>0</v>
      </c>
      <c r="M84" s="1440">
        <f t="shared" si="59"/>
        <v>0</v>
      </c>
      <c r="N84" s="1440">
        <f t="shared" si="59"/>
        <v>0</v>
      </c>
      <c r="O84" s="1440">
        <f t="shared" si="59"/>
        <v>0</v>
      </c>
      <c r="P84" s="1440">
        <f t="shared" si="59"/>
        <v>0</v>
      </c>
      <c r="Q84" s="1440">
        <f t="shared" si="59"/>
        <v>0</v>
      </c>
      <c r="R84" s="1440">
        <f t="shared" si="59"/>
        <v>4398.9478761999999</v>
      </c>
      <c r="S84" s="1440">
        <f t="shared" si="59"/>
        <v>5498.6848452499999</v>
      </c>
      <c r="T84" s="1440">
        <f t="shared" ref="T84" si="60">SUM(T75:T77)</f>
        <v>1099.73696905</v>
      </c>
    </row>
    <row r="85" spans="1:20">
      <c r="B85" s="1431" t="s">
        <v>28</v>
      </c>
      <c r="C85" s="1440">
        <f>C83-C84</f>
        <v>24432.777559499995</v>
      </c>
      <c r="D85" s="1440">
        <f t="shared" ref="D85:M85" si="61">D83-D84</f>
        <v>0</v>
      </c>
      <c r="E85" s="1440">
        <f t="shared" si="61"/>
        <v>0</v>
      </c>
      <c r="F85" s="1440">
        <f t="shared" si="61"/>
        <v>0</v>
      </c>
      <c r="G85" s="1440">
        <f t="shared" si="61"/>
        <v>0</v>
      </c>
      <c r="H85" s="1440">
        <f t="shared" si="61"/>
        <v>0</v>
      </c>
      <c r="I85" s="1440">
        <f t="shared" si="61"/>
        <v>0</v>
      </c>
      <c r="J85" s="1440">
        <f t="shared" si="61"/>
        <v>0</v>
      </c>
      <c r="K85" s="1440">
        <f t="shared" si="61"/>
        <v>0</v>
      </c>
      <c r="L85" s="1440">
        <f t="shared" si="61"/>
        <v>0</v>
      </c>
      <c r="M85" s="1440">
        <f t="shared" si="61"/>
        <v>0</v>
      </c>
      <c r="N85" s="1440">
        <f t="shared" ref="N85:S85" si="62">N83-N84</f>
        <v>0</v>
      </c>
      <c r="O85" s="1440">
        <f t="shared" si="62"/>
        <v>0</v>
      </c>
      <c r="P85" s="1440">
        <f t="shared" si="62"/>
        <v>0</v>
      </c>
      <c r="Q85" s="1440">
        <f t="shared" si="62"/>
        <v>0</v>
      </c>
      <c r="R85" s="1440">
        <f t="shared" si="62"/>
        <v>9773.1110237999983</v>
      </c>
      <c r="S85" s="1440">
        <f t="shared" si="62"/>
        <v>12216.388779749997</v>
      </c>
      <c r="T85" s="1440">
        <f t="shared" ref="T85" si="63">T83-T84</f>
        <v>2443.2777559499996</v>
      </c>
    </row>
    <row r="86" spans="1:20">
      <c r="B86" s="1431" t="s">
        <v>656</v>
      </c>
      <c r="C86" s="1440">
        <f>C79</f>
        <v>5314.5220874999986</v>
      </c>
      <c r="D86" s="1440">
        <f>D79</f>
        <v>0</v>
      </c>
      <c r="E86" s="1440">
        <f t="shared" ref="E86:J86" si="64">E79</f>
        <v>0</v>
      </c>
      <c r="F86" s="1440">
        <f t="shared" si="64"/>
        <v>0</v>
      </c>
      <c r="G86" s="1440">
        <f t="shared" si="64"/>
        <v>0</v>
      </c>
      <c r="H86" s="1440">
        <f t="shared" si="64"/>
        <v>0</v>
      </c>
      <c r="I86" s="1440">
        <f t="shared" si="64"/>
        <v>0</v>
      </c>
      <c r="J86" s="1440">
        <f t="shared" si="64"/>
        <v>0</v>
      </c>
      <c r="K86" s="1440">
        <f t="shared" ref="K86:S86" si="65">K79</f>
        <v>0</v>
      </c>
      <c r="L86" s="1440">
        <f t="shared" si="65"/>
        <v>0</v>
      </c>
      <c r="M86" s="1440">
        <f t="shared" si="65"/>
        <v>0</v>
      </c>
      <c r="N86" s="1440">
        <f t="shared" si="65"/>
        <v>0</v>
      </c>
      <c r="O86" s="1440">
        <f t="shared" si="65"/>
        <v>0</v>
      </c>
      <c r="P86" s="1440">
        <f t="shared" si="65"/>
        <v>0</v>
      </c>
      <c r="Q86" s="1440">
        <f t="shared" si="65"/>
        <v>0</v>
      </c>
      <c r="R86" s="1440">
        <f t="shared" si="65"/>
        <v>2125.8088349999998</v>
      </c>
      <c r="S86" s="1440">
        <f t="shared" si="65"/>
        <v>2657.2610437499993</v>
      </c>
      <c r="T86" s="1440">
        <f t="shared" ref="T86" si="66">T79</f>
        <v>531.45220874999995</v>
      </c>
    </row>
    <row r="87" spans="1:20">
      <c r="B87" s="1431" t="s">
        <v>805</v>
      </c>
      <c r="C87" s="1410">
        <f>C78</f>
        <v>0</v>
      </c>
      <c r="D87" s="1440">
        <f>D78</f>
        <v>0</v>
      </c>
      <c r="E87" s="1440">
        <f t="shared" ref="E87:J87" si="67">E78</f>
        <v>0</v>
      </c>
      <c r="F87" s="1440">
        <f t="shared" si="67"/>
        <v>0</v>
      </c>
      <c r="G87" s="1440">
        <f t="shared" si="67"/>
        <v>0</v>
      </c>
      <c r="H87" s="1440">
        <f t="shared" si="67"/>
        <v>0</v>
      </c>
      <c r="I87" s="1440">
        <f t="shared" si="67"/>
        <v>0</v>
      </c>
      <c r="J87" s="1440">
        <f t="shared" si="67"/>
        <v>0</v>
      </c>
      <c r="K87" s="1440">
        <f t="shared" ref="K87:S87" si="68">K78</f>
        <v>0</v>
      </c>
      <c r="L87" s="1440">
        <f t="shared" si="68"/>
        <v>0</v>
      </c>
      <c r="M87" s="1440">
        <f t="shared" si="68"/>
        <v>0</v>
      </c>
      <c r="N87" s="1440">
        <f t="shared" si="68"/>
        <v>0</v>
      </c>
      <c r="O87" s="1440">
        <f t="shared" si="68"/>
        <v>0</v>
      </c>
      <c r="P87" s="1440">
        <f t="shared" si="68"/>
        <v>0</v>
      </c>
      <c r="Q87" s="1440">
        <f t="shared" si="68"/>
        <v>0</v>
      </c>
      <c r="R87" s="1440">
        <f t="shared" si="68"/>
        <v>0</v>
      </c>
      <c r="S87" s="1440">
        <f t="shared" si="68"/>
        <v>0</v>
      </c>
      <c r="T87" s="1440">
        <f t="shared" ref="T87" si="69">T78</f>
        <v>0</v>
      </c>
    </row>
    <row r="88" spans="1:20">
      <c r="B88" s="1431" t="s">
        <v>822</v>
      </c>
      <c r="C88" s="1440">
        <f>C85-C86-C87</f>
        <v>19118.255471999997</v>
      </c>
      <c r="D88" s="1440">
        <f t="shared" ref="D88:M88" si="70">D85-D86-D87</f>
        <v>0</v>
      </c>
      <c r="E88" s="1440">
        <f t="shared" si="70"/>
        <v>0</v>
      </c>
      <c r="F88" s="1440">
        <f t="shared" si="70"/>
        <v>0</v>
      </c>
      <c r="G88" s="1440">
        <f t="shared" si="70"/>
        <v>0</v>
      </c>
      <c r="H88" s="1440">
        <f t="shared" si="70"/>
        <v>0</v>
      </c>
      <c r="I88" s="1440">
        <f t="shared" si="70"/>
        <v>0</v>
      </c>
      <c r="J88" s="1440">
        <f t="shared" si="70"/>
        <v>0</v>
      </c>
      <c r="K88" s="1440">
        <f t="shared" si="70"/>
        <v>0</v>
      </c>
      <c r="L88" s="1440">
        <f t="shared" si="70"/>
        <v>0</v>
      </c>
      <c r="M88" s="1440">
        <f t="shared" si="70"/>
        <v>0</v>
      </c>
      <c r="N88" s="1440">
        <f t="shared" ref="N88:S88" si="71">N85-N86-N87</f>
        <v>0</v>
      </c>
      <c r="O88" s="1440">
        <f t="shared" si="71"/>
        <v>0</v>
      </c>
      <c r="P88" s="1440">
        <f t="shared" si="71"/>
        <v>0</v>
      </c>
      <c r="Q88" s="1440">
        <f t="shared" si="71"/>
        <v>0</v>
      </c>
      <c r="R88" s="1440">
        <f t="shared" si="71"/>
        <v>7647.3021887999985</v>
      </c>
      <c r="S88" s="1440">
        <f t="shared" si="71"/>
        <v>9559.1277359999985</v>
      </c>
      <c r="T88" s="1440">
        <f t="shared" ref="T88" si="72">T85-T86-T87</f>
        <v>1911.8255471999996</v>
      </c>
    </row>
    <row r="89" spans="1:20">
      <c r="B89" s="1431" t="s">
        <v>290</v>
      </c>
      <c r="C89" s="1440">
        <f>SUM(D89:T89)</f>
        <v>3823.6510944000001</v>
      </c>
      <c r="D89" s="1410">
        <f t="shared" ref="D89:M89" si="73">D88*D22</f>
        <v>0</v>
      </c>
      <c r="E89" s="1410">
        <f t="shared" si="73"/>
        <v>0</v>
      </c>
      <c r="F89" s="1410">
        <f t="shared" si="73"/>
        <v>0</v>
      </c>
      <c r="G89" s="1410">
        <f t="shared" si="73"/>
        <v>0</v>
      </c>
      <c r="H89" s="1410">
        <f t="shared" si="73"/>
        <v>0</v>
      </c>
      <c r="I89" s="1410">
        <f t="shared" si="73"/>
        <v>0</v>
      </c>
      <c r="J89" s="1410">
        <f t="shared" si="73"/>
        <v>0</v>
      </c>
      <c r="K89" s="1410">
        <f t="shared" si="73"/>
        <v>0</v>
      </c>
      <c r="L89" s="1410">
        <f t="shared" si="73"/>
        <v>0</v>
      </c>
      <c r="M89" s="1410">
        <f t="shared" si="73"/>
        <v>0</v>
      </c>
      <c r="N89" s="1410">
        <f t="shared" ref="N89:S89" si="74">N88*N22</f>
        <v>0</v>
      </c>
      <c r="O89" s="1410">
        <f t="shared" si="74"/>
        <v>0</v>
      </c>
      <c r="P89" s="1410">
        <f t="shared" si="74"/>
        <v>0</v>
      </c>
      <c r="Q89" s="1410">
        <f t="shared" si="74"/>
        <v>0</v>
      </c>
      <c r="R89" s="1410">
        <f t="shared" si="74"/>
        <v>1529.4604377599999</v>
      </c>
      <c r="S89" s="1410">
        <f t="shared" si="74"/>
        <v>1911.8255471999998</v>
      </c>
      <c r="T89" s="1410">
        <f t="shared" ref="T89" si="75">T88*T22</f>
        <v>382.36510943999997</v>
      </c>
    </row>
    <row r="90" spans="1:20">
      <c r="B90" s="1431" t="s">
        <v>661</v>
      </c>
      <c r="C90" s="1440">
        <f>SUM(D90:T90)</f>
        <v>15294.604377599995</v>
      </c>
      <c r="D90" s="1440">
        <f>D88-D89</f>
        <v>0</v>
      </c>
      <c r="E90" s="1440">
        <f t="shared" ref="E90:J90" si="76">E88-E89</f>
        <v>0</v>
      </c>
      <c r="F90" s="1440">
        <f t="shared" si="76"/>
        <v>0</v>
      </c>
      <c r="G90" s="1440">
        <f t="shared" si="76"/>
        <v>0</v>
      </c>
      <c r="H90" s="1440">
        <f t="shared" si="76"/>
        <v>0</v>
      </c>
      <c r="I90" s="1440">
        <f t="shared" si="76"/>
        <v>0</v>
      </c>
      <c r="J90" s="1440">
        <f t="shared" si="76"/>
        <v>0</v>
      </c>
      <c r="K90" s="1440">
        <f t="shared" ref="K90:S90" si="77">K88-K89</f>
        <v>0</v>
      </c>
      <c r="L90" s="1440">
        <f t="shared" si="77"/>
        <v>0</v>
      </c>
      <c r="M90" s="1440">
        <f t="shared" si="77"/>
        <v>0</v>
      </c>
      <c r="N90" s="1440">
        <f t="shared" si="77"/>
        <v>0</v>
      </c>
      <c r="O90" s="1440">
        <f t="shared" si="77"/>
        <v>0</v>
      </c>
      <c r="P90" s="1440">
        <f t="shared" si="77"/>
        <v>0</v>
      </c>
      <c r="Q90" s="1440">
        <f t="shared" si="77"/>
        <v>0</v>
      </c>
      <c r="R90" s="1440">
        <f t="shared" si="77"/>
        <v>6117.8417510399986</v>
      </c>
      <c r="S90" s="1440">
        <f t="shared" si="77"/>
        <v>7647.3021887999985</v>
      </c>
      <c r="T90" s="1440">
        <f t="shared" ref="T90" si="78">T88-T89</f>
        <v>1529.4604377599996</v>
      </c>
    </row>
    <row r="91" spans="1:20">
      <c r="B91" s="1428" t="s">
        <v>197</v>
      </c>
      <c r="C91" s="1429">
        <f>IF(C83&lt;&gt;0,1-C84/C83,"")</f>
        <v>0.68960417768232674</v>
      </c>
      <c r="D91" s="1429" t="str">
        <f t="shared" ref="D91:J91" si="79">IF(D83&lt;&gt;0,1-D84/D83,"")</f>
        <v/>
      </c>
      <c r="E91" s="1429" t="str">
        <f t="shared" si="79"/>
        <v/>
      </c>
      <c r="F91" s="1429" t="str">
        <f t="shared" si="79"/>
        <v/>
      </c>
      <c r="G91" s="1429" t="str">
        <f t="shared" si="79"/>
        <v/>
      </c>
      <c r="H91" s="1429" t="str">
        <f t="shared" si="79"/>
        <v/>
      </c>
      <c r="I91" s="1429" t="str">
        <f t="shared" si="79"/>
        <v/>
      </c>
      <c r="J91" s="1429" t="str">
        <f t="shared" si="79"/>
        <v/>
      </c>
      <c r="K91" s="1429" t="str">
        <f t="shared" ref="K91:S91" si="80">IF(K83&lt;&gt;0,1-K84/K83,"")</f>
        <v/>
      </c>
      <c r="L91" s="1429" t="str">
        <f t="shared" si="80"/>
        <v/>
      </c>
      <c r="M91" s="1429" t="str">
        <f t="shared" si="80"/>
        <v/>
      </c>
      <c r="N91" s="1429" t="str">
        <f t="shared" si="80"/>
        <v/>
      </c>
      <c r="O91" s="1429" t="str">
        <f t="shared" si="80"/>
        <v/>
      </c>
      <c r="P91" s="1429" t="str">
        <f t="shared" si="80"/>
        <v/>
      </c>
      <c r="Q91" s="1429" t="str">
        <f t="shared" si="80"/>
        <v/>
      </c>
      <c r="R91" s="1429">
        <f t="shared" si="80"/>
        <v>0.68960417768232674</v>
      </c>
      <c r="S91" s="1429">
        <f t="shared" si="80"/>
        <v>0.68960417768232674</v>
      </c>
      <c r="T91" s="1429">
        <f t="shared" ref="T91" si="81">IF(T83&lt;&gt;0,1-T84/T83,"")</f>
        <v>0.68960417768232674</v>
      </c>
    </row>
    <row r="92" spans="1:20">
      <c r="B92" s="1428" t="s">
        <v>1779</v>
      </c>
      <c r="C92" s="1429">
        <f>IF(C83&lt;&gt;0,C90/C83,"")</f>
        <v>0.43168334214586129</v>
      </c>
      <c r="D92" s="1429" t="str">
        <f t="shared" ref="D92:M92" si="82">IF(D83&lt;&gt;0,D90/D83,"")</f>
        <v/>
      </c>
      <c r="E92" s="1429" t="str">
        <f t="shared" si="82"/>
        <v/>
      </c>
      <c r="F92" s="1429" t="str">
        <f t="shared" si="82"/>
        <v/>
      </c>
      <c r="G92" s="1429" t="str">
        <f t="shared" si="82"/>
        <v/>
      </c>
      <c r="H92" s="1429" t="str">
        <f t="shared" si="82"/>
        <v/>
      </c>
      <c r="I92" s="1429" t="str">
        <f t="shared" si="82"/>
        <v/>
      </c>
      <c r="J92" s="1429" t="str">
        <f t="shared" si="82"/>
        <v/>
      </c>
      <c r="K92" s="1429" t="str">
        <f t="shared" si="82"/>
        <v/>
      </c>
      <c r="L92" s="1429" t="str">
        <f t="shared" si="82"/>
        <v/>
      </c>
      <c r="M92" s="1429" t="str">
        <f t="shared" si="82"/>
        <v/>
      </c>
      <c r="N92" s="1429" t="str">
        <f t="shared" ref="N92:S92" si="83">IF(N83&lt;&gt;0,N90/N83,"")</f>
        <v/>
      </c>
      <c r="O92" s="1429" t="str">
        <f t="shared" si="83"/>
        <v/>
      </c>
      <c r="P92" s="1429" t="str">
        <f t="shared" si="83"/>
        <v/>
      </c>
      <c r="Q92" s="1429" t="str">
        <f t="shared" si="83"/>
        <v/>
      </c>
      <c r="R92" s="1429">
        <f t="shared" si="83"/>
        <v>0.43168334214586135</v>
      </c>
      <c r="S92" s="1429">
        <f t="shared" si="83"/>
        <v>0.43168334214586135</v>
      </c>
      <c r="T92" s="1429">
        <f t="shared" ref="T92" si="84">IF(T83&lt;&gt;0,T90/T83,"")</f>
        <v>0.43168334214586135</v>
      </c>
    </row>
    <row r="93" spans="1:20">
      <c r="B93" s="1428"/>
      <c r="C93" s="1429"/>
      <c r="D93" s="1429"/>
      <c r="E93" s="1429"/>
      <c r="F93" s="1429"/>
      <c r="G93" s="1429"/>
      <c r="H93" s="1429"/>
    </row>
    <row r="94" spans="1:20">
      <c r="D94" s="1440"/>
      <c r="E94" s="1440"/>
      <c r="F94" s="1440"/>
      <c r="G94" s="1440"/>
    </row>
    <row r="95" spans="1:20" s="1407" customFormat="1">
      <c r="A95" s="1406">
        <v>7</v>
      </c>
      <c r="B95" s="1407" t="s">
        <v>1589</v>
      </c>
      <c r="C95" s="1440" t="s">
        <v>642</v>
      </c>
      <c r="D95" s="1431">
        <f t="shared" ref="D95:J95" si="85">D82</f>
        <v>2013</v>
      </c>
      <c r="E95" s="1431">
        <f t="shared" si="85"/>
        <v>2014</v>
      </c>
      <c r="F95" s="1431">
        <f t="shared" si="85"/>
        <v>2015</v>
      </c>
      <c r="G95" s="1431">
        <f t="shared" si="85"/>
        <v>2016</v>
      </c>
      <c r="H95" s="1431">
        <f t="shared" si="85"/>
        <v>2017</v>
      </c>
      <c r="I95" s="1431">
        <f t="shared" si="85"/>
        <v>2018</v>
      </c>
      <c r="J95" s="1431">
        <f t="shared" si="85"/>
        <v>2019</v>
      </c>
      <c r="K95" s="1431">
        <f t="shared" ref="K95:S95" si="86">K82</f>
        <v>2020</v>
      </c>
      <c r="L95" s="1431">
        <f t="shared" si="86"/>
        <v>2021</v>
      </c>
      <c r="M95" s="1431">
        <f t="shared" si="86"/>
        <v>2022</v>
      </c>
      <c r="N95" s="1431">
        <f t="shared" si="86"/>
        <v>2023</v>
      </c>
      <c r="O95" s="1431">
        <f t="shared" si="86"/>
        <v>2024</v>
      </c>
      <c r="P95" s="1431">
        <f t="shared" si="86"/>
        <v>2025</v>
      </c>
      <c r="Q95" s="1431">
        <f t="shared" si="86"/>
        <v>2026</v>
      </c>
      <c r="R95" s="1431">
        <f t="shared" si="86"/>
        <v>2027</v>
      </c>
      <c r="S95" s="1431">
        <f t="shared" si="86"/>
        <v>2028</v>
      </c>
      <c r="T95" s="1431">
        <f t="shared" ref="T95" si="87">T82</f>
        <v>2029</v>
      </c>
    </row>
    <row r="96" spans="1:20">
      <c r="B96" s="1419" t="s">
        <v>850</v>
      </c>
      <c r="C96" s="1441">
        <f>C63</f>
        <v>35430.147249999995</v>
      </c>
      <c r="D96" s="1441">
        <f t="shared" ref="D96:J96" si="88">D63</f>
        <v>0</v>
      </c>
      <c r="E96" s="1441">
        <f t="shared" si="88"/>
        <v>0</v>
      </c>
      <c r="F96" s="1441">
        <f t="shared" si="88"/>
        <v>0</v>
      </c>
      <c r="G96" s="1441">
        <f t="shared" si="88"/>
        <v>0</v>
      </c>
      <c r="H96" s="1441">
        <f t="shared" si="88"/>
        <v>0</v>
      </c>
      <c r="I96" s="1441">
        <f t="shared" si="88"/>
        <v>0</v>
      </c>
      <c r="J96" s="1441">
        <f t="shared" si="88"/>
        <v>0</v>
      </c>
      <c r="K96" s="1441">
        <f t="shared" ref="K96:S96" si="89">K63</f>
        <v>0</v>
      </c>
      <c r="L96" s="1441">
        <f t="shared" si="89"/>
        <v>0</v>
      </c>
      <c r="M96" s="1441">
        <f t="shared" si="89"/>
        <v>0</v>
      </c>
      <c r="N96" s="1441">
        <f t="shared" si="89"/>
        <v>0</v>
      </c>
      <c r="O96" s="1441">
        <f t="shared" si="89"/>
        <v>0</v>
      </c>
      <c r="P96" s="1441">
        <f t="shared" si="89"/>
        <v>3342.7169999999996</v>
      </c>
      <c r="Q96" s="1441">
        <f t="shared" si="89"/>
        <v>6243.7178249999997</v>
      </c>
      <c r="R96" s="1441">
        <f t="shared" si="89"/>
        <v>11743.283174999999</v>
      </c>
      <c r="S96" s="1441">
        <f t="shared" si="89"/>
        <v>8253.3274499999989</v>
      </c>
      <c r="T96" s="1441">
        <f t="shared" ref="T96" si="90">T63</f>
        <v>5847.1018000000004</v>
      </c>
    </row>
    <row r="97" spans="1:20">
      <c r="B97" s="1407"/>
      <c r="C97" s="1440"/>
      <c r="D97" s="1440"/>
      <c r="E97" s="1440"/>
      <c r="F97" s="1440"/>
      <c r="G97" s="1440"/>
      <c r="H97" s="1440"/>
      <c r="I97" s="1440"/>
      <c r="J97" s="1440"/>
      <c r="K97" s="1440"/>
      <c r="L97" s="1440"/>
      <c r="M97" s="1440"/>
      <c r="N97" s="1440"/>
      <c r="O97" s="1440"/>
      <c r="P97" s="1440"/>
      <c r="Q97" s="1440"/>
      <c r="R97" s="1440"/>
      <c r="S97" s="1440"/>
      <c r="T97" s="1440"/>
    </row>
    <row r="98" spans="1:20">
      <c r="B98" s="1407" t="s">
        <v>851</v>
      </c>
      <c r="C98" s="1440">
        <f t="shared" ref="C98:J98" si="91">SUM(C99:C102)</f>
        <v>18387.840181899999</v>
      </c>
      <c r="D98" s="1440">
        <f t="shared" si="91"/>
        <v>0</v>
      </c>
      <c r="E98" s="1440">
        <f t="shared" si="91"/>
        <v>0</v>
      </c>
      <c r="F98" s="1440">
        <f t="shared" si="91"/>
        <v>0</v>
      </c>
      <c r="G98" s="1440">
        <f t="shared" si="91"/>
        <v>0</v>
      </c>
      <c r="H98" s="1440">
        <f t="shared" si="91"/>
        <v>3093.4560000000001</v>
      </c>
      <c r="I98" s="1440">
        <f t="shared" si="91"/>
        <v>0</v>
      </c>
      <c r="J98" s="1440">
        <f t="shared" si="91"/>
        <v>0</v>
      </c>
      <c r="K98" s="1440">
        <f t="shared" ref="K98:S98" si="92">SUM(K99:K102)</f>
        <v>0</v>
      </c>
      <c r="L98" s="1440">
        <f t="shared" si="92"/>
        <v>0</v>
      </c>
      <c r="M98" s="1440">
        <f t="shared" si="92"/>
        <v>0</v>
      </c>
      <c r="N98" s="1440">
        <f t="shared" si="92"/>
        <v>756.21099999999956</v>
      </c>
      <c r="O98" s="1440">
        <f t="shared" si="92"/>
        <v>0</v>
      </c>
      <c r="P98" s="1440">
        <f t="shared" si="92"/>
        <v>1800</v>
      </c>
      <c r="Q98" s="1440">
        <f t="shared" si="92"/>
        <v>2400</v>
      </c>
      <c r="R98" s="1440">
        <f t="shared" si="92"/>
        <v>4855.2692727599997</v>
      </c>
      <c r="S98" s="1440">
        <f t="shared" si="92"/>
        <v>4569.0865909499989</v>
      </c>
      <c r="T98" s="1440">
        <f t="shared" ref="T98" si="93">SUM(T99:T102)</f>
        <v>913.81731818999992</v>
      </c>
    </row>
    <row r="99" spans="1:20">
      <c r="B99" s="1431" t="s">
        <v>852</v>
      </c>
      <c r="C99" s="1440">
        <f t="shared" ref="C99:J99" si="94">C35</f>
        <v>3249.6669999999999</v>
      </c>
      <c r="D99" s="1440">
        <f t="shared" si="94"/>
        <v>0</v>
      </c>
      <c r="E99" s="1440">
        <f t="shared" si="94"/>
        <v>0</v>
      </c>
      <c r="F99" s="1440">
        <f t="shared" si="94"/>
        <v>0</v>
      </c>
      <c r="G99" s="1440">
        <f t="shared" si="94"/>
        <v>0</v>
      </c>
      <c r="H99" s="1440">
        <f t="shared" si="94"/>
        <v>3093.4560000000001</v>
      </c>
      <c r="I99" s="1440">
        <f t="shared" si="94"/>
        <v>0</v>
      </c>
      <c r="J99" s="1440">
        <f t="shared" si="94"/>
        <v>0</v>
      </c>
      <c r="K99" s="1440">
        <f t="shared" ref="K99:S99" si="95">K35</f>
        <v>0</v>
      </c>
      <c r="L99" s="1440">
        <f t="shared" si="95"/>
        <v>0</v>
      </c>
      <c r="M99" s="1440">
        <f t="shared" si="95"/>
        <v>0</v>
      </c>
      <c r="N99" s="1440">
        <f t="shared" si="95"/>
        <v>156.21099999999961</v>
      </c>
      <c r="O99" s="1440">
        <f t="shared" si="95"/>
        <v>0</v>
      </c>
      <c r="P99" s="1440">
        <f t="shared" si="95"/>
        <v>0</v>
      </c>
      <c r="Q99" s="1440">
        <f t="shared" si="95"/>
        <v>0</v>
      </c>
      <c r="R99" s="1440">
        <f t="shared" si="95"/>
        <v>0</v>
      </c>
      <c r="S99" s="1440">
        <f t="shared" si="95"/>
        <v>0</v>
      </c>
      <c r="T99" s="1440">
        <f t="shared" ref="T99" si="96">T35</f>
        <v>0</v>
      </c>
    </row>
    <row r="100" spans="1:20">
      <c r="B100" s="1431" t="s">
        <v>788</v>
      </c>
      <c r="C100" s="1440">
        <f t="shared" ref="C100:J100" si="97">C70</f>
        <v>6000</v>
      </c>
      <c r="D100" s="1440">
        <f t="shared" si="97"/>
        <v>0</v>
      </c>
      <c r="E100" s="1440">
        <f t="shared" si="97"/>
        <v>0</v>
      </c>
      <c r="F100" s="1440">
        <f t="shared" si="97"/>
        <v>0</v>
      </c>
      <c r="G100" s="1440">
        <f t="shared" si="97"/>
        <v>0</v>
      </c>
      <c r="H100" s="1440">
        <f t="shared" si="97"/>
        <v>0</v>
      </c>
      <c r="I100" s="1440">
        <f t="shared" si="97"/>
        <v>0</v>
      </c>
      <c r="J100" s="1440">
        <f t="shared" si="97"/>
        <v>0</v>
      </c>
      <c r="K100" s="1440">
        <f t="shared" ref="K100:S100" si="98">K70</f>
        <v>0</v>
      </c>
      <c r="L100" s="1440">
        <f t="shared" si="98"/>
        <v>0</v>
      </c>
      <c r="M100" s="1440">
        <f t="shared" si="98"/>
        <v>0</v>
      </c>
      <c r="N100" s="1440">
        <f t="shared" si="98"/>
        <v>600</v>
      </c>
      <c r="O100" s="1440">
        <f t="shared" si="98"/>
        <v>0</v>
      </c>
      <c r="P100" s="1440">
        <f t="shared" si="98"/>
        <v>1800</v>
      </c>
      <c r="Q100" s="1440">
        <f t="shared" si="98"/>
        <v>2400</v>
      </c>
      <c r="R100" s="1440">
        <f t="shared" si="98"/>
        <v>1200</v>
      </c>
      <c r="S100" s="1440">
        <f t="shared" si="98"/>
        <v>0</v>
      </c>
      <c r="T100" s="1440">
        <f t="shared" ref="T100" si="99">T70</f>
        <v>0</v>
      </c>
    </row>
    <row r="101" spans="1:20">
      <c r="B101" s="1431" t="s">
        <v>656</v>
      </c>
      <c r="C101" s="1440">
        <f t="shared" ref="C101:J101" si="100">C79</f>
        <v>5314.5220874999986</v>
      </c>
      <c r="D101" s="1440">
        <f t="shared" si="100"/>
        <v>0</v>
      </c>
      <c r="E101" s="1440">
        <f t="shared" si="100"/>
        <v>0</v>
      </c>
      <c r="F101" s="1440">
        <f t="shared" si="100"/>
        <v>0</v>
      </c>
      <c r="G101" s="1440">
        <f t="shared" si="100"/>
        <v>0</v>
      </c>
      <c r="H101" s="1440">
        <f t="shared" si="100"/>
        <v>0</v>
      </c>
      <c r="I101" s="1440">
        <f t="shared" si="100"/>
        <v>0</v>
      </c>
      <c r="J101" s="1440">
        <f t="shared" si="100"/>
        <v>0</v>
      </c>
      <c r="K101" s="1440">
        <f t="shared" ref="K101:S101" si="101">K79</f>
        <v>0</v>
      </c>
      <c r="L101" s="1440">
        <f t="shared" si="101"/>
        <v>0</v>
      </c>
      <c r="M101" s="1440">
        <f t="shared" si="101"/>
        <v>0</v>
      </c>
      <c r="N101" s="1440">
        <f t="shared" si="101"/>
        <v>0</v>
      </c>
      <c r="O101" s="1440">
        <f t="shared" si="101"/>
        <v>0</v>
      </c>
      <c r="P101" s="1440">
        <f t="shared" si="101"/>
        <v>0</v>
      </c>
      <c r="Q101" s="1440">
        <f t="shared" si="101"/>
        <v>0</v>
      </c>
      <c r="R101" s="1440">
        <f t="shared" si="101"/>
        <v>2125.8088349999998</v>
      </c>
      <c r="S101" s="1440">
        <f t="shared" si="101"/>
        <v>2657.2610437499993</v>
      </c>
      <c r="T101" s="1440">
        <f t="shared" ref="T101" si="102">T79</f>
        <v>531.45220874999995</v>
      </c>
    </row>
    <row r="102" spans="1:20">
      <c r="B102" s="1431" t="s">
        <v>854</v>
      </c>
      <c r="C102" s="1440">
        <f t="shared" ref="C102:J102" si="103">C89</f>
        <v>3823.6510944000001</v>
      </c>
      <c r="D102" s="1440">
        <f t="shared" si="103"/>
        <v>0</v>
      </c>
      <c r="E102" s="1440">
        <f t="shared" si="103"/>
        <v>0</v>
      </c>
      <c r="F102" s="1440">
        <f t="shared" si="103"/>
        <v>0</v>
      </c>
      <c r="G102" s="1440">
        <f t="shared" si="103"/>
        <v>0</v>
      </c>
      <c r="H102" s="1440">
        <f t="shared" si="103"/>
        <v>0</v>
      </c>
      <c r="I102" s="1440">
        <f t="shared" si="103"/>
        <v>0</v>
      </c>
      <c r="J102" s="1440">
        <f t="shared" si="103"/>
        <v>0</v>
      </c>
      <c r="K102" s="1440">
        <f t="shared" ref="K102:S102" si="104">K89</f>
        <v>0</v>
      </c>
      <c r="L102" s="1440">
        <f t="shared" si="104"/>
        <v>0</v>
      </c>
      <c r="M102" s="1440">
        <f t="shared" si="104"/>
        <v>0</v>
      </c>
      <c r="N102" s="1440">
        <f t="shared" si="104"/>
        <v>0</v>
      </c>
      <c r="O102" s="1440">
        <f t="shared" si="104"/>
        <v>0</v>
      </c>
      <c r="P102" s="1440">
        <f t="shared" si="104"/>
        <v>0</v>
      </c>
      <c r="Q102" s="1440">
        <f t="shared" si="104"/>
        <v>0</v>
      </c>
      <c r="R102" s="1440">
        <f t="shared" si="104"/>
        <v>1529.4604377599999</v>
      </c>
      <c r="S102" s="1440">
        <f t="shared" si="104"/>
        <v>1911.8255471999998</v>
      </c>
      <c r="T102" s="1440">
        <f t="shared" ref="T102" si="105">T89</f>
        <v>382.36510943999997</v>
      </c>
    </row>
    <row r="103" spans="1:20">
      <c r="A103" s="1444"/>
      <c r="B103" s="1431" t="s">
        <v>855</v>
      </c>
      <c r="C103" s="1440">
        <f t="shared" ref="C103:J103" si="106">C96-C98</f>
        <v>17042.307068099995</v>
      </c>
      <c r="D103" s="1656">
        <f t="shared" si="106"/>
        <v>0</v>
      </c>
      <c r="E103" s="1440">
        <f t="shared" si="106"/>
        <v>0</v>
      </c>
      <c r="F103" s="1440">
        <f t="shared" si="106"/>
        <v>0</v>
      </c>
      <c r="G103" s="1440">
        <f t="shared" si="106"/>
        <v>0</v>
      </c>
      <c r="H103" s="1440">
        <f t="shared" si="106"/>
        <v>-3093.4560000000001</v>
      </c>
      <c r="I103" s="1440">
        <f t="shared" si="106"/>
        <v>0</v>
      </c>
      <c r="J103" s="1440">
        <f t="shared" si="106"/>
        <v>0</v>
      </c>
      <c r="K103" s="1440">
        <f t="shared" ref="K103:S103" si="107">K96-K98</f>
        <v>0</v>
      </c>
      <c r="L103" s="1440">
        <f t="shared" si="107"/>
        <v>0</v>
      </c>
      <c r="M103" s="1440">
        <f t="shared" si="107"/>
        <v>0</v>
      </c>
      <c r="N103" s="1440">
        <f t="shared" si="107"/>
        <v>-756.21099999999956</v>
      </c>
      <c r="O103" s="1440">
        <f t="shared" si="107"/>
        <v>0</v>
      </c>
      <c r="P103" s="1440">
        <f t="shared" si="107"/>
        <v>1542.7169999999996</v>
      </c>
      <c r="Q103" s="1440">
        <f t="shared" si="107"/>
        <v>3843.7178249999997</v>
      </c>
      <c r="R103" s="1440">
        <f t="shared" si="107"/>
        <v>6888.013902239999</v>
      </c>
      <c r="S103" s="1440">
        <f t="shared" si="107"/>
        <v>3684.2408590499999</v>
      </c>
      <c r="T103" s="1440">
        <f t="shared" ref="T103" si="108">T96-T98</f>
        <v>4933.2844818100002</v>
      </c>
    </row>
    <row r="104" spans="1:20">
      <c r="B104" s="1431" t="s">
        <v>1570</v>
      </c>
      <c r="D104" s="1452">
        <f t="shared" ref="D104:M104" si="109">IF(D95&gt;$D$12,(1+D23)^(D95-$D$12),0)</f>
        <v>0</v>
      </c>
      <c r="E104" s="1452">
        <f t="shared" si="109"/>
        <v>0</v>
      </c>
      <c r="F104" s="1452">
        <f t="shared" si="109"/>
        <v>0</v>
      </c>
      <c r="G104" s="1452">
        <f t="shared" si="109"/>
        <v>0</v>
      </c>
      <c r="H104" s="1452">
        <f t="shared" si="109"/>
        <v>0</v>
      </c>
      <c r="I104" s="1452">
        <f t="shared" si="109"/>
        <v>0</v>
      </c>
      <c r="J104" s="1452">
        <f t="shared" si="109"/>
        <v>0</v>
      </c>
      <c r="K104" s="1452">
        <f t="shared" si="109"/>
        <v>0</v>
      </c>
      <c r="L104" s="1452">
        <f t="shared" si="109"/>
        <v>0</v>
      </c>
      <c r="M104" s="1452">
        <f t="shared" si="109"/>
        <v>0</v>
      </c>
      <c r="N104" s="1452">
        <f t="shared" ref="N104:S104" si="110">IF(N95&gt;$D$12,(1+N23)^(N95-$D$12),0)</f>
        <v>0</v>
      </c>
      <c r="O104" s="1452">
        <f t="shared" si="110"/>
        <v>0</v>
      </c>
      <c r="P104" s="1452">
        <f t="shared" si="110"/>
        <v>1.105</v>
      </c>
      <c r="Q104" s="1452">
        <f t="shared" si="110"/>
        <v>1.221025</v>
      </c>
      <c r="R104" s="1452">
        <f t="shared" si="110"/>
        <v>1.349232625</v>
      </c>
      <c r="S104" s="1452">
        <f t="shared" si="110"/>
        <v>1.4909020506250001</v>
      </c>
      <c r="T104" s="1452">
        <f t="shared" ref="T104" si="111">IF(T95&gt;$D$12,(1+T23)^(T95-$D$12),0)</f>
        <v>1.6474467659406251</v>
      </c>
    </row>
    <row r="105" spans="1:20">
      <c r="B105" s="1431" t="s">
        <v>1452</v>
      </c>
      <c r="C105" s="1440">
        <f>SUMIF(D95:T95,"&gt;"&amp;D12,D105:T105)</f>
        <v>15114.853936687612</v>
      </c>
      <c r="D105" s="1440" t="str">
        <f t="shared" ref="D105:M105" si="112">IF(D104&lt;&gt;0,D103/D104,"")</f>
        <v/>
      </c>
      <c r="E105" s="1440" t="str">
        <f t="shared" si="112"/>
        <v/>
      </c>
      <c r="F105" s="1440" t="str">
        <f t="shared" si="112"/>
        <v/>
      </c>
      <c r="G105" s="1440" t="str">
        <f t="shared" si="112"/>
        <v/>
      </c>
      <c r="H105" s="1440" t="str">
        <f t="shared" si="112"/>
        <v/>
      </c>
      <c r="I105" s="1440" t="str">
        <f t="shared" si="112"/>
        <v/>
      </c>
      <c r="J105" s="1440" t="str">
        <f t="shared" si="112"/>
        <v/>
      </c>
      <c r="K105" s="1440" t="str">
        <f t="shared" si="112"/>
        <v/>
      </c>
      <c r="L105" s="1440" t="str">
        <f t="shared" si="112"/>
        <v/>
      </c>
      <c r="M105" s="1440" t="str">
        <f t="shared" si="112"/>
        <v/>
      </c>
      <c r="N105" s="1440" t="str">
        <f t="shared" ref="N105:S105" si="113">IF(N104&lt;&gt;0,N103/N104,"")</f>
        <v/>
      </c>
      <c r="O105" s="1440" t="str">
        <f t="shared" si="113"/>
        <v/>
      </c>
      <c r="P105" s="1440">
        <f t="shared" si="113"/>
        <v>1396.1239819004522</v>
      </c>
      <c r="Q105" s="1440">
        <f t="shared" si="113"/>
        <v>3147.9435924735362</v>
      </c>
      <c r="R105" s="1440">
        <f t="shared" si="113"/>
        <v>5105.1344109322872</v>
      </c>
      <c r="S105" s="1440">
        <f t="shared" si="113"/>
        <v>2471.1488306730357</v>
      </c>
      <c r="T105" s="1440">
        <f t="shared" ref="T105" si="114">IF(T104&lt;&gt;0,T103/T104,"")</f>
        <v>2994.5031207083011</v>
      </c>
    </row>
    <row r="106" spans="1:20">
      <c r="B106" s="1407" t="s">
        <v>1590</v>
      </c>
      <c r="C106" s="1427">
        <f>C105*I5</f>
        <v>15114.853936687612</v>
      </c>
    </row>
    <row r="107" spans="1:20">
      <c r="B107" s="1407"/>
      <c r="C107" s="1427"/>
    </row>
    <row r="108" spans="1:20">
      <c r="B108" s="1407" t="s">
        <v>1588</v>
      </c>
      <c r="C108" s="1440"/>
      <c r="D108" s="1431">
        <f t="shared" ref="D108:J108" si="115">D95</f>
        <v>2013</v>
      </c>
      <c r="E108" s="1431">
        <f t="shared" si="115"/>
        <v>2014</v>
      </c>
      <c r="F108" s="1431">
        <f t="shared" si="115"/>
        <v>2015</v>
      </c>
      <c r="G108" s="1431">
        <f t="shared" si="115"/>
        <v>2016</v>
      </c>
      <c r="H108" s="1431">
        <f t="shared" si="115"/>
        <v>2017</v>
      </c>
      <c r="I108" s="1431">
        <f t="shared" si="115"/>
        <v>2018</v>
      </c>
      <c r="J108" s="1431">
        <f t="shared" si="115"/>
        <v>2019</v>
      </c>
      <c r="K108" s="1431">
        <f t="shared" ref="K108:S108" si="116">K95</f>
        <v>2020</v>
      </c>
      <c r="L108" s="1431">
        <f t="shared" si="116"/>
        <v>2021</v>
      </c>
      <c r="M108" s="1431">
        <f t="shared" si="116"/>
        <v>2022</v>
      </c>
      <c r="N108" s="1431">
        <f t="shared" si="116"/>
        <v>2023</v>
      </c>
      <c r="O108" s="1431">
        <f t="shared" si="116"/>
        <v>2024</v>
      </c>
      <c r="P108" s="1431">
        <f t="shared" si="116"/>
        <v>2025</v>
      </c>
      <c r="Q108" s="1431">
        <f t="shared" si="116"/>
        <v>2026</v>
      </c>
      <c r="R108" s="1431">
        <f t="shared" si="116"/>
        <v>2027</v>
      </c>
      <c r="S108" s="1431">
        <f t="shared" si="116"/>
        <v>2028</v>
      </c>
      <c r="T108" s="1431">
        <f t="shared" ref="T108" si="117">T95</f>
        <v>2029</v>
      </c>
    </row>
    <row r="109" spans="1:20" s="1447" customFormat="1">
      <c r="A109" s="1459"/>
      <c r="B109" s="1460">
        <f>IRR(D109:T109)</f>
        <v>0.1969229484551267</v>
      </c>
      <c r="C109" s="1408"/>
      <c r="D109" s="1408">
        <f>D103</f>
        <v>0</v>
      </c>
      <c r="E109" s="1408">
        <f t="shared" ref="E109:J109" si="118">E103</f>
        <v>0</v>
      </c>
      <c r="F109" s="1408">
        <f t="shared" si="118"/>
        <v>0</v>
      </c>
      <c r="G109" s="1408">
        <f t="shared" si="118"/>
        <v>0</v>
      </c>
      <c r="H109" s="1408">
        <f t="shared" si="118"/>
        <v>-3093.4560000000001</v>
      </c>
      <c r="I109" s="1408">
        <f t="shared" si="118"/>
        <v>0</v>
      </c>
      <c r="J109" s="1408">
        <f t="shared" si="118"/>
        <v>0</v>
      </c>
      <c r="K109" s="1408">
        <f t="shared" ref="K109:S109" si="119">K103</f>
        <v>0</v>
      </c>
      <c r="L109" s="1408">
        <f t="shared" si="119"/>
        <v>0</v>
      </c>
      <c r="M109" s="1408">
        <f t="shared" si="119"/>
        <v>0</v>
      </c>
      <c r="N109" s="1408">
        <f t="shared" si="119"/>
        <v>-756.21099999999956</v>
      </c>
      <c r="O109" s="1408">
        <f t="shared" si="119"/>
        <v>0</v>
      </c>
      <c r="P109" s="1408">
        <f t="shared" si="119"/>
        <v>1542.7169999999996</v>
      </c>
      <c r="Q109" s="1408">
        <f t="shared" si="119"/>
        <v>3843.7178249999997</v>
      </c>
      <c r="R109" s="1408">
        <f t="shared" si="119"/>
        <v>6888.013902239999</v>
      </c>
      <c r="S109" s="1408">
        <f t="shared" si="119"/>
        <v>3684.2408590499999</v>
      </c>
      <c r="T109" s="1408">
        <f t="shared" ref="T109" si="120">T103</f>
        <v>4933.2844818100002</v>
      </c>
    </row>
    <row r="110" spans="1:20">
      <c r="B110" s="1407" t="s">
        <v>1789</v>
      </c>
      <c r="C110" s="1440"/>
      <c r="D110" s="1656">
        <f t="shared" ref="D110:M110" si="121">D103+D116-D118</f>
        <v>0</v>
      </c>
      <c r="E110" s="1656">
        <f t="shared" si="121"/>
        <v>0</v>
      </c>
      <c r="F110" s="1656">
        <f t="shared" si="121"/>
        <v>0</v>
      </c>
      <c r="G110" s="1656">
        <f t="shared" si="121"/>
        <v>0</v>
      </c>
      <c r="H110" s="1656">
        <f t="shared" si="121"/>
        <v>-3093.4560000000001</v>
      </c>
      <c r="I110" s="1656">
        <f t="shared" si="121"/>
        <v>0</v>
      </c>
      <c r="J110" s="1656">
        <f t="shared" si="121"/>
        <v>0</v>
      </c>
      <c r="K110" s="1656">
        <f t="shared" si="121"/>
        <v>0</v>
      </c>
      <c r="L110" s="1656">
        <f t="shared" si="121"/>
        <v>0</v>
      </c>
      <c r="M110" s="1656">
        <f t="shared" si="121"/>
        <v>0</v>
      </c>
      <c r="N110" s="1656">
        <f t="shared" ref="N110:S110" si="122">N103+N116-N118</f>
        <v>-756.21099999999956</v>
      </c>
      <c r="O110" s="1656">
        <f t="shared" si="122"/>
        <v>0</v>
      </c>
      <c r="P110" s="1656">
        <f t="shared" si="122"/>
        <v>5183.7642718749994</v>
      </c>
      <c r="Q110" s="1656">
        <f t="shared" si="122"/>
        <v>7484.7650968749995</v>
      </c>
      <c r="R110" s="1656">
        <f t="shared" si="122"/>
        <v>3246.9666303649992</v>
      </c>
      <c r="S110" s="1656">
        <f t="shared" si="122"/>
        <v>43.193587175000175</v>
      </c>
      <c r="T110" s="1656">
        <f t="shared" ref="T110" si="123">T103+T116-T118</f>
        <v>4933.2844818100002</v>
      </c>
    </row>
    <row r="111" spans="1:20">
      <c r="B111" s="1407"/>
      <c r="C111" s="1427"/>
      <c r="D111" s="1454"/>
      <c r="E111" s="1454"/>
      <c r="F111" s="1454"/>
      <c r="G111" s="1454"/>
      <c r="H111" s="1454"/>
      <c r="I111" s="1454"/>
      <c r="J111" s="1454"/>
      <c r="K111" s="1454"/>
      <c r="L111" s="1454"/>
      <c r="M111" s="1454"/>
      <c r="N111" s="1454"/>
      <c r="O111" s="1454"/>
      <c r="P111" s="1454"/>
      <c r="Q111" s="1454"/>
      <c r="R111" s="1454"/>
      <c r="S111" s="1454"/>
      <c r="T111" s="1454"/>
    </row>
    <row r="112" spans="1:20">
      <c r="B112" s="1407"/>
      <c r="C112" s="1427"/>
    </row>
    <row r="113" spans="1:20" s="1407" customFormat="1">
      <c r="A113" s="1406">
        <v>8</v>
      </c>
      <c r="B113" s="1407" t="s">
        <v>1592</v>
      </c>
      <c r="C113" s="1440"/>
      <c r="D113" s="1431">
        <f t="shared" ref="D113:I113" si="124">D95</f>
        <v>2013</v>
      </c>
      <c r="E113" s="1431">
        <f t="shared" si="124"/>
        <v>2014</v>
      </c>
      <c r="F113" s="1431">
        <f t="shared" si="124"/>
        <v>2015</v>
      </c>
      <c r="G113" s="1431">
        <f t="shared" si="124"/>
        <v>2016</v>
      </c>
      <c r="H113" s="1431">
        <f t="shared" si="124"/>
        <v>2017</v>
      </c>
      <c r="I113" s="1431">
        <f t="shared" si="124"/>
        <v>2018</v>
      </c>
      <c r="J113" s="1431">
        <f t="shared" ref="J113:T113" si="125">I113+1</f>
        <v>2019</v>
      </c>
      <c r="K113" s="1431">
        <f t="shared" si="125"/>
        <v>2020</v>
      </c>
      <c r="L113" s="1431">
        <f t="shared" si="125"/>
        <v>2021</v>
      </c>
      <c r="M113" s="1431">
        <f t="shared" si="125"/>
        <v>2022</v>
      </c>
      <c r="N113" s="1431">
        <f t="shared" si="125"/>
        <v>2023</v>
      </c>
      <c r="O113" s="1431">
        <f t="shared" si="125"/>
        <v>2024</v>
      </c>
      <c r="P113" s="1431">
        <f t="shared" si="125"/>
        <v>2025</v>
      </c>
      <c r="Q113" s="1431">
        <f t="shared" si="125"/>
        <v>2026</v>
      </c>
      <c r="R113" s="1431">
        <f t="shared" si="125"/>
        <v>2027</v>
      </c>
      <c r="S113" s="1431">
        <f t="shared" si="125"/>
        <v>2028</v>
      </c>
      <c r="T113" s="1431">
        <f t="shared" si="125"/>
        <v>2029</v>
      </c>
    </row>
    <row r="114" spans="1:20">
      <c r="B114" s="1432" t="s">
        <v>1571</v>
      </c>
      <c r="C114" s="1441">
        <f>D5*I6</f>
        <v>7282.0945437499995</v>
      </c>
      <c r="D114" s="1432"/>
      <c r="E114" s="1432"/>
      <c r="F114" s="1432"/>
      <c r="G114" s="1432"/>
      <c r="H114" s="1432"/>
      <c r="I114" s="1432"/>
      <c r="J114" s="1456"/>
      <c r="K114" s="1456"/>
      <c r="L114" s="1456"/>
      <c r="M114" s="1456"/>
      <c r="N114" s="1456"/>
      <c r="O114" s="1456"/>
      <c r="P114" s="1456"/>
      <c r="Q114" s="1456"/>
      <c r="R114" s="1456"/>
      <c r="S114" s="1456"/>
      <c r="T114" s="1456"/>
    </row>
    <row r="115" spans="1:20">
      <c r="B115" s="1431" t="s">
        <v>1572</v>
      </c>
      <c r="C115" s="1436">
        <f>SUM(D115:T115)</f>
        <v>1</v>
      </c>
      <c r="D115" s="1416">
        <v>0</v>
      </c>
      <c r="E115" s="1416">
        <v>0</v>
      </c>
      <c r="F115" s="1416">
        <v>0</v>
      </c>
      <c r="G115" s="1416">
        <v>0</v>
      </c>
      <c r="H115" s="1411">
        <v>0</v>
      </c>
      <c r="I115" s="1411">
        <v>0</v>
      </c>
      <c r="J115" s="1411">
        <v>0</v>
      </c>
      <c r="K115" s="1411">
        <v>0</v>
      </c>
      <c r="L115" s="1411">
        <v>0</v>
      </c>
      <c r="M115" s="1411">
        <v>0</v>
      </c>
      <c r="N115" s="1411">
        <v>0</v>
      </c>
      <c r="O115" s="1411">
        <v>0</v>
      </c>
      <c r="P115" s="1411">
        <v>0.5</v>
      </c>
      <c r="Q115" s="1411">
        <v>0.5</v>
      </c>
      <c r="R115" s="1411">
        <v>0</v>
      </c>
      <c r="S115" s="1411">
        <v>0</v>
      </c>
      <c r="T115" s="1411">
        <v>0</v>
      </c>
    </row>
    <row r="116" spans="1:20">
      <c r="B116" s="1431" t="s">
        <v>1573</v>
      </c>
      <c r="C116" s="1440">
        <f>SUM(D116:S116)</f>
        <v>7282.0945437499995</v>
      </c>
      <c r="D116" s="1410">
        <f t="shared" ref="D116:M116" si="126">D115*$C$114</f>
        <v>0</v>
      </c>
      <c r="E116" s="1410">
        <f t="shared" si="126"/>
        <v>0</v>
      </c>
      <c r="F116" s="1410">
        <f t="shared" si="126"/>
        <v>0</v>
      </c>
      <c r="G116" s="1410">
        <f t="shared" si="126"/>
        <v>0</v>
      </c>
      <c r="H116" s="1410">
        <f t="shared" si="126"/>
        <v>0</v>
      </c>
      <c r="I116" s="1410">
        <f t="shared" si="126"/>
        <v>0</v>
      </c>
      <c r="J116" s="1410">
        <f t="shared" si="126"/>
        <v>0</v>
      </c>
      <c r="K116" s="1410">
        <f t="shared" si="126"/>
        <v>0</v>
      </c>
      <c r="L116" s="1410">
        <f t="shared" si="126"/>
        <v>0</v>
      </c>
      <c r="M116" s="1410">
        <f t="shared" si="126"/>
        <v>0</v>
      </c>
      <c r="N116" s="1410">
        <f t="shared" ref="N116:S116" si="127">N115*$C$114</f>
        <v>0</v>
      </c>
      <c r="O116" s="1410">
        <f t="shared" si="127"/>
        <v>0</v>
      </c>
      <c r="P116" s="1410">
        <f t="shared" si="127"/>
        <v>3641.0472718749998</v>
      </c>
      <c r="Q116" s="1410">
        <f t="shared" si="127"/>
        <v>3641.0472718749998</v>
      </c>
      <c r="R116" s="1410">
        <f t="shared" si="127"/>
        <v>0</v>
      </c>
      <c r="S116" s="1410">
        <f t="shared" si="127"/>
        <v>0</v>
      </c>
      <c r="T116" s="1410">
        <f t="shared" ref="T116" si="128">T115*$C$114</f>
        <v>0</v>
      </c>
    </row>
    <row r="117" spans="1:20">
      <c r="B117" s="1431" t="s">
        <v>868</v>
      </c>
      <c r="C117" s="1440"/>
      <c r="D117" s="1440">
        <f>D116</f>
        <v>0</v>
      </c>
      <c r="E117" s="1440">
        <f>E116</f>
        <v>0</v>
      </c>
      <c r="F117" s="1440">
        <f>F116</f>
        <v>0</v>
      </c>
      <c r="G117" s="1440">
        <f t="shared" ref="G117:T117" si="129">F120+G116</f>
        <v>0</v>
      </c>
      <c r="H117" s="1440">
        <f t="shared" si="129"/>
        <v>0</v>
      </c>
      <c r="I117" s="1440">
        <f t="shared" si="129"/>
        <v>0</v>
      </c>
      <c r="J117" s="1440">
        <f t="shared" si="129"/>
        <v>0</v>
      </c>
      <c r="K117" s="1440">
        <f t="shared" si="129"/>
        <v>0</v>
      </c>
      <c r="L117" s="1440">
        <f t="shared" si="129"/>
        <v>0</v>
      </c>
      <c r="M117" s="1440">
        <f t="shared" si="129"/>
        <v>0</v>
      </c>
      <c r="N117" s="1440">
        <f t="shared" si="129"/>
        <v>0</v>
      </c>
      <c r="O117" s="1440">
        <f t="shared" si="129"/>
        <v>0</v>
      </c>
      <c r="P117" s="1440">
        <f t="shared" si="129"/>
        <v>3641.0472718749998</v>
      </c>
      <c r="Q117" s="1440">
        <f t="shared" si="129"/>
        <v>7282.0945437499995</v>
      </c>
      <c r="R117" s="1440">
        <f t="shared" si="129"/>
        <v>7282.0945437499995</v>
      </c>
      <c r="S117" s="1440">
        <f t="shared" si="129"/>
        <v>3641.0472718749998</v>
      </c>
      <c r="T117" s="1440">
        <f t="shared" si="129"/>
        <v>0</v>
      </c>
    </row>
    <row r="118" spans="1:20">
      <c r="B118" s="1431" t="s">
        <v>1574</v>
      </c>
      <c r="C118" s="1440">
        <f>SUM(D118:S118)</f>
        <v>7282.0945437499995</v>
      </c>
      <c r="D118" s="1423"/>
      <c r="E118" s="1423"/>
      <c r="F118" s="1423"/>
      <c r="G118" s="1423"/>
      <c r="H118" s="1423"/>
      <c r="I118" s="1410"/>
      <c r="J118" s="1423"/>
      <c r="K118" s="1423"/>
      <c r="L118" s="1410"/>
      <c r="M118" s="1410"/>
      <c r="N118" s="1423"/>
      <c r="O118" s="1423"/>
      <c r="P118" s="1423"/>
      <c r="Q118" s="1423">
        <f>E114</f>
        <v>0</v>
      </c>
      <c r="R118" s="1423">
        <f>P116</f>
        <v>3641.0472718749998</v>
      </c>
      <c r="S118" s="1423">
        <f>R118</f>
        <v>3641.0472718749998</v>
      </c>
      <c r="T118" s="1423"/>
    </row>
    <row r="119" spans="1:20">
      <c r="B119" s="1431" t="s">
        <v>869</v>
      </c>
      <c r="C119" s="1440">
        <f>SUM(D119:S119)</f>
        <v>1747.7026904999998</v>
      </c>
      <c r="D119" s="1440">
        <f t="shared" ref="D119:M119" si="130">D117*D21</f>
        <v>0</v>
      </c>
      <c r="E119" s="1440">
        <f t="shared" si="130"/>
        <v>0</v>
      </c>
      <c r="F119" s="1440">
        <f t="shared" si="130"/>
        <v>0</v>
      </c>
      <c r="G119" s="1440">
        <f t="shared" si="130"/>
        <v>0</v>
      </c>
      <c r="H119" s="1440">
        <f t="shared" si="130"/>
        <v>0</v>
      </c>
      <c r="I119" s="1440">
        <f t="shared" si="130"/>
        <v>0</v>
      </c>
      <c r="J119" s="1440">
        <f t="shared" si="130"/>
        <v>0</v>
      </c>
      <c r="K119" s="1440">
        <f t="shared" si="130"/>
        <v>0</v>
      </c>
      <c r="L119" s="1440">
        <f t="shared" si="130"/>
        <v>0</v>
      </c>
      <c r="M119" s="1440">
        <f t="shared" si="130"/>
        <v>0</v>
      </c>
      <c r="N119" s="1440">
        <f t="shared" ref="N119:S119" si="131">N117*N21</f>
        <v>0</v>
      </c>
      <c r="O119" s="1440">
        <f t="shared" si="131"/>
        <v>0</v>
      </c>
      <c r="P119" s="1440">
        <f>P117*P21</f>
        <v>291.28378175</v>
      </c>
      <c r="Q119" s="1440">
        <f t="shared" si="131"/>
        <v>582.56756350000001</v>
      </c>
      <c r="R119" s="1440">
        <f t="shared" si="131"/>
        <v>582.56756350000001</v>
      </c>
      <c r="S119" s="1440">
        <f t="shared" si="131"/>
        <v>291.28378175</v>
      </c>
      <c r="T119" s="1440">
        <f t="shared" ref="T119" si="132">T117*T21</f>
        <v>0</v>
      </c>
    </row>
    <row r="120" spans="1:20">
      <c r="B120" s="1431" t="s">
        <v>874</v>
      </c>
      <c r="C120" s="1440"/>
      <c r="D120" s="1440">
        <f t="shared" ref="D120:M120" si="133">D117-D118</f>
        <v>0</v>
      </c>
      <c r="E120" s="1440">
        <f t="shared" si="133"/>
        <v>0</v>
      </c>
      <c r="F120" s="1440">
        <f t="shared" si="133"/>
        <v>0</v>
      </c>
      <c r="G120" s="1440">
        <f t="shared" si="133"/>
        <v>0</v>
      </c>
      <c r="H120" s="1440">
        <f t="shared" si="133"/>
        <v>0</v>
      </c>
      <c r="I120" s="1440">
        <f t="shared" si="133"/>
        <v>0</v>
      </c>
      <c r="J120" s="1440">
        <f t="shared" si="133"/>
        <v>0</v>
      </c>
      <c r="K120" s="1440">
        <f t="shared" si="133"/>
        <v>0</v>
      </c>
      <c r="L120" s="1440">
        <f t="shared" si="133"/>
        <v>0</v>
      </c>
      <c r="M120" s="1440">
        <f t="shared" si="133"/>
        <v>0</v>
      </c>
      <c r="N120" s="1440">
        <f t="shared" ref="N120:S120" si="134">N117-N118</f>
        <v>0</v>
      </c>
      <c r="O120" s="1440">
        <f t="shared" si="134"/>
        <v>0</v>
      </c>
      <c r="P120" s="1440">
        <f t="shared" si="134"/>
        <v>3641.0472718749998</v>
      </c>
      <c r="Q120" s="1440">
        <f t="shared" si="134"/>
        <v>7282.0945437499995</v>
      </c>
      <c r="R120" s="1440">
        <f t="shared" si="134"/>
        <v>3641.0472718749998</v>
      </c>
      <c r="S120" s="1440">
        <f t="shared" si="134"/>
        <v>0</v>
      </c>
      <c r="T120" s="1440">
        <f t="shared" ref="T120" si="135">T117-T118</f>
        <v>0</v>
      </c>
    </row>
    <row r="121" spans="1:20">
      <c r="C121" s="1440"/>
      <c r="D121" s="1412"/>
      <c r="E121" s="1440"/>
      <c r="F121" s="1440"/>
      <c r="G121" s="1440"/>
      <c r="H121" s="1440"/>
    </row>
    <row r="122" spans="1:20">
      <c r="C122" s="1440"/>
    </row>
    <row r="123" spans="1:20" s="1407" customFormat="1">
      <c r="A123" s="1406">
        <v>9</v>
      </c>
      <c r="B123" s="1407" t="s">
        <v>350</v>
      </c>
      <c r="C123" s="1440"/>
      <c r="D123" s="1431">
        <f t="shared" ref="D123:J123" si="136">D95</f>
        <v>2013</v>
      </c>
      <c r="E123" s="1431">
        <f t="shared" si="136"/>
        <v>2014</v>
      </c>
      <c r="F123" s="1431">
        <f t="shared" si="136"/>
        <v>2015</v>
      </c>
      <c r="G123" s="1431">
        <f t="shared" si="136"/>
        <v>2016</v>
      </c>
      <c r="H123" s="1431">
        <f t="shared" si="136"/>
        <v>2017</v>
      </c>
      <c r="I123" s="1431">
        <f t="shared" si="136"/>
        <v>2018</v>
      </c>
      <c r="J123" s="1431">
        <f t="shared" si="136"/>
        <v>2019</v>
      </c>
      <c r="K123" s="1431">
        <f t="shared" ref="K123:S123" si="137">K95</f>
        <v>2020</v>
      </c>
      <c r="L123" s="1431">
        <f t="shared" si="137"/>
        <v>2021</v>
      </c>
      <c r="M123" s="1431">
        <f t="shared" si="137"/>
        <v>2022</v>
      </c>
      <c r="N123" s="1431">
        <f t="shared" si="137"/>
        <v>2023</v>
      </c>
      <c r="O123" s="1431">
        <f t="shared" si="137"/>
        <v>2024</v>
      </c>
      <c r="P123" s="1431">
        <f t="shared" si="137"/>
        <v>2025</v>
      </c>
      <c r="Q123" s="1431">
        <f t="shared" si="137"/>
        <v>2026</v>
      </c>
      <c r="R123" s="1431">
        <f t="shared" si="137"/>
        <v>2027</v>
      </c>
      <c r="S123" s="1431">
        <f t="shared" si="137"/>
        <v>2028</v>
      </c>
      <c r="T123" s="1431">
        <f t="shared" ref="T123" si="138">T95</f>
        <v>2029</v>
      </c>
    </row>
    <row r="124" spans="1:20">
      <c r="B124" s="1432" t="s">
        <v>1575</v>
      </c>
      <c r="C124" s="1441"/>
      <c r="D124" s="1441">
        <f>D63</f>
        <v>0</v>
      </c>
      <c r="E124" s="1408">
        <f t="shared" ref="E124:M124" si="139">D124+E63</f>
        <v>0</v>
      </c>
      <c r="F124" s="1408">
        <f t="shared" si="139"/>
        <v>0</v>
      </c>
      <c r="G124" s="1408">
        <f t="shared" si="139"/>
        <v>0</v>
      </c>
      <c r="H124" s="1408">
        <f t="shared" si="139"/>
        <v>0</v>
      </c>
      <c r="I124" s="1408">
        <f t="shared" si="139"/>
        <v>0</v>
      </c>
      <c r="J124" s="1408">
        <f t="shared" si="139"/>
        <v>0</v>
      </c>
      <c r="K124" s="1408">
        <f t="shared" si="139"/>
        <v>0</v>
      </c>
      <c r="L124" s="1408">
        <f t="shared" si="139"/>
        <v>0</v>
      </c>
      <c r="M124" s="1408">
        <f t="shared" si="139"/>
        <v>0</v>
      </c>
      <c r="N124" s="1408">
        <f t="shared" ref="N124:T124" si="140">M124+N63</f>
        <v>0</v>
      </c>
      <c r="O124" s="1408">
        <f>N124+O63</f>
        <v>0</v>
      </c>
      <c r="P124" s="1408">
        <f t="shared" si="140"/>
        <v>3342.7169999999996</v>
      </c>
      <c r="Q124" s="1408">
        <f t="shared" si="140"/>
        <v>9586.4348250000003</v>
      </c>
      <c r="R124" s="1408">
        <f t="shared" si="140"/>
        <v>21329.718000000001</v>
      </c>
      <c r="S124" s="1408">
        <f t="shared" si="140"/>
        <v>29583.045449999998</v>
      </c>
      <c r="T124" s="1408">
        <f t="shared" si="140"/>
        <v>35430.147249999995</v>
      </c>
    </row>
    <row r="125" spans="1:20">
      <c r="B125" s="1431" t="s">
        <v>1576</v>
      </c>
      <c r="C125" s="1440"/>
      <c r="D125" s="1440">
        <f>D57</f>
        <v>0</v>
      </c>
      <c r="E125" s="1440">
        <f t="shared" ref="E125:M125" si="141">D125+E57</f>
        <v>0</v>
      </c>
      <c r="F125" s="1440">
        <f t="shared" si="141"/>
        <v>0</v>
      </c>
      <c r="G125" s="1440">
        <f t="shared" si="141"/>
        <v>0</v>
      </c>
      <c r="H125" s="1440">
        <f t="shared" si="141"/>
        <v>0</v>
      </c>
      <c r="I125" s="1440">
        <f t="shared" si="141"/>
        <v>0</v>
      </c>
      <c r="J125" s="1440">
        <f t="shared" si="141"/>
        <v>0</v>
      </c>
      <c r="K125" s="1440">
        <f t="shared" si="141"/>
        <v>0</v>
      </c>
      <c r="L125" s="1440">
        <f t="shared" si="141"/>
        <v>0</v>
      </c>
      <c r="M125" s="1440">
        <f t="shared" si="141"/>
        <v>0</v>
      </c>
      <c r="N125" s="1440">
        <f t="shared" ref="N125:T125" si="142">M125+N57</f>
        <v>0</v>
      </c>
      <c r="O125" s="1440">
        <f t="shared" si="142"/>
        <v>0</v>
      </c>
      <c r="P125" s="1440">
        <f t="shared" si="142"/>
        <v>0</v>
      </c>
      <c r="Q125" s="1440">
        <f t="shared" si="142"/>
        <v>0</v>
      </c>
      <c r="R125" s="1440">
        <f t="shared" si="142"/>
        <v>14172.058899999998</v>
      </c>
      <c r="S125" s="1440">
        <f t="shared" si="142"/>
        <v>31887.132524999994</v>
      </c>
      <c r="T125" s="1440">
        <f t="shared" si="142"/>
        <v>35430.147249999995</v>
      </c>
    </row>
    <row r="126" spans="1:20">
      <c r="B126" s="1431" t="s">
        <v>1577</v>
      </c>
      <c r="C126" s="1440"/>
      <c r="D126" s="1440">
        <f>D50</f>
        <v>0</v>
      </c>
      <c r="E126" s="1440">
        <f t="shared" ref="E126:M126" si="143">D126+E50</f>
        <v>0</v>
      </c>
      <c r="F126" s="1440">
        <f t="shared" si="143"/>
        <v>0</v>
      </c>
      <c r="G126" s="1440">
        <f t="shared" si="143"/>
        <v>0</v>
      </c>
      <c r="H126" s="1440">
        <f t="shared" si="143"/>
        <v>0</v>
      </c>
      <c r="I126" s="1440">
        <f t="shared" si="143"/>
        <v>0</v>
      </c>
      <c r="J126" s="1440">
        <f t="shared" si="143"/>
        <v>0</v>
      </c>
      <c r="K126" s="1440">
        <f t="shared" si="143"/>
        <v>0</v>
      </c>
      <c r="L126" s="1440">
        <f t="shared" si="143"/>
        <v>0</v>
      </c>
      <c r="M126" s="1440">
        <f t="shared" si="143"/>
        <v>0</v>
      </c>
      <c r="N126" s="1440">
        <f t="shared" ref="N126:T126" si="144">M126+N50</f>
        <v>0</v>
      </c>
      <c r="O126" s="1440">
        <f t="shared" si="144"/>
        <v>0</v>
      </c>
      <c r="P126" s="1440">
        <f t="shared" si="144"/>
        <v>11142.39</v>
      </c>
      <c r="Q126" s="1440">
        <f t="shared" si="144"/>
        <v>20812.392749999999</v>
      </c>
      <c r="R126" s="1440">
        <f t="shared" si="144"/>
        <v>35430.147249999995</v>
      </c>
      <c r="S126" s="1440">
        <f t="shared" si="144"/>
        <v>35430.147249999995</v>
      </c>
      <c r="T126" s="1440">
        <f t="shared" si="144"/>
        <v>35430.147249999995</v>
      </c>
    </row>
    <row r="127" spans="1:20">
      <c r="B127" s="1431" t="s">
        <v>1578</v>
      </c>
      <c r="C127" s="1440"/>
      <c r="D127" s="1436" t="str">
        <f t="shared" ref="D127:J127" si="145">IF(D124&lt;&gt;0,D124/D126,"")</f>
        <v/>
      </c>
      <c r="E127" s="1436" t="str">
        <f t="shared" si="145"/>
        <v/>
      </c>
      <c r="F127" s="1436" t="str">
        <f t="shared" si="145"/>
        <v/>
      </c>
      <c r="G127" s="1436" t="str">
        <f t="shared" si="145"/>
        <v/>
      </c>
      <c r="H127" s="1436" t="str">
        <f t="shared" si="145"/>
        <v/>
      </c>
      <c r="I127" s="1436" t="str">
        <f t="shared" si="145"/>
        <v/>
      </c>
      <c r="J127" s="1436" t="str">
        <f t="shared" si="145"/>
        <v/>
      </c>
      <c r="K127" s="1436" t="str">
        <f t="shared" ref="K127:S127" si="146">IF(K124&lt;&gt;0,K124/K126,"")</f>
        <v/>
      </c>
      <c r="L127" s="1436" t="str">
        <f t="shared" si="146"/>
        <v/>
      </c>
      <c r="M127" s="1436" t="str">
        <f t="shared" si="146"/>
        <v/>
      </c>
      <c r="N127" s="1436" t="str">
        <f t="shared" si="146"/>
        <v/>
      </c>
      <c r="O127" s="1436" t="str">
        <f t="shared" si="146"/>
        <v/>
      </c>
      <c r="P127" s="1436">
        <f t="shared" si="146"/>
        <v>0.3</v>
      </c>
      <c r="Q127" s="1436">
        <f t="shared" si="146"/>
        <v>0.46061185468451249</v>
      </c>
      <c r="R127" s="1436">
        <f t="shared" si="146"/>
        <v>0.60202171471359056</v>
      </c>
      <c r="S127" s="1436">
        <f t="shared" si="146"/>
        <v>0.83496817671284174</v>
      </c>
      <c r="T127" s="1436">
        <f t="shared" ref="T127" si="147">IF(T124&lt;&gt;0,T124/T126,"")</f>
        <v>1</v>
      </c>
    </row>
    <row r="128" spans="1:20">
      <c r="B128" s="1431" t="s">
        <v>1579</v>
      </c>
      <c r="C128" s="1440"/>
      <c r="D128" s="1410">
        <f t="shared" ref="D128:J128" si="148">IF(D124&gt;D125,D124-D125,0)</f>
        <v>0</v>
      </c>
      <c r="E128" s="1410">
        <f t="shared" si="148"/>
        <v>0</v>
      </c>
      <c r="F128" s="1410">
        <f t="shared" si="148"/>
        <v>0</v>
      </c>
      <c r="G128" s="1410">
        <f t="shared" si="148"/>
        <v>0</v>
      </c>
      <c r="H128" s="1410">
        <f t="shared" si="148"/>
        <v>0</v>
      </c>
      <c r="I128" s="1410">
        <f t="shared" si="148"/>
        <v>0</v>
      </c>
      <c r="J128" s="1410">
        <f t="shared" si="148"/>
        <v>0</v>
      </c>
      <c r="K128" s="1410">
        <f t="shared" ref="K128:S128" si="149">IF(K124&gt;K125,K124-K125,0)</f>
        <v>0</v>
      </c>
      <c r="L128" s="1410">
        <f t="shared" si="149"/>
        <v>0</v>
      </c>
      <c r="M128" s="1410">
        <f t="shared" si="149"/>
        <v>0</v>
      </c>
      <c r="N128" s="1410">
        <f t="shared" si="149"/>
        <v>0</v>
      </c>
      <c r="O128" s="1410">
        <f t="shared" si="149"/>
        <v>0</v>
      </c>
      <c r="P128" s="1410">
        <f t="shared" si="149"/>
        <v>3342.7169999999996</v>
      </c>
      <c r="Q128" s="1410">
        <f t="shared" si="149"/>
        <v>9586.4348250000003</v>
      </c>
      <c r="R128" s="1410">
        <f t="shared" si="149"/>
        <v>7157.6591000000026</v>
      </c>
      <c r="S128" s="1410">
        <f t="shared" si="149"/>
        <v>0</v>
      </c>
      <c r="T128" s="1410">
        <f t="shared" ref="T128" si="150">IF(T124&gt;T125,T124-T125,0)</f>
        <v>0</v>
      </c>
    </row>
    <row r="129" spans="1:20" s="1407" customFormat="1">
      <c r="A129" s="1406"/>
      <c r="B129" s="1431" t="s">
        <v>1580</v>
      </c>
      <c r="C129" s="1440"/>
      <c r="D129" s="1410">
        <f t="shared" ref="D129:J129" si="151">IF(D125&gt;D124,D125-D124,0)</f>
        <v>0</v>
      </c>
      <c r="E129" s="1410">
        <f t="shared" si="151"/>
        <v>0</v>
      </c>
      <c r="F129" s="1410">
        <f t="shared" si="151"/>
        <v>0</v>
      </c>
      <c r="G129" s="1410">
        <f t="shared" si="151"/>
        <v>0</v>
      </c>
      <c r="H129" s="1410">
        <f t="shared" si="151"/>
        <v>0</v>
      </c>
      <c r="I129" s="1410">
        <f t="shared" si="151"/>
        <v>0</v>
      </c>
      <c r="J129" s="1410">
        <f t="shared" si="151"/>
        <v>0</v>
      </c>
      <c r="K129" s="1410">
        <f t="shared" ref="K129:S129" si="152">IF(K125&gt;K124,K125-K124,0)</f>
        <v>0</v>
      </c>
      <c r="L129" s="1410">
        <f t="shared" si="152"/>
        <v>0</v>
      </c>
      <c r="M129" s="1410">
        <f t="shared" si="152"/>
        <v>0</v>
      </c>
      <c r="N129" s="1410">
        <f t="shared" si="152"/>
        <v>0</v>
      </c>
      <c r="O129" s="1410">
        <f t="shared" si="152"/>
        <v>0</v>
      </c>
      <c r="P129" s="1410">
        <f t="shared" si="152"/>
        <v>0</v>
      </c>
      <c r="Q129" s="1410">
        <f t="shared" si="152"/>
        <v>0</v>
      </c>
      <c r="R129" s="1410">
        <f t="shared" si="152"/>
        <v>0</v>
      </c>
      <c r="S129" s="1410">
        <f t="shared" si="152"/>
        <v>2304.0870749999958</v>
      </c>
      <c r="T129" s="1410">
        <f t="shared" ref="T129" si="153">IF(T125&gt;T124,T125-T124,0)</f>
        <v>0</v>
      </c>
    </row>
    <row r="130" spans="1:20">
      <c r="B130" s="1407"/>
      <c r="E130" s="1440"/>
      <c r="F130" s="1440"/>
      <c r="G130" s="1440"/>
      <c r="H130" s="1440"/>
      <c r="I130" s="1440"/>
      <c r="J130" s="1440"/>
      <c r="K130" s="1440"/>
      <c r="L130" s="1440"/>
      <c r="M130" s="1440"/>
      <c r="N130" s="1440"/>
      <c r="O130" s="1440"/>
      <c r="P130" s="1440"/>
      <c r="Q130" s="1440"/>
      <c r="R130" s="1440"/>
      <c r="S130" s="1440"/>
      <c r="T130" s="1440"/>
    </row>
    <row r="131" spans="1:20">
      <c r="B131" s="1407" t="s">
        <v>1492</v>
      </c>
      <c r="E131" s="1440"/>
      <c r="F131" s="1440"/>
      <c r="G131" s="1440"/>
      <c r="H131" s="1440"/>
      <c r="I131" s="1440"/>
      <c r="J131" s="1440"/>
      <c r="K131" s="1440"/>
      <c r="L131" s="1440"/>
      <c r="M131" s="1440"/>
      <c r="N131" s="1440"/>
      <c r="O131" s="1440"/>
      <c r="P131" s="1440"/>
      <c r="Q131" s="1440"/>
      <c r="R131" s="1440"/>
      <c r="S131" s="1440"/>
      <c r="T131" s="1440"/>
    </row>
    <row r="132" spans="1:20">
      <c r="B132" s="1431" t="s">
        <v>1581</v>
      </c>
      <c r="D132" s="1412">
        <v>0</v>
      </c>
      <c r="E132" s="1410">
        <f t="shared" ref="E132:J132" si="154">D136</f>
        <v>0</v>
      </c>
      <c r="F132" s="1440">
        <f t="shared" si="154"/>
        <v>0</v>
      </c>
      <c r="G132" s="1440">
        <f t="shared" si="154"/>
        <v>0</v>
      </c>
      <c r="H132" s="1440">
        <f t="shared" si="154"/>
        <v>0</v>
      </c>
      <c r="I132" s="1440">
        <f t="shared" si="154"/>
        <v>3093.4560000000001</v>
      </c>
      <c r="J132" s="1440">
        <f t="shared" si="154"/>
        <v>3093.4560000000001</v>
      </c>
      <c r="K132" s="1440">
        <f t="shared" ref="K132:T132" si="155">J136</f>
        <v>3093.4560000000001</v>
      </c>
      <c r="L132" s="1440">
        <f t="shared" si="155"/>
        <v>3093.4560000000001</v>
      </c>
      <c r="M132" s="1440">
        <f t="shared" si="155"/>
        <v>3093.4560000000001</v>
      </c>
      <c r="N132" s="1440">
        <f t="shared" si="155"/>
        <v>3093.4560000000001</v>
      </c>
      <c r="O132" s="1440">
        <f t="shared" si="155"/>
        <v>3849.6669999999995</v>
      </c>
      <c r="P132" s="1440">
        <f t="shared" si="155"/>
        <v>3849.6669999999995</v>
      </c>
      <c r="Q132" s="1440">
        <f t="shared" si="155"/>
        <v>5649.6669999999995</v>
      </c>
      <c r="R132" s="1440">
        <f t="shared" si="155"/>
        <v>8049.6669999999995</v>
      </c>
      <c r="S132" s="1440">
        <f t="shared" si="155"/>
        <v>5549.8001999999997</v>
      </c>
      <c r="T132" s="1440">
        <f t="shared" si="155"/>
        <v>924.96669999999995</v>
      </c>
    </row>
    <row r="133" spans="1:20">
      <c r="B133" s="1431" t="s">
        <v>994</v>
      </c>
      <c r="D133" s="1440">
        <f t="shared" ref="D133:M133" si="156">SUM(D99:D100)</f>
        <v>0</v>
      </c>
      <c r="E133" s="1440">
        <f t="shared" si="156"/>
        <v>0</v>
      </c>
      <c r="F133" s="1440">
        <f t="shared" si="156"/>
        <v>0</v>
      </c>
      <c r="G133" s="1440">
        <f t="shared" si="156"/>
        <v>0</v>
      </c>
      <c r="H133" s="1440">
        <f t="shared" si="156"/>
        <v>3093.4560000000001</v>
      </c>
      <c r="I133" s="1440">
        <f t="shared" si="156"/>
        <v>0</v>
      </c>
      <c r="J133" s="1440">
        <f t="shared" si="156"/>
        <v>0</v>
      </c>
      <c r="K133" s="1440">
        <f t="shared" si="156"/>
        <v>0</v>
      </c>
      <c r="L133" s="1440">
        <f t="shared" si="156"/>
        <v>0</v>
      </c>
      <c r="M133" s="1440">
        <f t="shared" si="156"/>
        <v>0</v>
      </c>
      <c r="N133" s="1440">
        <f t="shared" ref="N133:S133" si="157">SUM(N99:N100)</f>
        <v>756.21099999999956</v>
      </c>
      <c r="O133" s="1440">
        <f t="shared" si="157"/>
        <v>0</v>
      </c>
      <c r="P133" s="1440">
        <f t="shared" si="157"/>
        <v>1800</v>
      </c>
      <c r="Q133" s="1440">
        <f t="shared" si="157"/>
        <v>2400</v>
      </c>
      <c r="R133" s="1440">
        <f t="shared" si="157"/>
        <v>1200</v>
      </c>
      <c r="S133" s="1440">
        <f t="shared" si="157"/>
        <v>0</v>
      </c>
      <c r="T133" s="1440">
        <f t="shared" ref="T133" si="158">SUM(T99:T100)</f>
        <v>0</v>
      </c>
    </row>
    <row r="134" spans="1:20">
      <c r="B134" s="1431" t="s">
        <v>1582</v>
      </c>
      <c r="D134" s="1431">
        <f t="shared" ref="D134:J134" si="159">$C$77*D58</f>
        <v>0</v>
      </c>
      <c r="E134" s="1431">
        <f t="shared" si="159"/>
        <v>0</v>
      </c>
      <c r="F134" s="1440">
        <f t="shared" si="159"/>
        <v>0</v>
      </c>
      <c r="G134" s="1440">
        <f t="shared" si="159"/>
        <v>0</v>
      </c>
      <c r="H134" s="1440">
        <f t="shared" si="159"/>
        <v>0</v>
      </c>
      <c r="I134" s="1440">
        <f t="shared" si="159"/>
        <v>0</v>
      </c>
      <c r="J134" s="1440">
        <f t="shared" si="159"/>
        <v>0</v>
      </c>
      <c r="K134" s="1440">
        <f t="shared" ref="K134:S134" si="160">$C$77*K58</f>
        <v>0</v>
      </c>
      <c r="L134" s="1440">
        <f t="shared" si="160"/>
        <v>0</v>
      </c>
      <c r="M134" s="1440">
        <f t="shared" si="160"/>
        <v>0</v>
      </c>
      <c r="N134" s="1440">
        <f t="shared" si="160"/>
        <v>0</v>
      </c>
      <c r="O134" s="1440">
        <f t="shared" si="160"/>
        <v>0</v>
      </c>
      <c r="P134" s="1440">
        <f t="shared" si="160"/>
        <v>0</v>
      </c>
      <c r="Q134" s="1440">
        <f t="shared" si="160"/>
        <v>0</v>
      </c>
      <c r="R134" s="1440">
        <f t="shared" si="160"/>
        <v>699.08107619999998</v>
      </c>
      <c r="S134" s="1440">
        <f t="shared" si="160"/>
        <v>873.85134524999989</v>
      </c>
      <c r="T134" s="1440">
        <f t="shared" ref="T134" si="161">$C$77*T58</f>
        <v>174.77026905</v>
      </c>
    </row>
    <row r="135" spans="1:20">
      <c r="B135" s="1431" t="s">
        <v>1583</v>
      </c>
      <c r="D135" s="1440">
        <f t="shared" ref="D135:J135" si="162">SUM(D75:D77)</f>
        <v>0</v>
      </c>
      <c r="E135" s="1440">
        <f t="shared" si="162"/>
        <v>0</v>
      </c>
      <c r="F135" s="1440">
        <f t="shared" si="162"/>
        <v>0</v>
      </c>
      <c r="G135" s="1440">
        <f t="shared" si="162"/>
        <v>0</v>
      </c>
      <c r="H135" s="1440">
        <f t="shared" si="162"/>
        <v>0</v>
      </c>
      <c r="I135" s="1440">
        <f t="shared" si="162"/>
        <v>0</v>
      </c>
      <c r="J135" s="1440">
        <f t="shared" si="162"/>
        <v>0</v>
      </c>
      <c r="K135" s="1440">
        <f t="shared" ref="K135:S135" si="163">SUM(K75:K77)</f>
        <v>0</v>
      </c>
      <c r="L135" s="1440">
        <f t="shared" si="163"/>
        <v>0</v>
      </c>
      <c r="M135" s="1440">
        <f t="shared" si="163"/>
        <v>0</v>
      </c>
      <c r="N135" s="1440">
        <f t="shared" si="163"/>
        <v>0</v>
      </c>
      <c r="O135" s="1440">
        <f t="shared" si="163"/>
        <v>0</v>
      </c>
      <c r="P135" s="1440">
        <f t="shared" si="163"/>
        <v>0</v>
      </c>
      <c r="Q135" s="1440">
        <f t="shared" si="163"/>
        <v>0</v>
      </c>
      <c r="R135" s="1440">
        <f t="shared" si="163"/>
        <v>4398.9478761999999</v>
      </c>
      <c r="S135" s="1440">
        <f t="shared" si="163"/>
        <v>5498.6848452499999</v>
      </c>
      <c r="T135" s="1440">
        <f t="shared" ref="T135" si="164">SUM(T75:T77)</f>
        <v>1099.73696905</v>
      </c>
    </row>
    <row r="136" spans="1:20">
      <c r="B136" s="1431" t="s">
        <v>874</v>
      </c>
      <c r="D136" s="1440">
        <f t="shared" ref="D136:M136" si="165">SUM(D132:D134)-D135</f>
        <v>0</v>
      </c>
      <c r="E136" s="1440">
        <f t="shared" si="165"/>
        <v>0</v>
      </c>
      <c r="F136" s="1440">
        <f t="shared" si="165"/>
        <v>0</v>
      </c>
      <c r="G136" s="1440">
        <f t="shared" si="165"/>
        <v>0</v>
      </c>
      <c r="H136" s="1440">
        <f t="shared" si="165"/>
        <v>3093.4560000000001</v>
      </c>
      <c r="I136" s="1440">
        <f t="shared" si="165"/>
        <v>3093.4560000000001</v>
      </c>
      <c r="J136" s="1440">
        <f t="shared" si="165"/>
        <v>3093.4560000000001</v>
      </c>
      <c r="K136" s="1440">
        <f t="shared" si="165"/>
        <v>3093.4560000000001</v>
      </c>
      <c r="L136" s="1440">
        <f t="shared" si="165"/>
        <v>3093.4560000000001</v>
      </c>
      <c r="M136" s="1440">
        <f t="shared" si="165"/>
        <v>3093.4560000000001</v>
      </c>
      <c r="N136" s="1440">
        <f t="shared" ref="N136:S136" si="166">SUM(N132:N134)-N135</f>
        <v>3849.6669999999995</v>
      </c>
      <c r="O136" s="1440">
        <f t="shared" si="166"/>
        <v>3849.6669999999995</v>
      </c>
      <c r="P136" s="1440">
        <f t="shared" si="166"/>
        <v>5649.6669999999995</v>
      </c>
      <c r="Q136" s="1440">
        <f t="shared" si="166"/>
        <v>8049.6669999999995</v>
      </c>
      <c r="R136" s="1440">
        <f t="shared" si="166"/>
        <v>5549.8001999999997</v>
      </c>
      <c r="S136" s="1440">
        <f t="shared" si="166"/>
        <v>924.96669999999995</v>
      </c>
      <c r="T136" s="1440">
        <f t="shared" ref="T136" si="167">SUM(T132:T134)-T135</f>
        <v>0</v>
      </c>
    </row>
    <row r="137" spans="1:20">
      <c r="A137" s="1430" t="s">
        <v>1584</v>
      </c>
      <c r="B137" s="1432"/>
      <c r="C137" s="1432"/>
      <c r="D137" s="1432"/>
      <c r="E137" s="1432"/>
      <c r="F137" s="1432"/>
      <c r="G137" s="1432"/>
      <c r="H137" s="1432"/>
      <c r="I137" s="1432"/>
      <c r="J137" s="1432"/>
      <c r="K137" s="1432"/>
      <c r="L137" s="1432"/>
      <c r="M137" s="1432"/>
      <c r="N137" s="1432"/>
      <c r="O137" s="1432"/>
      <c r="P137" s="1432"/>
      <c r="Q137" s="1432"/>
      <c r="R137" s="1432"/>
      <c r="S137" s="1432"/>
      <c r="T137" s="1432"/>
    </row>
  </sheetData>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X137"/>
  <sheetViews>
    <sheetView zoomScaleNormal="100" workbookViewId="0">
      <selection activeCell="N8" sqref="N8"/>
    </sheetView>
  </sheetViews>
  <sheetFormatPr defaultColWidth="9.140625" defaultRowHeight="12"/>
  <cols>
    <col min="1" max="1" width="5.85546875" style="1406" customWidth="1"/>
    <col min="2" max="2" width="27.140625" style="1431" customWidth="1"/>
    <col min="3" max="13" width="9.140625" style="1431" customWidth="1"/>
    <col min="14" max="16384" width="9.140625" style="1431"/>
  </cols>
  <sheetData>
    <row r="1" spans="1:24" ht="21">
      <c r="A1" s="1404" t="s">
        <v>2436</v>
      </c>
    </row>
    <row r="2" spans="1:24">
      <c r="A2" s="1405" t="s">
        <v>1776</v>
      </c>
    </row>
    <row r="4" spans="1:24">
      <c r="B4" s="1407" t="s">
        <v>1539</v>
      </c>
      <c r="F4" s="1407" t="s">
        <v>1540</v>
      </c>
      <c r="K4" s="1407" t="s">
        <v>1595</v>
      </c>
      <c r="P4" s="1407" t="s">
        <v>1783</v>
      </c>
    </row>
    <row r="5" spans="1:24">
      <c r="B5" s="1432" t="s">
        <v>748</v>
      </c>
      <c r="C5" s="1432"/>
      <c r="D5" s="1408">
        <f>SUM(D6:D8)</f>
        <v>0</v>
      </c>
      <c r="F5" s="1432" t="s">
        <v>636</v>
      </c>
      <c r="G5" s="1432"/>
      <c r="H5" s="1432"/>
      <c r="I5" s="1409">
        <v>1</v>
      </c>
      <c r="K5" s="1432" t="s">
        <v>26</v>
      </c>
      <c r="L5" s="1432"/>
      <c r="M5" s="1432"/>
      <c r="N5" s="1441">
        <f>C83</f>
        <v>0</v>
      </c>
      <c r="P5" s="1432" t="s">
        <v>1777</v>
      </c>
      <c r="Q5" s="1432"/>
      <c r="R5" s="1432"/>
      <c r="S5" s="1422">
        <v>0</v>
      </c>
    </row>
    <row r="6" spans="1:24">
      <c r="B6" s="1431" t="s">
        <v>678</v>
      </c>
      <c r="D6" s="1410">
        <f>SUM(E31:E32)</f>
        <v>0</v>
      </c>
      <c r="F6" s="1431" t="s">
        <v>1542</v>
      </c>
      <c r="I6" s="1411">
        <v>0.5</v>
      </c>
      <c r="K6" s="1431" t="s">
        <v>197</v>
      </c>
      <c r="N6" s="1436" t="str">
        <f>C91</f>
        <v/>
      </c>
      <c r="P6" s="1431" t="s">
        <v>1778</v>
      </c>
      <c r="S6" s="1440" t="e">
        <f>D42/S5</f>
        <v>#DIV/0!</v>
      </c>
    </row>
    <row r="7" spans="1:24">
      <c r="B7" s="1431" t="s">
        <v>750</v>
      </c>
      <c r="D7" s="1410">
        <f>C70</f>
        <v>0</v>
      </c>
      <c r="F7" s="1431" t="s">
        <v>759</v>
      </c>
      <c r="I7" s="1440">
        <f>C114</f>
        <v>0</v>
      </c>
      <c r="K7" s="1431" t="s">
        <v>1779</v>
      </c>
      <c r="N7" s="1436" t="str">
        <f>C92</f>
        <v/>
      </c>
      <c r="P7" s="1431" t="s">
        <v>1792</v>
      </c>
      <c r="S7" s="1412">
        <v>0</v>
      </c>
    </row>
    <row r="8" spans="1:24">
      <c r="B8" s="1431" t="s">
        <v>656</v>
      </c>
      <c r="D8" s="1440">
        <f>C79</f>
        <v>0</v>
      </c>
      <c r="F8" s="1431" t="s">
        <v>1544</v>
      </c>
      <c r="I8" s="1433">
        <f>G23</f>
        <v>0.1105</v>
      </c>
      <c r="K8" s="1431" t="s">
        <v>1720</v>
      </c>
      <c r="N8" s="1440">
        <f>C105</f>
        <v>0</v>
      </c>
      <c r="P8" s="1431" t="s">
        <v>1784</v>
      </c>
      <c r="S8" s="1423">
        <v>0</v>
      </c>
    </row>
    <row r="9" spans="1:24">
      <c r="B9" s="1431" t="s">
        <v>869</v>
      </c>
      <c r="D9" s="1440">
        <f>C119</f>
        <v>0</v>
      </c>
      <c r="F9" s="1431" t="s">
        <v>1588</v>
      </c>
      <c r="I9" s="1425" t="e">
        <f>B109</f>
        <v>#NUM!</v>
      </c>
      <c r="K9" s="1431" t="s">
        <v>1601</v>
      </c>
      <c r="N9" s="1410">
        <f>C90</f>
        <v>0</v>
      </c>
      <c r="P9" s="1431" t="s">
        <v>1560</v>
      </c>
      <c r="S9" s="1416">
        <v>0.7</v>
      </c>
    </row>
    <row r="10" spans="1:24">
      <c r="B10" s="1431" t="s">
        <v>1543</v>
      </c>
      <c r="D10" s="1412">
        <v>2021</v>
      </c>
      <c r="F10" s="1431" t="s">
        <v>1781</v>
      </c>
      <c r="I10" s="1436" t="e">
        <f>C105/C90</f>
        <v>#DIV/0!</v>
      </c>
      <c r="K10" s="1431" t="s">
        <v>1141</v>
      </c>
      <c r="N10" s="1423">
        <v>50000</v>
      </c>
      <c r="P10" s="1431" t="s">
        <v>1785</v>
      </c>
      <c r="S10" s="1423">
        <v>0</v>
      </c>
    </row>
    <row r="11" spans="1:24">
      <c r="B11" s="1431" t="s">
        <v>751</v>
      </c>
      <c r="D11" s="1412">
        <v>2026</v>
      </c>
      <c r="F11" s="1431" t="s">
        <v>1782</v>
      </c>
      <c r="I11" s="1436" t="e">
        <f>C70/C50</f>
        <v>#DIV/0!</v>
      </c>
      <c r="K11" s="1431" t="s">
        <v>686</v>
      </c>
      <c r="N11" s="1643">
        <v>550000</v>
      </c>
      <c r="P11" s="1431" t="s">
        <v>1786</v>
      </c>
      <c r="S11" s="1416">
        <v>0.14000000000000001</v>
      </c>
    </row>
    <row r="12" spans="1:24">
      <c r="B12" s="1431" t="s">
        <v>1545</v>
      </c>
      <c r="D12" s="1412">
        <v>2022</v>
      </c>
      <c r="F12" s="1431" t="s">
        <v>1780</v>
      </c>
      <c r="I12" s="1436" t="e">
        <f>E32/C50</f>
        <v>#DIV/0!</v>
      </c>
      <c r="K12" s="1431" t="s">
        <v>1790</v>
      </c>
      <c r="N12" s="1599" t="s">
        <v>1921</v>
      </c>
      <c r="P12" s="1431" t="s">
        <v>1791</v>
      </c>
      <c r="S12" s="1423"/>
    </row>
    <row r="13" spans="1:24">
      <c r="E13" s="1412"/>
      <c r="J13" s="1413"/>
    </row>
    <row r="14" spans="1:24">
      <c r="B14" s="1407" t="s">
        <v>1546</v>
      </c>
      <c r="D14" s="1447">
        <v>2013</v>
      </c>
      <c r="E14" s="1431">
        <f t="shared" ref="E14:Q14" si="0">D14+1</f>
        <v>2014</v>
      </c>
      <c r="F14" s="1431">
        <f t="shared" si="0"/>
        <v>2015</v>
      </c>
      <c r="G14" s="1431">
        <f t="shared" si="0"/>
        <v>2016</v>
      </c>
      <c r="H14" s="1431">
        <f t="shared" si="0"/>
        <v>2017</v>
      </c>
      <c r="I14" s="1431">
        <f t="shared" si="0"/>
        <v>2018</v>
      </c>
      <c r="J14" s="1431">
        <f t="shared" si="0"/>
        <v>2019</v>
      </c>
      <c r="K14" s="1431">
        <f t="shared" si="0"/>
        <v>2020</v>
      </c>
      <c r="L14" s="1431">
        <f t="shared" si="0"/>
        <v>2021</v>
      </c>
      <c r="M14" s="1431">
        <f t="shared" si="0"/>
        <v>2022</v>
      </c>
      <c r="N14" s="1431">
        <f t="shared" si="0"/>
        <v>2023</v>
      </c>
      <c r="O14" s="1431">
        <f t="shared" si="0"/>
        <v>2024</v>
      </c>
      <c r="P14" s="1431">
        <f t="shared" si="0"/>
        <v>2025</v>
      </c>
      <c r="Q14" s="1431">
        <f t="shared" si="0"/>
        <v>2026</v>
      </c>
      <c r="R14" s="1431">
        <f t="shared" ref="R14:X14" si="1">Q14+1</f>
        <v>2027</v>
      </c>
      <c r="S14" s="1431">
        <f t="shared" si="1"/>
        <v>2028</v>
      </c>
      <c r="T14" s="1431">
        <f t="shared" si="1"/>
        <v>2029</v>
      </c>
      <c r="U14" s="1431">
        <f t="shared" si="1"/>
        <v>2030</v>
      </c>
      <c r="V14" s="1431">
        <f t="shared" si="1"/>
        <v>2031</v>
      </c>
      <c r="W14" s="1431">
        <f t="shared" si="1"/>
        <v>2032</v>
      </c>
      <c r="X14" s="1431">
        <f t="shared" si="1"/>
        <v>2033</v>
      </c>
    </row>
    <row r="15" spans="1:24">
      <c r="B15" s="1432" t="s">
        <v>1547</v>
      </c>
      <c r="C15" s="1432"/>
      <c r="D15" s="1434">
        <f>1-I6</f>
        <v>0.5</v>
      </c>
      <c r="E15" s="1434">
        <f t="shared" ref="E15:Q18" si="2">D15</f>
        <v>0.5</v>
      </c>
      <c r="F15" s="1434">
        <f t="shared" si="2"/>
        <v>0.5</v>
      </c>
      <c r="G15" s="1434">
        <f t="shared" si="2"/>
        <v>0.5</v>
      </c>
      <c r="H15" s="1434">
        <f t="shared" si="2"/>
        <v>0.5</v>
      </c>
      <c r="I15" s="1434">
        <f t="shared" si="2"/>
        <v>0.5</v>
      </c>
      <c r="J15" s="1434">
        <f t="shared" si="2"/>
        <v>0.5</v>
      </c>
      <c r="K15" s="1434">
        <f t="shared" si="2"/>
        <v>0.5</v>
      </c>
      <c r="L15" s="1434">
        <f t="shared" si="2"/>
        <v>0.5</v>
      </c>
      <c r="M15" s="1434">
        <f t="shared" si="2"/>
        <v>0.5</v>
      </c>
      <c r="N15" s="1434">
        <f t="shared" si="2"/>
        <v>0.5</v>
      </c>
      <c r="O15" s="1434">
        <f t="shared" si="2"/>
        <v>0.5</v>
      </c>
      <c r="P15" s="1434">
        <f t="shared" si="2"/>
        <v>0.5</v>
      </c>
      <c r="Q15" s="1434">
        <f t="shared" si="2"/>
        <v>0.5</v>
      </c>
      <c r="R15" s="1434">
        <f t="shared" ref="R15:X18" si="3">Q15</f>
        <v>0.5</v>
      </c>
      <c r="S15" s="1434">
        <f t="shared" si="3"/>
        <v>0.5</v>
      </c>
      <c r="T15" s="1434">
        <f t="shared" si="3"/>
        <v>0.5</v>
      </c>
      <c r="U15" s="1434">
        <f t="shared" si="3"/>
        <v>0.5</v>
      </c>
      <c r="V15" s="1434">
        <f t="shared" si="3"/>
        <v>0.5</v>
      </c>
      <c r="W15" s="1434">
        <f t="shared" si="3"/>
        <v>0.5</v>
      </c>
      <c r="X15" s="1434">
        <f t="shared" si="3"/>
        <v>0.5</v>
      </c>
    </row>
    <row r="16" spans="1:24">
      <c r="B16" s="1431" t="s">
        <v>610</v>
      </c>
      <c r="D16" s="1412">
        <v>1</v>
      </c>
      <c r="E16" s="1431">
        <f>D16</f>
        <v>1</v>
      </c>
      <c r="F16" s="1431">
        <f t="shared" si="2"/>
        <v>1</v>
      </c>
      <c r="G16" s="1431">
        <f t="shared" si="2"/>
        <v>1</v>
      </c>
      <c r="H16" s="1431">
        <f t="shared" si="2"/>
        <v>1</v>
      </c>
      <c r="I16" s="1431">
        <f t="shared" si="2"/>
        <v>1</v>
      </c>
      <c r="J16" s="1431">
        <f t="shared" si="2"/>
        <v>1</v>
      </c>
      <c r="K16" s="1431">
        <f t="shared" si="2"/>
        <v>1</v>
      </c>
      <c r="L16" s="1431">
        <f t="shared" si="2"/>
        <v>1</v>
      </c>
      <c r="M16" s="1431">
        <f t="shared" si="2"/>
        <v>1</v>
      </c>
      <c r="N16" s="2183">
        <v>1.3</v>
      </c>
      <c r="O16" s="2183">
        <v>1.3</v>
      </c>
      <c r="P16" s="2183">
        <v>1.3</v>
      </c>
      <c r="Q16" s="2183">
        <v>1.3</v>
      </c>
      <c r="R16" s="2183">
        <v>1.3</v>
      </c>
      <c r="S16" s="2183">
        <v>1.3</v>
      </c>
      <c r="T16" s="2183">
        <v>1.3</v>
      </c>
      <c r="U16" s="2183">
        <v>1.3</v>
      </c>
      <c r="V16" s="2183">
        <v>1.3</v>
      </c>
      <c r="W16" s="2183">
        <v>1.3</v>
      </c>
      <c r="X16" s="2183">
        <v>1.3</v>
      </c>
    </row>
    <row r="17" spans="1:24">
      <c r="B17" s="1431" t="s">
        <v>757</v>
      </c>
      <c r="D17" s="1424">
        <v>5.5E-2</v>
      </c>
      <c r="E17" s="1435">
        <f t="shared" si="2"/>
        <v>5.5E-2</v>
      </c>
      <c r="F17" s="1435">
        <f t="shared" si="2"/>
        <v>5.5E-2</v>
      </c>
      <c r="G17" s="1435">
        <f t="shared" si="2"/>
        <v>5.5E-2</v>
      </c>
      <c r="H17" s="1435">
        <f t="shared" si="2"/>
        <v>5.5E-2</v>
      </c>
      <c r="I17" s="1435">
        <f t="shared" si="2"/>
        <v>5.5E-2</v>
      </c>
      <c r="J17" s="1435">
        <f t="shared" si="2"/>
        <v>5.5E-2</v>
      </c>
      <c r="K17" s="1435">
        <f t="shared" si="2"/>
        <v>5.5E-2</v>
      </c>
      <c r="L17" s="1435">
        <f t="shared" si="2"/>
        <v>5.5E-2</v>
      </c>
      <c r="M17" s="1435">
        <f t="shared" si="2"/>
        <v>5.5E-2</v>
      </c>
      <c r="N17" s="1435">
        <f t="shared" si="2"/>
        <v>5.5E-2</v>
      </c>
      <c r="O17" s="1435">
        <f t="shared" si="2"/>
        <v>5.5E-2</v>
      </c>
      <c r="P17" s="1435">
        <f t="shared" si="2"/>
        <v>5.5E-2</v>
      </c>
      <c r="Q17" s="1435">
        <f t="shared" si="2"/>
        <v>5.5E-2</v>
      </c>
      <c r="R17" s="1435">
        <f t="shared" si="3"/>
        <v>5.5E-2</v>
      </c>
      <c r="S17" s="1435">
        <f t="shared" si="3"/>
        <v>5.5E-2</v>
      </c>
      <c r="T17" s="1435">
        <f t="shared" si="3"/>
        <v>5.5E-2</v>
      </c>
      <c r="U17" s="1435">
        <f t="shared" si="3"/>
        <v>5.5E-2</v>
      </c>
      <c r="V17" s="1435">
        <f t="shared" si="3"/>
        <v>5.5E-2</v>
      </c>
      <c r="W17" s="1435">
        <f t="shared" si="3"/>
        <v>5.5E-2</v>
      </c>
      <c r="X17" s="1435">
        <f t="shared" si="3"/>
        <v>5.5E-2</v>
      </c>
    </row>
    <row r="18" spans="1:24">
      <c r="B18" s="1431" t="s">
        <v>609</v>
      </c>
      <c r="D18" s="1424">
        <v>7.0000000000000007E-2</v>
      </c>
      <c r="E18" s="1435">
        <f t="shared" si="2"/>
        <v>7.0000000000000007E-2</v>
      </c>
      <c r="F18" s="1435">
        <f t="shared" si="2"/>
        <v>7.0000000000000007E-2</v>
      </c>
      <c r="G18" s="1435">
        <f t="shared" si="2"/>
        <v>7.0000000000000007E-2</v>
      </c>
      <c r="H18" s="1435">
        <f t="shared" si="2"/>
        <v>7.0000000000000007E-2</v>
      </c>
      <c r="I18" s="1435">
        <f t="shared" si="2"/>
        <v>7.0000000000000007E-2</v>
      </c>
      <c r="J18" s="1435">
        <f t="shared" si="2"/>
        <v>7.0000000000000007E-2</v>
      </c>
      <c r="K18" s="1435">
        <f t="shared" si="2"/>
        <v>7.0000000000000007E-2</v>
      </c>
      <c r="L18" s="1435">
        <f t="shared" si="2"/>
        <v>7.0000000000000007E-2</v>
      </c>
      <c r="M18" s="1435">
        <f t="shared" si="2"/>
        <v>7.0000000000000007E-2</v>
      </c>
      <c r="N18" s="1435">
        <f t="shared" si="2"/>
        <v>7.0000000000000007E-2</v>
      </c>
      <c r="O18" s="1435">
        <f t="shared" si="2"/>
        <v>7.0000000000000007E-2</v>
      </c>
      <c r="P18" s="1435">
        <f t="shared" si="2"/>
        <v>7.0000000000000007E-2</v>
      </c>
      <c r="Q18" s="1435">
        <f t="shared" si="2"/>
        <v>7.0000000000000007E-2</v>
      </c>
      <c r="R18" s="1435">
        <f t="shared" si="3"/>
        <v>7.0000000000000007E-2</v>
      </c>
      <c r="S18" s="1435">
        <f t="shared" si="3"/>
        <v>7.0000000000000007E-2</v>
      </c>
      <c r="T18" s="1435">
        <f t="shared" si="3"/>
        <v>7.0000000000000007E-2</v>
      </c>
      <c r="U18" s="1435">
        <f t="shared" si="3"/>
        <v>7.0000000000000007E-2</v>
      </c>
      <c r="V18" s="1435">
        <f t="shared" si="3"/>
        <v>7.0000000000000007E-2</v>
      </c>
      <c r="W18" s="1435">
        <f t="shared" si="3"/>
        <v>7.0000000000000007E-2</v>
      </c>
      <c r="X18" s="1435">
        <f t="shared" si="3"/>
        <v>7.0000000000000007E-2</v>
      </c>
    </row>
    <row r="19" spans="1:24">
      <c r="B19" s="1431" t="s">
        <v>758</v>
      </c>
      <c r="D19" s="1433">
        <f t="shared" ref="D19:Q19" si="4">D17+D16*D18</f>
        <v>0.125</v>
      </c>
      <c r="E19" s="1433">
        <f t="shared" si="4"/>
        <v>0.125</v>
      </c>
      <c r="F19" s="1433">
        <f t="shared" si="4"/>
        <v>0.125</v>
      </c>
      <c r="G19" s="1433">
        <f t="shared" si="4"/>
        <v>0.125</v>
      </c>
      <c r="H19" s="1433">
        <f t="shared" si="4"/>
        <v>0.125</v>
      </c>
      <c r="I19" s="1433">
        <f t="shared" si="4"/>
        <v>0.125</v>
      </c>
      <c r="J19" s="1433">
        <f t="shared" si="4"/>
        <v>0.125</v>
      </c>
      <c r="K19" s="1433">
        <f t="shared" si="4"/>
        <v>0.125</v>
      </c>
      <c r="L19" s="1433">
        <f t="shared" si="4"/>
        <v>0.125</v>
      </c>
      <c r="M19" s="1433">
        <f t="shared" si="4"/>
        <v>0.125</v>
      </c>
      <c r="N19" s="1433">
        <f t="shared" si="4"/>
        <v>0.14600000000000002</v>
      </c>
      <c r="O19" s="1433">
        <f t="shared" si="4"/>
        <v>0.14600000000000002</v>
      </c>
      <c r="P19" s="1433">
        <f t="shared" si="4"/>
        <v>0.14600000000000002</v>
      </c>
      <c r="Q19" s="1433">
        <f t="shared" si="4"/>
        <v>0.14600000000000002</v>
      </c>
      <c r="R19" s="1433">
        <f t="shared" ref="R19:X19" si="5">R17+R16*R18</f>
        <v>0.14600000000000002</v>
      </c>
      <c r="S19" s="1433">
        <f t="shared" si="5"/>
        <v>0.14600000000000002</v>
      </c>
      <c r="T19" s="1433">
        <f t="shared" si="5"/>
        <v>0.14600000000000002</v>
      </c>
      <c r="U19" s="1433">
        <f t="shared" si="5"/>
        <v>0.14600000000000002</v>
      </c>
      <c r="V19" s="1433">
        <f t="shared" si="5"/>
        <v>0.14600000000000002</v>
      </c>
      <c r="W19" s="1433">
        <f t="shared" si="5"/>
        <v>0.14600000000000002</v>
      </c>
      <c r="X19" s="1433">
        <f t="shared" si="5"/>
        <v>0.14600000000000002</v>
      </c>
    </row>
    <row r="20" spans="1:24">
      <c r="B20" s="1431" t="s">
        <v>1542</v>
      </c>
      <c r="D20" s="1436">
        <f t="shared" ref="D20:X20" si="6">$I$6</f>
        <v>0.5</v>
      </c>
      <c r="E20" s="1436">
        <f t="shared" si="6"/>
        <v>0.5</v>
      </c>
      <c r="F20" s="1436">
        <f t="shared" si="6"/>
        <v>0.5</v>
      </c>
      <c r="G20" s="1436">
        <f t="shared" si="6"/>
        <v>0.5</v>
      </c>
      <c r="H20" s="1436">
        <f t="shared" si="6"/>
        <v>0.5</v>
      </c>
      <c r="I20" s="1436">
        <f t="shared" si="6"/>
        <v>0.5</v>
      </c>
      <c r="J20" s="1436">
        <f t="shared" si="6"/>
        <v>0.5</v>
      </c>
      <c r="K20" s="1436">
        <f t="shared" si="6"/>
        <v>0.5</v>
      </c>
      <c r="L20" s="1436">
        <f t="shared" si="6"/>
        <v>0.5</v>
      </c>
      <c r="M20" s="1436">
        <f t="shared" si="6"/>
        <v>0.5</v>
      </c>
      <c r="N20" s="1436">
        <f t="shared" si="6"/>
        <v>0.5</v>
      </c>
      <c r="O20" s="1436">
        <f t="shared" si="6"/>
        <v>0.5</v>
      </c>
      <c r="P20" s="1436">
        <f t="shared" si="6"/>
        <v>0.5</v>
      </c>
      <c r="Q20" s="1436">
        <f t="shared" si="6"/>
        <v>0.5</v>
      </c>
      <c r="R20" s="1436">
        <f t="shared" si="6"/>
        <v>0.5</v>
      </c>
      <c r="S20" s="1436">
        <f t="shared" si="6"/>
        <v>0.5</v>
      </c>
      <c r="T20" s="1436">
        <f t="shared" si="6"/>
        <v>0.5</v>
      </c>
      <c r="U20" s="1436">
        <f t="shared" si="6"/>
        <v>0.5</v>
      </c>
      <c r="V20" s="1436">
        <f t="shared" si="6"/>
        <v>0.5</v>
      </c>
      <c r="W20" s="1436">
        <f t="shared" si="6"/>
        <v>0.5</v>
      </c>
      <c r="X20" s="1436">
        <f t="shared" si="6"/>
        <v>0.5</v>
      </c>
    </row>
    <row r="21" spans="1:24">
      <c r="B21" s="1431" t="s">
        <v>760</v>
      </c>
      <c r="D21" s="1424">
        <v>0.14000000000000001</v>
      </c>
      <c r="E21" s="1424">
        <v>0.13</v>
      </c>
      <c r="F21" s="1424">
        <v>0.1</v>
      </c>
      <c r="G21" s="1424">
        <v>0.12</v>
      </c>
      <c r="H21" s="1425">
        <f>G21</f>
        <v>0.12</v>
      </c>
      <c r="I21" s="1418">
        <f t="shared" ref="H21:Q22" si="7">H21</f>
        <v>0.12</v>
      </c>
      <c r="J21" s="1418">
        <f t="shared" si="7"/>
        <v>0.12</v>
      </c>
      <c r="K21" s="1418">
        <f t="shared" si="7"/>
        <v>0.12</v>
      </c>
      <c r="L21" s="1418">
        <f t="shared" si="7"/>
        <v>0.12</v>
      </c>
      <c r="M21" s="1418">
        <f t="shared" si="7"/>
        <v>0.12</v>
      </c>
      <c r="N21" s="2182">
        <v>0.13</v>
      </c>
      <c r="O21" s="2182">
        <v>0.13</v>
      </c>
      <c r="P21" s="2182">
        <v>0.13</v>
      </c>
      <c r="Q21" s="2182">
        <v>0.13</v>
      </c>
      <c r="R21" s="2182">
        <v>0.13</v>
      </c>
      <c r="S21" s="2182">
        <v>0.13</v>
      </c>
      <c r="T21" s="2182">
        <v>0.13</v>
      </c>
      <c r="U21" s="2182">
        <v>0.13</v>
      </c>
      <c r="V21" s="2182">
        <v>0.13</v>
      </c>
      <c r="W21" s="2182">
        <v>0.13</v>
      </c>
      <c r="X21" s="2182">
        <v>0.13</v>
      </c>
    </row>
    <row r="22" spans="1:24">
      <c r="B22" s="1431" t="s">
        <v>846</v>
      </c>
      <c r="D22" s="1416">
        <v>0.22</v>
      </c>
      <c r="E22" s="1417">
        <f>D22</f>
        <v>0.22</v>
      </c>
      <c r="F22" s="1417">
        <f>E22</f>
        <v>0.22</v>
      </c>
      <c r="G22" s="1416">
        <v>0.2</v>
      </c>
      <c r="H22" s="1417">
        <f t="shared" si="7"/>
        <v>0.2</v>
      </c>
      <c r="I22" s="1417">
        <f t="shared" si="7"/>
        <v>0.2</v>
      </c>
      <c r="J22" s="1417">
        <f t="shared" si="7"/>
        <v>0.2</v>
      </c>
      <c r="K22" s="1417">
        <f t="shared" si="7"/>
        <v>0.2</v>
      </c>
      <c r="L22" s="1417">
        <f t="shared" si="7"/>
        <v>0.2</v>
      </c>
      <c r="M22" s="1417">
        <f t="shared" si="7"/>
        <v>0.2</v>
      </c>
      <c r="N22" s="1417">
        <f t="shared" si="7"/>
        <v>0.2</v>
      </c>
      <c r="O22" s="1417">
        <f t="shared" si="7"/>
        <v>0.2</v>
      </c>
      <c r="P22" s="1417">
        <f t="shared" si="7"/>
        <v>0.2</v>
      </c>
      <c r="Q22" s="1417">
        <f t="shared" si="7"/>
        <v>0.2</v>
      </c>
      <c r="R22" s="1417">
        <f t="shared" ref="R22:X22" si="8">Q22</f>
        <v>0.2</v>
      </c>
      <c r="S22" s="1417">
        <f t="shared" si="8"/>
        <v>0.2</v>
      </c>
      <c r="T22" s="1417">
        <f t="shared" si="8"/>
        <v>0.2</v>
      </c>
      <c r="U22" s="1417">
        <f t="shared" si="8"/>
        <v>0.2</v>
      </c>
      <c r="V22" s="1417">
        <f t="shared" si="8"/>
        <v>0.2</v>
      </c>
      <c r="W22" s="1417">
        <f t="shared" si="8"/>
        <v>0.2</v>
      </c>
      <c r="X22" s="1417">
        <f t="shared" si="8"/>
        <v>0.2</v>
      </c>
    </row>
    <row r="23" spans="1:24">
      <c r="B23" s="1419" t="s">
        <v>14</v>
      </c>
      <c r="C23" s="1432"/>
      <c r="D23" s="1437">
        <f>D19*D15+D21*D20*(1-D22)</f>
        <v>0.11710000000000001</v>
      </c>
      <c r="E23" s="1437">
        <f t="shared" ref="E23:Q23" si="9">E19*E15+E21*E20*(1-E22)</f>
        <v>0.1132</v>
      </c>
      <c r="F23" s="1437">
        <f>F19*F15+F21*F20*(1-F22)</f>
        <v>0.10150000000000001</v>
      </c>
      <c r="G23" s="1437">
        <f>G19*G15+G21*G20*(1-G22)</f>
        <v>0.1105</v>
      </c>
      <c r="H23" s="1437">
        <f>H19*H15+H21*H20*(1-H22)</f>
        <v>0.1105</v>
      </c>
      <c r="I23" s="1437">
        <f>I19*I15+I21*I20*(1-I22)</f>
        <v>0.1105</v>
      </c>
      <c r="J23" s="1437">
        <f t="shared" si="9"/>
        <v>0.1105</v>
      </c>
      <c r="K23" s="1437">
        <f t="shared" si="9"/>
        <v>0.1105</v>
      </c>
      <c r="L23" s="1437">
        <f t="shared" si="9"/>
        <v>0.1105</v>
      </c>
      <c r="M23" s="1437">
        <f t="shared" si="9"/>
        <v>0.1105</v>
      </c>
      <c r="N23" s="1437">
        <f t="shared" si="9"/>
        <v>0.125</v>
      </c>
      <c r="O23" s="1437">
        <f t="shared" si="9"/>
        <v>0.125</v>
      </c>
      <c r="P23" s="1437">
        <f t="shared" si="9"/>
        <v>0.125</v>
      </c>
      <c r="Q23" s="1437">
        <f t="shared" si="9"/>
        <v>0.125</v>
      </c>
      <c r="R23" s="1437">
        <f t="shared" ref="R23:X23" si="10">R19*R15+R21*R20*(1-R22)</f>
        <v>0.125</v>
      </c>
      <c r="S23" s="1437">
        <f t="shared" si="10"/>
        <v>0.125</v>
      </c>
      <c r="T23" s="1437">
        <f t="shared" si="10"/>
        <v>0.125</v>
      </c>
      <c r="U23" s="1437">
        <f t="shared" si="10"/>
        <v>0.125</v>
      </c>
      <c r="V23" s="1437">
        <f t="shared" si="10"/>
        <v>0.125</v>
      </c>
      <c r="W23" s="1437">
        <f t="shared" si="10"/>
        <v>0.125</v>
      </c>
      <c r="X23" s="1437">
        <f t="shared" si="10"/>
        <v>0.125</v>
      </c>
    </row>
    <row r="24" spans="1:24">
      <c r="E24" s="1412"/>
      <c r="J24" s="1413"/>
    </row>
    <row r="25" spans="1:24">
      <c r="E25" s="1412"/>
      <c r="J25" s="1413"/>
    </row>
    <row r="26" spans="1:24" ht="15.75">
      <c r="A26" s="1420" t="s">
        <v>1548</v>
      </c>
      <c r="B26" s="1438"/>
    </row>
    <row r="28" spans="1:24" s="1407" customFormat="1">
      <c r="A28" s="1406" t="s">
        <v>762</v>
      </c>
      <c r="B28" s="1407" t="s">
        <v>1459</v>
      </c>
      <c r="C28" s="1407" t="s">
        <v>764</v>
      </c>
      <c r="D28" s="1407" t="s">
        <v>1549</v>
      </c>
      <c r="E28" s="1407" t="s">
        <v>1550</v>
      </c>
    </row>
    <row r="29" spans="1:24">
      <c r="A29" s="1421"/>
      <c r="B29" s="1432" t="s">
        <v>1551</v>
      </c>
      <c r="C29" s="1432" t="s">
        <v>1552</v>
      </c>
      <c r="D29" s="1432"/>
      <c r="E29" s="1408">
        <f>N10</f>
        <v>50000</v>
      </c>
    </row>
    <row r="30" spans="1:24">
      <c r="B30" s="1431" t="s">
        <v>1553</v>
      </c>
      <c r="C30" s="1431" t="s">
        <v>1552</v>
      </c>
      <c r="E30" s="1410">
        <f>E29</f>
        <v>50000</v>
      </c>
    </row>
    <row r="31" spans="1:24">
      <c r="B31" s="1431" t="s">
        <v>1554</v>
      </c>
      <c r="C31" s="1431" t="s">
        <v>1555</v>
      </c>
      <c r="D31" s="1446"/>
      <c r="E31" s="1410">
        <f>E29*D31</f>
        <v>0</v>
      </c>
    </row>
    <row r="32" spans="1:24">
      <c r="B32" s="1431" t="s">
        <v>1556</v>
      </c>
      <c r="C32" s="1431" t="s">
        <v>1555</v>
      </c>
      <c r="D32" s="1654">
        <f>S8</f>
        <v>0</v>
      </c>
      <c r="E32" s="1440">
        <f>D32*E29/1000</f>
        <v>0</v>
      </c>
    </row>
    <row r="34" spans="1:17">
      <c r="B34" s="1407" t="s">
        <v>773</v>
      </c>
      <c r="C34" s="1431" t="s">
        <v>642</v>
      </c>
      <c r="D34" s="1447">
        <f t="shared" ref="D34:Q34" si="11">D14</f>
        <v>2013</v>
      </c>
      <c r="E34" s="1447">
        <f t="shared" si="11"/>
        <v>2014</v>
      </c>
      <c r="F34" s="1447">
        <f t="shared" si="11"/>
        <v>2015</v>
      </c>
      <c r="G34" s="1447">
        <f t="shared" si="11"/>
        <v>2016</v>
      </c>
      <c r="H34" s="1447">
        <f t="shared" si="11"/>
        <v>2017</v>
      </c>
      <c r="I34" s="1447">
        <f t="shared" si="11"/>
        <v>2018</v>
      </c>
      <c r="J34" s="1447">
        <f t="shared" si="11"/>
        <v>2019</v>
      </c>
      <c r="K34" s="1447">
        <f t="shared" si="11"/>
        <v>2020</v>
      </c>
      <c r="L34" s="1447">
        <f t="shared" si="11"/>
        <v>2021</v>
      </c>
      <c r="M34" s="1447">
        <f t="shared" si="11"/>
        <v>2022</v>
      </c>
      <c r="N34" s="1447">
        <f t="shared" si="11"/>
        <v>2023</v>
      </c>
      <c r="O34" s="1447">
        <f t="shared" si="11"/>
        <v>2024</v>
      </c>
      <c r="P34" s="1447">
        <f t="shared" si="11"/>
        <v>2025</v>
      </c>
      <c r="Q34" s="1447">
        <f t="shared" si="11"/>
        <v>2026</v>
      </c>
    </row>
    <row r="35" spans="1:17">
      <c r="B35" s="1432"/>
      <c r="C35" s="1441">
        <f>E32</f>
        <v>0</v>
      </c>
      <c r="D35" s="1408">
        <f>$C$35*D36</f>
        <v>0</v>
      </c>
      <c r="E35" s="1408">
        <f>$C$35*E36</f>
        <v>0</v>
      </c>
      <c r="F35" s="1408">
        <f>$C$35*F36</f>
        <v>0</v>
      </c>
      <c r="G35" s="1408">
        <f>$C$35*G36</f>
        <v>0</v>
      </c>
      <c r="H35" s="1408">
        <f>$C$35*H36</f>
        <v>0</v>
      </c>
      <c r="I35" s="1408">
        <f t="shared" ref="I35:Q35" si="12">$C$35*I36</f>
        <v>0</v>
      </c>
      <c r="J35" s="1408">
        <f t="shared" si="12"/>
        <v>0</v>
      </c>
      <c r="K35" s="1408">
        <f t="shared" si="12"/>
        <v>0</v>
      </c>
      <c r="L35" s="1408">
        <f t="shared" si="12"/>
        <v>0</v>
      </c>
      <c r="M35" s="1408">
        <f t="shared" si="12"/>
        <v>0</v>
      </c>
      <c r="N35" s="1408">
        <f t="shared" si="12"/>
        <v>0</v>
      </c>
      <c r="O35" s="1408">
        <f t="shared" si="12"/>
        <v>0</v>
      </c>
      <c r="P35" s="1408">
        <f t="shared" si="12"/>
        <v>0</v>
      </c>
      <c r="Q35" s="1408">
        <f t="shared" si="12"/>
        <v>0</v>
      </c>
    </row>
    <row r="36" spans="1:17">
      <c r="B36" s="1442" t="s">
        <v>1559</v>
      </c>
      <c r="C36" s="1436">
        <f>SUM(D36:Q36)</f>
        <v>1</v>
      </c>
      <c r="D36" s="1416">
        <v>0</v>
      </c>
      <c r="E36" s="1416">
        <v>0</v>
      </c>
      <c r="F36" s="1416">
        <v>0</v>
      </c>
      <c r="G36" s="1416">
        <v>0</v>
      </c>
      <c r="H36" s="1416">
        <v>0</v>
      </c>
      <c r="I36" s="1416">
        <v>0</v>
      </c>
      <c r="J36" s="1416">
        <v>0</v>
      </c>
      <c r="K36" s="1416">
        <v>0</v>
      </c>
      <c r="L36" s="1416">
        <v>0.5</v>
      </c>
      <c r="M36" s="1416">
        <v>0</v>
      </c>
      <c r="N36" s="1416">
        <v>0.5</v>
      </c>
      <c r="O36" s="1416">
        <v>0</v>
      </c>
      <c r="P36" s="1416">
        <v>0</v>
      </c>
      <c r="Q36" s="1416">
        <v>0</v>
      </c>
    </row>
    <row r="39" spans="1:17" s="1407" customFormat="1">
      <c r="A39" s="1406" t="s">
        <v>777</v>
      </c>
      <c r="B39" s="1407" t="s">
        <v>1585</v>
      </c>
      <c r="C39" s="1407" t="s">
        <v>764</v>
      </c>
      <c r="D39" s="1407" t="s">
        <v>1549</v>
      </c>
    </row>
    <row r="40" spans="1:17">
      <c r="A40" s="1421"/>
      <c r="B40" s="1432" t="s">
        <v>686</v>
      </c>
      <c r="C40" s="1432" t="s">
        <v>1552</v>
      </c>
      <c r="D40" s="1426">
        <f>N11</f>
        <v>550000</v>
      </c>
      <c r="F40" s="1440"/>
      <c r="G40" s="1410"/>
    </row>
    <row r="41" spans="1:17">
      <c r="B41" s="1431" t="s">
        <v>1560</v>
      </c>
      <c r="C41" s="1431" t="s">
        <v>780</v>
      </c>
      <c r="D41" s="1448">
        <f>S9</f>
        <v>0.7</v>
      </c>
      <c r="G41" s="1440"/>
    </row>
    <row r="42" spans="1:17">
      <c r="B42" s="1431" t="s">
        <v>781</v>
      </c>
      <c r="C42" s="1431" t="s">
        <v>1552</v>
      </c>
      <c r="D42" s="1410">
        <f>D40*D41</f>
        <v>385000</v>
      </c>
    </row>
    <row r="43" spans="1:17">
      <c r="B43" s="1431" t="s">
        <v>1787</v>
      </c>
      <c r="C43" s="1431" t="s">
        <v>1555</v>
      </c>
      <c r="D43" s="1654">
        <f>S7</f>
        <v>0</v>
      </c>
    </row>
    <row r="44" spans="1:17">
      <c r="B44" s="1431" t="s">
        <v>1587</v>
      </c>
      <c r="C44" s="1431" t="s">
        <v>1555</v>
      </c>
      <c r="D44" s="1655">
        <f>S10</f>
        <v>0</v>
      </c>
    </row>
    <row r="45" spans="1:17">
      <c r="B45" s="1431" t="s">
        <v>787</v>
      </c>
      <c r="C45" s="1431" t="s">
        <v>780</v>
      </c>
      <c r="D45" s="1411">
        <v>0</v>
      </c>
    </row>
    <row r="46" spans="1:17">
      <c r="B46" s="1431" t="s">
        <v>1562</v>
      </c>
      <c r="C46" s="1431" t="s">
        <v>780</v>
      </c>
      <c r="D46" s="1448">
        <f>S11</f>
        <v>0.14000000000000001</v>
      </c>
    </row>
    <row r="47" spans="1:17">
      <c r="B47" s="1431" t="s">
        <v>1563</v>
      </c>
      <c r="C47" s="1431" t="s">
        <v>780</v>
      </c>
      <c r="D47" s="1411">
        <v>0</v>
      </c>
    </row>
    <row r="49" spans="1:17" s="1407" customFormat="1">
      <c r="A49" s="1406">
        <v>1</v>
      </c>
      <c r="B49" s="1407" t="s">
        <v>1564</v>
      </c>
      <c r="C49" s="1431" t="str">
        <f>C34</f>
        <v>Total</v>
      </c>
      <c r="D49" s="1431">
        <f>D34</f>
        <v>2013</v>
      </c>
      <c r="E49" s="1431">
        <f>E34</f>
        <v>2014</v>
      </c>
      <c r="F49" s="1431">
        <f>F34</f>
        <v>2015</v>
      </c>
      <c r="G49" s="1431">
        <f t="shared" ref="G49:Q49" si="13">F49+1</f>
        <v>2016</v>
      </c>
      <c r="H49" s="1431">
        <f t="shared" si="13"/>
        <v>2017</v>
      </c>
      <c r="I49" s="1431">
        <f t="shared" si="13"/>
        <v>2018</v>
      </c>
      <c r="J49" s="1431">
        <f t="shared" si="13"/>
        <v>2019</v>
      </c>
      <c r="K49" s="1431">
        <f t="shared" si="13"/>
        <v>2020</v>
      </c>
      <c r="L49" s="1431">
        <f t="shared" si="13"/>
        <v>2021</v>
      </c>
      <c r="M49" s="1431">
        <f t="shared" si="13"/>
        <v>2022</v>
      </c>
      <c r="N49" s="1431">
        <f t="shared" si="13"/>
        <v>2023</v>
      </c>
      <c r="O49" s="1431">
        <f t="shared" si="13"/>
        <v>2024</v>
      </c>
      <c r="P49" s="1431">
        <f t="shared" si="13"/>
        <v>2025</v>
      </c>
      <c r="Q49" s="1431">
        <f t="shared" si="13"/>
        <v>2026</v>
      </c>
    </row>
    <row r="50" spans="1:17">
      <c r="B50" s="1432" t="s">
        <v>791</v>
      </c>
      <c r="C50" s="1441">
        <f>SUM(D50:Q50)</f>
        <v>0</v>
      </c>
      <c r="D50" s="1441">
        <f>$D$42*D52*D51/1000</f>
        <v>0</v>
      </c>
      <c r="E50" s="1441">
        <f t="shared" ref="E50:M50" si="14">$D$42*E52*E51/1000</f>
        <v>0</v>
      </c>
      <c r="F50" s="1441">
        <f t="shared" si="14"/>
        <v>0</v>
      </c>
      <c r="G50" s="1441">
        <f t="shared" si="14"/>
        <v>0</v>
      </c>
      <c r="H50" s="1441">
        <f t="shared" si="14"/>
        <v>0</v>
      </c>
      <c r="I50" s="1441">
        <f t="shared" si="14"/>
        <v>0</v>
      </c>
      <c r="J50" s="1441">
        <f t="shared" si="14"/>
        <v>0</v>
      </c>
      <c r="K50" s="1441">
        <f t="shared" si="14"/>
        <v>0</v>
      </c>
      <c r="L50" s="1441">
        <f t="shared" si="14"/>
        <v>0</v>
      </c>
      <c r="M50" s="1441">
        <f t="shared" si="14"/>
        <v>0</v>
      </c>
      <c r="N50" s="1441">
        <f>$D$42*N52*N51/1000</f>
        <v>0</v>
      </c>
      <c r="O50" s="1441">
        <f>$D$42*O52*O51/1000</f>
        <v>0</v>
      </c>
      <c r="P50" s="1441">
        <f>$D$42*P52*P51/1000</f>
        <v>0</v>
      </c>
      <c r="Q50" s="1441">
        <f>$D$42*Q52*Q51/1000</f>
        <v>0</v>
      </c>
    </row>
    <row r="51" spans="1:17">
      <c r="B51" s="1444" t="s">
        <v>792</v>
      </c>
      <c r="C51" s="1436">
        <f>SUM(D51:Q51)</f>
        <v>1</v>
      </c>
      <c r="D51" s="1416">
        <v>0</v>
      </c>
      <c r="E51" s="1416">
        <v>0</v>
      </c>
      <c r="F51" s="1416">
        <v>0</v>
      </c>
      <c r="G51" s="1416">
        <v>0</v>
      </c>
      <c r="H51" s="1416">
        <v>0</v>
      </c>
      <c r="I51" s="1416">
        <v>0</v>
      </c>
      <c r="J51" s="1416">
        <v>0</v>
      </c>
      <c r="K51" s="1416">
        <v>0</v>
      </c>
      <c r="L51" s="1416">
        <v>0</v>
      </c>
      <c r="M51" s="1416">
        <v>0</v>
      </c>
      <c r="N51" s="1416">
        <v>0</v>
      </c>
      <c r="O51" s="1416">
        <v>1</v>
      </c>
      <c r="P51" s="1416">
        <v>0</v>
      </c>
      <c r="Q51" s="1416">
        <v>0</v>
      </c>
    </row>
    <row r="52" spans="1:17">
      <c r="B52" s="1444" t="s">
        <v>1565</v>
      </c>
      <c r="D52" s="1439">
        <f>D43</f>
        <v>0</v>
      </c>
      <c r="E52" s="1439">
        <f>D52</f>
        <v>0</v>
      </c>
      <c r="F52" s="1439">
        <f t="shared" ref="F52:Q52" si="15">E52</f>
        <v>0</v>
      </c>
      <c r="G52" s="1439">
        <f t="shared" si="15"/>
        <v>0</v>
      </c>
      <c r="H52" s="1439">
        <f t="shared" si="15"/>
        <v>0</v>
      </c>
      <c r="I52" s="1439">
        <f t="shared" si="15"/>
        <v>0</v>
      </c>
      <c r="J52" s="1439">
        <f t="shared" si="15"/>
        <v>0</v>
      </c>
      <c r="K52" s="1439">
        <f t="shared" si="15"/>
        <v>0</v>
      </c>
      <c r="L52" s="1439">
        <f t="shared" si="15"/>
        <v>0</v>
      </c>
      <c r="M52" s="1439">
        <f t="shared" si="15"/>
        <v>0</v>
      </c>
      <c r="N52" s="1439">
        <f t="shared" si="15"/>
        <v>0</v>
      </c>
      <c r="O52" s="1439">
        <f t="shared" si="15"/>
        <v>0</v>
      </c>
      <c r="P52" s="1439">
        <f t="shared" si="15"/>
        <v>0</v>
      </c>
      <c r="Q52" s="1439">
        <f t="shared" si="15"/>
        <v>0</v>
      </c>
    </row>
    <row r="53" spans="1:17">
      <c r="B53" s="1444" t="s">
        <v>1563</v>
      </c>
      <c r="E53" s="1443">
        <f t="shared" ref="E53:J53" si="16">D47</f>
        <v>0</v>
      </c>
      <c r="F53" s="1443">
        <f t="shared" si="16"/>
        <v>0</v>
      </c>
      <c r="G53" s="1443">
        <f t="shared" si="16"/>
        <v>0</v>
      </c>
      <c r="H53" s="1443">
        <f t="shared" si="16"/>
        <v>0</v>
      </c>
      <c r="I53" s="1443">
        <f t="shared" si="16"/>
        <v>0</v>
      </c>
      <c r="J53" s="1443">
        <f t="shared" si="16"/>
        <v>0</v>
      </c>
      <c r="K53" s="1443">
        <f t="shared" ref="K53:Q53" si="17">J47</f>
        <v>0</v>
      </c>
      <c r="L53" s="1443">
        <f t="shared" si="17"/>
        <v>0</v>
      </c>
      <c r="M53" s="1443">
        <f t="shared" si="17"/>
        <v>0</v>
      </c>
      <c r="N53" s="1443">
        <f t="shared" si="17"/>
        <v>0</v>
      </c>
      <c r="O53" s="1443">
        <f t="shared" si="17"/>
        <v>0</v>
      </c>
      <c r="P53" s="1443">
        <f t="shared" si="17"/>
        <v>0</v>
      </c>
      <c r="Q53" s="1443">
        <f t="shared" si="17"/>
        <v>0</v>
      </c>
    </row>
    <row r="54" spans="1:17">
      <c r="B54" s="1444" t="s">
        <v>1788</v>
      </c>
      <c r="C54" s="1440">
        <f>S5</f>
        <v>0</v>
      </c>
      <c r="D54" s="1440">
        <f>D51*$C$54</f>
        <v>0</v>
      </c>
      <c r="E54" s="1440">
        <f t="shared" ref="E54:M54" si="18">E51*$C$54</f>
        <v>0</v>
      </c>
      <c r="F54" s="1440">
        <f t="shared" si="18"/>
        <v>0</v>
      </c>
      <c r="G54" s="1440">
        <f t="shared" si="18"/>
        <v>0</v>
      </c>
      <c r="H54" s="1440">
        <f t="shared" si="18"/>
        <v>0</v>
      </c>
      <c r="I54" s="1440">
        <f t="shared" si="18"/>
        <v>0</v>
      </c>
      <c r="J54" s="1440">
        <f t="shared" si="18"/>
        <v>0</v>
      </c>
      <c r="K54" s="1440">
        <f t="shared" si="18"/>
        <v>0</v>
      </c>
      <c r="L54" s="1440">
        <f t="shared" si="18"/>
        <v>0</v>
      </c>
      <c r="M54" s="1440">
        <f t="shared" si="18"/>
        <v>0</v>
      </c>
      <c r="N54" s="1440">
        <f>N51*$C$54</f>
        <v>0</v>
      </c>
      <c r="O54" s="1440">
        <f>O51*$C$54</f>
        <v>0</v>
      </c>
      <c r="P54" s="1440">
        <f>P51*$C$54</f>
        <v>0</v>
      </c>
      <c r="Q54" s="1440">
        <f>Q51*$C$54</f>
        <v>0</v>
      </c>
    </row>
    <row r="55" spans="1:17">
      <c r="B55" s="1444"/>
      <c r="F55" s="1443"/>
      <c r="G55" s="1443"/>
    </row>
    <row r="56" spans="1:17" s="1407" customFormat="1">
      <c r="A56" s="1406">
        <v>2</v>
      </c>
      <c r="B56" s="1407" t="s">
        <v>794</v>
      </c>
      <c r="C56" s="1431" t="str">
        <f>C49</f>
        <v>Total</v>
      </c>
      <c r="D56" s="1431">
        <f t="shared" ref="D56:J56" si="19">D49</f>
        <v>2013</v>
      </c>
      <c r="E56" s="1431">
        <f t="shared" si="19"/>
        <v>2014</v>
      </c>
      <c r="F56" s="1431">
        <f t="shared" si="19"/>
        <v>2015</v>
      </c>
      <c r="G56" s="1431">
        <f t="shared" si="19"/>
        <v>2016</v>
      </c>
      <c r="H56" s="1431">
        <f t="shared" si="19"/>
        <v>2017</v>
      </c>
      <c r="I56" s="1431">
        <f t="shared" si="19"/>
        <v>2018</v>
      </c>
      <c r="J56" s="1431">
        <f t="shared" si="19"/>
        <v>2019</v>
      </c>
      <c r="K56" s="1431">
        <f t="shared" ref="K56:Q56" si="20">K49</f>
        <v>2020</v>
      </c>
      <c r="L56" s="1431">
        <f t="shared" si="20"/>
        <v>2021</v>
      </c>
      <c r="M56" s="1431">
        <f t="shared" si="20"/>
        <v>2022</v>
      </c>
      <c r="N56" s="1431">
        <f t="shared" si="20"/>
        <v>2023</v>
      </c>
      <c r="O56" s="1431">
        <f t="shared" si="20"/>
        <v>2024</v>
      </c>
      <c r="P56" s="1431">
        <f t="shared" si="20"/>
        <v>2025</v>
      </c>
      <c r="Q56" s="1431">
        <f t="shared" si="20"/>
        <v>2026</v>
      </c>
    </row>
    <row r="57" spans="1:17">
      <c r="B57" s="1432" t="s">
        <v>1586</v>
      </c>
      <c r="C57" s="1408">
        <f>C50</f>
        <v>0</v>
      </c>
      <c r="D57" s="1441">
        <f>$C$57*D58</f>
        <v>0</v>
      </c>
      <c r="E57" s="1441">
        <f t="shared" ref="E57:Q57" si="21">$C$57*E58</f>
        <v>0</v>
      </c>
      <c r="F57" s="1441">
        <f t="shared" si="21"/>
        <v>0</v>
      </c>
      <c r="G57" s="1441">
        <f t="shared" si="21"/>
        <v>0</v>
      </c>
      <c r="H57" s="1441">
        <f t="shared" si="21"/>
        <v>0</v>
      </c>
      <c r="I57" s="1441">
        <f t="shared" si="21"/>
        <v>0</v>
      </c>
      <c r="J57" s="1441">
        <f t="shared" si="21"/>
        <v>0</v>
      </c>
      <c r="K57" s="1441">
        <f t="shared" si="21"/>
        <v>0</v>
      </c>
      <c r="L57" s="1441">
        <f t="shared" si="21"/>
        <v>0</v>
      </c>
      <c r="M57" s="1441">
        <f t="shared" si="21"/>
        <v>0</v>
      </c>
      <c r="N57" s="1441">
        <f t="shared" si="21"/>
        <v>0</v>
      </c>
      <c r="O57" s="1441">
        <f t="shared" si="21"/>
        <v>0</v>
      </c>
      <c r="P57" s="1441">
        <f t="shared" si="21"/>
        <v>0</v>
      </c>
      <c r="Q57" s="1441">
        <f t="shared" si="21"/>
        <v>0</v>
      </c>
    </row>
    <row r="58" spans="1:17">
      <c r="B58" s="1442" t="s">
        <v>794</v>
      </c>
      <c r="C58" s="1417">
        <f>SUM(D58:Q58)</f>
        <v>1</v>
      </c>
      <c r="D58" s="1411">
        <v>0</v>
      </c>
      <c r="E58" s="1411">
        <v>0</v>
      </c>
      <c r="F58" s="1411">
        <v>0</v>
      </c>
      <c r="G58" s="1411">
        <v>0</v>
      </c>
      <c r="H58" s="1411">
        <v>0</v>
      </c>
      <c r="I58" s="1411">
        <v>0</v>
      </c>
      <c r="J58" s="1411">
        <v>0</v>
      </c>
      <c r="K58" s="1411">
        <v>0</v>
      </c>
      <c r="L58" s="1411">
        <v>0</v>
      </c>
      <c r="M58" s="1411">
        <v>0</v>
      </c>
      <c r="N58" s="1411">
        <v>0</v>
      </c>
      <c r="O58" s="1411">
        <v>0</v>
      </c>
      <c r="P58" s="1411">
        <v>1</v>
      </c>
      <c r="Q58" s="1411">
        <v>0</v>
      </c>
    </row>
    <row r="59" spans="1:17">
      <c r="B59" s="1442" t="s">
        <v>1777</v>
      </c>
      <c r="C59" s="1410">
        <f>C54</f>
        <v>0</v>
      </c>
      <c r="D59" s="1410">
        <f>D58*$C$59</f>
        <v>0</v>
      </c>
      <c r="E59" s="1410">
        <f t="shared" ref="E59:M59" si="22">E58*$C$59</f>
        <v>0</v>
      </c>
      <c r="F59" s="1410">
        <f t="shared" si="22"/>
        <v>0</v>
      </c>
      <c r="G59" s="1410">
        <f t="shared" si="22"/>
        <v>0</v>
      </c>
      <c r="H59" s="1410">
        <f t="shared" si="22"/>
        <v>0</v>
      </c>
      <c r="I59" s="1410">
        <f t="shared" si="22"/>
        <v>0</v>
      </c>
      <c r="J59" s="1410">
        <f t="shared" si="22"/>
        <v>0</v>
      </c>
      <c r="K59" s="1410">
        <f t="shared" si="22"/>
        <v>0</v>
      </c>
      <c r="L59" s="1410">
        <f t="shared" si="22"/>
        <v>0</v>
      </c>
      <c r="M59" s="1410">
        <f t="shared" si="22"/>
        <v>0</v>
      </c>
      <c r="N59" s="1410">
        <f>N58*$C$59</f>
        <v>0</v>
      </c>
      <c r="O59" s="1410">
        <f>O58*$C$59</f>
        <v>0</v>
      </c>
      <c r="P59" s="1410">
        <f>P58*$C$59</f>
        <v>0</v>
      </c>
      <c r="Q59" s="1410">
        <f>Q58*$C$59</f>
        <v>0</v>
      </c>
    </row>
    <row r="60" spans="1:17">
      <c r="B60" s="1444"/>
      <c r="C60" s="1425"/>
      <c r="D60" s="1433"/>
      <c r="E60" s="1433"/>
      <c r="F60" s="1433"/>
      <c r="G60" s="1433"/>
    </row>
    <row r="61" spans="1:17">
      <c r="C61" s="1440"/>
      <c r="D61" s="1440"/>
      <c r="E61" s="1440"/>
      <c r="F61" s="1440"/>
      <c r="G61" s="1440"/>
    </row>
    <row r="62" spans="1:17" s="1407" customFormat="1">
      <c r="A62" s="1406">
        <v>3</v>
      </c>
      <c r="B62" s="1407" t="s">
        <v>1175</v>
      </c>
      <c r="C62" s="1431" t="str">
        <f>C56</f>
        <v>Total</v>
      </c>
      <c r="D62" s="1431">
        <f t="shared" ref="D62:J62" si="23">D56</f>
        <v>2013</v>
      </c>
      <c r="E62" s="1431">
        <f t="shared" si="23"/>
        <v>2014</v>
      </c>
      <c r="F62" s="1431">
        <f t="shared" si="23"/>
        <v>2015</v>
      </c>
      <c r="G62" s="1431">
        <f t="shared" si="23"/>
        <v>2016</v>
      </c>
      <c r="H62" s="1431">
        <f t="shared" si="23"/>
        <v>2017</v>
      </c>
      <c r="I62" s="1431">
        <f t="shared" si="23"/>
        <v>2018</v>
      </c>
      <c r="J62" s="1431">
        <f t="shared" si="23"/>
        <v>2019</v>
      </c>
      <c r="K62" s="1431">
        <f t="shared" ref="K62:Q62" si="24">K56</f>
        <v>2020</v>
      </c>
      <c r="L62" s="1431">
        <f t="shared" si="24"/>
        <v>2021</v>
      </c>
      <c r="M62" s="1431">
        <f t="shared" si="24"/>
        <v>2022</v>
      </c>
      <c r="N62" s="1431">
        <f t="shared" si="24"/>
        <v>2023</v>
      </c>
      <c r="O62" s="1431">
        <f t="shared" si="24"/>
        <v>2024</v>
      </c>
      <c r="P62" s="1431">
        <f t="shared" si="24"/>
        <v>2025</v>
      </c>
      <c r="Q62" s="1431">
        <f t="shared" si="24"/>
        <v>2026</v>
      </c>
    </row>
    <row r="63" spans="1:17">
      <c r="B63" s="1432"/>
      <c r="C63" s="1441">
        <f>SUM(D63:Q63)</f>
        <v>0</v>
      </c>
      <c r="D63" s="1408">
        <f>D50*D64</f>
        <v>0</v>
      </c>
      <c r="E63" s="1408">
        <f>D50*D65+E50*D64</f>
        <v>0</v>
      </c>
      <c r="F63" s="1408">
        <f>D50*$D66+E50*$D65+F50*$D64</f>
        <v>0</v>
      </c>
      <c r="G63" s="1408">
        <f>E50*$D66+F50*$D65+G50*$D64</f>
        <v>0</v>
      </c>
      <c r="H63" s="1408">
        <f t="shared" ref="H63:M63" si="25">F50*$D66+G50*$D65+H50*$D64</f>
        <v>0</v>
      </c>
      <c r="I63" s="1408">
        <f t="shared" si="25"/>
        <v>0</v>
      </c>
      <c r="J63" s="1408">
        <f t="shared" si="25"/>
        <v>0</v>
      </c>
      <c r="K63" s="1408">
        <f t="shared" si="25"/>
        <v>0</v>
      </c>
      <c r="L63" s="1408">
        <f t="shared" si="25"/>
        <v>0</v>
      </c>
      <c r="M63" s="1408">
        <f t="shared" si="25"/>
        <v>0</v>
      </c>
      <c r="N63" s="1408">
        <f>L50*$D66+M50*$D65+N50*$D64</f>
        <v>0</v>
      </c>
      <c r="O63" s="1408">
        <f>M50*$D66+N50*$D65+O50*$D64</f>
        <v>0</v>
      </c>
      <c r="P63" s="1408">
        <f>N50*$D66+O50*$D65+P50*$D64</f>
        <v>0</v>
      </c>
      <c r="Q63" s="1408">
        <f>O50*$D66+P50*$D65+Q50*$D64</f>
        <v>0</v>
      </c>
    </row>
    <row r="64" spans="1:17">
      <c r="B64" s="1431" t="s">
        <v>797</v>
      </c>
      <c r="C64" s="1440" t="s">
        <v>798</v>
      </c>
      <c r="D64" s="1416">
        <v>0.5</v>
      </c>
      <c r="E64" s="1440"/>
      <c r="F64" s="1440"/>
      <c r="G64" s="1440"/>
    </row>
    <row r="65" spans="1:17">
      <c r="C65" s="1440" t="s">
        <v>799</v>
      </c>
      <c r="D65" s="1416">
        <v>0.5</v>
      </c>
      <c r="E65" s="1440"/>
      <c r="F65" s="1440"/>
      <c r="G65" s="1440"/>
    </row>
    <row r="66" spans="1:17">
      <c r="C66" s="1440" t="s">
        <v>800</v>
      </c>
      <c r="D66" s="1417">
        <f>1-SUM(D64:D65)</f>
        <v>0</v>
      </c>
      <c r="E66" s="1440"/>
      <c r="F66" s="1440"/>
      <c r="G66" s="1440"/>
    </row>
    <row r="67" spans="1:17">
      <c r="C67" s="1440"/>
      <c r="D67" s="1416"/>
      <c r="E67" s="1440"/>
      <c r="F67" s="1440"/>
      <c r="G67" s="1440"/>
    </row>
    <row r="68" spans="1:17">
      <c r="C68" s="1440"/>
      <c r="D68" s="1416"/>
      <c r="E68" s="1440"/>
      <c r="F68" s="1440"/>
      <c r="G68" s="1440"/>
    </row>
    <row r="69" spans="1:17" s="1407" customFormat="1">
      <c r="A69" s="1406">
        <v>4</v>
      </c>
      <c r="B69" s="1407" t="s">
        <v>1462</v>
      </c>
      <c r="C69" s="1440" t="str">
        <f>C62</f>
        <v>Total</v>
      </c>
      <c r="D69" s="1431">
        <f t="shared" ref="D69:J69" si="26">D62</f>
        <v>2013</v>
      </c>
      <c r="E69" s="1431">
        <f t="shared" si="26"/>
        <v>2014</v>
      </c>
      <c r="F69" s="1431">
        <f t="shared" si="26"/>
        <v>2015</v>
      </c>
      <c r="G69" s="1431">
        <f t="shared" si="26"/>
        <v>2016</v>
      </c>
      <c r="H69" s="1431">
        <f t="shared" si="26"/>
        <v>2017</v>
      </c>
      <c r="I69" s="1431">
        <f t="shared" si="26"/>
        <v>2018</v>
      </c>
      <c r="J69" s="1431">
        <f t="shared" si="26"/>
        <v>2019</v>
      </c>
      <c r="K69" s="1431">
        <f t="shared" ref="K69:Q69" si="27">K62</f>
        <v>2020</v>
      </c>
      <c r="L69" s="1431">
        <f t="shared" si="27"/>
        <v>2021</v>
      </c>
      <c r="M69" s="1431">
        <f t="shared" si="27"/>
        <v>2022</v>
      </c>
      <c r="N69" s="1431">
        <f t="shared" si="27"/>
        <v>2023</v>
      </c>
      <c r="O69" s="1431">
        <f t="shared" si="27"/>
        <v>2024</v>
      </c>
      <c r="P69" s="1431">
        <f t="shared" si="27"/>
        <v>2025</v>
      </c>
      <c r="Q69" s="1431">
        <f t="shared" si="27"/>
        <v>2026</v>
      </c>
    </row>
    <row r="70" spans="1:17">
      <c r="B70" s="1432" t="s">
        <v>1566</v>
      </c>
      <c r="C70" s="1441">
        <f>D40*D44/1000</f>
        <v>0</v>
      </c>
      <c r="D70" s="1408">
        <f>$C$70*D71</f>
        <v>0</v>
      </c>
      <c r="E70" s="1408">
        <f t="shared" ref="E70:Q70" si="28">$C$70*E71</f>
        <v>0</v>
      </c>
      <c r="F70" s="1408">
        <f t="shared" si="28"/>
        <v>0</v>
      </c>
      <c r="G70" s="1408">
        <f t="shared" si="28"/>
        <v>0</v>
      </c>
      <c r="H70" s="1408">
        <f t="shared" si="28"/>
        <v>0</v>
      </c>
      <c r="I70" s="1408">
        <f t="shared" si="28"/>
        <v>0</v>
      </c>
      <c r="J70" s="1408">
        <f t="shared" si="28"/>
        <v>0</v>
      </c>
      <c r="K70" s="1408">
        <f t="shared" si="28"/>
        <v>0</v>
      </c>
      <c r="L70" s="1408">
        <f t="shared" si="28"/>
        <v>0</v>
      </c>
      <c r="M70" s="1408">
        <f t="shared" si="28"/>
        <v>0</v>
      </c>
      <c r="N70" s="1408">
        <f t="shared" si="28"/>
        <v>0</v>
      </c>
      <c r="O70" s="1408">
        <f t="shared" si="28"/>
        <v>0</v>
      </c>
      <c r="P70" s="1408">
        <f t="shared" si="28"/>
        <v>0</v>
      </c>
      <c r="Q70" s="1408">
        <f t="shared" si="28"/>
        <v>0</v>
      </c>
    </row>
    <row r="71" spans="1:17">
      <c r="B71" s="1431" t="s">
        <v>1559</v>
      </c>
      <c r="C71" s="1436">
        <f>SUM(D71:Q71)</f>
        <v>1</v>
      </c>
      <c r="D71" s="1416">
        <v>0</v>
      </c>
      <c r="E71" s="1416">
        <v>0</v>
      </c>
      <c r="F71" s="1416">
        <v>0</v>
      </c>
      <c r="G71" s="1416">
        <v>0</v>
      </c>
      <c r="H71" s="1416">
        <v>0</v>
      </c>
      <c r="I71" s="1416">
        <v>0</v>
      </c>
      <c r="J71" s="1416">
        <v>0</v>
      </c>
      <c r="K71" s="1416">
        <v>0</v>
      </c>
      <c r="L71" s="1416">
        <v>0</v>
      </c>
      <c r="M71" s="1416">
        <v>0</v>
      </c>
      <c r="N71" s="1416">
        <v>0</v>
      </c>
      <c r="O71" s="1416">
        <v>0.5</v>
      </c>
      <c r="P71" s="1416">
        <v>0.5</v>
      </c>
      <c r="Q71" s="1416">
        <v>0</v>
      </c>
    </row>
    <row r="72" spans="1:17">
      <c r="C72" s="1433"/>
      <c r="D72" s="1425"/>
      <c r="E72" s="1425"/>
      <c r="F72" s="1424"/>
      <c r="G72" s="1424"/>
      <c r="H72" s="1435"/>
    </row>
    <row r="73" spans="1:17">
      <c r="C73" s="1433"/>
      <c r="D73" s="1424"/>
      <c r="E73" s="1424"/>
      <c r="F73" s="1424"/>
      <c r="G73" s="1424"/>
    </row>
    <row r="74" spans="1:17">
      <c r="A74" s="1406">
        <v>5</v>
      </c>
      <c r="B74" s="1407" t="s">
        <v>1466</v>
      </c>
      <c r="C74" s="1431" t="str">
        <f>C69</f>
        <v>Total</v>
      </c>
      <c r="D74" s="1431">
        <f t="shared" ref="D74:I74" si="29">D69</f>
        <v>2013</v>
      </c>
      <c r="E74" s="1431">
        <f t="shared" si="29"/>
        <v>2014</v>
      </c>
      <c r="F74" s="1431">
        <f t="shared" si="29"/>
        <v>2015</v>
      </c>
      <c r="G74" s="1431">
        <f t="shared" si="29"/>
        <v>2016</v>
      </c>
      <c r="H74" s="1431">
        <f t="shared" si="29"/>
        <v>2017</v>
      </c>
      <c r="I74" s="1431">
        <f t="shared" si="29"/>
        <v>2018</v>
      </c>
      <c r="J74" s="1431">
        <f t="shared" ref="J74:Q74" si="30">I74+1</f>
        <v>2019</v>
      </c>
      <c r="K74" s="1431">
        <f t="shared" si="30"/>
        <v>2020</v>
      </c>
      <c r="L74" s="1431">
        <f t="shared" si="30"/>
        <v>2021</v>
      </c>
      <c r="M74" s="1431">
        <f t="shared" si="30"/>
        <v>2022</v>
      </c>
      <c r="N74" s="1431">
        <f t="shared" si="30"/>
        <v>2023</v>
      </c>
      <c r="O74" s="1431">
        <f t="shared" si="30"/>
        <v>2024</v>
      </c>
      <c r="P74" s="1431">
        <f t="shared" si="30"/>
        <v>2025</v>
      </c>
      <c r="Q74" s="1431">
        <f t="shared" si="30"/>
        <v>2026</v>
      </c>
    </row>
    <row r="75" spans="1:17">
      <c r="B75" s="1432" t="s">
        <v>1567</v>
      </c>
      <c r="C75" s="1441">
        <f>$C$70*C58</f>
        <v>0</v>
      </c>
      <c r="D75" s="1441">
        <f t="shared" ref="D75:M75" si="31">$C$70*D58</f>
        <v>0</v>
      </c>
      <c r="E75" s="1441">
        <f t="shared" si="31"/>
        <v>0</v>
      </c>
      <c r="F75" s="1441">
        <f t="shared" si="31"/>
        <v>0</v>
      </c>
      <c r="G75" s="1441">
        <f t="shared" si="31"/>
        <v>0</v>
      </c>
      <c r="H75" s="1441">
        <f t="shared" si="31"/>
        <v>0</v>
      </c>
      <c r="I75" s="1441">
        <f t="shared" si="31"/>
        <v>0</v>
      </c>
      <c r="J75" s="1441">
        <f t="shared" si="31"/>
        <v>0</v>
      </c>
      <c r="K75" s="1441">
        <f t="shared" si="31"/>
        <v>0</v>
      </c>
      <c r="L75" s="1441">
        <f t="shared" si="31"/>
        <v>0</v>
      </c>
      <c r="M75" s="1441">
        <f t="shared" si="31"/>
        <v>0</v>
      </c>
      <c r="N75" s="1441">
        <f>$C$70*N58</f>
        <v>0</v>
      </c>
      <c r="O75" s="1441">
        <f>$C$70*O58</f>
        <v>0</v>
      </c>
      <c r="P75" s="1441">
        <f>$C$70*P58</f>
        <v>0</v>
      </c>
      <c r="Q75" s="1441">
        <f>$C$70*Q58</f>
        <v>0</v>
      </c>
    </row>
    <row r="76" spans="1:17">
      <c r="B76" s="1431" t="s">
        <v>803</v>
      </c>
      <c r="C76" s="1440">
        <f>$E$32*C58</f>
        <v>0</v>
      </c>
      <c r="D76" s="1440">
        <f t="shared" ref="D76:M76" si="32">$E$32*D58</f>
        <v>0</v>
      </c>
      <c r="E76" s="1440">
        <f t="shared" si="32"/>
        <v>0</v>
      </c>
      <c r="F76" s="1440">
        <f t="shared" si="32"/>
        <v>0</v>
      </c>
      <c r="G76" s="1440">
        <f t="shared" si="32"/>
        <v>0</v>
      </c>
      <c r="H76" s="1440">
        <f t="shared" si="32"/>
        <v>0</v>
      </c>
      <c r="I76" s="1440">
        <f t="shared" si="32"/>
        <v>0</v>
      </c>
      <c r="J76" s="1440">
        <f t="shared" si="32"/>
        <v>0</v>
      </c>
      <c r="K76" s="1440">
        <f t="shared" si="32"/>
        <v>0</v>
      </c>
      <c r="L76" s="1440">
        <f t="shared" si="32"/>
        <v>0</v>
      </c>
      <c r="M76" s="1440">
        <f t="shared" si="32"/>
        <v>0</v>
      </c>
      <c r="N76" s="1440">
        <f>$E$32*N58</f>
        <v>0</v>
      </c>
      <c r="O76" s="1440">
        <f>$E$32*O58</f>
        <v>0</v>
      </c>
      <c r="P76" s="1440">
        <f>$E$32*P58</f>
        <v>0</v>
      </c>
      <c r="Q76" s="1440">
        <f>$E$32*Q58</f>
        <v>0</v>
      </c>
    </row>
    <row r="77" spans="1:17" s="1447" customFormat="1">
      <c r="A77" s="1459"/>
      <c r="B77" s="1447" t="s">
        <v>804</v>
      </c>
      <c r="C77" s="1458">
        <f>SUMIF(D113:M113,"&lt;="&amp;D11,D119:M119)</f>
        <v>0</v>
      </c>
      <c r="D77" s="1410">
        <f t="shared" ref="D77:J77" si="33">$C$77*D58</f>
        <v>0</v>
      </c>
      <c r="E77" s="1410">
        <f t="shared" si="33"/>
        <v>0</v>
      </c>
      <c r="F77" s="1410">
        <f t="shared" si="33"/>
        <v>0</v>
      </c>
      <c r="G77" s="1410">
        <f t="shared" si="33"/>
        <v>0</v>
      </c>
      <c r="H77" s="1410">
        <f t="shared" si="33"/>
        <v>0</v>
      </c>
      <c r="I77" s="1410">
        <f t="shared" si="33"/>
        <v>0</v>
      </c>
      <c r="J77" s="1410">
        <f t="shared" si="33"/>
        <v>0</v>
      </c>
      <c r="K77" s="1410">
        <f t="shared" ref="K77:Q77" si="34">$C$77*K58</f>
        <v>0</v>
      </c>
      <c r="L77" s="1410">
        <f t="shared" si="34"/>
        <v>0</v>
      </c>
      <c r="M77" s="1410">
        <f t="shared" si="34"/>
        <v>0</v>
      </c>
      <c r="N77" s="1410">
        <f t="shared" si="34"/>
        <v>0</v>
      </c>
      <c r="O77" s="1410">
        <f t="shared" si="34"/>
        <v>0</v>
      </c>
      <c r="P77" s="1410">
        <f t="shared" si="34"/>
        <v>0</v>
      </c>
      <c r="Q77" s="1410">
        <f t="shared" si="34"/>
        <v>0</v>
      </c>
    </row>
    <row r="78" spans="1:17" s="1447" customFormat="1">
      <c r="A78" s="1459"/>
      <c r="B78" s="1447" t="s">
        <v>805</v>
      </c>
      <c r="C78" s="1410">
        <f>SUM(D78:Q78)</f>
        <v>0</v>
      </c>
      <c r="D78" s="1410">
        <f t="shared" ref="D78:M78" si="35">IF(D74&gt;$D$11,D119,0)</f>
        <v>0</v>
      </c>
      <c r="E78" s="1410">
        <f t="shared" si="35"/>
        <v>0</v>
      </c>
      <c r="F78" s="1410">
        <f t="shared" si="35"/>
        <v>0</v>
      </c>
      <c r="G78" s="1410">
        <f t="shared" si="35"/>
        <v>0</v>
      </c>
      <c r="H78" s="1410">
        <f t="shared" si="35"/>
        <v>0</v>
      </c>
      <c r="I78" s="1410">
        <f t="shared" si="35"/>
        <v>0</v>
      </c>
      <c r="J78" s="1410">
        <f t="shared" si="35"/>
        <v>0</v>
      </c>
      <c r="K78" s="1410">
        <f t="shared" si="35"/>
        <v>0</v>
      </c>
      <c r="L78" s="1410">
        <f t="shared" si="35"/>
        <v>0</v>
      </c>
      <c r="M78" s="1410">
        <f t="shared" si="35"/>
        <v>0</v>
      </c>
      <c r="N78" s="1410">
        <f>IF(N74&gt;$D$11,N119,0)</f>
        <v>0</v>
      </c>
      <c r="O78" s="1410">
        <f>IF(O74&gt;$D$11,O119,0)</f>
        <v>0</v>
      </c>
      <c r="P78" s="1410">
        <f>IF(P74&gt;$D$11,P119,0)</f>
        <v>0</v>
      </c>
      <c r="Q78" s="1410">
        <f>IF(Q74&gt;$D$11,Q119,0)</f>
        <v>0</v>
      </c>
    </row>
    <row r="79" spans="1:17">
      <c r="B79" s="1431" t="s">
        <v>656</v>
      </c>
      <c r="C79" s="1440">
        <f>$D$46*C57</f>
        <v>0</v>
      </c>
      <c r="D79" s="1440">
        <f t="shared" ref="D79:J79" si="36">$D$46*D57</f>
        <v>0</v>
      </c>
      <c r="E79" s="1440">
        <f t="shared" si="36"/>
        <v>0</v>
      </c>
      <c r="F79" s="1440">
        <f t="shared" si="36"/>
        <v>0</v>
      </c>
      <c r="G79" s="1440">
        <f t="shared" si="36"/>
        <v>0</v>
      </c>
      <c r="H79" s="1440">
        <f t="shared" si="36"/>
        <v>0</v>
      </c>
      <c r="I79" s="1440">
        <f t="shared" si="36"/>
        <v>0</v>
      </c>
      <c r="J79" s="1440">
        <f t="shared" si="36"/>
        <v>0</v>
      </c>
      <c r="K79" s="1440">
        <f t="shared" ref="K79:Q79" si="37">$D$46*K57</f>
        <v>0</v>
      </c>
      <c r="L79" s="1440">
        <f t="shared" si="37"/>
        <v>0</v>
      </c>
      <c r="M79" s="1440">
        <f t="shared" si="37"/>
        <v>0</v>
      </c>
      <c r="N79" s="1440">
        <f t="shared" si="37"/>
        <v>0</v>
      </c>
      <c r="O79" s="1440">
        <f t="shared" si="37"/>
        <v>0</v>
      </c>
      <c r="P79" s="1440">
        <f t="shared" si="37"/>
        <v>0</v>
      </c>
      <c r="Q79" s="1440">
        <f t="shared" si="37"/>
        <v>0</v>
      </c>
    </row>
    <row r="80" spans="1:17">
      <c r="C80" s="1440"/>
      <c r="D80" s="1440"/>
      <c r="E80" s="1440"/>
      <c r="F80" s="1440"/>
      <c r="G80" s="1440"/>
    </row>
    <row r="82" spans="1:17" s="1407" customFormat="1">
      <c r="A82" s="1406">
        <v>6</v>
      </c>
      <c r="B82" s="1407" t="s">
        <v>878</v>
      </c>
      <c r="C82" s="1431" t="str">
        <f>C74</f>
        <v>Total</v>
      </c>
      <c r="D82" s="1431">
        <f t="shared" ref="D82:J82" si="38">D74</f>
        <v>2013</v>
      </c>
      <c r="E82" s="1431">
        <f t="shared" si="38"/>
        <v>2014</v>
      </c>
      <c r="F82" s="1431">
        <f t="shared" si="38"/>
        <v>2015</v>
      </c>
      <c r="G82" s="1431">
        <f t="shared" si="38"/>
        <v>2016</v>
      </c>
      <c r="H82" s="1431">
        <f t="shared" si="38"/>
        <v>2017</v>
      </c>
      <c r="I82" s="1431">
        <f t="shared" si="38"/>
        <v>2018</v>
      </c>
      <c r="J82" s="1431">
        <f t="shared" si="38"/>
        <v>2019</v>
      </c>
      <c r="K82" s="1431">
        <f t="shared" ref="K82:Q82" si="39">K74</f>
        <v>2020</v>
      </c>
      <c r="L82" s="1431">
        <f t="shared" si="39"/>
        <v>2021</v>
      </c>
      <c r="M82" s="1431">
        <f t="shared" si="39"/>
        <v>2022</v>
      </c>
      <c r="N82" s="1431">
        <f t="shared" si="39"/>
        <v>2023</v>
      </c>
      <c r="O82" s="1431">
        <f t="shared" si="39"/>
        <v>2024</v>
      </c>
      <c r="P82" s="1431">
        <f t="shared" si="39"/>
        <v>2025</v>
      </c>
      <c r="Q82" s="1431">
        <f t="shared" si="39"/>
        <v>2026</v>
      </c>
    </row>
    <row r="83" spans="1:17">
      <c r="B83" s="1432" t="s">
        <v>26</v>
      </c>
      <c r="C83" s="1441">
        <f t="shared" ref="C83:J83" si="40">C57</f>
        <v>0</v>
      </c>
      <c r="D83" s="1441">
        <f t="shared" si="40"/>
        <v>0</v>
      </c>
      <c r="E83" s="1441">
        <f t="shared" si="40"/>
        <v>0</v>
      </c>
      <c r="F83" s="1441">
        <f t="shared" si="40"/>
        <v>0</v>
      </c>
      <c r="G83" s="1441">
        <f t="shared" si="40"/>
        <v>0</v>
      </c>
      <c r="H83" s="1441">
        <f t="shared" si="40"/>
        <v>0</v>
      </c>
      <c r="I83" s="1441">
        <f t="shared" si="40"/>
        <v>0</v>
      </c>
      <c r="J83" s="1441">
        <f t="shared" si="40"/>
        <v>0</v>
      </c>
      <c r="K83" s="1441">
        <f t="shared" ref="K83:Q83" si="41">K57</f>
        <v>0</v>
      </c>
      <c r="L83" s="1441">
        <f t="shared" si="41"/>
        <v>0</v>
      </c>
      <c r="M83" s="1441">
        <f t="shared" si="41"/>
        <v>0</v>
      </c>
      <c r="N83" s="1441">
        <f t="shared" si="41"/>
        <v>0</v>
      </c>
      <c r="O83" s="1441">
        <f t="shared" si="41"/>
        <v>0</v>
      </c>
      <c r="P83" s="1441">
        <f t="shared" si="41"/>
        <v>0</v>
      </c>
      <c r="Q83" s="1441">
        <f t="shared" si="41"/>
        <v>0</v>
      </c>
    </row>
    <row r="84" spans="1:17">
      <c r="B84" s="1431" t="s">
        <v>432</v>
      </c>
      <c r="C84" s="1440">
        <f>SUM(C75:C77)</f>
        <v>0</v>
      </c>
      <c r="D84" s="1440">
        <f>SUM(D75:D77)</f>
        <v>0</v>
      </c>
      <c r="E84" s="1440">
        <f t="shared" ref="E84:J84" si="42">SUM(E75:E77)</f>
        <v>0</v>
      </c>
      <c r="F84" s="1440">
        <f t="shared" si="42"/>
        <v>0</v>
      </c>
      <c r="G84" s="1440">
        <f t="shared" si="42"/>
        <v>0</v>
      </c>
      <c r="H84" s="1440">
        <f t="shared" si="42"/>
        <v>0</v>
      </c>
      <c r="I84" s="1440">
        <f t="shared" si="42"/>
        <v>0</v>
      </c>
      <c r="J84" s="1440">
        <f t="shared" si="42"/>
        <v>0</v>
      </c>
      <c r="K84" s="1440">
        <f t="shared" ref="K84:Q84" si="43">SUM(K75:K77)</f>
        <v>0</v>
      </c>
      <c r="L84" s="1440">
        <f t="shared" si="43"/>
        <v>0</v>
      </c>
      <c r="M84" s="1440">
        <f t="shared" si="43"/>
        <v>0</v>
      </c>
      <c r="N84" s="1440">
        <f t="shared" si="43"/>
        <v>0</v>
      </c>
      <c r="O84" s="1440">
        <f t="shared" si="43"/>
        <v>0</v>
      </c>
      <c r="P84" s="1440">
        <f t="shared" si="43"/>
        <v>0</v>
      </c>
      <c r="Q84" s="1440">
        <f t="shared" si="43"/>
        <v>0</v>
      </c>
    </row>
    <row r="85" spans="1:17">
      <c r="B85" s="1431" t="s">
        <v>28</v>
      </c>
      <c r="C85" s="1440">
        <f>C83-C84</f>
        <v>0</v>
      </c>
      <c r="D85" s="1440">
        <f t="shared" ref="D85:M85" si="44">D83-D84</f>
        <v>0</v>
      </c>
      <c r="E85" s="1440">
        <f t="shared" si="44"/>
        <v>0</v>
      </c>
      <c r="F85" s="1440">
        <f t="shared" si="44"/>
        <v>0</v>
      </c>
      <c r="G85" s="1440">
        <f t="shared" si="44"/>
        <v>0</v>
      </c>
      <c r="H85" s="1440">
        <f t="shared" si="44"/>
        <v>0</v>
      </c>
      <c r="I85" s="1440">
        <f t="shared" si="44"/>
        <v>0</v>
      </c>
      <c r="J85" s="1440">
        <f t="shared" si="44"/>
        <v>0</v>
      </c>
      <c r="K85" s="1440">
        <f t="shared" si="44"/>
        <v>0</v>
      </c>
      <c r="L85" s="1440">
        <f t="shared" si="44"/>
        <v>0</v>
      </c>
      <c r="M85" s="1440">
        <f t="shared" si="44"/>
        <v>0</v>
      </c>
      <c r="N85" s="1440">
        <f>N83-N84</f>
        <v>0</v>
      </c>
      <c r="O85" s="1440">
        <f>O83-O84</f>
        <v>0</v>
      </c>
      <c r="P85" s="1440">
        <f>P83-P84</f>
        <v>0</v>
      </c>
      <c r="Q85" s="1440">
        <f>Q83-Q84</f>
        <v>0</v>
      </c>
    </row>
    <row r="86" spans="1:17">
      <c r="B86" s="1431" t="s">
        <v>656</v>
      </c>
      <c r="C86" s="1440">
        <f>C79</f>
        <v>0</v>
      </c>
      <c r="D86" s="1440">
        <f>D79</f>
        <v>0</v>
      </c>
      <c r="E86" s="1440">
        <f t="shared" ref="E86:J86" si="45">E79</f>
        <v>0</v>
      </c>
      <c r="F86" s="1440">
        <f t="shared" si="45"/>
        <v>0</v>
      </c>
      <c r="G86" s="1440">
        <f t="shared" si="45"/>
        <v>0</v>
      </c>
      <c r="H86" s="1440">
        <f t="shared" si="45"/>
        <v>0</v>
      </c>
      <c r="I86" s="1440">
        <f t="shared" si="45"/>
        <v>0</v>
      </c>
      <c r="J86" s="1440">
        <f t="shared" si="45"/>
        <v>0</v>
      </c>
      <c r="K86" s="1440">
        <f t="shared" ref="K86:Q86" si="46">K79</f>
        <v>0</v>
      </c>
      <c r="L86" s="1440">
        <f t="shared" si="46"/>
        <v>0</v>
      </c>
      <c r="M86" s="1440">
        <f t="shared" si="46"/>
        <v>0</v>
      </c>
      <c r="N86" s="1440">
        <f t="shared" si="46"/>
        <v>0</v>
      </c>
      <c r="O86" s="1440">
        <f t="shared" si="46"/>
        <v>0</v>
      </c>
      <c r="P86" s="1440">
        <f t="shared" si="46"/>
        <v>0</v>
      </c>
      <c r="Q86" s="1440">
        <f t="shared" si="46"/>
        <v>0</v>
      </c>
    </row>
    <row r="87" spans="1:17">
      <c r="B87" s="1431" t="s">
        <v>805</v>
      </c>
      <c r="C87" s="1410">
        <f>C78</f>
        <v>0</v>
      </c>
      <c r="D87" s="1440">
        <f>D78</f>
        <v>0</v>
      </c>
      <c r="E87" s="1440">
        <f t="shared" ref="E87:J87" si="47">E78</f>
        <v>0</v>
      </c>
      <c r="F87" s="1440">
        <f t="shared" si="47"/>
        <v>0</v>
      </c>
      <c r="G87" s="1440">
        <f t="shared" si="47"/>
        <v>0</v>
      </c>
      <c r="H87" s="1440">
        <f t="shared" si="47"/>
        <v>0</v>
      </c>
      <c r="I87" s="1440">
        <f t="shared" si="47"/>
        <v>0</v>
      </c>
      <c r="J87" s="1440">
        <f t="shared" si="47"/>
        <v>0</v>
      </c>
      <c r="K87" s="1440">
        <f t="shared" ref="K87:Q87" si="48">K78</f>
        <v>0</v>
      </c>
      <c r="L87" s="1440">
        <f t="shared" si="48"/>
        <v>0</v>
      </c>
      <c r="M87" s="1440">
        <f t="shared" si="48"/>
        <v>0</v>
      </c>
      <c r="N87" s="1440">
        <f t="shared" si="48"/>
        <v>0</v>
      </c>
      <c r="O87" s="1440">
        <f t="shared" si="48"/>
        <v>0</v>
      </c>
      <c r="P87" s="1440">
        <f t="shared" si="48"/>
        <v>0</v>
      </c>
      <c r="Q87" s="1440">
        <f t="shared" si="48"/>
        <v>0</v>
      </c>
    </row>
    <row r="88" spans="1:17">
      <c r="B88" s="1431" t="s">
        <v>822</v>
      </c>
      <c r="C88" s="1440">
        <f>C85-C86-C87</f>
        <v>0</v>
      </c>
      <c r="D88" s="1440">
        <f t="shared" ref="D88:M88" si="49">D85-D86-D87</f>
        <v>0</v>
      </c>
      <c r="E88" s="1440">
        <f t="shared" si="49"/>
        <v>0</v>
      </c>
      <c r="F88" s="1440">
        <f t="shared" si="49"/>
        <v>0</v>
      </c>
      <c r="G88" s="1440">
        <f t="shared" si="49"/>
        <v>0</v>
      </c>
      <c r="H88" s="1440">
        <f t="shared" si="49"/>
        <v>0</v>
      </c>
      <c r="I88" s="1440">
        <f t="shared" si="49"/>
        <v>0</v>
      </c>
      <c r="J88" s="1440">
        <f t="shared" si="49"/>
        <v>0</v>
      </c>
      <c r="K88" s="1440">
        <f t="shared" si="49"/>
        <v>0</v>
      </c>
      <c r="L88" s="1440">
        <f t="shared" si="49"/>
        <v>0</v>
      </c>
      <c r="M88" s="1440">
        <f t="shared" si="49"/>
        <v>0</v>
      </c>
      <c r="N88" s="1440">
        <f>N85-N86-N87</f>
        <v>0</v>
      </c>
      <c r="O88" s="1440">
        <f>O85-O86-O87</f>
        <v>0</v>
      </c>
      <c r="P88" s="1440">
        <f>P85-P86-P87</f>
        <v>0</v>
      </c>
      <c r="Q88" s="1440">
        <f>Q85-Q86-Q87</f>
        <v>0</v>
      </c>
    </row>
    <row r="89" spans="1:17">
      <c r="B89" s="1431" t="s">
        <v>290</v>
      </c>
      <c r="C89" s="1440">
        <f>SUM(D89:Q89)</f>
        <v>0</v>
      </c>
      <c r="D89" s="1410">
        <f t="shared" ref="D89:M89" si="50">D88*D22</f>
        <v>0</v>
      </c>
      <c r="E89" s="1410">
        <f t="shared" si="50"/>
        <v>0</v>
      </c>
      <c r="F89" s="1410">
        <f t="shared" si="50"/>
        <v>0</v>
      </c>
      <c r="G89" s="1410">
        <f t="shared" si="50"/>
        <v>0</v>
      </c>
      <c r="H89" s="1410">
        <f t="shared" si="50"/>
        <v>0</v>
      </c>
      <c r="I89" s="1410">
        <f t="shared" si="50"/>
        <v>0</v>
      </c>
      <c r="J89" s="1410">
        <f t="shared" si="50"/>
        <v>0</v>
      </c>
      <c r="K89" s="1410">
        <f t="shared" si="50"/>
        <v>0</v>
      </c>
      <c r="L89" s="1410">
        <f t="shared" si="50"/>
        <v>0</v>
      </c>
      <c r="M89" s="1410">
        <f t="shared" si="50"/>
        <v>0</v>
      </c>
      <c r="N89" s="1410">
        <f>N88*N22</f>
        <v>0</v>
      </c>
      <c r="O89" s="1410">
        <f>O88*O22</f>
        <v>0</v>
      </c>
      <c r="P89" s="1410">
        <f>P88*P22</f>
        <v>0</v>
      </c>
      <c r="Q89" s="1410">
        <f>Q88*Q22</f>
        <v>0</v>
      </c>
    </row>
    <row r="90" spans="1:17">
      <c r="B90" s="1431" t="s">
        <v>661</v>
      </c>
      <c r="C90" s="1440">
        <f>SUM(D90:Q90)</f>
        <v>0</v>
      </c>
      <c r="D90" s="1440">
        <f>D88-D89</f>
        <v>0</v>
      </c>
      <c r="E90" s="1440">
        <f t="shared" ref="E90:J90" si="51">E88-E89</f>
        <v>0</v>
      </c>
      <c r="F90" s="1440">
        <f t="shared" si="51"/>
        <v>0</v>
      </c>
      <c r="G90" s="1440">
        <f t="shared" si="51"/>
        <v>0</v>
      </c>
      <c r="H90" s="1440">
        <f t="shared" si="51"/>
        <v>0</v>
      </c>
      <c r="I90" s="1440">
        <f t="shared" si="51"/>
        <v>0</v>
      </c>
      <c r="J90" s="1440">
        <f t="shared" si="51"/>
        <v>0</v>
      </c>
      <c r="K90" s="1440">
        <f t="shared" ref="K90:Q90" si="52">K88-K89</f>
        <v>0</v>
      </c>
      <c r="L90" s="1440">
        <f t="shared" si="52"/>
        <v>0</v>
      </c>
      <c r="M90" s="1440">
        <f t="shared" si="52"/>
        <v>0</v>
      </c>
      <c r="N90" s="1440">
        <f t="shared" si="52"/>
        <v>0</v>
      </c>
      <c r="O90" s="1440">
        <f t="shared" si="52"/>
        <v>0</v>
      </c>
      <c r="P90" s="1440">
        <f t="shared" si="52"/>
        <v>0</v>
      </c>
      <c r="Q90" s="1440">
        <f t="shared" si="52"/>
        <v>0</v>
      </c>
    </row>
    <row r="91" spans="1:17">
      <c r="B91" s="1428" t="s">
        <v>197</v>
      </c>
      <c r="C91" s="1429" t="str">
        <f>IF(C83&lt;&gt;0,1-C84/C83,"")</f>
        <v/>
      </c>
      <c r="D91" s="1429" t="str">
        <f t="shared" ref="D91:J91" si="53">IF(D83&lt;&gt;0,1-D84/D83,"")</f>
        <v/>
      </c>
      <c r="E91" s="1429" t="str">
        <f t="shared" si="53"/>
        <v/>
      </c>
      <c r="F91" s="1429" t="str">
        <f t="shared" si="53"/>
        <v/>
      </c>
      <c r="G91" s="1429" t="str">
        <f t="shared" si="53"/>
        <v/>
      </c>
      <c r="H91" s="1429" t="str">
        <f t="shared" si="53"/>
        <v/>
      </c>
      <c r="I91" s="1429" t="str">
        <f t="shared" si="53"/>
        <v/>
      </c>
      <c r="J91" s="1429" t="str">
        <f t="shared" si="53"/>
        <v/>
      </c>
      <c r="K91" s="1429" t="str">
        <f t="shared" ref="K91:Q91" si="54">IF(K83&lt;&gt;0,1-K84/K83,"")</f>
        <v/>
      </c>
      <c r="L91" s="1429" t="str">
        <f t="shared" si="54"/>
        <v/>
      </c>
      <c r="M91" s="1429" t="str">
        <f t="shared" si="54"/>
        <v/>
      </c>
      <c r="N91" s="1429" t="str">
        <f t="shared" si="54"/>
        <v/>
      </c>
      <c r="O91" s="1429" t="str">
        <f t="shared" si="54"/>
        <v/>
      </c>
      <c r="P91" s="1429" t="str">
        <f t="shared" si="54"/>
        <v/>
      </c>
      <c r="Q91" s="1429" t="str">
        <f t="shared" si="54"/>
        <v/>
      </c>
    </row>
    <row r="92" spans="1:17">
      <c r="B92" s="1428" t="s">
        <v>1779</v>
      </c>
      <c r="C92" s="1429" t="str">
        <f>IF(C83&lt;&gt;0,C90/C83,"")</f>
        <v/>
      </c>
      <c r="D92" s="1429" t="str">
        <f t="shared" ref="D92:M92" si="55">IF(D83&lt;&gt;0,D90/D83,"")</f>
        <v/>
      </c>
      <c r="E92" s="1429" t="str">
        <f t="shared" si="55"/>
        <v/>
      </c>
      <c r="F92" s="1429" t="str">
        <f t="shared" si="55"/>
        <v/>
      </c>
      <c r="G92" s="1429" t="str">
        <f t="shared" si="55"/>
        <v/>
      </c>
      <c r="H92" s="1429" t="str">
        <f t="shared" si="55"/>
        <v/>
      </c>
      <c r="I92" s="1429" t="str">
        <f t="shared" si="55"/>
        <v/>
      </c>
      <c r="J92" s="1429" t="str">
        <f t="shared" si="55"/>
        <v/>
      </c>
      <c r="K92" s="1429" t="str">
        <f t="shared" si="55"/>
        <v/>
      </c>
      <c r="L92" s="1429" t="str">
        <f t="shared" si="55"/>
        <v/>
      </c>
      <c r="M92" s="1429" t="str">
        <f t="shared" si="55"/>
        <v/>
      </c>
      <c r="N92" s="1429" t="str">
        <f>IF(N83&lt;&gt;0,N90/N83,"")</f>
        <v/>
      </c>
      <c r="O92" s="1429" t="str">
        <f>IF(O83&lt;&gt;0,O90/O83,"")</f>
        <v/>
      </c>
      <c r="P92" s="1429" t="str">
        <f>IF(P83&lt;&gt;0,P90/P83,"")</f>
        <v/>
      </c>
      <c r="Q92" s="1429" t="str">
        <f>IF(Q83&lt;&gt;0,Q90/Q83,"")</f>
        <v/>
      </c>
    </row>
    <row r="93" spans="1:17">
      <c r="B93" s="1428"/>
      <c r="C93" s="1429"/>
      <c r="D93" s="1429"/>
      <c r="E93" s="1429"/>
      <c r="F93" s="1429"/>
      <c r="G93" s="1429"/>
      <c r="H93" s="1429"/>
    </row>
    <row r="94" spans="1:17">
      <c r="D94" s="1440"/>
      <c r="E94" s="1440"/>
      <c r="F94" s="1440"/>
      <c r="G94" s="1440"/>
    </row>
    <row r="95" spans="1:17" s="1407" customFormat="1">
      <c r="A95" s="1406">
        <v>7</v>
      </c>
      <c r="B95" s="1407" t="s">
        <v>1589</v>
      </c>
      <c r="C95" s="1440" t="s">
        <v>642</v>
      </c>
      <c r="D95" s="1431">
        <f t="shared" ref="D95:J95" si="56">D82</f>
        <v>2013</v>
      </c>
      <c r="E95" s="1431">
        <f t="shared" si="56"/>
        <v>2014</v>
      </c>
      <c r="F95" s="1431">
        <f t="shared" si="56"/>
        <v>2015</v>
      </c>
      <c r="G95" s="1431">
        <f t="shared" si="56"/>
        <v>2016</v>
      </c>
      <c r="H95" s="1431">
        <f t="shared" si="56"/>
        <v>2017</v>
      </c>
      <c r="I95" s="1431">
        <f t="shared" si="56"/>
        <v>2018</v>
      </c>
      <c r="J95" s="1431">
        <f t="shared" si="56"/>
        <v>2019</v>
      </c>
      <c r="K95" s="1431">
        <f t="shared" ref="K95:Q95" si="57">K82</f>
        <v>2020</v>
      </c>
      <c r="L95" s="1431">
        <f t="shared" si="57"/>
        <v>2021</v>
      </c>
      <c r="M95" s="1431">
        <f t="shared" si="57"/>
        <v>2022</v>
      </c>
      <c r="N95" s="1431">
        <f t="shared" si="57"/>
        <v>2023</v>
      </c>
      <c r="O95" s="1431">
        <f t="shared" si="57"/>
        <v>2024</v>
      </c>
      <c r="P95" s="1431">
        <f t="shared" si="57"/>
        <v>2025</v>
      </c>
      <c r="Q95" s="1431">
        <f t="shared" si="57"/>
        <v>2026</v>
      </c>
    </row>
    <row r="96" spans="1:17">
      <c r="B96" s="1419" t="s">
        <v>850</v>
      </c>
      <c r="C96" s="1441">
        <f>C63</f>
        <v>0</v>
      </c>
      <c r="D96" s="1441">
        <f t="shared" ref="D96:J96" si="58">D63</f>
        <v>0</v>
      </c>
      <c r="E96" s="1441">
        <f t="shared" si="58"/>
        <v>0</v>
      </c>
      <c r="F96" s="1441">
        <f t="shared" si="58"/>
        <v>0</v>
      </c>
      <c r="G96" s="1441">
        <f t="shared" si="58"/>
        <v>0</v>
      </c>
      <c r="H96" s="1441">
        <f t="shared" si="58"/>
        <v>0</v>
      </c>
      <c r="I96" s="1441">
        <f t="shared" si="58"/>
        <v>0</v>
      </c>
      <c r="J96" s="1441">
        <f t="shared" si="58"/>
        <v>0</v>
      </c>
      <c r="K96" s="1441">
        <f t="shared" ref="K96:Q96" si="59">K63</f>
        <v>0</v>
      </c>
      <c r="L96" s="1441">
        <f t="shared" si="59"/>
        <v>0</v>
      </c>
      <c r="M96" s="1441">
        <f t="shared" si="59"/>
        <v>0</v>
      </c>
      <c r="N96" s="1441">
        <f t="shared" si="59"/>
        <v>0</v>
      </c>
      <c r="O96" s="1441">
        <f t="shared" si="59"/>
        <v>0</v>
      </c>
      <c r="P96" s="1441">
        <f t="shared" si="59"/>
        <v>0</v>
      </c>
      <c r="Q96" s="1441">
        <f t="shared" si="59"/>
        <v>0</v>
      </c>
    </row>
    <row r="97" spans="1:17">
      <c r="B97" s="1407"/>
      <c r="C97" s="1440"/>
      <c r="D97" s="1440"/>
      <c r="E97" s="1440"/>
      <c r="F97" s="1440"/>
      <c r="G97" s="1440"/>
      <c r="H97" s="1440"/>
      <c r="I97" s="1440"/>
      <c r="J97" s="1440"/>
      <c r="K97" s="1440"/>
      <c r="L97" s="1440"/>
      <c r="M97" s="1440"/>
      <c r="N97" s="1440"/>
      <c r="O97" s="1440"/>
      <c r="P97" s="1440"/>
      <c r="Q97" s="1440"/>
    </row>
    <row r="98" spans="1:17">
      <c r="B98" s="1407" t="s">
        <v>851</v>
      </c>
      <c r="C98" s="1440">
        <f t="shared" ref="C98:J98" si="60">SUM(C99:C102)</f>
        <v>0</v>
      </c>
      <c r="D98" s="1440">
        <f t="shared" si="60"/>
        <v>0</v>
      </c>
      <c r="E98" s="1440">
        <f t="shared" si="60"/>
        <v>0</v>
      </c>
      <c r="F98" s="1440">
        <f t="shared" si="60"/>
        <v>0</v>
      </c>
      <c r="G98" s="1440">
        <f t="shared" si="60"/>
        <v>0</v>
      </c>
      <c r="H98" s="1440">
        <f t="shared" si="60"/>
        <v>0</v>
      </c>
      <c r="I98" s="1440">
        <f t="shared" si="60"/>
        <v>0</v>
      </c>
      <c r="J98" s="1440">
        <f t="shared" si="60"/>
        <v>0</v>
      </c>
      <c r="K98" s="1440">
        <f t="shared" ref="K98:Q98" si="61">SUM(K99:K102)</f>
        <v>0</v>
      </c>
      <c r="L98" s="1440">
        <f t="shared" si="61"/>
        <v>0</v>
      </c>
      <c r="M98" s="1440">
        <f t="shared" si="61"/>
        <v>0</v>
      </c>
      <c r="N98" s="1440">
        <f t="shared" si="61"/>
        <v>0</v>
      </c>
      <c r="O98" s="1440">
        <f t="shared" si="61"/>
        <v>0</v>
      </c>
      <c r="P98" s="1440">
        <f t="shared" si="61"/>
        <v>0</v>
      </c>
      <c r="Q98" s="1440">
        <f t="shared" si="61"/>
        <v>0</v>
      </c>
    </row>
    <row r="99" spans="1:17">
      <c r="B99" s="1431" t="s">
        <v>852</v>
      </c>
      <c r="C99" s="1440">
        <f t="shared" ref="C99:J99" si="62">C35</f>
        <v>0</v>
      </c>
      <c r="D99" s="1440">
        <f t="shared" si="62"/>
        <v>0</v>
      </c>
      <c r="E99" s="1440">
        <f t="shared" si="62"/>
        <v>0</v>
      </c>
      <c r="F99" s="1440">
        <f t="shared" si="62"/>
        <v>0</v>
      </c>
      <c r="G99" s="1440">
        <f t="shared" si="62"/>
        <v>0</v>
      </c>
      <c r="H99" s="1440">
        <f t="shared" si="62"/>
        <v>0</v>
      </c>
      <c r="I99" s="1440">
        <f t="shared" si="62"/>
        <v>0</v>
      </c>
      <c r="J99" s="1440">
        <f t="shared" si="62"/>
        <v>0</v>
      </c>
      <c r="K99" s="1440">
        <f t="shared" ref="K99:Q99" si="63">K35</f>
        <v>0</v>
      </c>
      <c r="L99" s="1440">
        <f t="shared" si="63"/>
        <v>0</v>
      </c>
      <c r="M99" s="1440">
        <f t="shared" si="63"/>
        <v>0</v>
      </c>
      <c r="N99" s="1440">
        <f t="shared" si="63"/>
        <v>0</v>
      </c>
      <c r="O99" s="1440">
        <f t="shared" si="63"/>
        <v>0</v>
      </c>
      <c r="P99" s="1440">
        <f t="shared" si="63"/>
        <v>0</v>
      </c>
      <c r="Q99" s="1440">
        <f t="shared" si="63"/>
        <v>0</v>
      </c>
    </row>
    <row r="100" spans="1:17">
      <c r="B100" s="1431" t="s">
        <v>788</v>
      </c>
      <c r="C100" s="1440">
        <f t="shared" ref="C100:J100" si="64">C70</f>
        <v>0</v>
      </c>
      <c r="D100" s="1440">
        <f t="shared" si="64"/>
        <v>0</v>
      </c>
      <c r="E100" s="1440">
        <f t="shared" si="64"/>
        <v>0</v>
      </c>
      <c r="F100" s="1440">
        <f t="shared" si="64"/>
        <v>0</v>
      </c>
      <c r="G100" s="1440">
        <f t="shared" si="64"/>
        <v>0</v>
      </c>
      <c r="H100" s="1440">
        <f t="shared" si="64"/>
        <v>0</v>
      </c>
      <c r="I100" s="1440">
        <f t="shared" si="64"/>
        <v>0</v>
      </c>
      <c r="J100" s="1440">
        <f t="shared" si="64"/>
        <v>0</v>
      </c>
      <c r="K100" s="1440">
        <f t="shared" ref="K100:Q100" si="65">K70</f>
        <v>0</v>
      </c>
      <c r="L100" s="1440">
        <f t="shared" si="65"/>
        <v>0</v>
      </c>
      <c r="M100" s="1440">
        <f t="shared" si="65"/>
        <v>0</v>
      </c>
      <c r="N100" s="1440">
        <f t="shared" si="65"/>
        <v>0</v>
      </c>
      <c r="O100" s="1440">
        <f t="shared" si="65"/>
        <v>0</v>
      </c>
      <c r="P100" s="1440">
        <f t="shared" si="65"/>
        <v>0</v>
      </c>
      <c r="Q100" s="1440">
        <f t="shared" si="65"/>
        <v>0</v>
      </c>
    </row>
    <row r="101" spans="1:17">
      <c r="B101" s="1431" t="s">
        <v>656</v>
      </c>
      <c r="C101" s="1440">
        <f t="shared" ref="C101:J101" si="66">C79</f>
        <v>0</v>
      </c>
      <c r="D101" s="1440">
        <f t="shared" si="66"/>
        <v>0</v>
      </c>
      <c r="E101" s="1440">
        <f t="shared" si="66"/>
        <v>0</v>
      </c>
      <c r="F101" s="1440">
        <f t="shared" si="66"/>
        <v>0</v>
      </c>
      <c r="G101" s="1440">
        <f t="shared" si="66"/>
        <v>0</v>
      </c>
      <c r="H101" s="1440">
        <f t="shared" si="66"/>
        <v>0</v>
      </c>
      <c r="I101" s="1440">
        <f t="shared" si="66"/>
        <v>0</v>
      </c>
      <c r="J101" s="1440">
        <f t="shared" si="66"/>
        <v>0</v>
      </c>
      <c r="K101" s="1440">
        <f t="shared" ref="K101:Q101" si="67">K79</f>
        <v>0</v>
      </c>
      <c r="L101" s="1440">
        <f t="shared" si="67"/>
        <v>0</v>
      </c>
      <c r="M101" s="1440">
        <f t="shared" si="67"/>
        <v>0</v>
      </c>
      <c r="N101" s="1440">
        <f t="shared" si="67"/>
        <v>0</v>
      </c>
      <c r="O101" s="1440">
        <f t="shared" si="67"/>
        <v>0</v>
      </c>
      <c r="P101" s="1440">
        <f t="shared" si="67"/>
        <v>0</v>
      </c>
      <c r="Q101" s="1440">
        <f t="shared" si="67"/>
        <v>0</v>
      </c>
    </row>
    <row r="102" spans="1:17">
      <c r="B102" s="1431" t="s">
        <v>854</v>
      </c>
      <c r="C102" s="1440">
        <f t="shared" ref="C102:J102" si="68">C89</f>
        <v>0</v>
      </c>
      <c r="D102" s="1440">
        <f t="shared" si="68"/>
        <v>0</v>
      </c>
      <c r="E102" s="1440">
        <f t="shared" si="68"/>
        <v>0</v>
      </c>
      <c r="F102" s="1440">
        <f t="shared" si="68"/>
        <v>0</v>
      </c>
      <c r="G102" s="1440">
        <f t="shared" si="68"/>
        <v>0</v>
      </c>
      <c r="H102" s="1440">
        <f t="shared" si="68"/>
        <v>0</v>
      </c>
      <c r="I102" s="1440">
        <f t="shared" si="68"/>
        <v>0</v>
      </c>
      <c r="J102" s="1440">
        <f t="shared" si="68"/>
        <v>0</v>
      </c>
      <c r="K102" s="1440">
        <f t="shared" ref="K102:Q102" si="69">K89</f>
        <v>0</v>
      </c>
      <c r="L102" s="1440">
        <f t="shared" si="69"/>
        <v>0</v>
      </c>
      <c r="M102" s="1440">
        <f t="shared" si="69"/>
        <v>0</v>
      </c>
      <c r="N102" s="1440">
        <f t="shared" si="69"/>
        <v>0</v>
      </c>
      <c r="O102" s="1440">
        <f t="shared" si="69"/>
        <v>0</v>
      </c>
      <c r="P102" s="1440">
        <f t="shared" si="69"/>
        <v>0</v>
      </c>
      <c r="Q102" s="1440">
        <f t="shared" si="69"/>
        <v>0</v>
      </c>
    </row>
    <row r="103" spans="1:17">
      <c r="A103" s="1444"/>
      <c r="B103" s="1431" t="s">
        <v>855</v>
      </c>
      <c r="C103" s="1440">
        <f t="shared" ref="C103:J103" si="70">C96-C98</f>
        <v>0</v>
      </c>
      <c r="D103" s="1656">
        <f t="shared" si="70"/>
        <v>0</v>
      </c>
      <c r="E103" s="1440">
        <f t="shared" si="70"/>
        <v>0</v>
      </c>
      <c r="F103" s="1440">
        <f t="shared" si="70"/>
        <v>0</v>
      </c>
      <c r="G103" s="1440">
        <f t="shared" si="70"/>
        <v>0</v>
      </c>
      <c r="H103" s="1440">
        <f t="shared" si="70"/>
        <v>0</v>
      </c>
      <c r="I103" s="1440">
        <f t="shared" si="70"/>
        <v>0</v>
      </c>
      <c r="J103" s="1440">
        <f t="shared" si="70"/>
        <v>0</v>
      </c>
      <c r="K103" s="1440">
        <f t="shared" ref="K103:Q103" si="71">K96-K98</f>
        <v>0</v>
      </c>
      <c r="L103" s="1440">
        <f t="shared" si="71"/>
        <v>0</v>
      </c>
      <c r="M103" s="1440">
        <f t="shared" si="71"/>
        <v>0</v>
      </c>
      <c r="N103" s="1440">
        <f t="shared" si="71"/>
        <v>0</v>
      </c>
      <c r="O103" s="1440">
        <f t="shared" si="71"/>
        <v>0</v>
      </c>
      <c r="P103" s="1440">
        <f t="shared" si="71"/>
        <v>0</v>
      </c>
      <c r="Q103" s="1440">
        <f t="shared" si="71"/>
        <v>0</v>
      </c>
    </row>
    <row r="104" spans="1:17">
      <c r="B104" s="1431" t="s">
        <v>1570</v>
      </c>
      <c r="D104" s="1452">
        <f t="shared" ref="D104:M104" si="72">IF(D95&gt;$D$12,(1+D23)^(D95-$D$12),0)</f>
        <v>0</v>
      </c>
      <c r="E104" s="1452">
        <f t="shared" si="72"/>
        <v>0</v>
      </c>
      <c r="F104" s="1452">
        <f t="shared" si="72"/>
        <v>0</v>
      </c>
      <c r="G104" s="1452">
        <f t="shared" si="72"/>
        <v>0</v>
      </c>
      <c r="H104" s="1452">
        <f t="shared" si="72"/>
        <v>0</v>
      </c>
      <c r="I104" s="1452">
        <f t="shared" si="72"/>
        <v>0</v>
      </c>
      <c r="J104" s="1452">
        <f t="shared" si="72"/>
        <v>0</v>
      </c>
      <c r="K104" s="1452">
        <f t="shared" si="72"/>
        <v>0</v>
      </c>
      <c r="L104" s="1452">
        <f t="shared" si="72"/>
        <v>0</v>
      </c>
      <c r="M104" s="1452">
        <f t="shared" si="72"/>
        <v>0</v>
      </c>
      <c r="N104" s="1452">
        <f>IF(N95&gt;$D$12,(1+N23)^(N95-$D$12),0)</f>
        <v>1.125</v>
      </c>
      <c r="O104" s="1452">
        <f>IF(O95&gt;$D$12,(1+O23)^(O95-$D$12),0)</f>
        <v>1.265625</v>
      </c>
      <c r="P104" s="1452">
        <f>IF(P95&gt;$D$12,(1+P23)^(P95-$D$12),0)</f>
        <v>1.423828125</v>
      </c>
      <c r="Q104" s="1452">
        <f>IF(Q95&gt;$D$12,(1+Q23)^(Q95-$D$12),0)</f>
        <v>1.601806640625</v>
      </c>
    </row>
    <row r="105" spans="1:17">
      <c r="B105" s="1431" t="s">
        <v>1452</v>
      </c>
      <c r="C105" s="1440">
        <f>SUMIF(D95:Q95,"&gt;"&amp;D12,D105:Q105)</f>
        <v>0</v>
      </c>
      <c r="D105" s="1440" t="str">
        <f t="shared" ref="D105:M105" si="73">IF(D104&lt;&gt;0,D103/D104,"")</f>
        <v/>
      </c>
      <c r="E105" s="1440" t="str">
        <f t="shared" si="73"/>
        <v/>
      </c>
      <c r="F105" s="1440" t="str">
        <f t="shared" si="73"/>
        <v/>
      </c>
      <c r="G105" s="1440" t="str">
        <f t="shared" si="73"/>
        <v/>
      </c>
      <c r="H105" s="1440" t="str">
        <f t="shared" si="73"/>
        <v/>
      </c>
      <c r="I105" s="1440" t="str">
        <f t="shared" si="73"/>
        <v/>
      </c>
      <c r="J105" s="1440" t="str">
        <f t="shared" si="73"/>
        <v/>
      </c>
      <c r="K105" s="1440" t="str">
        <f t="shared" si="73"/>
        <v/>
      </c>
      <c r="L105" s="1440" t="str">
        <f t="shared" si="73"/>
        <v/>
      </c>
      <c r="M105" s="1440" t="str">
        <f t="shared" si="73"/>
        <v/>
      </c>
      <c r="N105" s="1440">
        <f>IF(N104&lt;&gt;0,N103/N104,"")</f>
        <v>0</v>
      </c>
      <c r="O105" s="1440">
        <f>IF(O104&lt;&gt;0,O103/O104,"")</f>
        <v>0</v>
      </c>
      <c r="P105" s="1440">
        <f>IF(P104&lt;&gt;0,P103/P104,"")</f>
        <v>0</v>
      </c>
      <c r="Q105" s="1440">
        <f>IF(Q104&lt;&gt;0,Q103/Q104,"")</f>
        <v>0</v>
      </c>
    </row>
    <row r="106" spans="1:17">
      <c r="B106" s="1407" t="s">
        <v>1590</v>
      </c>
      <c r="C106" s="1427">
        <f>C105*I5</f>
        <v>0</v>
      </c>
    </row>
    <row r="107" spans="1:17">
      <c r="B107" s="1407"/>
      <c r="C107" s="1427"/>
    </row>
    <row r="108" spans="1:17">
      <c r="B108" s="1407" t="s">
        <v>1588</v>
      </c>
      <c r="C108" s="1440"/>
      <c r="D108" s="1431">
        <f t="shared" ref="D108:J108" si="74">D95</f>
        <v>2013</v>
      </c>
      <c r="E108" s="1431">
        <f t="shared" si="74"/>
        <v>2014</v>
      </c>
      <c r="F108" s="1431">
        <f t="shared" si="74"/>
        <v>2015</v>
      </c>
      <c r="G108" s="1431">
        <f t="shared" si="74"/>
        <v>2016</v>
      </c>
      <c r="H108" s="1431">
        <f t="shared" si="74"/>
        <v>2017</v>
      </c>
      <c r="I108" s="1431">
        <f t="shared" si="74"/>
        <v>2018</v>
      </c>
      <c r="J108" s="1431">
        <f t="shared" si="74"/>
        <v>2019</v>
      </c>
      <c r="K108" s="1431">
        <f t="shared" ref="K108:Q108" si="75">K95</f>
        <v>2020</v>
      </c>
      <c r="L108" s="1431">
        <f t="shared" si="75"/>
        <v>2021</v>
      </c>
      <c r="M108" s="1431">
        <f t="shared" si="75"/>
        <v>2022</v>
      </c>
      <c r="N108" s="1431">
        <f t="shared" si="75"/>
        <v>2023</v>
      </c>
      <c r="O108" s="1431">
        <f t="shared" si="75"/>
        <v>2024</v>
      </c>
      <c r="P108" s="1431">
        <f t="shared" si="75"/>
        <v>2025</v>
      </c>
      <c r="Q108" s="1431">
        <f t="shared" si="75"/>
        <v>2026</v>
      </c>
    </row>
    <row r="109" spans="1:17" s="1447" customFormat="1">
      <c r="A109" s="1459"/>
      <c r="B109" s="1460" t="e">
        <f>IRR(D109:Q109)</f>
        <v>#NUM!</v>
      </c>
      <c r="C109" s="1408"/>
      <c r="D109" s="1408">
        <f>D103</f>
        <v>0</v>
      </c>
      <c r="E109" s="1408">
        <f t="shared" ref="E109:J109" si="76">E103</f>
        <v>0</v>
      </c>
      <c r="F109" s="1408">
        <f t="shared" si="76"/>
        <v>0</v>
      </c>
      <c r="G109" s="1408">
        <f t="shared" si="76"/>
        <v>0</v>
      </c>
      <c r="H109" s="1408">
        <f t="shared" si="76"/>
        <v>0</v>
      </c>
      <c r="I109" s="1408">
        <f t="shared" si="76"/>
        <v>0</v>
      </c>
      <c r="J109" s="1408">
        <f t="shared" si="76"/>
        <v>0</v>
      </c>
      <c r="K109" s="1408">
        <f t="shared" ref="K109:Q109" si="77">K103</f>
        <v>0</v>
      </c>
      <c r="L109" s="1408">
        <f t="shared" si="77"/>
        <v>0</v>
      </c>
      <c r="M109" s="1408">
        <f t="shared" si="77"/>
        <v>0</v>
      </c>
      <c r="N109" s="1408">
        <f t="shared" si="77"/>
        <v>0</v>
      </c>
      <c r="O109" s="1408">
        <f t="shared" si="77"/>
        <v>0</v>
      </c>
      <c r="P109" s="1408">
        <f t="shared" si="77"/>
        <v>0</v>
      </c>
      <c r="Q109" s="1408">
        <f t="shared" si="77"/>
        <v>0</v>
      </c>
    </row>
    <row r="110" spans="1:17">
      <c r="B110" s="1407" t="s">
        <v>1789</v>
      </c>
      <c r="C110" s="1440"/>
      <c r="D110" s="1656">
        <f t="shared" ref="D110:M110" si="78">D103+D116-D118</f>
        <v>0</v>
      </c>
      <c r="E110" s="1656">
        <f t="shared" si="78"/>
        <v>0</v>
      </c>
      <c r="F110" s="1656">
        <f t="shared" si="78"/>
        <v>0</v>
      </c>
      <c r="G110" s="1656">
        <f t="shared" si="78"/>
        <v>0</v>
      </c>
      <c r="H110" s="1656">
        <f t="shared" si="78"/>
        <v>0</v>
      </c>
      <c r="I110" s="1656">
        <f t="shared" si="78"/>
        <v>0</v>
      </c>
      <c r="J110" s="1656">
        <f t="shared" si="78"/>
        <v>0</v>
      </c>
      <c r="K110" s="1656">
        <f t="shared" si="78"/>
        <v>0</v>
      </c>
      <c r="L110" s="1656">
        <f t="shared" si="78"/>
        <v>0</v>
      </c>
      <c r="M110" s="1656">
        <f t="shared" si="78"/>
        <v>0</v>
      </c>
      <c r="N110" s="1656">
        <f>N103+N116-N118</f>
        <v>0</v>
      </c>
      <c r="O110" s="1656">
        <f>O103+O116-O118</f>
        <v>0</v>
      </c>
      <c r="P110" s="1656">
        <f>P103+P116-P118</f>
        <v>0</v>
      </c>
      <c r="Q110" s="1656">
        <f>Q103+Q116-Q118</f>
        <v>0</v>
      </c>
    </row>
    <row r="111" spans="1:17">
      <c r="B111" s="1407"/>
      <c r="C111" s="1427"/>
      <c r="D111" s="1454"/>
      <c r="E111" s="1454"/>
      <c r="F111" s="1454"/>
      <c r="G111" s="1454"/>
      <c r="H111" s="1454"/>
      <c r="I111" s="1454"/>
      <c r="J111" s="1454"/>
      <c r="K111" s="1454"/>
      <c r="L111" s="1454"/>
      <c r="M111" s="1454"/>
      <c r="N111" s="1454"/>
      <c r="O111" s="1454"/>
      <c r="P111" s="1454"/>
      <c r="Q111" s="1454"/>
    </row>
    <row r="112" spans="1:17">
      <c r="B112" s="1407"/>
      <c r="C112" s="1427"/>
    </row>
    <row r="113" spans="1:17" s="1407" customFormat="1">
      <c r="A113" s="1406">
        <v>8</v>
      </c>
      <c r="B113" s="1407" t="s">
        <v>1592</v>
      </c>
      <c r="C113" s="1440"/>
      <c r="D113" s="1431">
        <f t="shared" ref="D113:I113" si="79">D95</f>
        <v>2013</v>
      </c>
      <c r="E113" s="1431">
        <f t="shared" si="79"/>
        <v>2014</v>
      </c>
      <c r="F113" s="1431">
        <f t="shared" si="79"/>
        <v>2015</v>
      </c>
      <c r="G113" s="1431">
        <f t="shared" si="79"/>
        <v>2016</v>
      </c>
      <c r="H113" s="1431">
        <f t="shared" si="79"/>
        <v>2017</v>
      </c>
      <c r="I113" s="1431">
        <f t="shared" si="79"/>
        <v>2018</v>
      </c>
      <c r="J113" s="1431">
        <f t="shared" ref="J113:Q113" si="80">I113+1</f>
        <v>2019</v>
      </c>
      <c r="K113" s="1431">
        <f t="shared" si="80"/>
        <v>2020</v>
      </c>
      <c r="L113" s="1431">
        <f t="shared" si="80"/>
        <v>2021</v>
      </c>
      <c r="M113" s="1431">
        <f t="shared" si="80"/>
        <v>2022</v>
      </c>
      <c r="N113" s="1431">
        <f t="shared" si="80"/>
        <v>2023</v>
      </c>
      <c r="O113" s="1431">
        <f t="shared" si="80"/>
        <v>2024</v>
      </c>
      <c r="P113" s="1431">
        <f t="shared" si="80"/>
        <v>2025</v>
      </c>
      <c r="Q113" s="1431">
        <f t="shared" si="80"/>
        <v>2026</v>
      </c>
    </row>
    <row r="114" spans="1:17">
      <c r="B114" s="1432" t="s">
        <v>1571</v>
      </c>
      <c r="C114" s="1441">
        <f>D5*I6</f>
        <v>0</v>
      </c>
      <c r="D114" s="1432"/>
      <c r="E114" s="1432"/>
      <c r="F114" s="1432"/>
      <c r="G114" s="1432"/>
      <c r="H114" s="1432"/>
      <c r="I114" s="1432"/>
      <c r="J114" s="1456"/>
      <c r="K114" s="1456"/>
      <c r="L114" s="1456"/>
      <c r="M114" s="1456"/>
      <c r="N114" s="1456"/>
      <c r="O114" s="1456"/>
      <c r="P114" s="1456"/>
      <c r="Q114" s="1456"/>
    </row>
    <row r="115" spans="1:17">
      <c r="B115" s="1431" t="s">
        <v>1572</v>
      </c>
      <c r="C115" s="1436">
        <f>SUM(D115:O115)</f>
        <v>1</v>
      </c>
      <c r="D115" s="1416">
        <v>0</v>
      </c>
      <c r="E115" s="1416">
        <v>0</v>
      </c>
      <c r="F115" s="1416">
        <v>0</v>
      </c>
      <c r="G115" s="1416">
        <v>0</v>
      </c>
      <c r="H115" s="1411">
        <v>0</v>
      </c>
      <c r="I115" s="1411">
        <v>0</v>
      </c>
      <c r="J115" s="1411">
        <v>0</v>
      </c>
      <c r="K115" s="1411">
        <v>0</v>
      </c>
      <c r="L115" s="1411">
        <v>0.5</v>
      </c>
      <c r="M115" s="1411">
        <v>0.5</v>
      </c>
      <c r="N115" s="1411">
        <v>0</v>
      </c>
      <c r="O115" s="1411">
        <v>0</v>
      </c>
      <c r="P115" s="1411">
        <v>0</v>
      </c>
      <c r="Q115" s="1411">
        <v>0</v>
      </c>
    </row>
    <row r="116" spans="1:17">
      <c r="B116" s="1431" t="s">
        <v>1573</v>
      </c>
      <c r="C116" s="1440">
        <f>SUM(D116:M116)</f>
        <v>0</v>
      </c>
      <c r="D116" s="1410">
        <f>D115*$C$114</f>
        <v>0</v>
      </c>
      <c r="E116" s="1410">
        <f>E115*$C$114</f>
        <v>0</v>
      </c>
      <c r="F116" s="1410">
        <f t="shared" ref="F116:K116" si="81">F115*$C$114</f>
        <v>0</v>
      </c>
      <c r="G116" s="1410">
        <f t="shared" si="81"/>
        <v>0</v>
      </c>
      <c r="H116" s="1410">
        <f t="shared" si="81"/>
        <v>0</v>
      </c>
      <c r="I116" s="1410">
        <f t="shared" si="81"/>
        <v>0</v>
      </c>
      <c r="J116" s="1410">
        <f t="shared" si="81"/>
        <v>0</v>
      </c>
      <c r="K116" s="1410">
        <f t="shared" si="81"/>
        <v>0</v>
      </c>
      <c r="L116" s="1410">
        <f t="shared" ref="L116:Q116" si="82">L115*$C$114</f>
        <v>0</v>
      </c>
      <c r="M116" s="1410">
        <f t="shared" si="82"/>
        <v>0</v>
      </c>
      <c r="N116" s="1410">
        <f t="shared" si="82"/>
        <v>0</v>
      </c>
      <c r="O116" s="1410">
        <f t="shared" si="82"/>
        <v>0</v>
      </c>
      <c r="P116" s="1410">
        <f t="shared" si="82"/>
        <v>0</v>
      </c>
      <c r="Q116" s="1410">
        <f t="shared" si="82"/>
        <v>0</v>
      </c>
    </row>
    <row r="117" spans="1:17">
      <c r="B117" s="1431" t="s">
        <v>868</v>
      </c>
      <c r="C117" s="1440"/>
      <c r="D117" s="1440">
        <f>D116</f>
        <v>0</v>
      </c>
      <c r="E117" s="1440">
        <f>D120</f>
        <v>0</v>
      </c>
      <c r="F117" s="1440">
        <f>E120</f>
        <v>0</v>
      </c>
      <c r="G117" s="1440">
        <f>F120+G116</f>
        <v>0</v>
      </c>
      <c r="H117" s="1440">
        <f>G120+H116</f>
        <v>0</v>
      </c>
      <c r="I117" s="1440">
        <f>H120+I116</f>
        <v>0</v>
      </c>
      <c r="J117" s="1440">
        <f>I120+J116</f>
        <v>0</v>
      </c>
      <c r="K117" s="1440"/>
      <c r="L117" s="1440"/>
      <c r="M117" s="1440">
        <f>L120+M116</f>
        <v>0</v>
      </c>
      <c r="N117" s="1440">
        <f>M120+N116</f>
        <v>0</v>
      </c>
      <c r="O117" s="1440">
        <f>N120+O116</f>
        <v>0</v>
      </c>
      <c r="P117" s="1440">
        <f>O120+P116</f>
        <v>0</v>
      </c>
      <c r="Q117" s="1440">
        <f>P120+Q116</f>
        <v>0</v>
      </c>
    </row>
    <row r="118" spans="1:17">
      <c r="B118" s="1431" t="s">
        <v>1574</v>
      </c>
      <c r="C118" s="1440">
        <f>SUM(D118:M118)</f>
        <v>0</v>
      </c>
      <c r="D118" s="1423"/>
      <c r="E118" s="1423"/>
      <c r="F118" s="1423"/>
      <c r="G118" s="1423"/>
      <c r="H118" s="1423"/>
      <c r="I118" s="1423"/>
      <c r="J118" s="1410"/>
      <c r="K118" s="1440"/>
      <c r="L118" s="1423"/>
      <c r="M118" s="1440"/>
      <c r="N118" s="1423">
        <f>C114/2</f>
        <v>0</v>
      </c>
      <c r="O118" s="1440">
        <f>N118</f>
        <v>0</v>
      </c>
      <c r="P118" s="1440"/>
      <c r="Q118" s="1440"/>
    </row>
    <row r="119" spans="1:17">
      <c r="B119" s="1431" t="s">
        <v>869</v>
      </c>
      <c r="C119" s="1440">
        <f>SUM(D119:O119)</f>
        <v>0</v>
      </c>
      <c r="D119" s="1440">
        <f t="shared" ref="D119:M119" si="83">D117*D21</f>
        <v>0</v>
      </c>
      <c r="E119" s="1440">
        <f t="shared" si="83"/>
        <v>0</v>
      </c>
      <c r="F119" s="1440">
        <f t="shared" si="83"/>
        <v>0</v>
      </c>
      <c r="G119" s="1440">
        <f t="shared" si="83"/>
        <v>0</v>
      </c>
      <c r="H119" s="1440">
        <f t="shared" si="83"/>
        <v>0</v>
      </c>
      <c r="I119" s="1440">
        <f t="shared" si="83"/>
        <v>0</v>
      </c>
      <c r="J119" s="1440">
        <f t="shared" si="83"/>
        <v>0</v>
      </c>
      <c r="K119" s="1440">
        <f t="shared" si="83"/>
        <v>0</v>
      </c>
      <c r="L119" s="1440">
        <f t="shared" si="83"/>
        <v>0</v>
      </c>
      <c r="M119" s="1440">
        <f t="shared" si="83"/>
        <v>0</v>
      </c>
      <c r="N119" s="1440">
        <f>N117*N21</f>
        <v>0</v>
      </c>
      <c r="O119" s="1440">
        <f>O117*O21</f>
        <v>0</v>
      </c>
      <c r="P119" s="1440">
        <f>P117*P21</f>
        <v>0</v>
      </c>
      <c r="Q119" s="1440">
        <f>Q117*Q21</f>
        <v>0</v>
      </c>
    </row>
    <row r="120" spans="1:17">
      <c r="B120" s="1431" t="s">
        <v>874</v>
      </c>
      <c r="C120" s="1440"/>
      <c r="D120" s="1440">
        <f>D117-D118</f>
        <v>0</v>
      </c>
      <c r="E120" s="1440">
        <f>E117-E118+E116</f>
        <v>0</v>
      </c>
      <c r="F120" s="1440">
        <f t="shared" ref="F120:L120" si="84">F117-F118+F116</f>
        <v>0</v>
      </c>
      <c r="G120" s="1440">
        <f t="shared" si="84"/>
        <v>0</v>
      </c>
      <c r="H120" s="1440">
        <f t="shared" si="84"/>
        <v>0</v>
      </c>
      <c r="I120" s="1440">
        <f t="shared" si="84"/>
        <v>0</v>
      </c>
      <c r="J120" s="1440">
        <f t="shared" si="84"/>
        <v>0</v>
      </c>
      <c r="K120" s="1440">
        <f t="shared" si="84"/>
        <v>0</v>
      </c>
      <c r="L120" s="1440">
        <f t="shared" si="84"/>
        <v>0</v>
      </c>
      <c r="M120" s="1440">
        <f>M117-M118</f>
        <v>0</v>
      </c>
      <c r="N120" s="1440">
        <f>N117-N118</f>
        <v>0</v>
      </c>
      <c r="O120" s="1440">
        <f>O117-O118</f>
        <v>0</v>
      </c>
      <c r="P120" s="1440">
        <f>P117-P118</f>
        <v>0</v>
      </c>
      <c r="Q120" s="1440">
        <f>Q117-Q118</f>
        <v>0</v>
      </c>
    </row>
    <row r="121" spans="1:17">
      <c r="C121" s="1440"/>
      <c r="D121" s="1412"/>
      <c r="E121" s="1440"/>
      <c r="F121" s="1440"/>
      <c r="G121" s="1440"/>
      <c r="H121" s="1440"/>
    </row>
    <row r="122" spans="1:17">
      <c r="C122" s="1440"/>
    </row>
    <row r="123" spans="1:17" s="1407" customFormat="1">
      <c r="A123" s="1406">
        <v>9</v>
      </c>
      <c r="B123" s="1407" t="s">
        <v>350</v>
      </c>
      <c r="C123" s="1440"/>
      <c r="D123" s="1431">
        <f t="shared" ref="D123:J123" si="85">D95</f>
        <v>2013</v>
      </c>
      <c r="E123" s="1431">
        <f t="shared" si="85"/>
        <v>2014</v>
      </c>
      <c r="F123" s="1431">
        <f t="shared" si="85"/>
        <v>2015</v>
      </c>
      <c r="G123" s="1431">
        <f t="shared" si="85"/>
        <v>2016</v>
      </c>
      <c r="H123" s="1431">
        <f t="shared" si="85"/>
        <v>2017</v>
      </c>
      <c r="I123" s="1431">
        <f t="shared" si="85"/>
        <v>2018</v>
      </c>
      <c r="J123" s="1431">
        <f t="shared" si="85"/>
        <v>2019</v>
      </c>
      <c r="K123" s="1431">
        <f t="shared" ref="K123:Q123" si="86">K95</f>
        <v>2020</v>
      </c>
      <c r="L123" s="1431">
        <f t="shared" si="86"/>
        <v>2021</v>
      </c>
      <c r="M123" s="1431">
        <f t="shared" si="86"/>
        <v>2022</v>
      </c>
      <c r="N123" s="1431">
        <f t="shared" si="86"/>
        <v>2023</v>
      </c>
      <c r="O123" s="1431">
        <f t="shared" si="86"/>
        <v>2024</v>
      </c>
      <c r="P123" s="1431">
        <f t="shared" si="86"/>
        <v>2025</v>
      </c>
      <c r="Q123" s="1431">
        <f t="shared" si="86"/>
        <v>2026</v>
      </c>
    </row>
    <row r="124" spans="1:17">
      <c r="B124" s="1432" t="s">
        <v>1575</v>
      </c>
      <c r="C124" s="1441"/>
      <c r="D124" s="1441">
        <f>D63</f>
        <v>0</v>
      </c>
      <c r="E124" s="1408">
        <f t="shared" ref="E124:M124" si="87">D124+E63</f>
        <v>0</v>
      </c>
      <c r="F124" s="1408">
        <f t="shared" si="87"/>
        <v>0</v>
      </c>
      <c r="G124" s="1408">
        <f t="shared" si="87"/>
        <v>0</v>
      </c>
      <c r="H124" s="1408">
        <f t="shared" si="87"/>
        <v>0</v>
      </c>
      <c r="I124" s="1408">
        <f t="shared" si="87"/>
        <v>0</v>
      </c>
      <c r="J124" s="1408">
        <f t="shared" si="87"/>
        <v>0</v>
      </c>
      <c r="K124" s="1408">
        <f t="shared" si="87"/>
        <v>0</v>
      </c>
      <c r="L124" s="1408">
        <f t="shared" si="87"/>
        <v>0</v>
      </c>
      <c r="M124" s="1408">
        <f t="shared" si="87"/>
        <v>0</v>
      </c>
      <c r="N124" s="1408">
        <f>M124+N63</f>
        <v>0</v>
      </c>
      <c r="O124" s="1408">
        <f>N124+O63</f>
        <v>0</v>
      </c>
      <c r="P124" s="1408">
        <f>O124+P63</f>
        <v>0</v>
      </c>
      <c r="Q124" s="1408">
        <f>P124+Q63</f>
        <v>0</v>
      </c>
    </row>
    <row r="125" spans="1:17">
      <c r="B125" s="1431" t="s">
        <v>1576</v>
      </c>
      <c r="C125" s="1440"/>
      <c r="D125" s="1440">
        <f>D57</f>
        <v>0</v>
      </c>
      <c r="E125" s="1440">
        <f t="shared" ref="E125:M125" si="88">D125+E57</f>
        <v>0</v>
      </c>
      <c r="F125" s="1440">
        <f t="shared" si="88"/>
        <v>0</v>
      </c>
      <c r="G125" s="1440">
        <f t="shared" si="88"/>
        <v>0</v>
      </c>
      <c r="H125" s="1440">
        <f t="shared" si="88"/>
        <v>0</v>
      </c>
      <c r="I125" s="1440">
        <f t="shared" si="88"/>
        <v>0</v>
      </c>
      <c r="J125" s="1440">
        <f t="shared" si="88"/>
        <v>0</v>
      </c>
      <c r="K125" s="1440">
        <f t="shared" si="88"/>
        <v>0</v>
      </c>
      <c r="L125" s="1440">
        <f t="shared" si="88"/>
        <v>0</v>
      </c>
      <c r="M125" s="1440">
        <f t="shared" si="88"/>
        <v>0</v>
      </c>
      <c r="N125" s="1440">
        <f>M125+N57</f>
        <v>0</v>
      </c>
      <c r="O125" s="1440">
        <f>N125+O57</f>
        <v>0</v>
      </c>
      <c r="P125" s="1440">
        <f>O125+P57</f>
        <v>0</v>
      </c>
      <c r="Q125" s="1440">
        <f>P125+Q57</f>
        <v>0</v>
      </c>
    </row>
    <row r="126" spans="1:17">
      <c r="B126" s="1431" t="s">
        <v>1577</v>
      </c>
      <c r="C126" s="1440"/>
      <c r="D126" s="1440">
        <f>D50</f>
        <v>0</v>
      </c>
      <c r="E126" s="1440">
        <f t="shared" ref="E126:M126" si="89">D126+E50</f>
        <v>0</v>
      </c>
      <c r="F126" s="1440">
        <f t="shared" si="89"/>
        <v>0</v>
      </c>
      <c r="G126" s="1440">
        <f t="shared" si="89"/>
        <v>0</v>
      </c>
      <c r="H126" s="1440">
        <f t="shared" si="89"/>
        <v>0</v>
      </c>
      <c r="I126" s="1440">
        <f t="shared" si="89"/>
        <v>0</v>
      </c>
      <c r="J126" s="1440">
        <f t="shared" si="89"/>
        <v>0</v>
      </c>
      <c r="K126" s="1440">
        <f t="shared" si="89"/>
        <v>0</v>
      </c>
      <c r="L126" s="1440">
        <f t="shared" si="89"/>
        <v>0</v>
      </c>
      <c r="M126" s="1440">
        <f t="shared" si="89"/>
        <v>0</v>
      </c>
      <c r="N126" s="1440">
        <f>M126+N50</f>
        <v>0</v>
      </c>
      <c r="O126" s="1440">
        <f>N126+O50</f>
        <v>0</v>
      </c>
      <c r="P126" s="1440">
        <f>O126+P50</f>
        <v>0</v>
      </c>
      <c r="Q126" s="1440">
        <f>P126+Q50</f>
        <v>0</v>
      </c>
    </row>
    <row r="127" spans="1:17">
      <c r="B127" s="1431" t="s">
        <v>1578</v>
      </c>
      <c r="C127" s="1440"/>
      <c r="D127" s="1436" t="str">
        <f t="shared" ref="D127:J127" si="90">IF(D124&lt;&gt;0,D124/D126,"")</f>
        <v/>
      </c>
      <c r="E127" s="1436" t="str">
        <f t="shared" si="90"/>
        <v/>
      </c>
      <c r="F127" s="1436" t="str">
        <f t="shared" si="90"/>
        <v/>
      </c>
      <c r="G127" s="1436" t="str">
        <f t="shared" si="90"/>
        <v/>
      </c>
      <c r="H127" s="1436" t="str">
        <f t="shared" si="90"/>
        <v/>
      </c>
      <c r="I127" s="1436" t="str">
        <f t="shared" si="90"/>
        <v/>
      </c>
      <c r="J127" s="1436" t="str">
        <f t="shared" si="90"/>
        <v/>
      </c>
      <c r="K127" s="1436" t="str">
        <f t="shared" ref="K127:Q127" si="91">IF(K124&lt;&gt;0,K124/K126,"")</f>
        <v/>
      </c>
      <c r="L127" s="1436" t="str">
        <f t="shared" si="91"/>
        <v/>
      </c>
      <c r="M127" s="1436" t="str">
        <f t="shared" si="91"/>
        <v/>
      </c>
      <c r="N127" s="1436" t="str">
        <f t="shared" si="91"/>
        <v/>
      </c>
      <c r="O127" s="1436" t="str">
        <f t="shared" si="91"/>
        <v/>
      </c>
      <c r="P127" s="1436" t="str">
        <f t="shared" si="91"/>
        <v/>
      </c>
      <c r="Q127" s="1436" t="str">
        <f t="shared" si="91"/>
        <v/>
      </c>
    </row>
    <row r="128" spans="1:17">
      <c r="B128" s="1431" t="s">
        <v>1579</v>
      </c>
      <c r="C128" s="1440"/>
      <c r="D128" s="1410">
        <f t="shared" ref="D128:J128" si="92">IF(D124&gt;D125,D124-D125,0)</f>
        <v>0</v>
      </c>
      <c r="E128" s="1410">
        <f t="shared" si="92"/>
        <v>0</v>
      </c>
      <c r="F128" s="1410">
        <f t="shared" si="92"/>
        <v>0</v>
      </c>
      <c r="G128" s="1410">
        <f t="shared" si="92"/>
        <v>0</v>
      </c>
      <c r="H128" s="1410">
        <f t="shared" si="92"/>
        <v>0</v>
      </c>
      <c r="I128" s="1410">
        <f t="shared" si="92"/>
        <v>0</v>
      </c>
      <c r="J128" s="1410">
        <f t="shared" si="92"/>
        <v>0</v>
      </c>
      <c r="K128" s="1410">
        <f t="shared" ref="K128:Q128" si="93">IF(K124&gt;K125,K124-K125,0)</f>
        <v>0</v>
      </c>
      <c r="L128" s="1410">
        <f t="shared" si="93"/>
        <v>0</v>
      </c>
      <c r="M128" s="1410">
        <f t="shared" si="93"/>
        <v>0</v>
      </c>
      <c r="N128" s="1410">
        <f t="shared" si="93"/>
        <v>0</v>
      </c>
      <c r="O128" s="1410">
        <f t="shared" si="93"/>
        <v>0</v>
      </c>
      <c r="P128" s="1410">
        <f t="shared" si="93"/>
        <v>0</v>
      </c>
      <c r="Q128" s="1410">
        <f t="shared" si="93"/>
        <v>0</v>
      </c>
    </row>
    <row r="129" spans="1:17" s="1407" customFormat="1">
      <c r="A129" s="1406"/>
      <c r="B129" s="1431" t="s">
        <v>1580</v>
      </c>
      <c r="C129" s="1440"/>
      <c r="D129" s="1410">
        <f t="shared" ref="D129:J129" si="94">IF(D125&gt;D124,D125-D124,0)</f>
        <v>0</v>
      </c>
      <c r="E129" s="1410">
        <f t="shared" si="94"/>
        <v>0</v>
      </c>
      <c r="F129" s="1410">
        <f t="shared" si="94"/>
        <v>0</v>
      </c>
      <c r="G129" s="1410">
        <f t="shared" si="94"/>
        <v>0</v>
      </c>
      <c r="H129" s="1410">
        <f t="shared" si="94"/>
        <v>0</v>
      </c>
      <c r="I129" s="1410">
        <f t="shared" si="94"/>
        <v>0</v>
      </c>
      <c r="J129" s="1410">
        <f t="shared" si="94"/>
        <v>0</v>
      </c>
      <c r="K129" s="1410">
        <f t="shared" ref="K129:Q129" si="95">IF(K125&gt;K124,K125-K124,0)</f>
        <v>0</v>
      </c>
      <c r="L129" s="1410">
        <f t="shared" si="95"/>
        <v>0</v>
      </c>
      <c r="M129" s="1410">
        <f t="shared" si="95"/>
        <v>0</v>
      </c>
      <c r="N129" s="1410">
        <f t="shared" si="95"/>
        <v>0</v>
      </c>
      <c r="O129" s="1410">
        <f t="shared" si="95"/>
        <v>0</v>
      </c>
      <c r="P129" s="1410">
        <f t="shared" si="95"/>
        <v>0</v>
      </c>
      <c r="Q129" s="1410">
        <f t="shared" si="95"/>
        <v>0</v>
      </c>
    </row>
    <row r="130" spans="1:17">
      <c r="B130" s="1407"/>
      <c r="E130" s="1440"/>
      <c r="F130" s="1440"/>
      <c r="G130" s="1440"/>
      <c r="H130" s="1440"/>
      <c r="I130" s="1440"/>
      <c r="J130" s="1440"/>
      <c r="K130" s="1440"/>
      <c r="L130" s="1440"/>
      <c r="M130" s="1440"/>
      <c r="N130" s="1440"/>
      <c r="O130" s="1440"/>
      <c r="P130" s="1440"/>
      <c r="Q130" s="1440"/>
    </row>
    <row r="131" spans="1:17">
      <c r="B131" s="1407" t="s">
        <v>1492</v>
      </c>
      <c r="E131" s="1440"/>
      <c r="F131" s="1440"/>
      <c r="G131" s="1440"/>
      <c r="H131" s="1440"/>
      <c r="I131" s="1440"/>
      <c r="J131" s="1440"/>
      <c r="K131" s="1440"/>
      <c r="L131" s="1440"/>
      <c r="M131" s="1440"/>
      <c r="N131" s="1440"/>
      <c r="O131" s="1440"/>
      <c r="P131" s="1440"/>
      <c r="Q131" s="1440"/>
    </row>
    <row r="132" spans="1:17">
      <c r="B132" s="1431" t="s">
        <v>1581</v>
      </c>
      <c r="D132" s="1412">
        <v>0</v>
      </c>
      <c r="E132" s="1410">
        <f t="shared" ref="E132:J132" si="96">D136</f>
        <v>0</v>
      </c>
      <c r="F132" s="1440">
        <f t="shared" si="96"/>
        <v>0</v>
      </c>
      <c r="G132" s="1440">
        <f t="shared" si="96"/>
        <v>0</v>
      </c>
      <c r="H132" s="1440">
        <f t="shared" si="96"/>
        <v>0</v>
      </c>
      <c r="I132" s="1440">
        <f t="shared" si="96"/>
        <v>0</v>
      </c>
      <c r="J132" s="1440">
        <f t="shared" si="96"/>
        <v>0</v>
      </c>
      <c r="K132" s="1440">
        <f t="shared" ref="K132:Q132" si="97">J136</f>
        <v>0</v>
      </c>
      <c r="L132" s="1440">
        <f t="shared" si="97"/>
        <v>0</v>
      </c>
      <c r="M132" s="1440">
        <f t="shared" si="97"/>
        <v>0</v>
      </c>
      <c r="N132" s="1440">
        <f t="shared" si="97"/>
        <v>0</v>
      </c>
      <c r="O132" s="1440">
        <f t="shared" si="97"/>
        <v>0</v>
      </c>
      <c r="P132" s="1440">
        <f t="shared" si="97"/>
        <v>0</v>
      </c>
      <c r="Q132" s="1440">
        <f t="shared" si="97"/>
        <v>0</v>
      </c>
    </row>
    <row r="133" spans="1:17">
      <c r="B133" s="1431" t="s">
        <v>994</v>
      </c>
      <c r="D133" s="1440">
        <f t="shared" ref="D133:M133" si="98">SUM(D99:D100)</f>
        <v>0</v>
      </c>
      <c r="E133" s="1440">
        <f t="shared" si="98"/>
        <v>0</v>
      </c>
      <c r="F133" s="1440">
        <f t="shared" si="98"/>
        <v>0</v>
      </c>
      <c r="G133" s="1440">
        <f t="shared" si="98"/>
        <v>0</v>
      </c>
      <c r="H133" s="1440">
        <f t="shared" si="98"/>
        <v>0</v>
      </c>
      <c r="I133" s="1440">
        <f t="shared" si="98"/>
        <v>0</v>
      </c>
      <c r="J133" s="1440">
        <f t="shared" si="98"/>
        <v>0</v>
      </c>
      <c r="K133" s="1440">
        <f t="shared" si="98"/>
        <v>0</v>
      </c>
      <c r="L133" s="1440">
        <f t="shared" si="98"/>
        <v>0</v>
      </c>
      <c r="M133" s="1440">
        <f t="shared" si="98"/>
        <v>0</v>
      </c>
      <c r="N133" s="1440">
        <f>SUM(N99:N100)</f>
        <v>0</v>
      </c>
      <c r="O133" s="1440">
        <f>SUM(O99:O100)</f>
        <v>0</v>
      </c>
      <c r="P133" s="1440">
        <f>SUM(P99:P100)</f>
        <v>0</v>
      </c>
      <c r="Q133" s="1440">
        <f>SUM(Q99:Q100)</f>
        <v>0</v>
      </c>
    </row>
    <row r="134" spans="1:17">
      <c r="B134" s="1431" t="s">
        <v>1582</v>
      </c>
      <c r="D134" s="1431">
        <f t="shared" ref="D134:J134" si="99">$C$77*D58</f>
        <v>0</v>
      </c>
      <c r="E134" s="1431">
        <f t="shared" si="99"/>
        <v>0</v>
      </c>
      <c r="F134" s="1440">
        <f t="shared" si="99"/>
        <v>0</v>
      </c>
      <c r="G134" s="1440">
        <f t="shared" si="99"/>
        <v>0</v>
      </c>
      <c r="H134" s="1440">
        <f t="shared" si="99"/>
        <v>0</v>
      </c>
      <c r="I134" s="1440">
        <f t="shared" si="99"/>
        <v>0</v>
      </c>
      <c r="J134" s="1440">
        <f t="shared" si="99"/>
        <v>0</v>
      </c>
      <c r="K134" s="1440">
        <f t="shared" ref="K134:Q134" si="100">$C$77*K58</f>
        <v>0</v>
      </c>
      <c r="L134" s="1440">
        <f t="shared" si="100"/>
        <v>0</v>
      </c>
      <c r="M134" s="1440">
        <f t="shared" si="100"/>
        <v>0</v>
      </c>
      <c r="N134" s="1440">
        <f t="shared" si="100"/>
        <v>0</v>
      </c>
      <c r="O134" s="1440">
        <f t="shared" si="100"/>
        <v>0</v>
      </c>
      <c r="P134" s="1440">
        <f t="shared" si="100"/>
        <v>0</v>
      </c>
      <c r="Q134" s="1440">
        <f t="shared" si="100"/>
        <v>0</v>
      </c>
    </row>
    <row r="135" spans="1:17">
      <c r="B135" s="1431" t="s">
        <v>1583</v>
      </c>
      <c r="D135" s="1440">
        <f t="shared" ref="D135:J135" si="101">SUM(D75:D77)</f>
        <v>0</v>
      </c>
      <c r="E135" s="1440">
        <f t="shared" si="101"/>
        <v>0</v>
      </c>
      <c r="F135" s="1440">
        <f t="shared" si="101"/>
        <v>0</v>
      </c>
      <c r="G135" s="1440">
        <f t="shared" si="101"/>
        <v>0</v>
      </c>
      <c r="H135" s="1440">
        <f t="shared" si="101"/>
        <v>0</v>
      </c>
      <c r="I135" s="1440">
        <f t="shared" si="101"/>
        <v>0</v>
      </c>
      <c r="J135" s="1440">
        <f t="shared" si="101"/>
        <v>0</v>
      </c>
      <c r="K135" s="1440">
        <f t="shared" ref="K135:Q135" si="102">SUM(K75:K77)</f>
        <v>0</v>
      </c>
      <c r="L135" s="1440">
        <f t="shared" si="102"/>
        <v>0</v>
      </c>
      <c r="M135" s="1440">
        <f t="shared" si="102"/>
        <v>0</v>
      </c>
      <c r="N135" s="1440">
        <f t="shared" si="102"/>
        <v>0</v>
      </c>
      <c r="O135" s="1440">
        <f t="shared" si="102"/>
        <v>0</v>
      </c>
      <c r="P135" s="1440">
        <f t="shared" si="102"/>
        <v>0</v>
      </c>
      <c r="Q135" s="1440">
        <f t="shared" si="102"/>
        <v>0</v>
      </c>
    </row>
    <row r="136" spans="1:17">
      <c r="B136" s="1431" t="s">
        <v>874</v>
      </c>
      <c r="D136" s="1440">
        <f t="shared" ref="D136:K136" si="103">SUM(D132:D134)-D135</f>
        <v>0</v>
      </c>
      <c r="E136" s="1440">
        <f t="shared" si="103"/>
        <v>0</v>
      </c>
      <c r="F136" s="1440">
        <f t="shared" si="103"/>
        <v>0</v>
      </c>
      <c r="G136" s="1440">
        <f t="shared" si="103"/>
        <v>0</v>
      </c>
      <c r="H136" s="1440">
        <f t="shared" si="103"/>
        <v>0</v>
      </c>
      <c r="I136" s="1440">
        <f t="shared" si="103"/>
        <v>0</v>
      </c>
      <c r="J136" s="1440">
        <f t="shared" si="103"/>
        <v>0</v>
      </c>
      <c r="K136" s="1440">
        <f t="shared" si="103"/>
        <v>0</v>
      </c>
      <c r="L136" s="1440">
        <f t="shared" ref="L136:Q136" si="104">SUM(L132:L134)-L135</f>
        <v>0</v>
      </c>
      <c r="M136" s="1440">
        <f t="shared" si="104"/>
        <v>0</v>
      </c>
      <c r="N136" s="1440">
        <f t="shared" si="104"/>
        <v>0</v>
      </c>
      <c r="O136" s="1440">
        <f t="shared" si="104"/>
        <v>0</v>
      </c>
      <c r="P136" s="1440">
        <f t="shared" si="104"/>
        <v>0</v>
      </c>
      <c r="Q136" s="1440">
        <f t="shared" si="104"/>
        <v>0</v>
      </c>
    </row>
    <row r="137" spans="1:17">
      <c r="A137" s="1430" t="s">
        <v>1584</v>
      </c>
      <c r="B137" s="1432"/>
      <c r="C137" s="1432"/>
      <c r="D137" s="1432"/>
      <c r="E137" s="1432"/>
      <c r="F137" s="1432"/>
      <c r="G137" s="1432"/>
      <c r="H137" s="1432"/>
      <c r="I137" s="1432"/>
      <c r="J137" s="1432"/>
      <c r="K137" s="1432"/>
      <c r="L137" s="1432"/>
      <c r="M137" s="1432"/>
      <c r="N137" s="1432"/>
      <c r="O137" s="1432"/>
      <c r="P137" s="1432"/>
      <c r="Q137" s="1432"/>
    </row>
  </sheetData>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W137"/>
  <sheetViews>
    <sheetView topLeftCell="A29" zoomScale="115" zoomScaleNormal="115" workbookViewId="0">
      <selection activeCell="N55" sqref="N55"/>
    </sheetView>
  </sheetViews>
  <sheetFormatPr defaultColWidth="9.140625" defaultRowHeight="12"/>
  <cols>
    <col min="1" max="1" width="5.85546875" style="1406" customWidth="1"/>
    <col min="2" max="2" width="27.140625" style="1431" customWidth="1"/>
    <col min="3" max="13" width="9.140625" style="1431" customWidth="1"/>
    <col min="14" max="16384" width="9.140625" style="1431"/>
  </cols>
  <sheetData>
    <row r="1" spans="1:23" ht="21">
      <c r="A1" s="1404" t="s">
        <v>1700</v>
      </c>
    </row>
    <row r="2" spans="1:23">
      <c r="A2" s="1405" t="s">
        <v>1776</v>
      </c>
    </row>
    <row r="4" spans="1:23">
      <c r="B4" s="1407" t="s">
        <v>1539</v>
      </c>
      <c r="F4" s="1407" t="s">
        <v>1540</v>
      </c>
      <c r="K4" s="1407" t="s">
        <v>1595</v>
      </c>
      <c r="P4" s="1407" t="s">
        <v>1783</v>
      </c>
    </row>
    <row r="5" spans="1:23">
      <c r="B5" s="1432" t="s">
        <v>748</v>
      </c>
      <c r="C5" s="1432"/>
      <c r="D5" s="1408">
        <f>SUM(D6:D8)</f>
        <v>715.9238752</v>
      </c>
      <c r="F5" s="1432" t="s">
        <v>636</v>
      </c>
      <c r="G5" s="1432"/>
      <c r="H5" s="1432"/>
      <c r="I5" s="1409">
        <v>1</v>
      </c>
      <c r="K5" s="1432" t="s">
        <v>26</v>
      </c>
      <c r="L5" s="1432"/>
      <c r="M5" s="1432"/>
      <c r="N5" s="1441">
        <f>C83</f>
        <v>1071.5276800000001</v>
      </c>
      <c r="P5" s="1432" t="s">
        <v>1777</v>
      </c>
      <c r="Q5" s="1432"/>
      <c r="R5" s="1432"/>
      <c r="S5" s="1422">
        <v>634</v>
      </c>
    </row>
    <row r="6" spans="1:23">
      <c r="B6" s="1431" t="s">
        <v>678</v>
      </c>
      <c r="D6" s="1410">
        <f>SUM(E31:E32)</f>
        <v>120.58199999999999</v>
      </c>
      <c r="F6" s="1431" t="s">
        <v>1542</v>
      </c>
      <c r="I6" s="1586">
        <v>0.5</v>
      </c>
      <c r="K6" s="1431" t="s">
        <v>197</v>
      </c>
      <c r="N6" s="1436">
        <f>C91</f>
        <v>0.35160209997001679</v>
      </c>
      <c r="P6" s="1431" t="s">
        <v>1778</v>
      </c>
      <c r="S6" s="1440">
        <f>D42/S5</f>
        <v>73.482902208201892</v>
      </c>
    </row>
    <row r="7" spans="1:23">
      <c r="B7" s="1431" t="s">
        <v>750</v>
      </c>
      <c r="D7" s="1410">
        <f>C70</f>
        <v>445.32799999999997</v>
      </c>
      <c r="F7" s="1431" t="s">
        <v>759</v>
      </c>
      <c r="I7" s="1440">
        <f>C114</f>
        <v>357.9619376</v>
      </c>
      <c r="K7" s="1431" t="s">
        <v>1779</v>
      </c>
      <c r="N7" s="1436">
        <f>C92</f>
        <v>0.1692816799760134</v>
      </c>
      <c r="P7" s="1431" t="s">
        <v>1792</v>
      </c>
      <c r="S7" s="1412">
        <v>23</v>
      </c>
    </row>
    <row r="8" spans="1:23">
      <c r="B8" s="1431" t="s">
        <v>656</v>
      </c>
      <c r="D8" s="1440">
        <f>C79</f>
        <v>150.01387520000003</v>
      </c>
      <c r="F8" s="1431" t="s">
        <v>1544</v>
      </c>
      <c r="I8" s="1433">
        <f>G23</f>
        <v>0.1105</v>
      </c>
      <c r="K8" s="1431" t="s">
        <v>1720</v>
      </c>
      <c r="N8" s="1440">
        <f>C105</f>
        <v>0</v>
      </c>
      <c r="P8" s="1431" t="s">
        <v>1784</v>
      </c>
      <c r="S8" s="1423">
        <v>6</v>
      </c>
    </row>
    <row r="9" spans="1:23">
      <c r="B9" s="1431" t="s">
        <v>869</v>
      </c>
      <c r="D9" s="1440">
        <f>C119</f>
        <v>128.86629753599999</v>
      </c>
      <c r="F9" s="1431" t="s">
        <v>1588</v>
      </c>
      <c r="I9" s="1425" t="e">
        <f>B109</f>
        <v>#NUM!</v>
      </c>
      <c r="K9" s="1431" t="s">
        <v>1601</v>
      </c>
      <c r="N9" s="1410">
        <f>C90</f>
        <v>181.39000581120013</v>
      </c>
      <c r="P9" s="1431" t="s">
        <v>1560</v>
      </c>
      <c r="S9" s="1416">
        <v>0.68</v>
      </c>
    </row>
    <row r="10" spans="1:23">
      <c r="B10" s="1431" t="s">
        <v>1543</v>
      </c>
      <c r="D10" s="1412">
        <v>2016</v>
      </c>
      <c r="F10" s="1431" t="s">
        <v>1781</v>
      </c>
      <c r="I10" s="1436">
        <f>C105/C90</f>
        <v>0</v>
      </c>
      <c r="K10" s="1431" t="s">
        <v>1141</v>
      </c>
      <c r="N10" s="1423">
        <v>20097</v>
      </c>
      <c r="P10" s="1431" t="s">
        <v>1785</v>
      </c>
      <c r="S10" s="1423">
        <v>6.5</v>
      </c>
    </row>
    <row r="11" spans="1:23">
      <c r="B11" s="1431" t="s">
        <v>751</v>
      </c>
      <c r="D11" s="1412">
        <v>2018</v>
      </c>
      <c r="F11" s="1431" t="s">
        <v>1782</v>
      </c>
      <c r="I11" s="1436">
        <f>C70/C50</f>
        <v>0.41560102301790275</v>
      </c>
      <c r="K11" s="1431" t="s">
        <v>686</v>
      </c>
      <c r="N11" s="1643">
        <v>68512</v>
      </c>
      <c r="P11" s="1431" t="s">
        <v>1786</v>
      </c>
      <c r="S11" s="1657">
        <f>'Opal Central Park'!$S$11</f>
        <v>0.14000000000000001</v>
      </c>
    </row>
    <row r="12" spans="1:23">
      <c r="B12" s="1431" t="s">
        <v>1545</v>
      </c>
      <c r="D12" s="1594">
        <f>'Opal Central Park'!D12</f>
        <v>2022</v>
      </c>
      <c r="F12" s="1431" t="s">
        <v>1780</v>
      </c>
      <c r="I12" s="1436">
        <f>E32/C50</f>
        <v>0.11253279056682883</v>
      </c>
      <c r="K12" s="1431" t="s">
        <v>1790</v>
      </c>
      <c r="N12" s="1423" t="s">
        <v>1501</v>
      </c>
      <c r="P12" s="1431" t="s">
        <v>1791</v>
      </c>
      <c r="S12" s="1423"/>
    </row>
    <row r="13" spans="1:23">
      <c r="E13" s="1412"/>
      <c r="J13" s="1413"/>
    </row>
    <row r="14" spans="1:23">
      <c r="B14" s="1407" t="s">
        <v>1546</v>
      </c>
      <c r="D14" s="1447">
        <f>'Opal Central Park'!D14</f>
        <v>2013</v>
      </c>
      <c r="E14" s="1447">
        <f>'Opal Central Park'!E14</f>
        <v>2014</v>
      </c>
      <c r="F14" s="1447">
        <f>'Opal Central Park'!F14</f>
        <v>2015</v>
      </c>
      <c r="G14" s="1447">
        <f>'Opal Central Park'!G14</f>
        <v>2016</v>
      </c>
      <c r="H14" s="1447">
        <f>'Opal Central Park'!H14</f>
        <v>2017</v>
      </c>
      <c r="I14" s="1447">
        <f>'Opal Central Park'!I14</f>
        <v>2018</v>
      </c>
      <c r="J14" s="1447">
        <f>'Opal Central Park'!J14</f>
        <v>2019</v>
      </c>
      <c r="K14" s="1447">
        <f>'Opal Central Park'!K14</f>
        <v>2020</v>
      </c>
      <c r="L14" s="1447">
        <f>'Opal Central Park'!L14</f>
        <v>2021</v>
      </c>
      <c r="M14" s="1447">
        <f>'Opal Central Park'!M14</f>
        <v>2022</v>
      </c>
      <c r="N14" s="1447">
        <f>'Opal Central Park'!N14</f>
        <v>2023</v>
      </c>
      <c r="O14" s="1447">
        <f>'Opal Central Park'!O14</f>
        <v>2024</v>
      </c>
      <c r="P14" s="1447">
        <f>'Opal Central Park'!P14</f>
        <v>2025</v>
      </c>
      <c r="Q14" s="1447">
        <f>'Opal Central Park'!Q14</f>
        <v>2026</v>
      </c>
      <c r="R14" s="1447">
        <f>'Opal Central Park'!R14</f>
        <v>2027</v>
      </c>
      <c r="S14" s="1447">
        <f>'Opal Central Park'!S14</f>
        <v>2028</v>
      </c>
      <c r="T14" s="1447">
        <f>'Opal Central Park'!T14</f>
        <v>2029</v>
      </c>
      <c r="U14" s="1447">
        <f>'Opal Central Park'!U14</f>
        <v>2030</v>
      </c>
      <c r="V14" s="1447">
        <f>'Opal Central Park'!V14</f>
        <v>2031</v>
      </c>
      <c r="W14" s="1447">
        <f>'Opal Central Park'!W14</f>
        <v>2032</v>
      </c>
    </row>
    <row r="15" spans="1:23">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c r="R15" s="1434">
        <f t="shared" ref="R15:W18" si="1">Q15</f>
        <v>0.5</v>
      </c>
      <c r="S15" s="1434">
        <f t="shared" si="1"/>
        <v>0.5</v>
      </c>
      <c r="T15" s="1434">
        <f t="shared" si="1"/>
        <v>0.5</v>
      </c>
      <c r="U15" s="1434">
        <f t="shared" si="1"/>
        <v>0.5</v>
      </c>
      <c r="V15" s="1434">
        <f t="shared" si="1"/>
        <v>0.5</v>
      </c>
      <c r="W15" s="1434">
        <f t="shared" si="1"/>
        <v>0.5</v>
      </c>
    </row>
    <row r="16" spans="1:23">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c r="R16" s="1431">
        <v>1.3</v>
      </c>
      <c r="S16" s="1431">
        <v>1.3</v>
      </c>
      <c r="T16" s="1431">
        <v>1.3</v>
      </c>
      <c r="U16" s="1431">
        <v>1.3</v>
      </c>
      <c r="V16" s="1431">
        <v>1.3</v>
      </c>
      <c r="W16" s="1431">
        <v>1.3</v>
      </c>
    </row>
    <row r="17" spans="1:23">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c r="R17" s="1435">
        <f t="shared" si="1"/>
        <v>5.5E-2</v>
      </c>
      <c r="S17" s="1435">
        <f t="shared" si="1"/>
        <v>5.5E-2</v>
      </c>
      <c r="T17" s="1435">
        <f t="shared" si="1"/>
        <v>5.5E-2</v>
      </c>
      <c r="U17" s="1435">
        <f t="shared" si="1"/>
        <v>5.5E-2</v>
      </c>
      <c r="V17" s="1435">
        <f t="shared" si="1"/>
        <v>5.5E-2</v>
      </c>
      <c r="W17" s="1435">
        <f t="shared" si="1"/>
        <v>5.5E-2</v>
      </c>
    </row>
    <row r="18" spans="1:23">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c r="R18" s="1435">
        <f t="shared" si="1"/>
        <v>7.0000000000000007E-2</v>
      </c>
      <c r="S18" s="1435">
        <f t="shared" si="1"/>
        <v>7.0000000000000007E-2</v>
      </c>
      <c r="T18" s="1435">
        <f t="shared" si="1"/>
        <v>7.0000000000000007E-2</v>
      </c>
      <c r="U18" s="1435">
        <f t="shared" si="1"/>
        <v>7.0000000000000007E-2</v>
      </c>
      <c r="V18" s="1435">
        <f t="shared" si="1"/>
        <v>7.0000000000000007E-2</v>
      </c>
      <c r="W18" s="1435">
        <f t="shared" si="1"/>
        <v>7.0000000000000007E-2</v>
      </c>
    </row>
    <row r="19" spans="1:23">
      <c r="B19" s="1431" t="s">
        <v>758</v>
      </c>
      <c r="D19" s="1433">
        <f t="shared" ref="D19:Q19" si="2">D17+D16*D18</f>
        <v>0.125</v>
      </c>
      <c r="E19" s="1433">
        <f t="shared" si="2"/>
        <v>0.125</v>
      </c>
      <c r="F19" s="1433">
        <f t="shared" si="2"/>
        <v>0.125</v>
      </c>
      <c r="G19" s="1433">
        <f t="shared" si="2"/>
        <v>0.125</v>
      </c>
      <c r="H19" s="1433">
        <f t="shared" si="2"/>
        <v>0.125</v>
      </c>
      <c r="I19" s="1433">
        <f t="shared" si="2"/>
        <v>0.125</v>
      </c>
      <c r="J19" s="1433">
        <f t="shared" si="2"/>
        <v>0.125</v>
      </c>
      <c r="K19" s="1433">
        <f t="shared" si="2"/>
        <v>0.125</v>
      </c>
      <c r="L19" s="1433">
        <f t="shared" si="2"/>
        <v>0.125</v>
      </c>
      <c r="M19" s="1433">
        <f t="shared" si="2"/>
        <v>0.125</v>
      </c>
      <c r="N19" s="1433">
        <f t="shared" si="2"/>
        <v>0.14600000000000002</v>
      </c>
      <c r="O19" s="1433">
        <f t="shared" si="2"/>
        <v>0.14600000000000002</v>
      </c>
      <c r="P19" s="1433">
        <f t="shared" si="2"/>
        <v>0.14600000000000002</v>
      </c>
      <c r="Q19" s="1433">
        <f t="shared" si="2"/>
        <v>0.14600000000000002</v>
      </c>
      <c r="R19" s="1433">
        <f t="shared" ref="R19:W19" si="3">R17+R16*R18</f>
        <v>0.14600000000000002</v>
      </c>
      <c r="S19" s="1433">
        <f t="shared" si="3"/>
        <v>0.14600000000000002</v>
      </c>
      <c r="T19" s="1433">
        <f t="shared" si="3"/>
        <v>0.14600000000000002</v>
      </c>
      <c r="U19" s="1433">
        <f t="shared" si="3"/>
        <v>0.14600000000000002</v>
      </c>
      <c r="V19" s="1433">
        <f t="shared" si="3"/>
        <v>0.14600000000000002</v>
      </c>
      <c r="W19" s="1433">
        <f t="shared" si="3"/>
        <v>0.14600000000000002</v>
      </c>
    </row>
    <row r="20" spans="1:23">
      <c r="B20" s="1431" t="s">
        <v>1542</v>
      </c>
      <c r="D20" s="1436">
        <f t="shared" ref="D20:W20" si="4">$I$6</f>
        <v>0.5</v>
      </c>
      <c r="E20" s="1436">
        <f t="shared" si="4"/>
        <v>0.5</v>
      </c>
      <c r="F20" s="1436">
        <f t="shared" si="4"/>
        <v>0.5</v>
      </c>
      <c r="G20" s="1436">
        <f t="shared" si="4"/>
        <v>0.5</v>
      </c>
      <c r="H20" s="1436">
        <f t="shared" si="4"/>
        <v>0.5</v>
      </c>
      <c r="I20" s="1436">
        <f t="shared" si="4"/>
        <v>0.5</v>
      </c>
      <c r="J20" s="1436">
        <f t="shared" si="4"/>
        <v>0.5</v>
      </c>
      <c r="K20" s="1436">
        <f t="shared" si="4"/>
        <v>0.5</v>
      </c>
      <c r="L20" s="1436">
        <f t="shared" si="4"/>
        <v>0.5</v>
      </c>
      <c r="M20" s="1436">
        <f t="shared" si="4"/>
        <v>0.5</v>
      </c>
      <c r="N20" s="1436">
        <f t="shared" si="4"/>
        <v>0.5</v>
      </c>
      <c r="O20" s="1436">
        <f t="shared" si="4"/>
        <v>0.5</v>
      </c>
      <c r="P20" s="1436">
        <f t="shared" si="4"/>
        <v>0.5</v>
      </c>
      <c r="Q20" s="1436">
        <f t="shared" si="4"/>
        <v>0.5</v>
      </c>
      <c r="R20" s="1436">
        <f t="shared" si="4"/>
        <v>0.5</v>
      </c>
      <c r="S20" s="1436">
        <f t="shared" si="4"/>
        <v>0.5</v>
      </c>
      <c r="T20" s="1436">
        <f t="shared" si="4"/>
        <v>0.5</v>
      </c>
      <c r="U20" s="1436">
        <f t="shared" si="4"/>
        <v>0.5</v>
      </c>
      <c r="V20" s="1436">
        <f t="shared" si="4"/>
        <v>0.5</v>
      </c>
      <c r="W20" s="1436">
        <f t="shared" si="4"/>
        <v>0.5</v>
      </c>
    </row>
    <row r="21" spans="1:23">
      <c r="B21" s="1431" t="s">
        <v>760</v>
      </c>
      <c r="D21" s="1581">
        <f>'Opal Central Park'!D21</f>
        <v>0.14000000000000001</v>
      </c>
      <c r="E21" s="1581">
        <f>'Opal Central Park'!E21</f>
        <v>0.13</v>
      </c>
      <c r="F21" s="1581">
        <f>'Opal Central Park'!F21</f>
        <v>0.1</v>
      </c>
      <c r="G21" s="1581">
        <f>'Opal Central Park'!G21</f>
        <v>0.12</v>
      </c>
      <c r="H21" s="1425">
        <f>G21</f>
        <v>0.12</v>
      </c>
      <c r="I21" s="1418">
        <f t="shared" ref="H21:Q22" si="5">H21</f>
        <v>0.12</v>
      </c>
      <c r="J21" s="1418">
        <f t="shared" si="5"/>
        <v>0.12</v>
      </c>
      <c r="K21" s="1418">
        <f t="shared" si="5"/>
        <v>0.12</v>
      </c>
      <c r="L21" s="1418">
        <f t="shared" si="5"/>
        <v>0.12</v>
      </c>
      <c r="M21" s="1418">
        <f t="shared" si="5"/>
        <v>0.12</v>
      </c>
      <c r="N21" s="2182">
        <v>0.13</v>
      </c>
      <c r="O21" s="2182">
        <v>0.13</v>
      </c>
      <c r="P21" s="2182">
        <v>0.13</v>
      </c>
      <c r="Q21" s="2182">
        <v>0.13</v>
      </c>
      <c r="R21" s="2182">
        <v>0.13</v>
      </c>
      <c r="S21" s="2182">
        <v>0.13</v>
      </c>
      <c r="T21" s="2182">
        <v>0.13</v>
      </c>
      <c r="U21" s="2182">
        <v>0.13</v>
      </c>
      <c r="V21" s="2182">
        <v>0.13</v>
      </c>
      <c r="W21" s="2182">
        <v>0.13</v>
      </c>
    </row>
    <row r="22" spans="1:23">
      <c r="B22" s="1431" t="s">
        <v>846</v>
      </c>
      <c r="D22" s="1596">
        <f>'Opal Central Park'!D22</f>
        <v>0.22</v>
      </c>
      <c r="E22" s="1596">
        <f>'Opal Central Park'!E22</f>
        <v>0.22</v>
      </c>
      <c r="F22" s="1596">
        <f>'Opal Central Park'!F22</f>
        <v>0.22</v>
      </c>
      <c r="G22" s="1596">
        <f>'Opal Central Park'!G22</f>
        <v>0.2</v>
      </c>
      <c r="H22" s="1417">
        <f t="shared" si="5"/>
        <v>0.2</v>
      </c>
      <c r="I22" s="1417">
        <f t="shared" si="5"/>
        <v>0.2</v>
      </c>
      <c r="J22" s="1417">
        <f t="shared" si="5"/>
        <v>0.2</v>
      </c>
      <c r="K22" s="1417">
        <f t="shared" si="5"/>
        <v>0.2</v>
      </c>
      <c r="L22" s="1417">
        <f t="shared" si="5"/>
        <v>0.2</v>
      </c>
      <c r="M22" s="1417">
        <f t="shared" si="5"/>
        <v>0.2</v>
      </c>
      <c r="N22" s="1417">
        <f t="shared" si="5"/>
        <v>0.2</v>
      </c>
      <c r="O22" s="1417">
        <f t="shared" si="5"/>
        <v>0.2</v>
      </c>
      <c r="P22" s="1417">
        <f t="shared" si="5"/>
        <v>0.2</v>
      </c>
      <c r="Q22" s="1417">
        <f t="shared" si="5"/>
        <v>0.2</v>
      </c>
      <c r="R22" s="1417">
        <f t="shared" ref="R22:W22" si="6">Q22</f>
        <v>0.2</v>
      </c>
      <c r="S22" s="1417">
        <f t="shared" si="6"/>
        <v>0.2</v>
      </c>
      <c r="T22" s="1417">
        <f t="shared" si="6"/>
        <v>0.2</v>
      </c>
      <c r="U22" s="1417">
        <f t="shared" si="6"/>
        <v>0.2</v>
      </c>
      <c r="V22" s="1417">
        <f t="shared" si="6"/>
        <v>0.2</v>
      </c>
      <c r="W22" s="1417">
        <f t="shared" si="6"/>
        <v>0.2</v>
      </c>
    </row>
    <row r="23" spans="1:23">
      <c r="B23" s="1419" t="s">
        <v>14</v>
      </c>
      <c r="C23" s="1432"/>
      <c r="D23" s="1437">
        <f>D19*D15+D21*D20*(1-D22)</f>
        <v>0.11710000000000001</v>
      </c>
      <c r="E23" s="1437">
        <f t="shared" ref="E23:Q23" si="7">E19*E15+E21*E20*(1-E22)</f>
        <v>0.1132</v>
      </c>
      <c r="F23" s="1437">
        <f>F19*F15+F21*F20*(1-F22)</f>
        <v>0.10150000000000001</v>
      </c>
      <c r="G23" s="1437">
        <f>G19*G15+G21*G20*(1-G22)</f>
        <v>0.1105</v>
      </c>
      <c r="H23" s="1437">
        <f>H19*H15+H21*H20*(1-H22)</f>
        <v>0.1105</v>
      </c>
      <c r="I23" s="1437">
        <f>I19*I15+I21*I20*(1-I22)</f>
        <v>0.1105</v>
      </c>
      <c r="J23" s="1437">
        <f t="shared" si="7"/>
        <v>0.1105</v>
      </c>
      <c r="K23" s="1437">
        <f t="shared" si="7"/>
        <v>0.1105</v>
      </c>
      <c r="L23" s="1437">
        <f t="shared" si="7"/>
        <v>0.1105</v>
      </c>
      <c r="M23" s="1437">
        <f t="shared" si="7"/>
        <v>0.1105</v>
      </c>
      <c r="N23" s="1437">
        <f t="shared" si="7"/>
        <v>0.125</v>
      </c>
      <c r="O23" s="1437">
        <f t="shared" si="7"/>
        <v>0.125</v>
      </c>
      <c r="P23" s="1437">
        <f t="shared" si="7"/>
        <v>0.125</v>
      </c>
      <c r="Q23" s="1437">
        <f t="shared" si="7"/>
        <v>0.125</v>
      </c>
      <c r="R23" s="1437">
        <f t="shared" ref="R23:W23" si="8">R19*R15+R21*R20*(1-R22)</f>
        <v>0.125</v>
      </c>
      <c r="S23" s="1437">
        <f t="shared" si="8"/>
        <v>0.125</v>
      </c>
      <c r="T23" s="1437">
        <f t="shared" si="8"/>
        <v>0.125</v>
      </c>
      <c r="U23" s="1437">
        <f t="shared" si="8"/>
        <v>0.125</v>
      </c>
      <c r="V23" s="1437">
        <f t="shared" si="8"/>
        <v>0.125</v>
      </c>
      <c r="W23" s="1437">
        <f t="shared" si="8"/>
        <v>0.125</v>
      </c>
    </row>
    <row r="24" spans="1:23">
      <c r="E24" s="1412"/>
      <c r="J24" s="1413"/>
    </row>
    <row r="25" spans="1:23">
      <c r="E25" s="1412"/>
      <c r="J25" s="1413"/>
    </row>
    <row r="26" spans="1:23" ht="15.75">
      <c r="A26" s="1420" t="s">
        <v>1548</v>
      </c>
      <c r="B26" s="1438"/>
    </row>
    <row r="28" spans="1:23" s="1407" customFormat="1">
      <c r="A28" s="1406" t="s">
        <v>762</v>
      </c>
      <c r="B28" s="1407" t="s">
        <v>1459</v>
      </c>
      <c r="C28" s="1407" t="s">
        <v>764</v>
      </c>
      <c r="D28" s="1407" t="s">
        <v>1549</v>
      </c>
      <c r="E28" s="1407" t="s">
        <v>1550</v>
      </c>
    </row>
    <row r="29" spans="1:23">
      <c r="A29" s="1421"/>
      <c r="B29" s="1432" t="s">
        <v>1551</v>
      </c>
      <c r="C29" s="1432" t="s">
        <v>1552</v>
      </c>
      <c r="D29" s="1432"/>
      <c r="E29" s="1408">
        <f>N10</f>
        <v>20097</v>
      </c>
    </row>
    <row r="30" spans="1:23">
      <c r="B30" s="1431" t="s">
        <v>1553</v>
      </c>
      <c r="C30" s="1431" t="s">
        <v>1552</v>
      </c>
      <c r="E30" s="1410">
        <f>E29</f>
        <v>20097</v>
      </c>
    </row>
    <row r="31" spans="1:23">
      <c r="B31" s="1431" t="s">
        <v>1554</v>
      </c>
      <c r="C31" s="1431" t="s">
        <v>1555</v>
      </c>
      <c r="D31" s="1446"/>
      <c r="E31" s="1410">
        <f>E29*D31</f>
        <v>0</v>
      </c>
    </row>
    <row r="32" spans="1:23">
      <c r="B32" s="1431" t="s">
        <v>1556</v>
      </c>
      <c r="C32" s="1431" t="s">
        <v>1555</v>
      </c>
      <c r="D32" s="1654">
        <f>S8</f>
        <v>6</v>
      </c>
      <c r="E32" s="1440">
        <f>D32*E29/1000</f>
        <v>120.58199999999999</v>
      </c>
    </row>
    <row r="34" spans="1:13">
      <c r="B34" s="1407" t="s">
        <v>773</v>
      </c>
      <c r="C34" s="1431" t="s">
        <v>642</v>
      </c>
      <c r="D34" s="1447">
        <f t="shared" ref="D34:M34" si="9">D14</f>
        <v>2013</v>
      </c>
      <c r="E34" s="1447">
        <f t="shared" si="9"/>
        <v>2014</v>
      </c>
      <c r="F34" s="1447">
        <f t="shared" si="9"/>
        <v>2015</v>
      </c>
      <c r="G34" s="1447">
        <f t="shared" si="9"/>
        <v>2016</v>
      </c>
      <c r="H34" s="1447">
        <f t="shared" si="9"/>
        <v>2017</v>
      </c>
      <c r="I34" s="1447">
        <f t="shared" si="9"/>
        <v>2018</v>
      </c>
      <c r="J34" s="1447">
        <f t="shared" si="9"/>
        <v>2019</v>
      </c>
      <c r="K34" s="1447">
        <f t="shared" si="9"/>
        <v>2020</v>
      </c>
      <c r="L34" s="1447">
        <f t="shared" si="9"/>
        <v>2021</v>
      </c>
      <c r="M34" s="1447">
        <f t="shared" si="9"/>
        <v>2022</v>
      </c>
    </row>
    <row r="35" spans="1:13">
      <c r="B35" s="1432"/>
      <c r="C35" s="1441">
        <f>E32</f>
        <v>120.58199999999999</v>
      </c>
      <c r="D35" s="1408">
        <f t="shared" ref="D35:M35" si="10">$C$35*D36</f>
        <v>0</v>
      </c>
      <c r="E35" s="1408">
        <f t="shared" si="10"/>
        <v>0</v>
      </c>
      <c r="F35" s="1408">
        <f t="shared" si="10"/>
        <v>0</v>
      </c>
      <c r="G35" s="1408">
        <f t="shared" si="10"/>
        <v>120.58199999999999</v>
      </c>
      <c r="H35" s="1408">
        <f t="shared" si="10"/>
        <v>0</v>
      </c>
      <c r="I35" s="1408">
        <f t="shared" si="10"/>
        <v>0</v>
      </c>
      <c r="J35" s="1408">
        <f t="shared" si="10"/>
        <v>0</v>
      </c>
      <c r="K35" s="1408">
        <f t="shared" si="10"/>
        <v>0</v>
      </c>
      <c r="L35" s="1408">
        <f t="shared" si="10"/>
        <v>0</v>
      </c>
      <c r="M35" s="1408">
        <f t="shared" si="10"/>
        <v>0</v>
      </c>
    </row>
    <row r="36" spans="1:13">
      <c r="B36" s="1442" t="s">
        <v>1559</v>
      </c>
      <c r="C36" s="1436">
        <f>SUM(D36:M36)</f>
        <v>1</v>
      </c>
      <c r="D36" s="1416">
        <v>0</v>
      </c>
      <c r="E36" s="1416">
        <v>0</v>
      </c>
      <c r="F36" s="1416">
        <v>0</v>
      </c>
      <c r="G36" s="1416">
        <v>1</v>
      </c>
      <c r="H36" s="1416">
        <v>0</v>
      </c>
      <c r="I36" s="1416">
        <v>0</v>
      </c>
      <c r="J36" s="1416">
        <v>0</v>
      </c>
      <c r="K36" s="1416">
        <v>0</v>
      </c>
      <c r="L36" s="1416">
        <v>0</v>
      </c>
      <c r="M36" s="1416">
        <v>0</v>
      </c>
    </row>
    <row r="39" spans="1:13" s="1407" customFormat="1">
      <c r="A39" s="1406" t="s">
        <v>777</v>
      </c>
      <c r="B39" s="1407" t="s">
        <v>1585</v>
      </c>
      <c r="C39" s="1407" t="s">
        <v>764</v>
      </c>
      <c r="D39" s="1407" t="s">
        <v>1549</v>
      </c>
    </row>
    <row r="40" spans="1:13">
      <c r="A40" s="1421"/>
      <c r="B40" s="1432" t="s">
        <v>686</v>
      </c>
      <c r="C40" s="1432" t="s">
        <v>1552</v>
      </c>
      <c r="D40" s="1426">
        <f>N11</f>
        <v>68512</v>
      </c>
      <c r="F40" s="1440"/>
      <c r="G40" s="1410"/>
    </row>
    <row r="41" spans="1:13">
      <c r="B41" s="1431" t="s">
        <v>1560</v>
      </c>
      <c r="C41" s="1431" t="s">
        <v>780</v>
      </c>
      <c r="D41" s="1448">
        <f>S9</f>
        <v>0.68</v>
      </c>
      <c r="G41" s="1440"/>
    </row>
    <row r="42" spans="1:13">
      <c r="B42" s="1431" t="s">
        <v>781</v>
      </c>
      <c r="C42" s="1431" t="s">
        <v>1552</v>
      </c>
      <c r="D42" s="1410">
        <f>D40*D41</f>
        <v>46588.160000000003</v>
      </c>
    </row>
    <row r="43" spans="1:13">
      <c r="B43" s="1431" t="s">
        <v>1787</v>
      </c>
      <c r="C43" s="1431" t="s">
        <v>1555</v>
      </c>
      <c r="D43" s="1654">
        <f>S7</f>
        <v>23</v>
      </c>
    </row>
    <row r="44" spans="1:13">
      <c r="B44" s="1431" t="s">
        <v>1587</v>
      </c>
      <c r="C44" s="1431" t="s">
        <v>1555</v>
      </c>
      <c r="D44" s="1655">
        <f>S10</f>
        <v>6.5</v>
      </c>
    </row>
    <row r="45" spans="1:13">
      <c r="B45" s="1431" t="s">
        <v>787</v>
      </c>
      <c r="C45" s="1431" t="s">
        <v>780</v>
      </c>
      <c r="D45" s="1411">
        <v>0</v>
      </c>
    </row>
    <row r="46" spans="1:13">
      <c r="B46" s="1431" t="s">
        <v>1562</v>
      </c>
      <c r="C46" s="1431" t="s">
        <v>780</v>
      </c>
      <c r="D46" s="1448">
        <f>S11</f>
        <v>0.14000000000000001</v>
      </c>
    </row>
    <row r="47" spans="1:13">
      <c r="B47" s="1431" t="s">
        <v>1563</v>
      </c>
      <c r="C47" s="1431" t="s">
        <v>780</v>
      </c>
      <c r="D47" s="1411">
        <v>0</v>
      </c>
    </row>
    <row r="49" spans="1:13" s="1407" customFormat="1">
      <c r="A49" s="1406">
        <v>1</v>
      </c>
      <c r="B49" s="1407" t="s">
        <v>1564</v>
      </c>
      <c r="C49" s="1431" t="str">
        <f>C34</f>
        <v>Total</v>
      </c>
      <c r="D49" s="1431">
        <f>D34</f>
        <v>2013</v>
      </c>
      <c r="E49" s="1431">
        <f>E34</f>
        <v>2014</v>
      </c>
      <c r="F49" s="1431">
        <f>F34</f>
        <v>2015</v>
      </c>
      <c r="G49" s="1431">
        <f t="shared" ref="G49:M49" si="11">F49+1</f>
        <v>2016</v>
      </c>
      <c r="H49" s="1431">
        <f t="shared" si="11"/>
        <v>2017</v>
      </c>
      <c r="I49" s="1431">
        <f t="shared" si="11"/>
        <v>2018</v>
      </c>
      <c r="J49" s="1431">
        <f t="shared" si="11"/>
        <v>2019</v>
      </c>
      <c r="K49" s="1431">
        <f t="shared" si="11"/>
        <v>2020</v>
      </c>
      <c r="L49" s="1431">
        <f t="shared" si="11"/>
        <v>2021</v>
      </c>
      <c r="M49" s="1431">
        <f t="shared" si="11"/>
        <v>2022</v>
      </c>
    </row>
    <row r="50" spans="1:13">
      <c r="B50" s="1432" t="s">
        <v>791</v>
      </c>
      <c r="C50" s="1441">
        <f>SUM(D50:M50)</f>
        <v>1071.5276800000001</v>
      </c>
      <c r="D50" s="1441">
        <f>$D$42*D52*D51/1000</f>
        <v>0</v>
      </c>
      <c r="E50" s="1441">
        <f t="shared" ref="E50:M50" si="12">$D$42*E52*E51/1000</f>
        <v>0</v>
      </c>
      <c r="F50" s="1441">
        <f t="shared" si="12"/>
        <v>0</v>
      </c>
      <c r="G50" s="1441">
        <f t="shared" si="12"/>
        <v>1071.5276800000001</v>
      </c>
      <c r="H50" s="1441">
        <f t="shared" si="12"/>
        <v>0</v>
      </c>
      <c r="I50" s="1441">
        <f t="shared" si="12"/>
        <v>0</v>
      </c>
      <c r="J50" s="1441">
        <f t="shared" si="12"/>
        <v>0</v>
      </c>
      <c r="K50" s="1441">
        <f t="shared" si="12"/>
        <v>0</v>
      </c>
      <c r="L50" s="1441">
        <f t="shared" si="12"/>
        <v>0</v>
      </c>
      <c r="M50" s="1441">
        <f t="shared" si="12"/>
        <v>0</v>
      </c>
    </row>
    <row r="51" spans="1:13">
      <c r="B51" s="1444" t="s">
        <v>792</v>
      </c>
      <c r="C51" s="1436">
        <f>SUM(D51:M51)</f>
        <v>1</v>
      </c>
      <c r="D51" s="1416">
        <v>0</v>
      </c>
      <c r="E51" s="1416">
        <v>0</v>
      </c>
      <c r="F51" s="1416">
        <v>0</v>
      </c>
      <c r="G51" s="1416">
        <v>1</v>
      </c>
      <c r="H51" s="1416">
        <v>0</v>
      </c>
      <c r="I51" s="1416">
        <v>0</v>
      </c>
      <c r="J51" s="1416">
        <v>0</v>
      </c>
      <c r="K51" s="1416">
        <v>0</v>
      </c>
      <c r="L51" s="1416">
        <v>0</v>
      </c>
      <c r="M51" s="1416">
        <v>0</v>
      </c>
    </row>
    <row r="52" spans="1:13">
      <c r="B52" s="1444" t="s">
        <v>1565</v>
      </c>
      <c r="D52" s="1439">
        <f>D43</f>
        <v>23</v>
      </c>
      <c r="E52" s="1439">
        <f t="shared" ref="E52:M52" si="13">D52*(1+E53)</f>
        <v>23</v>
      </c>
      <c r="F52" s="1439">
        <f t="shared" si="13"/>
        <v>23</v>
      </c>
      <c r="G52" s="1439">
        <f t="shared" si="13"/>
        <v>23</v>
      </c>
      <c r="H52" s="1439">
        <f t="shared" si="13"/>
        <v>23</v>
      </c>
      <c r="I52" s="1439">
        <f t="shared" si="13"/>
        <v>23</v>
      </c>
      <c r="J52" s="1439">
        <f t="shared" si="13"/>
        <v>23</v>
      </c>
      <c r="K52" s="1439">
        <f t="shared" si="13"/>
        <v>23</v>
      </c>
      <c r="L52" s="1439">
        <f t="shared" si="13"/>
        <v>23</v>
      </c>
      <c r="M52" s="1439">
        <f t="shared" si="13"/>
        <v>23</v>
      </c>
    </row>
    <row r="53" spans="1:13">
      <c r="B53" s="1444" t="s">
        <v>1563</v>
      </c>
      <c r="E53" s="1443">
        <f t="shared" ref="E53:J53" si="14">D47</f>
        <v>0</v>
      </c>
      <c r="F53" s="1443">
        <f t="shared" si="14"/>
        <v>0</v>
      </c>
      <c r="G53" s="1443">
        <f t="shared" si="14"/>
        <v>0</v>
      </c>
      <c r="H53" s="1443">
        <f t="shared" si="14"/>
        <v>0</v>
      </c>
      <c r="I53" s="1443">
        <f t="shared" si="14"/>
        <v>0</v>
      </c>
      <c r="J53" s="1443">
        <f t="shared" si="14"/>
        <v>0</v>
      </c>
      <c r="K53" s="1443">
        <f>J47</f>
        <v>0</v>
      </c>
      <c r="L53" s="1443">
        <f>K47</f>
        <v>0</v>
      </c>
      <c r="M53" s="1443">
        <f>L47</f>
        <v>0</v>
      </c>
    </row>
    <row r="54" spans="1:13">
      <c r="B54" s="1444" t="s">
        <v>1788</v>
      </c>
      <c r="C54" s="1440">
        <f>S5</f>
        <v>634</v>
      </c>
      <c r="D54" s="1440">
        <f>D51*$C$54</f>
        <v>0</v>
      </c>
      <c r="E54" s="1440">
        <f t="shared" ref="E54:M54" si="15">E51*$C$54</f>
        <v>0</v>
      </c>
      <c r="F54" s="1440">
        <f t="shared" si="15"/>
        <v>0</v>
      </c>
      <c r="G54" s="1440">
        <f t="shared" si="15"/>
        <v>634</v>
      </c>
      <c r="H54" s="1440">
        <f t="shared" si="15"/>
        <v>0</v>
      </c>
      <c r="I54" s="1440">
        <f t="shared" si="15"/>
        <v>0</v>
      </c>
      <c r="J54" s="1440">
        <f t="shared" si="15"/>
        <v>0</v>
      </c>
      <c r="K54" s="1440">
        <f t="shared" si="15"/>
        <v>0</v>
      </c>
      <c r="L54" s="1440">
        <f t="shared" si="15"/>
        <v>0</v>
      </c>
      <c r="M54" s="1440">
        <f t="shared" si="15"/>
        <v>0</v>
      </c>
    </row>
    <row r="55" spans="1:13">
      <c r="B55" s="1444"/>
      <c r="F55" s="1443"/>
      <c r="G55" s="1443"/>
    </row>
    <row r="56" spans="1:13" s="1407" customFormat="1">
      <c r="A56" s="1406">
        <v>2</v>
      </c>
      <c r="B56" s="1407" t="s">
        <v>794</v>
      </c>
      <c r="C56" s="1431" t="str">
        <f>C49</f>
        <v>Total</v>
      </c>
      <c r="D56" s="1431">
        <f t="shared" ref="D56:J56" si="16">D49</f>
        <v>2013</v>
      </c>
      <c r="E56" s="1431">
        <f t="shared" si="16"/>
        <v>2014</v>
      </c>
      <c r="F56" s="1431">
        <f t="shared" si="16"/>
        <v>2015</v>
      </c>
      <c r="G56" s="1431">
        <f t="shared" si="16"/>
        <v>2016</v>
      </c>
      <c r="H56" s="1431">
        <f t="shared" si="16"/>
        <v>2017</v>
      </c>
      <c r="I56" s="1431">
        <f t="shared" si="16"/>
        <v>2018</v>
      </c>
      <c r="J56" s="1431">
        <f t="shared" si="16"/>
        <v>2019</v>
      </c>
      <c r="K56" s="1431">
        <f>K49</f>
        <v>2020</v>
      </c>
      <c r="L56" s="1431">
        <f>L49</f>
        <v>2021</v>
      </c>
      <c r="M56" s="1431">
        <f>M49</f>
        <v>2022</v>
      </c>
    </row>
    <row r="57" spans="1:13">
      <c r="B57" s="1432" t="s">
        <v>1586</v>
      </c>
      <c r="C57" s="1408">
        <f>C50</f>
        <v>1071.5276800000001</v>
      </c>
      <c r="D57" s="1441">
        <f>$C$57*D58</f>
        <v>0</v>
      </c>
      <c r="E57" s="1441">
        <f t="shared" ref="E57:M57" si="17">$C$57*E58</f>
        <v>0</v>
      </c>
      <c r="F57" s="1441">
        <f t="shared" si="17"/>
        <v>0</v>
      </c>
      <c r="G57" s="1441">
        <f t="shared" si="17"/>
        <v>0</v>
      </c>
      <c r="H57" s="1441">
        <f t="shared" si="17"/>
        <v>321.45830400000006</v>
      </c>
      <c r="I57" s="1441">
        <f t="shared" si="17"/>
        <v>750.06937600000003</v>
      </c>
      <c r="J57" s="1441">
        <f t="shared" si="17"/>
        <v>0</v>
      </c>
      <c r="K57" s="1441">
        <f t="shared" si="17"/>
        <v>0</v>
      </c>
      <c r="L57" s="1441">
        <f t="shared" si="17"/>
        <v>0</v>
      </c>
      <c r="M57" s="1441">
        <f t="shared" si="17"/>
        <v>0</v>
      </c>
    </row>
    <row r="58" spans="1:13">
      <c r="B58" s="1442" t="s">
        <v>794</v>
      </c>
      <c r="C58" s="1417">
        <f>SUM(D58:M58)</f>
        <v>1</v>
      </c>
      <c r="D58" s="1411">
        <v>0</v>
      </c>
      <c r="E58" s="1411">
        <v>0</v>
      </c>
      <c r="F58" s="1411">
        <v>0</v>
      </c>
      <c r="G58" s="1411">
        <v>0</v>
      </c>
      <c r="H58" s="1411">
        <v>0.3</v>
      </c>
      <c r="I58" s="1411">
        <v>0.7</v>
      </c>
      <c r="J58" s="1411">
        <v>0</v>
      </c>
      <c r="K58" s="1411">
        <v>0</v>
      </c>
      <c r="L58" s="1411">
        <v>0</v>
      </c>
      <c r="M58" s="1411">
        <v>0</v>
      </c>
    </row>
    <row r="59" spans="1:13">
      <c r="B59" s="1442" t="s">
        <v>1777</v>
      </c>
      <c r="C59" s="1410">
        <f>C54</f>
        <v>634</v>
      </c>
      <c r="D59" s="1410">
        <f>D58*$C$59</f>
        <v>0</v>
      </c>
      <c r="E59" s="1410">
        <f t="shared" ref="E59:M59" si="18">E58*$C$59</f>
        <v>0</v>
      </c>
      <c r="F59" s="1410">
        <f t="shared" si="18"/>
        <v>0</v>
      </c>
      <c r="G59" s="1410">
        <f t="shared" si="18"/>
        <v>0</v>
      </c>
      <c r="H59" s="1410">
        <f t="shared" si="18"/>
        <v>190.2</v>
      </c>
      <c r="I59" s="1410">
        <f t="shared" si="18"/>
        <v>443.79999999999995</v>
      </c>
      <c r="J59" s="1410">
        <f t="shared" si="18"/>
        <v>0</v>
      </c>
      <c r="K59" s="1410">
        <f t="shared" si="18"/>
        <v>0</v>
      </c>
      <c r="L59" s="1410">
        <f t="shared" si="18"/>
        <v>0</v>
      </c>
      <c r="M59" s="1410">
        <f t="shared" si="18"/>
        <v>0</v>
      </c>
    </row>
    <row r="60" spans="1:13">
      <c r="B60" s="1444"/>
      <c r="C60" s="1425"/>
      <c r="D60" s="1433"/>
      <c r="E60" s="1433"/>
      <c r="F60" s="1433"/>
      <c r="G60" s="1433"/>
    </row>
    <row r="61" spans="1:13">
      <c r="C61" s="1440"/>
      <c r="D61" s="1440"/>
      <c r="E61" s="1440"/>
      <c r="F61" s="1440"/>
      <c r="G61" s="1440"/>
    </row>
    <row r="62" spans="1:13" s="1407" customFormat="1">
      <c r="A62" s="1406">
        <v>3</v>
      </c>
      <c r="B62" s="1407" t="s">
        <v>1175</v>
      </c>
      <c r="C62" s="1431" t="str">
        <f>C56</f>
        <v>Total</v>
      </c>
      <c r="D62" s="1431">
        <f t="shared" ref="D62:J62" si="19">D56</f>
        <v>2013</v>
      </c>
      <c r="E62" s="1431">
        <f t="shared" si="19"/>
        <v>2014</v>
      </c>
      <c r="F62" s="1431">
        <f t="shared" si="19"/>
        <v>2015</v>
      </c>
      <c r="G62" s="1431">
        <f t="shared" si="19"/>
        <v>2016</v>
      </c>
      <c r="H62" s="1431">
        <f t="shared" si="19"/>
        <v>2017</v>
      </c>
      <c r="I62" s="1431">
        <f t="shared" si="19"/>
        <v>2018</v>
      </c>
      <c r="J62" s="1431">
        <f t="shared" si="19"/>
        <v>2019</v>
      </c>
      <c r="K62" s="1431">
        <f>K56</f>
        <v>2020</v>
      </c>
      <c r="L62" s="1431">
        <f>L56</f>
        <v>2021</v>
      </c>
      <c r="M62" s="1431">
        <f>M56</f>
        <v>2022</v>
      </c>
    </row>
    <row r="63" spans="1:13">
      <c r="B63" s="1432"/>
      <c r="C63" s="1441">
        <f>SUM(D63:M63)</f>
        <v>1071.5276800000001</v>
      </c>
      <c r="D63" s="1408"/>
      <c r="E63" s="1408"/>
      <c r="F63" s="1408">
        <f>D50*$D66+E50*$D65+F50*$D64</f>
        <v>0</v>
      </c>
      <c r="G63" s="1408">
        <f>E50*$D66+F50*$D65+G50*$D64</f>
        <v>214.30553600000005</v>
      </c>
      <c r="H63" s="1408">
        <f t="shared" ref="H63:M63" si="20">F50*$D66+G50*$D65+H50*$D64</f>
        <v>857.22214400000018</v>
      </c>
      <c r="I63" s="1408">
        <f t="shared" si="20"/>
        <v>0</v>
      </c>
      <c r="J63" s="1408">
        <f t="shared" si="20"/>
        <v>0</v>
      </c>
      <c r="K63" s="1408">
        <f t="shared" si="20"/>
        <v>0</v>
      </c>
      <c r="L63" s="1408">
        <f t="shared" si="20"/>
        <v>0</v>
      </c>
      <c r="M63" s="1408">
        <f t="shared" si="20"/>
        <v>0</v>
      </c>
    </row>
    <row r="64" spans="1:13">
      <c r="B64" s="1431" t="s">
        <v>797</v>
      </c>
      <c r="C64" s="1440" t="s">
        <v>798</v>
      </c>
      <c r="D64" s="1416">
        <v>0.2</v>
      </c>
      <c r="E64" s="1440"/>
      <c r="F64" s="1440"/>
      <c r="G64" s="1440"/>
    </row>
    <row r="65" spans="1:13">
      <c r="C65" s="1440" t="s">
        <v>799</v>
      </c>
      <c r="D65" s="1416">
        <v>0.8</v>
      </c>
      <c r="E65" s="1440"/>
      <c r="F65" s="1440"/>
      <c r="G65" s="1440"/>
    </row>
    <row r="66" spans="1:13">
      <c r="C66" s="1440" t="s">
        <v>800</v>
      </c>
      <c r="D66" s="1417">
        <f>1-SUM(D64:D65)</f>
        <v>0</v>
      </c>
      <c r="E66" s="1440"/>
      <c r="F66" s="1440"/>
      <c r="G66" s="1440"/>
    </row>
    <row r="67" spans="1:13">
      <c r="C67" s="1440"/>
      <c r="D67" s="1416"/>
      <c r="E67" s="1440"/>
      <c r="F67" s="1440"/>
      <c r="G67" s="1440"/>
    </row>
    <row r="68" spans="1:13">
      <c r="C68" s="1440"/>
      <c r="D68" s="1416"/>
      <c r="E68" s="1440"/>
      <c r="F68" s="1440"/>
      <c r="G68" s="1440"/>
    </row>
    <row r="69" spans="1:13" s="1407" customFormat="1">
      <c r="A69" s="1406">
        <v>4</v>
      </c>
      <c r="B69" s="1407" t="s">
        <v>1462</v>
      </c>
      <c r="C69" s="1440" t="str">
        <f>C62</f>
        <v>Total</v>
      </c>
      <c r="D69" s="1431">
        <f t="shared" ref="D69:J69" si="21">D62</f>
        <v>2013</v>
      </c>
      <c r="E69" s="1431">
        <f t="shared" si="21"/>
        <v>2014</v>
      </c>
      <c r="F69" s="1431">
        <f t="shared" si="21"/>
        <v>2015</v>
      </c>
      <c r="G69" s="1431">
        <f t="shared" si="21"/>
        <v>2016</v>
      </c>
      <c r="H69" s="1431">
        <f t="shared" si="21"/>
        <v>2017</v>
      </c>
      <c r="I69" s="1431">
        <f t="shared" si="21"/>
        <v>2018</v>
      </c>
      <c r="J69" s="1431">
        <f t="shared" si="21"/>
        <v>2019</v>
      </c>
      <c r="K69" s="1431">
        <f>K62</f>
        <v>2020</v>
      </c>
      <c r="L69" s="1431">
        <f>L62</f>
        <v>2021</v>
      </c>
      <c r="M69" s="1431">
        <f>M62</f>
        <v>2022</v>
      </c>
    </row>
    <row r="70" spans="1:13">
      <c r="B70" s="1432" t="s">
        <v>1566</v>
      </c>
      <c r="C70" s="1441">
        <f>D40*D44/1000</f>
        <v>445.32799999999997</v>
      </c>
      <c r="D70" s="1408">
        <f>$C$70*D71</f>
        <v>0</v>
      </c>
      <c r="E70" s="1408">
        <f t="shared" ref="E70:M70" si="22">$C$70*E71</f>
        <v>0</v>
      </c>
      <c r="F70" s="1408">
        <f t="shared" si="22"/>
        <v>0</v>
      </c>
      <c r="G70" s="1408">
        <f t="shared" si="22"/>
        <v>22.266400000000001</v>
      </c>
      <c r="H70" s="1408">
        <f t="shared" si="22"/>
        <v>423.06159999999994</v>
      </c>
      <c r="I70" s="1408">
        <f t="shared" si="22"/>
        <v>0</v>
      </c>
      <c r="J70" s="1408">
        <f t="shared" si="22"/>
        <v>0</v>
      </c>
      <c r="K70" s="1408">
        <f t="shared" si="22"/>
        <v>0</v>
      </c>
      <c r="L70" s="1408">
        <f t="shared" si="22"/>
        <v>0</v>
      </c>
      <c r="M70" s="1408">
        <f t="shared" si="22"/>
        <v>0</v>
      </c>
    </row>
    <row r="71" spans="1:13">
      <c r="B71" s="1431" t="s">
        <v>1559</v>
      </c>
      <c r="C71" s="1436">
        <f>SUM(D71:M71)</f>
        <v>1</v>
      </c>
      <c r="D71" s="1416">
        <v>0</v>
      </c>
      <c r="E71" s="1416">
        <v>0</v>
      </c>
      <c r="F71" s="1416">
        <v>0</v>
      </c>
      <c r="G71" s="1416">
        <v>0.05</v>
      </c>
      <c r="H71" s="1416">
        <v>0.95</v>
      </c>
      <c r="I71" s="1416">
        <v>0</v>
      </c>
      <c r="J71" s="1416">
        <v>0</v>
      </c>
      <c r="K71" s="1416">
        <v>0</v>
      </c>
      <c r="L71" s="1416">
        <v>0</v>
      </c>
      <c r="M71" s="1416">
        <v>0</v>
      </c>
    </row>
    <row r="72" spans="1:13">
      <c r="C72" s="1433"/>
      <c r="D72" s="1425"/>
      <c r="E72" s="1425"/>
      <c r="F72" s="1424"/>
      <c r="G72" s="1424"/>
      <c r="H72" s="1435"/>
    </row>
    <row r="73" spans="1:13">
      <c r="C73" s="1433"/>
      <c r="D73" s="1424"/>
      <c r="E73" s="1424"/>
      <c r="F73" s="1424"/>
      <c r="G73" s="1424"/>
    </row>
    <row r="74" spans="1:13">
      <c r="A74" s="1406">
        <v>5</v>
      </c>
      <c r="B74" s="1407" t="s">
        <v>1466</v>
      </c>
      <c r="C74" s="1431" t="str">
        <f>C69</f>
        <v>Total</v>
      </c>
      <c r="D74" s="1431">
        <f t="shared" ref="D74:I74" si="23">D69</f>
        <v>2013</v>
      </c>
      <c r="E74" s="1431">
        <f t="shared" si="23"/>
        <v>2014</v>
      </c>
      <c r="F74" s="1431">
        <f t="shared" si="23"/>
        <v>2015</v>
      </c>
      <c r="G74" s="1431">
        <f t="shared" si="23"/>
        <v>2016</v>
      </c>
      <c r="H74" s="1431">
        <f t="shared" si="23"/>
        <v>2017</v>
      </c>
      <c r="I74" s="1431">
        <f t="shared" si="23"/>
        <v>2018</v>
      </c>
      <c r="J74" s="1431">
        <f>I74+1</f>
        <v>2019</v>
      </c>
      <c r="K74" s="1431">
        <f>J74+1</f>
        <v>2020</v>
      </c>
      <c r="L74" s="1431">
        <f>K74+1</f>
        <v>2021</v>
      </c>
      <c r="M74" s="1431">
        <f>L74+1</f>
        <v>2022</v>
      </c>
    </row>
    <row r="75" spans="1:13">
      <c r="B75" s="1432" t="s">
        <v>1567</v>
      </c>
      <c r="C75" s="1441">
        <f>$C$70*C58</f>
        <v>445.32799999999997</v>
      </c>
      <c r="D75" s="1441">
        <f t="shared" ref="D75:M75" si="24">$C$70*D58</f>
        <v>0</v>
      </c>
      <c r="E75" s="1441">
        <f t="shared" si="24"/>
        <v>0</v>
      </c>
      <c r="F75" s="1441">
        <f t="shared" si="24"/>
        <v>0</v>
      </c>
      <c r="G75" s="1441">
        <f t="shared" si="24"/>
        <v>0</v>
      </c>
      <c r="H75" s="1441">
        <f t="shared" si="24"/>
        <v>133.5984</v>
      </c>
      <c r="I75" s="1441">
        <f t="shared" si="24"/>
        <v>311.72959999999995</v>
      </c>
      <c r="J75" s="1441">
        <f t="shared" si="24"/>
        <v>0</v>
      </c>
      <c r="K75" s="1441">
        <f t="shared" si="24"/>
        <v>0</v>
      </c>
      <c r="L75" s="1441">
        <f t="shared" si="24"/>
        <v>0</v>
      </c>
      <c r="M75" s="1441">
        <f t="shared" si="24"/>
        <v>0</v>
      </c>
    </row>
    <row r="76" spans="1:13">
      <c r="B76" s="1431" t="s">
        <v>803</v>
      </c>
      <c r="C76" s="1440">
        <f>$E$32*C58</f>
        <v>120.58199999999999</v>
      </c>
      <c r="D76" s="1440">
        <f t="shared" ref="D76:M76" si="25">$E$32*D58</f>
        <v>0</v>
      </c>
      <c r="E76" s="1440">
        <f t="shared" si="25"/>
        <v>0</v>
      </c>
      <c r="F76" s="1440">
        <f t="shared" si="25"/>
        <v>0</v>
      </c>
      <c r="G76" s="1440">
        <f t="shared" si="25"/>
        <v>0</v>
      </c>
      <c r="H76" s="1440">
        <f t="shared" si="25"/>
        <v>36.174599999999998</v>
      </c>
      <c r="I76" s="1440">
        <f t="shared" si="25"/>
        <v>84.407399999999996</v>
      </c>
      <c r="J76" s="1440">
        <f t="shared" si="25"/>
        <v>0</v>
      </c>
      <c r="K76" s="1440">
        <f t="shared" si="25"/>
        <v>0</v>
      </c>
      <c r="L76" s="1440">
        <f t="shared" si="25"/>
        <v>0</v>
      </c>
      <c r="M76" s="1440">
        <f t="shared" si="25"/>
        <v>0</v>
      </c>
    </row>
    <row r="77" spans="1:13" s="1447" customFormat="1">
      <c r="A77" s="1459"/>
      <c r="B77" s="1447" t="s">
        <v>804</v>
      </c>
      <c r="C77" s="1458">
        <f>SUMIF(D113:M113,"&lt;="&amp;D11,D119:M119)</f>
        <v>128.86629753599999</v>
      </c>
      <c r="D77" s="1410">
        <f t="shared" ref="D77:J77" si="26">$C$77*D58</f>
        <v>0</v>
      </c>
      <c r="E77" s="1410">
        <f t="shared" si="26"/>
        <v>0</v>
      </c>
      <c r="F77" s="1410">
        <f t="shared" si="26"/>
        <v>0</v>
      </c>
      <c r="G77" s="1410">
        <f t="shared" si="26"/>
        <v>0</v>
      </c>
      <c r="H77" s="1410">
        <f t="shared" si="26"/>
        <v>38.659889260799993</v>
      </c>
      <c r="I77" s="1410">
        <f t="shared" si="26"/>
        <v>90.20640827519999</v>
      </c>
      <c r="J77" s="1410">
        <f t="shared" si="26"/>
        <v>0</v>
      </c>
      <c r="K77" s="1410">
        <f>$C$77*K58</f>
        <v>0</v>
      </c>
      <c r="L77" s="1410">
        <f>$C$77*L58</f>
        <v>0</v>
      </c>
      <c r="M77" s="1410">
        <f>$C$77*M58</f>
        <v>0</v>
      </c>
    </row>
    <row r="78" spans="1:13" s="1447" customFormat="1">
      <c r="A78" s="1459"/>
      <c r="B78" s="1447" t="s">
        <v>805</v>
      </c>
      <c r="C78" s="1410">
        <f>SUM(D78:M78)</f>
        <v>0</v>
      </c>
      <c r="D78" s="1410">
        <f t="shared" ref="D78:M78" si="27">IF(D74&gt;$D$11,D119,0)</f>
        <v>0</v>
      </c>
      <c r="E78" s="1410">
        <f t="shared" si="27"/>
        <v>0</v>
      </c>
      <c r="F78" s="1410">
        <f t="shared" si="27"/>
        <v>0</v>
      </c>
      <c r="G78" s="1410">
        <f t="shared" si="27"/>
        <v>0</v>
      </c>
      <c r="H78" s="1410">
        <f t="shared" si="27"/>
        <v>0</v>
      </c>
      <c r="I78" s="1410">
        <f t="shared" si="27"/>
        <v>0</v>
      </c>
      <c r="J78" s="1410">
        <f t="shared" si="27"/>
        <v>0</v>
      </c>
      <c r="K78" s="1410">
        <f t="shared" si="27"/>
        <v>0</v>
      </c>
      <c r="L78" s="1410">
        <f t="shared" si="27"/>
        <v>0</v>
      </c>
      <c r="M78" s="1410">
        <f t="shared" si="27"/>
        <v>0</v>
      </c>
    </row>
    <row r="79" spans="1:13">
      <c r="B79" s="1431" t="s">
        <v>656</v>
      </c>
      <c r="C79" s="1440">
        <f>$D$46*C57</f>
        <v>150.01387520000003</v>
      </c>
      <c r="D79" s="1440">
        <f t="shared" ref="D79:J79" si="28">$D$46*D57</f>
        <v>0</v>
      </c>
      <c r="E79" s="1440">
        <f t="shared" si="28"/>
        <v>0</v>
      </c>
      <c r="F79" s="1440">
        <f t="shared" si="28"/>
        <v>0</v>
      </c>
      <c r="G79" s="1440">
        <f t="shared" si="28"/>
        <v>0</v>
      </c>
      <c r="H79" s="1440">
        <f t="shared" si="28"/>
        <v>45.004162560000012</v>
      </c>
      <c r="I79" s="1440">
        <f t="shared" si="28"/>
        <v>105.00971264000002</v>
      </c>
      <c r="J79" s="1440">
        <f t="shared" si="28"/>
        <v>0</v>
      </c>
      <c r="K79" s="1440">
        <f>$D$46*K57</f>
        <v>0</v>
      </c>
      <c r="L79" s="1440">
        <f>$D$46*L57</f>
        <v>0</v>
      </c>
      <c r="M79" s="1440">
        <f>$D$46*M57</f>
        <v>0</v>
      </c>
    </row>
    <row r="80" spans="1:13">
      <c r="C80" s="1440"/>
      <c r="D80" s="1440"/>
      <c r="E80" s="1440"/>
      <c r="F80" s="1440"/>
      <c r="G80" s="1440"/>
    </row>
    <row r="82" spans="1:13" s="1407" customFormat="1">
      <c r="A82" s="1406">
        <v>6</v>
      </c>
      <c r="B82" s="1407" t="s">
        <v>878</v>
      </c>
      <c r="C82" s="1431" t="str">
        <f>C74</f>
        <v>Total</v>
      </c>
      <c r="D82" s="1431">
        <f t="shared" ref="D82:J82" si="29">D74</f>
        <v>2013</v>
      </c>
      <c r="E82" s="1431">
        <f t="shared" si="29"/>
        <v>2014</v>
      </c>
      <c r="F82" s="1431">
        <f t="shared" si="29"/>
        <v>2015</v>
      </c>
      <c r="G82" s="1431">
        <f t="shared" si="29"/>
        <v>2016</v>
      </c>
      <c r="H82" s="1431">
        <f t="shared" si="29"/>
        <v>2017</v>
      </c>
      <c r="I82" s="1431">
        <f t="shared" si="29"/>
        <v>2018</v>
      </c>
      <c r="J82" s="1431">
        <f t="shared" si="29"/>
        <v>2019</v>
      </c>
      <c r="K82" s="1431">
        <f>K74</f>
        <v>2020</v>
      </c>
      <c r="L82" s="1431">
        <f>L74</f>
        <v>2021</v>
      </c>
      <c r="M82" s="1431">
        <f>M74</f>
        <v>2022</v>
      </c>
    </row>
    <row r="83" spans="1:13">
      <c r="B83" s="1432" t="s">
        <v>26</v>
      </c>
      <c r="C83" s="1441">
        <f t="shared" ref="C83:J83" si="30">C57</f>
        <v>1071.5276800000001</v>
      </c>
      <c r="D83" s="1441">
        <f t="shared" si="30"/>
        <v>0</v>
      </c>
      <c r="E83" s="1441">
        <f t="shared" si="30"/>
        <v>0</v>
      </c>
      <c r="F83" s="1441">
        <f t="shared" si="30"/>
        <v>0</v>
      </c>
      <c r="G83" s="1441">
        <f t="shared" si="30"/>
        <v>0</v>
      </c>
      <c r="H83" s="1441">
        <f t="shared" si="30"/>
        <v>321.45830400000006</v>
      </c>
      <c r="I83" s="1441">
        <f t="shared" si="30"/>
        <v>750.06937600000003</v>
      </c>
      <c r="J83" s="1441">
        <f t="shared" si="30"/>
        <v>0</v>
      </c>
      <c r="K83" s="1441">
        <f>K57</f>
        <v>0</v>
      </c>
      <c r="L83" s="1441">
        <f>L57</f>
        <v>0</v>
      </c>
      <c r="M83" s="1441">
        <f>M57</f>
        <v>0</v>
      </c>
    </row>
    <row r="84" spans="1:13">
      <c r="B84" s="1431" t="s">
        <v>432</v>
      </c>
      <c r="C84" s="1440">
        <f>SUM(C75:C77)</f>
        <v>694.7762975359999</v>
      </c>
      <c r="D84" s="1440">
        <f>SUM(D75:D77)</f>
        <v>0</v>
      </c>
      <c r="E84" s="1440">
        <f t="shared" ref="E84:J84" si="31">SUM(E75:E77)</f>
        <v>0</v>
      </c>
      <c r="F84" s="1440">
        <f t="shared" si="31"/>
        <v>0</v>
      </c>
      <c r="G84" s="1440">
        <f t="shared" si="31"/>
        <v>0</v>
      </c>
      <c r="H84" s="1440">
        <f t="shared" si="31"/>
        <v>208.43288926079998</v>
      </c>
      <c r="I84" s="1440">
        <f t="shared" si="31"/>
        <v>486.34340827519992</v>
      </c>
      <c r="J84" s="1440">
        <f t="shared" si="31"/>
        <v>0</v>
      </c>
      <c r="K84" s="1440">
        <f>SUM(K75:K77)</f>
        <v>0</v>
      </c>
      <c r="L84" s="1440">
        <f>SUM(L75:L77)</f>
        <v>0</v>
      </c>
      <c r="M84" s="1440">
        <f>SUM(M75:M77)</f>
        <v>0</v>
      </c>
    </row>
    <row r="85" spans="1:13">
      <c r="B85" s="1431" t="s">
        <v>28</v>
      </c>
      <c r="C85" s="1440">
        <f>C83-C84</f>
        <v>376.75138246400024</v>
      </c>
      <c r="D85" s="1440">
        <f t="shared" ref="D85:M85" si="32">D83-D84</f>
        <v>0</v>
      </c>
      <c r="E85" s="1440">
        <f t="shared" si="32"/>
        <v>0</v>
      </c>
      <c r="F85" s="1440">
        <f t="shared" si="32"/>
        <v>0</v>
      </c>
      <c r="G85" s="1440">
        <f t="shared" si="32"/>
        <v>0</v>
      </c>
      <c r="H85" s="1440">
        <f t="shared" si="32"/>
        <v>113.02541473920007</v>
      </c>
      <c r="I85" s="1440">
        <f t="shared" si="32"/>
        <v>263.72596772480011</v>
      </c>
      <c r="J85" s="1440">
        <f t="shared" si="32"/>
        <v>0</v>
      </c>
      <c r="K85" s="1440">
        <f t="shared" si="32"/>
        <v>0</v>
      </c>
      <c r="L85" s="1440">
        <f t="shared" si="32"/>
        <v>0</v>
      </c>
      <c r="M85" s="1440">
        <f t="shared" si="32"/>
        <v>0</v>
      </c>
    </row>
    <row r="86" spans="1:13">
      <c r="B86" s="1431" t="s">
        <v>656</v>
      </c>
      <c r="C86" s="1440">
        <f>C79</f>
        <v>150.01387520000003</v>
      </c>
      <c r="D86" s="1440">
        <f>D79</f>
        <v>0</v>
      </c>
      <c r="E86" s="1440">
        <f t="shared" ref="E86:J86" si="33">E79</f>
        <v>0</v>
      </c>
      <c r="F86" s="1440">
        <f t="shared" si="33"/>
        <v>0</v>
      </c>
      <c r="G86" s="1440">
        <f t="shared" si="33"/>
        <v>0</v>
      </c>
      <c r="H86" s="1440">
        <f t="shared" si="33"/>
        <v>45.004162560000012</v>
      </c>
      <c r="I86" s="1440">
        <f t="shared" si="33"/>
        <v>105.00971264000002</v>
      </c>
      <c r="J86" s="1440">
        <f t="shared" si="33"/>
        <v>0</v>
      </c>
      <c r="K86" s="1440">
        <f>K79</f>
        <v>0</v>
      </c>
      <c r="L86" s="1440">
        <f>L79</f>
        <v>0</v>
      </c>
      <c r="M86" s="1440">
        <f>M79</f>
        <v>0</v>
      </c>
    </row>
    <row r="87" spans="1:13">
      <c r="B87" s="1431" t="s">
        <v>805</v>
      </c>
      <c r="C87" s="1410">
        <f>C78</f>
        <v>0</v>
      </c>
      <c r="D87" s="1440">
        <f>D78</f>
        <v>0</v>
      </c>
      <c r="E87" s="1440">
        <f t="shared" ref="E87:J87" si="34">E78</f>
        <v>0</v>
      </c>
      <c r="F87" s="1440">
        <f t="shared" si="34"/>
        <v>0</v>
      </c>
      <c r="G87" s="1440">
        <f t="shared" si="34"/>
        <v>0</v>
      </c>
      <c r="H87" s="1440">
        <f t="shared" si="34"/>
        <v>0</v>
      </c>
      <c r="I87" s="1440">
        <f t="shared" si="34"/>
        <v>0</v>
      </c>
      <c r="J87" s="1440">
        <f t="shared" si="34"/>
        <v>0</v>
      </c>
      <c r="K87" s="1440">
        <f>K78</f>
        <v>0</v>
      </c>
      <c r="L87" s="1440">
        <f>L78</f>
        <v>0</v>
      </c>
      <c r="M87" s="1440">
        <f>M78</f>
        <v>0</v>
      </c>
    </row>
    <row r="88" spans="1:13">
      <c r="B88" s="1431" t="s">
        <v>822</v>
      </c>
      <c r="C88" s="1440">
        <f>C85-C86-C87</f>
        <v>226.73750726400021</v>
      </c>
      <c r="D88" s="1440">
        <f t="shared" ref="D88:M88" si="35">D85-D86-D87</f>
        <v>0</v>
      </c>
      <c r="E88" s="1440">
        <f t="shared" si="35"/>
        <v>0</v>
      </c>
      <c r="F88" s="1440">
        <f t="shared" si="35"/>
        <v>0</v>
      </c>
      <c r="G88" s="1440">
        <f t="shared" si="35"/>
        <v>0</v>
      </c>
      <c r="H88" s="1440">
        <f t="shared" si="35"/>
        <v>68.021252179200062</v>
      </c>
      <c r="I88" s="1440">
        <f t="shared" si="35"/>
        <v>158.71625508480008</v>
      </c>
      <c r="J88" s="1440">
        <f t="shared" si="35"/>
        <v>0</v>
      </c>
      <c r="K88" s="1440">
        <f t="shared" si="35"/>
        <v>0</v>
      </c>
      <c r="L88" s="1440">
        <f t="shared" si="35"/>
        <v>0</v>
      </c>
      <c r="M88" s="1440">
        <f t="shared" si="35"/>
        <v>0</v>
      </c>
    </row>
    <row r="89" spans="1:13">
      <c r="B89" s="1431" t="s">
        <v>290</v>
      </c>
      <c r="C89" s="1440">
        <f>SUM(D89:M89)</f>
        <v>45.347501452800032</v>
      </c>
      <c r="D89" s="1410">
        <f t="shared" ref="D89:M89" si="36">D88*D22</f>
        <v>0</v>
      </c>
      <c r="E89" s="1410">
        <f t="shared" si="36"/>
        <v>0</v>
      </c>
      <c r="F89" s="1410">
        <f t="shared" si="36"/>
        <v>0</v>
      </c>
      <c r="G89" s="1410">
        <f t="shared" si="36"/>
        <v>0</v>
      </c>
      <c r="H89" s="1410">
        <f t="shared" si="36"/>
        <v>13.604250435840013</v>
      </c>
      <c r="I89" s="1410">
        <f t="shared" si="36"/>
        <v>31.743251016960016</v>
      </c>
      <c r="J89" s="1410">
        <f t="shared" si="36"/>
        <v>0</v>
      </c>
      <c r="K89" s="1410">
        <f t="shared" si="36"/>
        <v>0</v>
      </c>
      <c r="L89" s="1410">
        <f t="shared" si="36"/>
        <v>0</v>
      </c>
      <c r="M89" s="1410">
        <f t="shared" si="36"/>
        <v>0</v>
      </c>
    </row>
    <row r="90" spans="1:13">
      <c r="B90" s="1431" t="s">
        <v>661</v>
      </c>
      <c r="C90" s="1440">
        <f>SUM(D90:M90)</f>
        <v>181.39000581120013</v>
      </c>
      <c r="D90" s="1440">
        <f>D88-D89</f>
        <v>0</v>
      </c>
      <c r="E90" s="1440">
        <f t="shared" ref="E90:J90" si="37">E88-E89</f>
        <v>0</v>
      </c>
      <c r="F90" s="1440">
        <f t="shared" si="37"/>
        <v>0</v>
      </c>
      <c r="G90" s="1440">
        <f t="shared" si="37"/>
        <v>0</v>
      </c>
      <c r="H90" s="1440">
        <f t="shared" si="37"/>
        <v>54.417001743360046</v>
      </c>
      <c r="I90" s="1440">
        <f t="shared" si="37"/>
        <v>126.97300406784007</v>
      </c>
      <c r="J90" s="1440">
        <f t="shared" si="37"/>
        <v>0</v>
      </c>
      <c r="K90" s="1440">
        <f>K88-K89</f>
        <v>0</v>
      </c>
      <c r="L90" s="1440">
        <f>L88-L89</f>
        <v>0</v>
      </c>
      <c r="M90" s="1440">
        <f>M88-M89</f>
        <v>0</v>
      </c>
    </row>
    <row r="91" spans="1:13">
      <c r="B91" s="1428" t="s">
        <v>197</v>
      </c>
      <c r="C91" s="1429">
        <f>IF(C83&lt;&gt;0,1-C84/C83,"")</f>
        <v>0.35160209997001679</v>
      </c>
      <c r="D91" s="1429" t="str">
        <f t="shared" ref="D91:J91" si="38">IF(D83&lt;&gt;0,1-D84/D83,"")</f>
        <v/>
      </c>
      <c r="E91" s="1429" t="str">
        <f t="shared" si="38"/>
        <v/>
      </c>
      <c r="F91" s="1429" t="str">
        <f t="shared" si="38"/>
        <v/>
      </c>
      <c r="G91" s="1429" t="str">
        <f t="shared" si="38"/>
        <v/>
      </c>
      <c r="H91" s="1429">
        <f t="shared" si="38"/>
        <v>0.35160209997001679</v>
      </c>
      <c r="I91" s="1429">
        <f t="shared" si="38"/>
        <v>0.35160209997001679</v>
      </c>
      <c r="J91" s="1429" t="str">
        <f t="shared" si="38"/>
        <v/>
      </c>
      <c r="K91" s="1429" t="str">
        <f>IF(K83&lt;&gt;0,1-K84/K83,"")</f>
        <v/>
      </c>
      <c r="L91" s="1429" t="str">
        <f>IF(L83&lt;&gt;0,1-L84/L83,"")</f>
        <v/>
      </c>
      <c r="M91" s="1429" t="str">
        <f>IF(M83&lt;&gt;0,1-M84/M83,"")</f>
        <v/>
      </c>
    </row>
    <row r="92" spans="1:13">
      <c r="B92" s="1428" t="s">
        <v>1779</v>
      </c>
      <c r="C92" s="1429">
        <f>IF(C83&lt;&gt;0,C90/C83,"")</f>
        <v>0.1692816799760134</v>
      </c>
      <c r="D92" s="1429" t="str">
        <f t="shared" ref="D92:M92" si="39">IF(D83&lt;&gt;0,D90/D83,"")</f>
        <v/>
      </c>
      <c r="E92" s="1429" t="str">
        <f t="shared" si="39"/>
        <v/>
      </c>
      <c r="F92" s="1429" t="str">
        <f t="shared" si="39"/>
        <v/>
      </c>
      <c r="G92" s="1429" t="str">
        <f t="shared" si="39"/>
        <v/>
      </c>
      <c r="H92" s="1429">
        <f t="shared" si="39"/>
        <v>0.16928167997601343</v>
      </c>
      <c r="I92" s="1429">
        <f t="shared" si="39"/>
        <v>0.1692816799760134</v>
      </c>
      <c r="J92" s="1429" t="str">
        <f t="shared" si="39"/>
        <v/>
      </c>
      <c r="K92" s="1429" t="str">
        <f t="shared" si="39"/>
        <v/>
      </c>
      <c r="L92" s="1429" t="str">
        <f t="shared" si="39"/>
        <v/>
      </c>
      <c r="M92" s="1429" t="str">
        <f t="shared" si="39"/>
        <v/>
      </c>
    </row>
    <row r="93" spans="1:13">
      <c r="B93" s="1428"/>
      <c r="C93" s="1429"/>
      <c r="D93" s="1429"/>
      <c r="E93" s="1429"/>
      <c r="F93" s="1429"/>
      <c r="G93" s="1429"/>
      <c r="H93" s="1429"/>
    </row>
    <row r="94" spans="1:13">
      <c r="D94" s="1440"/>
      <c r="E94" s="1440"/>
      <c r="F94" s="1440"/>
      <c r="G94" s="1440"/>
    </row>
    <row r="95" spans="1:13" s="1407" customFormat="1">
      <c r="A95" s="1406">
        <v>7</v>
      </c>
      <c r="B95" s="1407" t="s">
        <v>1589</v>
      </c>
      <c r="C95" s="1440" t="s">
        <v>642</v>
      </c>
      <c r="D95" s="1431">
        <f t="shared" ref="D95:J95" si="40">D82</f>
        <v>2013</v>
      </c>
      <c r="E95" s="1431">
        <f t="shared" si="40"/>
        <v>2014</v>
      </c>
      <c r="F95" s="1431">
        <f t="shared" si="40"/>
        <v>2015</v>
      </c>
      <c r="G95" s="1431">
        <f t="shared" si="40"/>
        <v>2016</v>
      </c>
      <c r="H95" s="1431">
        <f t="shared" si="40"/>
        <v>2017</v>
      </c>
      <c r="I95" s="1431">
        <f t="shared" si="40"/>
        <v>2018</v>
      </c>
      <c r="J95" s="1431">
        <f t="shared" si="40"/>
        <v>2019</v>
      </c>
      <c r="K95" s="1431">
        <f>K82</f>
        <v>2020</v>
      </c>
      <c r="L95" s="1431">
        <f>L82</f>
        <v>2021</v>
      </c>
      <c r="M95" s="1431">
        <f>M82</f>
        <v>2022</v>
      </c>
    </row>
    <row r="96" spans="1:13">
      <c r="B96" s="1419" t="s">
        <v>850</v>
      </c>
      <c r="C96" s="1441">
        <f>C63</f>
        <v>1071.5276800000001</v>
      </c>
      <c r="D96" s="1441">
        <f t="shared" ref="D96:J96" si="41">D63</f>
        <v>0</v>
      </c>
      <c r="E96" s="1441">
        <f t="shared" si="41"/>
        <v>0</v>
      </c>
      <c r="F96" s="1441">
        <f t="shared" si="41"/>
        <v>0</v>
      </c>
      <c r="G96" s="1441">
        <f t="shared" si="41"/>
        <v>214.30553600000005</v>
      </c>
      <c r="H96" s="1441">
        <f t="shared" si="41"/>
        <v>857.22214400000018</v>
      </c>
      <c r="I96" s="1441">
        <f t="shared" si="41"/>
        <v>0</v>
      </c>
      <c r="J96" s="1441">
        <f t="shared" si="41"/>
        <v>0</v>
      </c>
      <c r="K96" s="1441">
        <f>K63</f>
        <v>0</v>
      </c>
      <c r="L96" s="1441">
        <f>L63</f>
        <v>0</v>
      </c>
      <c r="M96" s="1441">
        <f>M63</f>
        <v>0</v>
      </c>
    </row>
    <row r="97" spans="1:17">
      <c r="B97" s="1407"/>
      <c r="C97" s="1440"/>
      <c r="D97" s="1440"/>
      <c r="E97" s="1440"/>
      <c r="F97" s="1440"/>
      <c r="G97" s="1440"/>
      <c r="H97" s="1440"/>
      <c r="I97" s="1440"/>
      <c r="J97" s="1440"/>
      <c r="K97" s="1440"/>
      <c r="L97" s="1440"/>
      <c r="M97" s="1440"/>
    </row>
    <row r="98" spans="1:17">
      <c r="B98" s="1407" t="s">
        <v>851</v>
      </c>
      <c r="C98" s="1440">
        <f t="shared" ref="C98:J98" si="42">SUM(C99:C102)</f>
        <v>761.27137665279997</v>
      </c>
      <c r="D98" s="1440">
        <f t="shared" si="42"/>
        <v>0</v>
      </c>
      <c r="E98" s="1440">
        <f t="shared" si="42"/>
        <v>0</v>
      </c>
      <c r="F98" s="1440">
        <f t="shared" si="42"/>
        <v>0</v>
      </c>
      <c r="G98" s="1440">
        <f t="shared" si="42"/>
        <v>142.8484</v>
      </c>
      <c r="H98" s="1440">
        <f t="shared" si="42"/>
        <v>481.67001299583995</v>
      </c>
      <c r="I98" s="1440">
        <f t="shared" si="42"/>
        <v>136.75296365696005</v>
      </c>
      <c r="J98" s="1440">
        <f t="shared" si="42"/>
        <v>0</v>
      </c>
      <c r="K98" s="1440">
        <f>SUM(K99:K102)</f>
        <v>0</v>
      </c>
      <c r="L98" s="1440">
        <f>SUM(L99:L102)</f>
        <v>0</v>
      </c>
      <c r="M98" s="1440">
        <f>SUM(M99:M102)</f>
        <v>0</v>
      </c>
      <c r="N98" s="1440"/>
      <c r="O98" s="1440"/>
      <c r="P98" s="1440"/>
      <c r="Q98" s="1440"/>
    </row>
    <row r="99" spans="1:17">
      <c r="B99" s="1431" t="s">
        <v>852</v>
      </c>
      <c r="C99" s="1440">
        <f t="shared" ref="C99:J99" si="43">C35</f>
        <v>120.58199999999999</v>
      </c>
      <c r="D99" s="1440">
        <f t="shared" si="43"/>
        <v>0</v>
      </c>
      <c r="E99" s="1440">
        <f t="shared" si="43"/>
        <v>0</v>
      </c>
      <c r="F99" s="1440">
        <f t="shared" si="43"/>
        <v>0</v>
      </c>
      <c r="G99" s="1440">
        <f t="shared" si="43"/>
        <v>120.58199999999999</v>
      </c>
      <c r="H99" s="1440">
        <f t="shared" si="43"/>
        <v>0</v>
      </c>
      <c r="I99" s="1440">
        <f t="shared" si="43"/>
        <v>0</v>
      </c>
      <c r="J99" s="1440">
        <f t="shared" si="43"/>
        <v>0</v>
      </c>
      <c r="K99" s="1440">
        <f>K35</f>
        <v>0</v>
      </c>
      <c r="L99" s="1440">
        <f>L35</f>
        <v>0</v>
      </c>
      <c r="M99" s="1440">
        <f>M35</f>
        <v>0</v>
      </c>
    </row>
    <row r="100" spans="1:17">
      <c r="B100" s="1431" t="s">
        <v>788</v>
      </c>
      <c r="C100" s="1440">
        <f t="shared" ref="C100:J100" si="44">C70</f>
        <v>445.32799999999997</v>
      </c>
      <c r="D100" s="1440">
        <f t="shared" si="44"/>
        <v>0</v>
      </c>
      <c r="E100" s="1440">
        <f t="shared" si="44"/>
        <v>0</v>
      </c>
      <c r="F100" s="1440">
        <f t="shared" si="44"/>
        <v>0</v>
      </c>
      <c r="G100" s="1440">
        <f t="shared" si="44"/>
        <v>22.266400000000001</v>
      </c>
      <c r="H100" s="1440">
        <f t="shared" si="44"/>
        <v>423.06159999999994</v>
      </c>
      <c r="I100" s="1440">
        <f t="shared" si="44"/>
        <v>0</v>
      </c>
      <c r="J100" s="1440">
        <f t="shared" si="44"/>
        <v>0</v>
      </c>
      <c r="K100" s="1440">
        <f>K70</f>
        <v>0</v>
      </c>
      <c r="L100" s="1440">
        <f>L70</f>
        <v>0</v>
      </c>
      <c r="M100" s="1440">
        <f>M70</f>
        <v>0</v>
      </c>
    </row>
    <row r="101" spans="1:17">
      <c r="B101" s="1431" t="s">
        <v>656</v>
      </c>
      <c r="C101" s="1440">
        <f t="shared" ref="C101:J101" si="45">C79</f>
        <v>150.01387520000003</v>
      </c>
      <c r="D101" s="1440">
        <f t="shared" si="45"/>
        <v>0</v>
      </c>
      <c r="E101" s="1440">
        <f t="shared" si="45"/>
        <v>0</v>
      </c>
      <c r="F101" s="1440">
        <f t="shared" si="45"/>
        <v>0</v>
      </c>
      <c r="G101" s="1440">
        <f t="shared" si="45"/>
        <v>0</v>
      </c>
      <c r="H101" s="1440">
        <f t="shared" si="45"/>
        <v>45.004162560000012</v>
      </c>
      <c r="I101" s="1440">
        <f t="shared" si="45"/>
        <v>105.00971264000002</v>
      </c>
      <c r="J101" s="1440">
        <f t="shared" si="45"/>
        <v>0</v>
      </c>
      <c r="K101" s="1440">
        <f>K79</f>
        <v>0</v>
      </c>
      <c r="L101" s="1440">
        <f>L79</f>
        <v>0</v>
      </c>
      <c r="M101" s="1440">
        <f>M79</f>
        <v>0</v>
      </c>
      <c r="N101" s="1440"/>
      <c r="O101" s="1440"/>
    </row>
    <row r="102" spans="1:17">
      <c r="B102" s="1431" t="s">
        <v>854</v>
      </c>
      <c r="C102" s="1440">
        <f t="shared" ref="C102:J102" si="46">C89</f>
        <v>45.347501452800032</v>
      </c>
      <c r="D102" s="1440">
        <f t="shared" si="46"/>
        <v>0</v>
      </c>
      <c r="E102" s="1440">
        <f t="shared" si="46"/>
        <v>0</v>
      </c>
      <c r="F102" s="1440">
        <f t="shared" si="46"/>
        <v>0</v>
      </c>
      <c r="G102" s="1440">
        <f t="shared" si="46"/>
        <v>0</v>
      </c>
      <c r="H102" s="1440">
        <f t="shared" si="46"/>
        <v>13.604250435840013</v>
      </c>
      <c r="I102" s="1440">
        <f t="shared" si="46"/>
        <v>31.743251016960016</v>
      </c>
      <c r="J102" s="1440">
        <f t="shared" si="46"/>
        <v>0</v>
      </c>
      <c r="K102" s="1440">
        <f>K89</f>
        <v>0</v>
      </c>
      <c r="L102" s="1440">
        <f>L89</f>
        <v>0</v>
      </c>
      <c r="M102" s="1440">
        <f>M89</f>
        <v>0</v>
      </c>
    </row>
    <row r="103" spans="1:17">
      <c r="A103" s="1444"/>
      <c r="B103" s="1431" t="s">
        <v>855</v>
      </c>
      <c r="C103" s="1440">
        <f t="shared" ref="C103:J103" si="47">C96-C98</f>
        <v>310.25630334720017</v>
      </c>
      <c r="D103" s="1656">
        <f t="shared" si="47"/>
        <v>0</v>
      </c>
      <c r="E103" s="1440">
        <f t="shared" si="47"/>
        <v>0</v>
      </c>
      <c r="F103" s="1440">
        <f t="shared" si="47"/>
        <v>0</v>
      </c>
      <c r="G103" s="1440">
        <f t="shared" si="47"/>
        <v>71.457136000000048</v>
      </c>
      <c r="H103" s="1440">
        <f t="shared" si="47"/>
        <v>375.55213100416023</v>
      </c>
      <c r="I103" s="1440">
        <f t="shared" si="47"/>
        <v>-136.75296365696005</v>
      </c>
      <c r="J103" s="1440">
        <f t="shared" si="47"/>
        <v>0</v>
      </c>
      <c r="K103" s="1440">
        <f>K96-K98</f>
        <v>0</v>
      </c>
      <c r="L103" s="1440">
        <f>L96-L98</f>
        <v>0</v>
      </c>
      <c r="M103" s="1440">
        <f>M96-M98</f>
        <v>0</v>
      </c>
    </row>
    <row r="104" spans="1:17">
      <c r="B104" s="1431" t="s">
        <v>1570</v>
      </c>
      <c r="D104" s="1452">
        <f t="shared" ref="D104:M104" si="48">IF(D95&gt;$D$12,(1+D23)^(D95-$D$12),0)</f>
        <v>0</v>
      </c>
      <c r="E104" s="1452">
        <f t="shared" si="48"/>
        <v>0</v>
      </c>
      <c r="F104" s="1452">
        <f t="shared" si="48"/>
        <v>0</v>
      </c>
      <c r="G104" s="1452">
        <f t="shared" si="48"/>
        <v>0</v>
      </c>
      <c r="H104" s="1452">
        <f t="shared" si="48"/>
        <v>0</v>
      </c>
      <c r="I104" s="1452">
        <f t="shared" si="48"/>
        <v>0</v>
      </c>
      <c r="J104" s="1452">
        <f t="shared" si="48"/>
        <v>0</v>
      </c>
      <c r="K104" s="1452">
        <f t="shared" si="48"/>
        <v>0</v>
      </c>
      <c r="L104" s="1452">
        <f t="shared" si="48"/>
        <v>0</v>
      </c>
      <c r="M104" s="1452">
        <f t="shared" si="48"/>
        <v>0</v>
      </c>
    </row>
    <row r="105" spans="1:17">
      <c r="B105" s="1431" t="s">
        <v>1452</v>
      </c>
      <c r="C105" s="1440">
        <f>SUMIF(D95:M95,"&gt;"&amp;D12,D105:M105)</f>
        <v>0</v>
      </c>
      <c r="D105" s="1440" t="str">
        <f t="shared" ref="D105:M105" si="49">IF(D104&lt;&gt;0,D103/D104,"")</f>
        <v/>
      </c>
      <c r="E105" s="1440" t="str">
        <f t="shared" si="49"/>
        <v/>
      </c>
      <c r="F105" s="1440" t="str">
        <f t="shared" si="49"/>
        <v/>
      </c>
      <c r="G105" s="1440" t="str">
        <f t="shared" si="49"/>
        <v/>
      </c>
      <c r="H105" s="1440" t="str">
        <f t="shared" si="49"/>
        <v/>
      </c>
      <c r="I105" s="1440" t="str">
        <f t="shared" si="49"/>
        <v/>
      </c>
      <c r="J105" s="1440" t="str">
        <f t="shared" si="49"/>
        <v/>
      </c>
      <c r="K105" s="1440" t="str">
        <f t="shared" si="49"/>
        <v/>
      </c>
      <c r="L105" s="1440" t="str">
        <f t="shared" si="49"/>
        <v/>
      </c>
      <c r="M105" s="1440" t="str">
        <f t="shared" si="49"/>
        <v/>
      </c>
    </row>
    <row r="106" spans="1:17">
      <c r="B106" s="1407" t="s">
        <v>1590</v>
      </c>
      <c r="C106" s="1427">
        <f>C105*I5</f>
        <v>0</v>
      </c>
    </row>
    <row r="107" spans="1:17">
      <c r="B107" s="1407"/>
      <c r="C107" s="1427"/>
    </row>
    <row r="108" spans="1:17">
      <c r="B108" s="1407" t="s">
        <v>1588</v>
      </c>
      <c r="C108" s="1440"/>
      <c r="D108" s="1431">
        <f t="shared" ref="D108:J108" si="50">D95</f>
        <v>2013</v>
      </c>
      <c r="E108" s="1431">
        <f t="shared" si="50"/>
        <v>2014</v>
      </c>
      <c r="F108" s="1431">
        <f t="shared" si="50"/>
        <v>2015</v>
      </c>
      <c r="G108" s="1431">
        <f t="shared" si="50"/>
        <v>2016</v>
      </c>
      <c r="H108" s="1431">
        <f t="shared" si="50"/>
        <v>2017</v>
      </c>
      <c r="I108" s="1431">
        <f t="shared" si="50"/>
        <v>2018</v>
      </c>
      <c r="J108" s="1431">
        <f t="shared" si="50"/>
        <v>2019</v>
      </c>
      <c r="K108" s="1431">
        <f>K95</f>
        <v>2020</v>
      </c>
      <c r="L108" s="1431">
        <f>L95</f>
        <v>2021</v>
      </c>
      <c r="M108" s="1431">
        <f>M95</f>
        <v>2022</v>
      </c>
    </row>
    <row r="109" spans="1:17" s="1447" customFormat="1">
      <c r="A109" s="1459"/>
      <c r="B109" s="1460" t="e">
        <f>IRR(D109:M109)</f>
        <v>#NUM!</v>
      </c>
      <c r="C109" s="1408"/>
      <c r="D109" s="1408">
        <f>D103</f>
        <v>0</v>
      </c>
      <c r="E109" s="1408">
        <f t="shared" ref="E109:J109" si="51">E103</f>
        <v>0</v>
      </c>
      <c r="F109" s="1408">
        <f t="shared" si="51"/>
        <v>0</v>
      </c>
      <c r="G109" s="1408">
        <f t="shared" si="51"/>
        <v>71.457136000000048</v>
      </c>
      <c r="H109" s="1408">
        <f t="shared" si="51"/>
        <v>375.55213100416023</v>
      </c>
      <c r="I109" s="1408">
        <f t="shared" si="51"/>
        <v>-136.75296365696005</v>
      </c>
      <c r="J109" s="1408">
        <f t="shared" si="51"/>
        <v>0</v>
      </c>
      <c r="K109" s="1408">
        <f>K103</f>
        <v>0</v>
      </c>
      <c r="L109" s="1408">
        <f>L103</f>
        <v>0</v>
      </c>
      <c r="M109" s="1408">
        <f>M103</f>
        <v>0</v>
      </c>
    </row>
    <row r="110" spans="1:17">
      <c r="B110" s="1407" t="s">
        <v>1789</v>
      </c>
      <c r="C110" s="1440"/>
      <c r="D110" s="1656">
        <f t="shared" ref="D110:M110" si="52">D103+D116-D118</f>
        <v>0</v>
      </c>
      <c r="E110" s="1656">
        <f t="shared" si="52"/>
        <v>0</v>
      </c>
      <c r="F110" s="1656">
        <f t="shared" si="52"/>
        <v>0</v>
      </c>
      <c r="G110" s="1656">
        <f t="shared" si="52"/>
        <v>429.41907360000005</v>
      </c>
      <c r="H110" s="1656">
        <f t="shared" si="52"/>
        <v>375.55213100416023</v>
      </c>
      <c r="I110" s="1656">
        <f t="shared" si="52"/>
        <v>-494.71490125696005</v>
      </c>
      <c r="J110" s="1656">
        <f t="shared" si="52"/>
        <v>0</v>
      </c>
      <c r="K110" s="1656">
        <f t="shared" si="52"/>
        <v>0</v>
      </c>
      <c r="L110" s="1656">
        <f t="shared" si="52"/>
        <v>0</v>
      </c>
      <c r="M110" s="1656">
        <f t="shared" si="52"/>
        <v>0</v>
      </c>
    </row>
    <row r="111" spans="1:17">
      <c r="B111" s="1407"/>
      <c r="C111" s="1427"/>
      <c r="D111" s="1454"/>
      <c r="E111" s="1454"/>
      <c r="F111" s="1454"/>
      <c r="G111" s="1454"/>
      <c r="H111" s="1454"/>
      <c r="I111" s="1454"/>
      <c r="J111" s="1454"/>
      <c r="K111" s="1454"/>
      <c r="L111" s="1454"/>
      <c r="M111" s="1454"/>
    </row>
    <row r="112" spans="1:17">
      <c r="B112" s="1407"/>
      <c r="C112" s="1427"/>
    </row>
    <row r="113" spans="1:13" s="1407" customFormat="1">
      <c r="A113" s="1406">
        <v>8</v>
      </c>
      <c r="B113" s="1407" t="s">
        <v>1592</v>
      </c>
      <c r="C113" s="1440"/>
      <c r="D113" s="1431">
        <f t="shared" ref="D113:I113" si="53">D95</f>
        <v>2013</v>
      </c>
      <c r="E113" s="1431">
        <f t="shared" si="53"/>
        <v>2014</v>
      </c>
      <c r="F113" s="1431">
        <f t="shared" si="53"/>
        <v>2015</v>
      </c>
      <c r="G113" s="1431">
        <f t="shared" si="53"/>
        <v>2016</v>
      </c>
      <c r="H113" s="1431">
        <f t="shared" si="53"/>
        <v>2017</v>
      </c>
      <c r="I113" s="1431">
        <f t="shared" si="53"/>
        <v>2018</v>
      </c>
      <c r="J113" s="1431">
        <f>I113+1</f>
        <v>2019</v>
      </c>
      <c r="K113" s="1431">
        <f>J113+1</f>
        <v>2020</v>
      </c>
      <c r="L113" s="1431">
        <f>K113+1</f>
        <v>2021</v>
      </c>
      <c r="M113" s="1431">
        <f>L113+1</f>
        <v>2022</v>
      </c>
    </row>
    <row r="114" spans="1:13">
      <c r="B114" s="1432" t="s">
        <v>1571</v>
      </c>
      <c r="C114" s="1441">
        <f>D5*I6</f>
        <v>357.9619376</v>
      </c>
      <c r="D114" s="1432"/>
      <c r="E114" s="1432"/>
      <c r="F114" s="1432"/>
      <c r="G114" s="1432"/>
      <c r="H114" s="1432"/>
      <c r="I114" s="1432"/>
      <c r="J114" s="1456"/>
      <c r="K114" s="1456"/>
      <c r="L114" s="1456"/>
      <c r="M114" s="1456"/>
    </row>
    <row r="115" spans="1:13">
      <c r="B115" s="1431" t="s">
        <v>1572</v>
      </c>
      <c r="C115" s="1436">
        <f>SUM(D115:M115)</f>
        <v>1</v>
      </c>
      <c r="D115" s="1416">
        <v>0</v>
      </c>
      <c r="E115" s="1416">
        <v>0</v>
      </c>
      <c r="F115" s="1416">
        <v>0</v>
      </c>
      <c r="G115" s="1416">
        <v>1</v>
      </c>
      <c r="H115" s="1411">
        <v>0</v>
      </c>
      <c r="I115" s="1411">
        <v>0</v>
      </c>
      <c r="J115" s="1411">
        <v>0</v>
      </c>
      <c r="K115" s="1411">
        <v>0</v>
      </c>
      <c r="L115" s="1411">
        <v>0</v>
      </c>
      <c r="M115" s="1411">
        <v>0</v>
      </c>
    </row>
    <row r="116" spans="1:13">
      <c r="B116" s="1431" t="s">
        <v>1573</v>
      </c>
      <c r="C116" s="1440">
        <f>SUM(D116:M116)</f>
        <v>357.9619376</v>
      </c>
      <c r="D116" s="1410">
        <f t="shared" ref="D116:M116" si="54">D115*$C$114</f>
        <v>0</v>
      </c>
      <c r="E116" s="1410">
        <f t="shared" si="54"/>
        <v>0</v>
      </c>
      <c r="F116" s="1410">
        <f t="shared" si="54"/>
        <v>0</v>
      </c>
      <c r="G116" s="1410">
        <f t="shared" si="54"/>
        <v>357.9619376</v>
      </c>
      <c r="H116" s="1410">
        <f t="shared" si="54"/>
        <v>0</v>
      </c>
      <c r="I116" s="1410">
        <f t="shared" si="54"/>
        <v>0</v>
      </c>
      <c r="J116" s="1410">
        <f t="shared" si="54"/>
        <v>0</v>
      </c>
      <c r="K116" s="1410">
        <f t="shared" si="54"/>
        <v>0</v>
      </c>
      <c r="L116" s="1410">
        <f t="shared" si="54"/>
        <v>0</v>
      </c>
      <c r="M116" s="1410">
        <f t="shared" si="54"/>
        <v>0</v>
      </c>
    </row>
    <row r="117" spans="1:13">
      <c r="B117" s="1431" t="s">
        <v>868</v>
      </c>
      <c r="C117" s="1440"/>
      <c r="D117" s="1440">
        <f>D116</f>
        <v>0</v>
      </c>
      <c r="E117" s="1440">
        <f>E116</f>
        <v>0</v>
      </c>
      <c r="F117" s="1440">
        <f>F116</f>
        <v>0</v>
      </c>
      <c r="G117" s="1440">
        <f t="shared" ref="G117:M117" si="55">F120+G116</f>
        <v>357.9619376</v>
      </c>
      <c r="H117" s="1440">
        <f t="shared" si="55"/>
        <v>357.9619376</v>
      </c>
      <c r="I117" s="1440">
        <f t="shared" si="55"/>
        <v>357.9619376</v>
      </c>
      <c r="J117" s="1440">
        <f t="shared" si="55"/>
        <v>0</v>
      </c>
      <c r="K117" s="1440">
        <f t="shared" si="55"/>
        <v>0</v>
      </c>
      <c r="L117" s="1440">
        <f t="shared" si="55"/>
        <v>0</v>
      </c>
      <c r="M117" s="1440">
        <f t="shared" si="55"/>
        <v>0</v>
      </c>
    </row>
    <row r="118" spans="1:13">
      <c r="B118" s="1431" t="s">
        <v>1574</v>
      </c>
      <c r="C118" s="1440">
        <f>SUM(D118:M118)</f>
        <v>357.9619376</v>
      </c>
      <c r="D118" s="1423"/>
      <c r="E118" s="1423"/>
      <c r="F118" s="1423"/>
      <c r="G118" s="1423"/>
      <c r="H118" s="1423"/>
      <c r="I118" s="1410">
        <f>C114</f>
        <v>357.9619376</v>
      </c>
      <c r="J118" s="1410"/>
      <c r="K118" s="1440"/>
      <c r="L118" s="1440"/>
      <c r="M118" s="1440"/>
    </row>
    <row r="119" spans="1:13">
      <c r="B119" s="1431" t="s">
        <v>869</v>
      </c>
      <c r="C119" s="1440">
        <f>SUM(D119:M119)</f>
        <v>128.86629753599999</v>
      </c>
      <c r="D119" s="1440">
        <f t="shared" ref="D119:M119" si="56">D117*D21</f>
        <v>0</v>
      </c>
      <c r="E119" s="1440">
        <f t="shared" si="56"/>
        <v>0</v>
      </c>
      <c r="F119" s="1440">
        <f t="shared" si="56"/>
        <v>0</v>
      </c>
      <c r="G119" s="1440">
        <f t="shared" si="56"/>
        <v>42.955432512000002</v>
      </c>
      <c r="H119" s="1440">
        <f t="shared" si="56"/>
        <v>42.955432512000002</v>
      </c>
      <c r="I119" s="1440">
        <f t="shared" si="56"/>
        <v>42.955432512000002</v>
      </c>
      <c r="J119" s="1440">
        <f t="shared" si="56"/>
        <v>0</v>
      </c>
      <c r="K119" s="1440">
        <f t="shared" si="56"/>
        <v>0</v>
      </c>
      <c r="L119" s="1440">
        <f t="shared" si="56"/>
        <v>0</v>
      </c>
      <c r="M119" s="1440">
        <f t="shared" si="56"/>
        <v>0</v>
      </c>
    </row>
    <row r="120" spans="1:13">
      <c r="B120" s="1431" t="s">
        <v>874</v>
      </c>
      <c r="C120" s="1440"/>
      <c r="D120" s="1440">
        <f t="shared" ref="D120:M120" si="57">D117-D118</f>
        <v>0</v>
      </c>
      <c r="E120" s="1440">
        <f t="shared" si="57"/>
        <v>0</v>
      </c>
      <c r="F120" s="1440">
        <f t="shared" si="57"/>
        <v>0</v>
      </c>
      <c r="G120" s="1440">
        <f t="shared" si="57"/>
        <v>357.9619376</v>
      </c>
      <c r="H120" s="1440">
        <f t="shared" si="57"/>
        <v>357.9619376</v>
      </c>
      <c r="I120" s="1440">
        <f t="shared" si="57"/>
        <v>0</v>
      </c>
      <c r="J120" s="1440">
        <f t="shared" si="57"/>
        <v>0</v>
      </c>
      <c r="K120" s="1440">
        <f t="shared" si="57"/>
        <v>0</v>
      </c>
      <c r="L120" s="1440">
        <f t="shared" si="57"/>
        <v>0</v>
      </c>
      <c r="M120" s="1440">
        <f t="shared" si="57"/>
        <v>0</v>
      </c>
    </row>
    <row r="121" spans="1:13">
      <c r="C121" s="1440"/>
      <c r="D121" s="1412"/>
      <c r="E121" s="1440"/>
      <c r="F121" s="1440"/>
      <c r="G121" s="1440"/>
      <c r="H121" s="1440"/>
    </row>
    <row r="122" spans="1:13">
      <c r="C122" s="1440"/>
    </row>
    <row r="123" spans="1:13" s="1407" customFormat="1">
      <c r="A123" s="1406">
        <v>9</v>
      </c>
      <c r="B123" s="1407" t="s">
        <v>350</v>
      </c>
      <c r="C123" s="1440"/>
      <c r="D123" s="1431">
        <f t="shared" ref="D123:J123" si="58">D95</f>
        <v>2013</v>
      </c>
      <c r="E123" s="1431">
        <f t="shared" si="58"/>
        <v>2014</v>
      </c>
      <c r="F123" s="1431">
        <f t="shared" si="58"/>
        <v>2015</v>
      </c>
      <c r="G123" s="1431">
        <f t="shared" si="58"/>
        <v>2016</v>
      </c>
      <c r="H123" s="1431">
        <f t="shared" si="58"/>
        <v>2017</v>
      </c>
      <c r="I123" s="1431">
        <f t="shared" si="58"/>
        <v>2018</v>
      </c>
      <c r="J123" s="1431">
        <f t="shared" si="58"/>
        <v>2019</v>
      </c>
      <c r="K123" s="1431">
        <f>K95</f>
        <v>2020</v>
      </c>
      <c r="L123" s="1431">
        <f>L95</f>
        <v>2021</v>
      </c>
      <c r="M123" s="1431">
        <f>M95</f>
        <v>2022</v>
      </c>
    </row>
    <row r="124" spans="1:13">
      <c r="B124" s="1432" t="s">
        <v>1575</v>
      </c>
      <c r="C124" s="1441"/>
      <c r="D124" s="1441">
        <f>D63</f>
        <v>0</v>
      </c>
      <c r="E124" s="1408">
        <f t="shared" ref="E124:M124" si="59">D124+E63</f>
        <v>0</v>
      </c>
      <c r="F124" s="1408">
        <f t="shared" si="59"/>
        <v>0</v>
      </c>
      <c r="G124" s="1408">
        <f t="shared" si="59"/>
        <v>214.30553600000005</v>
      </c>
      <c r="H124" s="1408">
        <f t="shared" si="59"/>
        <v>1071.5276800000001</v>
      </c>
      <c r="I124" s="1408">
        <f t="shared" si="59"/>
        <v>1071.5276800000001</v>
      </c>
      <c r="J124" s="1408">
        <f t="shared" si="59"/>
        <v>1071.5276800000001</v>
      </c>
      <c r="K124" s="1408">
        <f t="shared" si="59"/>
        <v>1071.5276800000001</v>
      </c>
      <c r="L124" s="1408">
        <f t="shared" si="59"/>
        <v>1071.5276800000001</v>
      </c>
      <c r="M124" s="1408">
        <f t="shared" si="59"/>
        <v>1071.5276800000001</v>
      </c>
    </row>
    <row r="125" spans="1:13">
      <c r="B125" s="1431" t="s">
        <v>1576</v>
      </c>
      <c r="C125" s="1440"/>
      <c r="D125" s="1440">
        <f>D57</f>
        <v>0</v>
      </c>
      <c r="E125" s="1440">
        <f t="shared" ref="E125:M125" si="60">D125+E57</f>
        <v>0</v>
      </c>
      <c r="F125" s="1440">
        <f t="shared" si="60"/>
        <v>0</v>
      </c>
      <c r="G125" s="1440">
        <f t="shared" si="60"/>
        <v>0</v>
      </c>
      <c r="H125" s="1440">
        <f t="shared" si="60"/>
        <v>321.45830400000006</v>
      </c>
      <c r="I125" s="1440">
        <f t="shared" si="60"/>
        <v>1071.5276800000001</v>
      </c>
      <c r="J125" s="1440">
        <f t="shared" si="60"/>
        <v>1071.5276800000001</v>
      </c>
      <c r="K125" s="1440">
        <f t="shared" si="60"/>
        <v>1071.5276800000001</v>
      </c>
      <c r="L125" s="1440">
        <f t="shared" si="60"/>
        <v>1071.5276800000001</v>
      </c>
      <c r="M125" s="1440">
        <f t="shared" si="60"/>
        <v>1071.5276800000001</v>
      </c>
    </row>
    <row r="126" spans="1:13">
      <c r="B126" s="1431" t="s">
        <v>1577</v>
      </c>
      <c r="C126" s="1440"/>
      <c r="D126" s="1440">
        <f>D50</f>
        <v>0</v>
      </c>
      <c r="E126" s="1440">
        <f t="shared" ref="E126:M126" si="61">D126+E50</f>
        <v>0</v>
      </c>
      <c r="F126" s="1440">
        <f t="shared" si="61"/>
        <v>0</v>
      </c>
      <c r="G126" s="1440">
        <f t="shared" si="61"/>
        <v>1071.5276800000001</v>
      </c>
      <c r="H126" s="1440">
        <f t="shared" si="61"/>
        <v>1071.5276800000001</v>
      </c>
      <c r="I126" s="1440">
        <f t="shared" si="61"/>
        <v>1071.5276800000001</v>
      </c>
      <c r="J126" s="1440">
        <f t="shared" si="61"/>
        <v>1071.5276800000001</v>
      </c>
      <c r="K126" s="1440">
        <f t="shared" si="61"/>
        <v>1071.5276800000001</v>
      </c>
      <c r="L126" s="1440">
        <f t="shared" si="61"/>
        <v>1071.5276800000001</v>
      </c>
      <c r="M126" s="1440">
        <f t="shared" si="61"/>
        <v>1071.5276800000001</v>
      </c>
    </row>
    <row r="127" spans="1:13">
      <c r="B127" s="1431" t="s">
        <v>1578</v>
      </c>
      <c r="C127" s="1440"/>
      <c r="D127" s="1436" t="str">
        <f t="shared" ref="D127:J127" si="62">IF(D124&lt;&gt;0,D124/D126,"")</f>
        <v/>
      </c>
      <c r="E127" s="1436" t="str">
        <f t="shared" si="62"/>
        <v/>
      </c>
      <c r="F127" s="1436" t="str">
        <f t="shared" si="62"/>
        <v/>
      </c>
      <c r="G127" s="1436">
        <f t="shared" si="62"/>
        <v>0.2</v>
      </c>
      <c r="H127" s="1436">
        <f t="shared" si="62"/>
        <v>1</v>
      </c>
      <c r="I127" s="1436">
        <f t="shared" si="62"/>
        <v>1</v>
      </c>
      <c r="J127" s="1436">
        <f t="shared" si="62"/>
        <v>1</v>
      </c>
      <c r="K127" s="1436">
        <f>IF(K124&lt;&gt;0,K124/K126,"")</f>
        <v>1</v>
      </c>
      <c r="L127" s="1436">
        <f>IF(L124&lt;&gt;0,L124/L126,"")</f>
        <v>1</v>
      </c>
      <c r="M127" s="1436">
        <f>IF(M124&lt;&gt;0,M124/M126,"")</f>
        <v>1</v>
      </c>
    </row>
    <row r="128" spans="1:13">
      <c r="B128" s="1431" t="s">
        <v>1579</v>
      </c>
      <c r="C128" s="1440"/>
      <c r="D128" s="1410">
        <f t="shared" ref="D128:J128" si="63">IF(D124&gt;D125,D124-D125,0)</f>
        <v>0</v>
      </c>
      <c r="E128" s="1410">
        <f t="shared" si="63"/>
        <v>0</v>
      </c>
      <c r="F128" s="1410">
        <f t="shared" si="63"/>
        <v>0</v>
      </c>
      <c r="G128" s="1410">
        <f t="shared" si="63"/>
        <v>214.30553600000005</v>
      </c>
      <c r="H128" s="1410">
        <f t="shared" si="63"/>
        <v>750.06937600000015</v>
      </c>
      <c r="I128" s="1410">
        <f t="shared" si="63"/>
        <v>0</v>
      </c>
      <c r="J128" s="1410">
        <f t="shared" si="63"/>
        <v>0</v>
      </c>
      <c r="K128" s="1410">
        <f>IF(K124&gt;K125,K124-K125,0)</f>
        <v>0</v>
      </c>
      <c r="L128" s="1410">
        <f>IF(L124&gt;L125,L124-L125,0)</f>
        <v>0</v>
      </c>
      <c r="M128" s="1410">
        <f>IF(M124&gt;M125,M124-M125,0)</f>
        <v>0</v>
      </c>
    </row>
    <row r="129" spans="1:13" s="1407" customFormat="1">
      <c r="A129" s="1406"/>
      <c r="B129" s="1431" t="s">
        <v>1580</v>
      </c>
      <c r="C129" s="1440"/>
      <c r="D129" s="1410">
        <f t="shared" ref="D129:J129" si="64">IF(D125&gt;D124,D125-D124,0)</f>
        <v>0</v>
      </c>
      <c r="E129" s="1410">
        <f t="shared" si="64"/>
        <v>0</v>
      </c>
      <c r="F129" s="1410">
        <f t="shared" si="64"/>
        <v>0</v>
      </c>
      <c r="G129" s="1410">
        <f t="shared" si="64"/>
        <v>0</v>
      </c>
      <c r="H129" s="1410">
        <f t="shared" si="64"/>
        <v>0</v>
      </c>
      <c r="I129" s="1410">
        <f t="shared" si="64"/>
        <v>0</v>
      </c>
      <c r="J129" s="1410">
        <f t="shared" si="64"/>
        <v>0</v>
      </c>
      <c r="K129" s="1410">
        <f>IF(K125&gt;K124,K125-K124,0)</f>
        <v>0</v>
      </c>
      <c r="L129" s="1410">
        <f>IF(L125&gt;L124,L125-L124,0)</f>
        <v>0</v>
      </c>
      <c r="M129" s="1410">
        <f>IF(M125&gt;M124,M125-M124,0)</f>
        <v>0</v>
      </c>
    </row>
    <row r="130" spans="1:13">
      <c r="B130" s="1407"/>
      <c r="E130" s="1440"/>
      <c r="F130" s="1440"/>
      <c r="G130" s="1440"/>
      <c r="H130" s="1440"/>
      <c r="I130" s="1440"/>
      <c r="J130" s="1440"/>
      <c r="K130" s="1440"/>
      <c r="L130" s="1440"/>
      <c r="M130" s="1440"/>
    </row>
    <row r="131" spans="1:13">
      <c r="B131" s="1407" t="s">
        <v>1492</v>
      </c>
      <c r="E131" s="1440"/>
      <c r="F131" s="1440"/>
      <c r="G131" s="1440"/>
      <c r="H131" s="1440"/>
      <c r="I131" s="1440"/>
      <c r="J131" s="1440"/>
      <c r="K131" s="1440"/>
      <c r="L131" s="1440"/>
      <c r="M131" s="1440"/>
    </row>
    <row r="132" spans="1:13">
      <c r="B132" s="1431" t="s">
        <v>1581</v>
      </c>
      <c r="D132" s="1412">
        <v>0</v>
      </c>
      <c r="E132" s="1410">
        <f t="shared" ref="E132:J132" si="65">D136</f>
        <v>0</v>
      </c>
      <c r="F132" s="1440">
        <f t="shared" si="65"/>
        <v>0</v>
      </c>
      <c r="G132" s="1440">
        <f t="shared" si="65"/>
        <v>0</v>
      </c>
      <c r="H132" s="1440">
        <f t="shared" si="65"/>
        <v>142.8484</v>
      </c>
      <c r="I132" s="1440">
        <f t="shared" si="65"/>
        <v>396.137</v>
      </c>
      <c r="J132" s="1440">
        <f t="shared" si="65"/>
        <v>0</v>
      </c>
      <c r="K132" s="1440">
        <f>J136</f>
        <v>0</v>
      </c>
      <c r="L132" s="1440">
        <f>K136</f>
        <v>0</v>
      </c>
      <c r="M132" s="1440">
        <f>L136</f>
        <v>0</v>
      </c>
    </row>
    <row r="133" spans="1:13">
      <c r="B133" s="1431" t="s">
        <v>994</v>
      </c>
      <c r="D133" s="1440">
        <f t="shared" ref="D133:M133" si="66">SUM(D99:D100)</f>
        <v>0</v>
      </c>
      <c r="E133" s="1440">
        <f t="shared" si="66"/>
        <v>0</v>
      </c>
      <c r="F133" s="1440">
        <f t="shared" si="66"/>
        <v>0</v>
      </c>
      <c r="G133" s="1440">
        <f t="shared" si="66"/>
        <v>142.8484</v>
      </c>
      <c r="H133" s="1440">
        <f t="shared" si="66"/>
        <v>423.06159999999994</v>
      </c>
      <c r="I133" s="1440">
        <f t="shared" si="66"/>
        <v>0</v>
      </c>
      <c r="J133" s="1440">
        <f t="shared" si="66"/>
        <v>0</v>
      </c>
      <c r="K133" s="1440">
        <f t="shared" si="66"/>
        <v>0</v>
      </c>
      <c r="L133" s="1440">
        <f t="shared" si="66"/>
        <v>0</v>
      </c>
      <c r="M133" s="1440">
        <f t="shared" si="66"/>
        <v>0</v>
      </c>
    </row>
    <row r="134" spans="1:13">
      <c r="B134" s="1431" t="s">
        <v>1582</v>
      </c>
      <c r="D134" s="1431">
        <f t="shared" ref="D134:J134" si="67">$C$77*D58</f>
        <v>0</v>
      </c>
      <c r="E134" s="1431">
        <f t="shared" si="67"/>
        <v>0</v>
      </c>
      <c r="F134" s="1440">
        <f t="shared" si="67"/>
        <v>0</v>
      </c>
      <c r="G134" s="1440">
        <f t="shared" si="67"/>
        <v>0</v>
      </c>
      <c r="H134" s="1440">
        <f t="shared" si="67"/>
        <v>38.659889260799993</v>
      </c>
      <c r="I134" s="1440">
        <f t="shared" si="67"/>
        <v>90.20640827519999</v>
      </c>
      <c r="J134" s="1440">
        <f t="shared" si="67"/>
        <v>0</v>
      </c>
      <c r="K134" s="1440">
        <f>$C$77*K58</f>
        <v>0</v>
      </c>
      <c r="L134" s="1440">
        <f>$C$77*L58</f>
        <v>0</v>
      </c>
      <c r="M134" s="1440">
        <f>$C$77*M58</f>
        <v>0</v>
      </c>
    </row>
    <row r="135" spans="1:13">
      <c r="B135" s="1431" t="s">
        <v>1583</v>
      </c>
      <c r="D135" s="1440">
        <f t="shared" ref="D135:J135" si="68">SUM(D75:D77)</f>
        <v>0</v>
      </c>
      <c r="E135" s="1440">
        <f t="shared" si="68"/>
        <v>0</v>
      </c>
      <c r="F135" s="1440">
        <f t="shared" si="68"/>
        <v>0</v>
      </c>
      <c r="G135" s="1440">
        <f t="shared" si="68"/>
        <v>0</v>
      </c>
      <c r="H135" s="1440">
        <f t="shared" si="68"/>
        <v>208.43288926079998</v>
      </c>
      <c r="I135" s="1440">
        <f t="shared" si="68"/>
        <v>486.34340827519992</v>
      </c>
      <c r="J135" s="1440">
        <f t="shared" si="68"/>
        <v>0</v>
      </c>
      <c r="K135" s="1440">
        <f>SUM(K75:K77)</f>
        <v>0</v>
      </c>
      <c r="L135" s="1440">
        <f>SUM(L75:L77)</f>
        <v>0</v>
      </c>
      <c r="M135" s="1440">
        <f>SUM(M75:M77)</f>
        <v>0</v>
      </c>
    </row>
    <row r="136" spans="1:13">
      <c r="B136" s="1431" t="s">
        <v>874</v>
      </c>
      <c r="D136" s="1440">
        <f t="shared" ref="D136:M136" si="69">SUM(D132:D134)-D135</f>
        <v>0</v>
      </c>
      <c r="E136" s="1440">
        <f t="shared" si="69"/>
        <v>0</v>
      </c>
      <c r="F136" s="1440">
        <f t="shared" si="69"/>
        <v>0</v>
      </c>
      <c r="G136" s="1440">
        <f t="shared" si="69"/>
        <v>142.8484</v>
      </c>
      <c r="H136" s="1440">
        <f t="shared" si="69"/>
        <v>396.137</v>
      </c>
      <c r="I136" s="1440">
        <f t="shared" si="69"/>
        <v>0</v>
      </c>
      <c r="J136" s="1440">
        <f t="shared" si="69"/>
        <v>0</v>
      </c>
      <c r="K136" s="1440">
        <f t="shared" si="69"/>
        <v>0</v>
      </c>
      <c r="L136" s="1440">
        <f t="shared" si="69"/>
        <v>0</v>
      </c>
      <c r="M136" s="1440">
        <f t="shared" si="69"/>
        <v>0</v>
      </c>
    </row>
    <row r="137" spans="1:13">
      <c r="A137" s="1430" t="s">
        <v>1584</v>
      </c>
      <c r="B137" s="1432"/>
      <c r="C137" s="1432"/>
      <c r="D137" s="1432"/>
      <c r="E137" s="1432"/>
      <c r="F137" s="1432"/>
      <c r="G137" s="1432"/>
      <c r="H137" s="1432"/>
      <c r="I137" s="1432"/>
      <c r="J137" s="1432"/>
      <c r="K137" s="1432"/>
      <c r="L137" s="1432"/>
      <c r="M137" s="1432"/>
    </row>
  </sheetData>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S137"/>
  <sheetViews>
    <sheetView zoomScale="115" zoomScaleNormal="115" workbookViewId="0">
      <selection activeCell="N21" sqref="N21:Q21"/>
    </sheetView>
  </sheetViews>
  <sheetFormatPr defaultColWidth="9.140625" defaultRowHeight="12"/>
  <cols>
    <col min="1" max="1" width="5.85546875" style="1406" customWidth="1"/>
    <col min="2" max="2" width="27.140625" style="1431" customWidth="1"/>
    <col min="3" max="13" width="9.140625" style="1431" customWidth="1"/>
    <col min="14" max="14" width="9.140625" style="1431" bestFit="1" customWidth="1"/>
    <col min="15" max="16384" width="9.140625" style="1431"/>
  </cols>
  <sheetData>
    <row r="1" spans="1:19" ht="21">
      <c r="A1" s="1404" t="s">
        <v>1816</v>
      </c>
    </row>
    <row r="2" spans="1:19">
      <c r="A2" s="1405" t="s">
        <v>1776</v>
      </c>
    </row>
    <row r="4" spans="1:19">
      <c r="B4" s="1407" t="s">
        <v>1539</v>
      </c>
      <c r="F4" s="1407" t="s">
        <v>1540</v>
      </c>
      <c r="K4" s="1407" t="s">
        <v>1595</v>
      </c>
      <c r="P4" s="1407" t="s">
        <v>1783</v>
      </c>
    </row>
    <row r="5" spans="1:19">
      <c r="B5" s="1432" t="s">
        <v>748</v>
      </c>
      <c r="C5" s="1432"/>
      <c r="D5" s="1408">
        <f>SUM(D6:D8)</f>
        <v>454.41762</v>
      </c>
      <c r="F5" s="1432" t="s">
        <v>636</v>
      </c>
      <c r="G5" s="1432"/>
      <c r="H5" s="1432"/>
      <c r="I5" s="1409">
        <v>1</v>
      </c>
      <c r="K5" s="1432" t="s">
        <v>26</v>
      </c>
      <c r="L5" s="1432"/>
      <c r="M5" s="1432"/>
      <c r="N5" s="1441">
        <f>C83</f>
        <v>690.48299999999995</v>
      </c>
      <c r="P5" s="1432" t="s">
        <v>1777</v>
      </c>
      <c r="Q5" s="1432"/>
      <c r="R5" s="1432"/>
      <c r="S5" s="1422">
        <v>420</v>
      </c>
    </row>
    <row r="6" spans="1:19">
      <c r="B6" s="1431" t="s">
        <v>678</v>
      </c>
      <c r="D6" s="1410">
        <f>SUM(E31:E32)</f>
        <v>57.54</v>
      </c>
      <c r="F6" s="1431" t="s">
        <v>1542</v>
      </c>
      <c r="I6" s="1586">
        <v>0.5</v>
      </c>
      <c r="K6" s="1431" t="s">
        <v>197</v>
      </c>
      <c r="N6" s="1436">
        <f>C91</f>
        <v>0.36342361564296288</v>
      </c>
      <c r="P6" s="1431" t="s">
        <v>1778</v>
      </c>
      <c r="S6" s="1440">
        <f>D42/S5</f>
        <v>71.478571428571428</v>
      </c>
    </row>
    <row r="7" spans="1:19">
      <c r="B7" s="1431" t="s">
        <v>750</v>
      </c>
      <c r="D7" s="1410">
        <f>C70</f>
        <v>300.20999999999998</v>
      </c>
      <c r="F7" s="1431" t="s">
        <v>759</v>
      </c>
      <c r="I7" s="1440">
        <f>C114</f>
        <v>227.20881</v>
      </c>
      <c r="K7" s="1431" t="s">
        <v>1779</v>
      </c>
      <c r="N7" s="1436">
        <f>C92</f>
        <v>0.17873889251437031</v>
      </c>
      <c r="P7" s="1431" t="s">
        <v>1792</v>
      </c>
      <c r="S7" s="1412">
        <v>23</v>
      </c>
    </row>
    <row r="8" spans="1:19">
      <c r="B8" s="1431" t="s">
        <v>656</v>
      </c>
      <c r="D8" s="1440">
        <f>C79</f>
        <v>96.667619999999999</v>
      </c>
      <c r="F8" s="1431" t="s">
        <v>1544</v>
      </c>
      <c r="I8" s="1433">
        <f>G23</f>
        <v>0.1105</v>
      </c>
      <c r="K8" s="1431" t="s">
        <v>1720</v>
      </c>
      <c r="N8" s="1440">
        <f>C105</f>
        <v>0</v>
      </c>
      <c r="P8" s="1431" t="s">
        <v>1784</v>
      </c>
      <c r="S8" s="1423">
        <v>7</v>
      </c>
    </row>
    <row r="9" spans="1:19">
      <c r="B9" s="1431" t="s">
        <v>869</v>
      </c>
      <c r="D9" s="1440">
        <f>C119</f>
        <v>81.795171599999989</v>
      </c>
      <c r="F9" s="1431" t="s">
        <v>1588</v>
      </c>
      <c r="I9" s="1425">
        <f>B109</f>
        <v>-0.45153884863538807</v>
      </c>
      <c r="K9" s="1431" t="s">
        <v>1601</v>
      </c>
      <c r="N9" s="1410">
        <f>C90</f>
        <v>123.41616671999995</v>
      </c>
      <c r="P9" s="1431" t="s">
        <v>1560</v>
      </c>
      <c r="S9" s="1416">
        <v>0.6</v>
      </c>
    </row>
    <row r="10" spans="1:19">
      <c r="B10" s="1431" t="s">
        <v>1543</v>
      </c>
      <c r="D10" s="1412">
        <v>2016</v>
      </c>
      <c r="F10" s="1431" t="s">
        <v>1781</v>
      </c>
      <c r="I10" s="1436">
        <f>C105/C90</f>
        <v>0</v>
      </c>
      <c r="K10" s="1431" t="s">
        <v>1141</v>
      </c>
      <c r="N10" s="1423">
        <v>8220</v>
      </c>
      <c r="P10" s="1431" t="s">
        <v>1785</v>
      </c>
      <c r="S10" s="1423">
        <v>6</v>
      </c>
    </row>
    <row r="11" spans="1:19">
      <c r="B11" s="1431" t="s">
        <v>751</v>
      </c>
      <c r="D11" s="1412">
        <v>2018</v>
      </c>
      <c r="F11" s="1431" t="s">
        <v>1782</v>
      </c>
      <c r="I11" s="1436">
        <f>C70/C50</f>
        <v>0.43478260869565216</v>
      </c>
      <c r="K11" s="1431" t="s">
        <v>686</v>
      </c>
      <c r="N11" s="1643">
        <v>50035</v>
      </c>
      <c r="P11" s="1431" t="s">
        <v>1786</v>
      </c>
      <c r="S11" s="1596">
        <f>'Opal Central Park'!$S$11</f>
        <v>0.14000000000000001</v>
      </c>
    </row>
    <row r="12" spans="1:19">
      <c r="B12" s="1431" t="s">
        <v>1545</v>
      </c>
      <c r="D12" s="1594">
        <f>'Opal Riverside'!D12</f>
        <v>2022</v>
      </c>
      <c r="F12" s="1431" t="s">
        <v>1780</v>
      </c>
      <c r="I12" s="1436">
        <f>E32/C50</f>
        <v>8.3332971267938538E-2</v>
      </c>
      <c r="K12" s="1431" t="s">
        <v>1790</v>
      </c>
      <c r="N12" s="1599" t="s">
        <v>1501</v>
      </c>
      <c r="P12" s="1431" t="s">
        <v>1791</v>
      </c>
      <c r="S12" s="1423"/>
    </row>
    <row r="13" spans="1:19">
      <c r="E13" s="1412"/>
      <c r="J13" s="1413"/>
    </row>
    <row r="14" spans="1:19">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row>
    <row r="15" spans="1:19">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row>
    <row r="16" spans="1:19">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row>
    <row r="17" spans="1:17">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row>
    <row r="18" spans="1:17">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row>
    <row r="19" spans="1:17">
      <c r="B19" s="1431" t="s">
        <v>758</v>
      </c>
      <c r="D19" s="1433">
        <f t="shared" ref="D19:Q19" si="1">D17+D16*D18</f>
        <v>0.125</v>
      </c>
      <c r="E19" s="1433">
        <f t="shared" si="1"/>
        <v>0.125</v>
      </c>
      <c r="F19" s="1433">
        <f t="shared" si="1"/>
        <v>0.125</v>
      </c>
      <c r="G19" s="1433">
        <f t="shared" si="1"/>
        <v>0.125</v>
      </c>
      <c r="H19" s="1433">
        <f t="shared" si="1"/>
        <v>0.125</v>
      </c>
      <c r="I19" s="1433">
        <f t="shared" si="1"/>
        <v>0.125</v>
      </c>
      <c r="J19" s="1433">
        <f t="shared" si="1"/>
        <v>0.125</v>
      </c>
      <c r="K19" s="1433">
        <f t="shared" si="1"/>
        <v>0.125</v>
      </c>
      <c r="L19" s="1433">
        <f t="shared" si="1"/>
        <v>0.125</v>
      </c>
      <c r="M19" s="1433">
        <f t="shared" si="1"/>
        <v>0.125</v>
      </c>
      <c r="N19" s="1433">
        <f t="shared" si="1"/>
        <v>0.14600000000000002</v>
      </c>
      <c r="O19" s="1433">
        <f t="shared" si="1"/>
        <v>0.14600000000000002</v>
      </c>
      <c r="P19" s="1433">
        <f t="shared" si="1"/>
        <v>0.14600000000000002</v>
      </c>
      <c r="Q19" s="1433">
        <f t="shared" si="1"/>
        <v>0.14600000000000002</v>
      </c>
    </row>
    <row r="20" spans="1:17">
      <c r="B20" s="1431" t="s">
        <v>1542</v>
      </c>
      <c r="D20" s="1436">
        <f t="shared" ref="D20:Q20" si="2">$I$6</f>
        <v>0.5</v>
      </c>
      <c r="E20" s="1436">
        <f t="shared" si="2"/>
        <v>0.5</v>
      </c>
      <c r="F20" s="1436">
        <f t="shared" si="2"/>
        <v>0.5</v>
      </c>
      <c r="G20" s="1436">
        <f t="shared" si="2"/>
        <v>0.5</v>
      </c>
      <c r="H20" s="1436">
        <f t="shared" si="2"/>
        <v>0.5</v>
      </c>
      <c r="I20" s="1436">
        <f t="shared" si="2"/>
        <v>0.5</v>
      </c>
      <c r="J20" s="1436">
        <f t="shared" si="2"/>
        <v>0.5</v>
      </c>
      <c r="K20" s="1436">
        <f t="shared" si="2"/>
        <v>0.5</v>
      </c>
      <c r="L20" s="1436">
        <f t="shared" si="2"/>
        <v>0.5</v>
      </c>
      <c r="M20" s="1436">
        <f t="shared" si="2"/>
        <v>0.5</v>
      </c>
      <c r="N20" s="1436">
        <f t="shared" si="2"/>
        <v>0.5</v>
      </c>
      <c r="O20" s="1436">
        <f t="shared" si="2"/>
        <v>0.5</v>
      </c>
      <c r="P20" s="1436">
        <f t="shared" si="2"/>
        <v>0.5</v>
      </c>
      <c r="Q20" s="1436">
        <f t="shared" si="2"/>
        <v>0.5</v>
      </c>
    </row>
    <row r="21" spans="1:17">
      <c r="B21" s="1431" t="s">
        <v>760</v>
      </c>
      <c r="D21" s="1581">
        <f>'Opal Central Park'!D21</f>
        <v>0.14000000000000001</v>
      </c>
      <c r="E21" s="1581">
        <f>'Opal Central Park'!E21</f>
        <v>0.13</v>
      </c>
      <c r="F21" s="1581">
        <f>'Opal Central Park'!F21</f>
        <v>0.1</v>
      </c>
      <c r="G21" s="1581">
        <f>'Opal Central Park'!G21</f>
        <v>0.12</v>
      </c>
      <c r="H21" s="1425">
        <f>G21</f>
        <v>0.12</v>
      </c>
      <c r="I21" s="1418">
        <f t="shared" ref="H21:Q22" si="3">H21</f>
        <v>0.12</v>
      </c>
      <c r="J21" s="1418">
        <f t="shared" si="3"/>
        <v>0.12</v>
      </c>
      <c r="K21" s="1418">
        <f t="shared" si="3"/>
        <v>0.12</v>
      </c>
      <c r="L21" s="1418">
        <f t="shared" si="3"/>
        <v>0.12</v>
      </c>
      <c r="M21" s="1418">
        <f t="shared" si="3"/>
        <v>0.12</v>
      </c>
      <c r="N21" s="2182">
        <v>0.13</v>
      </c>
      <c r="O21" s="2182">
        <v>0.13</v>
      </c>
      <c r="P21" s="2182">
        <v>0.13</v>
      </c>
      <c r="Q21" s="2182">
        <v>0.13</v>
      </c>
    </row>
    <row r="22" spans="1:17">
      <c r="B22" s="1431" t="s">
        <v>846</v>
      </c>
      <c r="D22" s="1596">
        <f>'Opal Central Park'!D22</f>
        <v>0.22</v>
      </c>
      <c r="E22" s="1596">
        <f>'Opal Central Park'!E22</f>
        <v>0.22</v>
      </c>
      <c r="F22" s="1596">
        <f>'Opal Central Park'!F22</f>
        <v>0.22</v>
      </c>
      <c r="G22" s="1596">
        <f>'Opal Central Park'!G22</f>
        <v>0.2</v>
      </c>
      <c r="H22" s="1417">
        <f t="shared" si="3"/>
        <v>0.2</v>
      </c>
      <c r="I22" s="1417">
        <f t="shared" si="3"/>
        <v>0.2</v>
      </c>
      <c r="J22" s="1417">
        <f t="shared" si="3"/>
        <v>0.2</v>
      </c>
      <c r="K22" s="1417">
        <f t="shared" si="3"/>
        <v>0.2</v>
      </c>
      <c r="L22" s="1417">
        <f t="shared" si="3"/>
        <v>0.2</v>
      </c>
      <c r="M22" s="1417">
        <f t="shared" si="3"/>
        <v>0.2</v>
      </c>
      <c r="N22" s="1417">
        <f t="shared" si="3"/>
        <v>0.2</v>
      </c>
      <c r="O22" s="1417">
        <f t="shared" si="3"/>
        <v>0.2</v>
      </c>
      <c r="P22" s="1417">
        <f t="shared" si="3"/>
        <v>0.2</v>
      </c>
      <c r="Q22" s="1417">
        <f t="shared" si="3"/>
        <v>0.2</v>
      </c>
    </row>
    <row r="23" spans="1:17">
      <c r="B23" s="1419" t="s">
        <v>14</v>
      </c>
      <c r="C23" s="1432"/>
      <c r="D23" s="1437">
        <f>D19*D15+D21*D20*(1-D22)</f>
        <v>0.11710000000000001</v>
      </c>
      <c r="E23" s="1437">
        <f t="shared" ref="E23:Q23" si="4">E19*E15+E21*E20*(1-E22)</f>
        <v>0.1132</v>
      </c>
      <c r="F23" s="1437">
        <f>F19*F15+F21*F20*(1-F22)</f>
        <v>0.10150000000000001</v>
      </c>
      <c r="G23" s="1437">
        <f>G19*G15+G21*G20*(1-G22)</f>
        <v>0.1105</v>
      </c>
      <c r="H23" s="1437">
        <f>H19*H15+H21*H20*(1-H22)</f>
        <v>0.1105</v>
      </c>
      <c r="I23" s="1437">
        <f>I19*I15+I21*I20*(1-I22)</f>
        <v>0.1105</v>
      </c>
      <c r="J23" s="1437">
        <f t="shared" si="4"/>
        <v>0.1105</v>
      </c>
      <c r="K23" s="1437">
        <f t="shared" si="4"/>
        <v>0.1105</v>
      </c>
      <c r="L23" s="1437">
        <f t="shared" si="4"/>
        <v>0.1105</v>
      </c>
      <c r="M23" s="1437">
        <f t="shared" si="4"/>
        <v>0.1105</v>
      </c>
      <c r="N23" s="1437">
        <f t="shared" si="4"/>
        <v>0.125</v>
      </c>
      <c r="O23" s="1437">
        <f t="shared" si="4"/>
        <v>0.125</v>
      </c>
      <c r="P23" s="1437">
        <f t="shared" si="4"/>
        <v>0.125</v>
      </c>
      <c r="Q23" s="1437">
        <f t="shared" si="4"/>
        <v>0.125</v>
      </c>
    </row>
    <row r="24" spans="1:17">
      <c r="E24" s="1412"/>
      <c r="J24" s="1413"/>
    </row>
    <row r="25" spans="1:17">
      <c r="E25" s="1412"/>
      <c r="J25" s="1413"/>
    </row>
    <row r="26" spans="1:17" ht="15.75">
      <c r="A26" s="1420" t="s">
        <v>1548</v>
      </c>
      <c r="B26" s="1438"/>
    </row>
    <row r="28" spans="1:17" s="1407" customFormat="1">
      <c r="A28" s="1406" t="s">
        <v>762</v>
      </c>
      <c r="B28" s="1407" t="s">
        <v>1459</v>
      </c>
      <c r="C28" s="1407" t="s">
        <v>764</v>
      </c>
      <c r="D28" s="1407" t="s">
        <v>1549</v>
      </c>
      <c r="E28" s="1407" t="s">
        <v>1550</v>
      </c>
    </row>
    <row r="29" spans="1:17">
      <c r="A29" s="1421"/>
      <c r="B29" s="1432" t="s">
        <v>1551</v>
      </c>
      <c r="C29" s="1432" t="s">
        <v>1552</v>
      </c>
      <c r="D29" s="1432"/>
      <c r="E29" s="1408">
        <f>N10</f>
        <v>8220</v>
      </c>
    </row>
    <row r="30" spans="1:17">
      <c r="B30" s="1431" t="s">
        <v>1553</v>
      </c>
      <c r="C30" s="1431" t="s">
        <v>1552</v>
      </c>
      <c r="E30" s="1410">
        <f>E29</f>
        <v>8220</v>
      </c>
    </row>
    <row r="31" spans="1:17">
      <c r="B31" s="1431" t="s">
        <v>1554</v>
      </c>
      <c r="C31" s="1431" t="s">
        <v>1555</v>
      </c>
      <c r="D31" s="1446"/>
      <c r="E31" s="1410">
        <f>E29*D31</f>
        <v>0</v>
      </c>
    </row>
    <row r="32" spans="1:17">
      <c r="B32" s="1431" t="s">
        <v>1556</v>
      </c>
      <c r="C32" s="1431" t="s">
        <v>1555</v>
      </c>
      <c r="D32" s="1654">
        <f>S8</f>
        <v>7</v>
      </c>
      <c r="E32" s="1440">
        <f>D32*E29/1000</f>
        <v>57.54</v>
      </c>
    </row>
    <row r="34" spans="1:13">
      <c r="B34" s="1407" t="s">
        <v>773</v>
      </c>
      <c r="C34" s="1431" t="s">
        <v>642</v>
      </c>
      <c r="D34" s="1447">
        <f t="shared" ref="D34:M34" si="5">D14</f>
        <v>2013</v>
      </c>
      <c r="E34" s="1447">
        <f t="shared" si="5"/>
        <v>2014</v>
      </c>
      <c r="F34" s="1447">
        <f t="shared" si="5"/>
        <v>2015</v>
      </c>
      <c r="G34" s="1447">
        <f t="shared" si="5"/>
        <v>2016</v>
      </c>
      <c r="H34" s="1447">
        <f t="shared" si="5"/>
        <v>2017</v>
      </c>
      <c r="I34" s="1447">
        <f t="shared" si="5"/>
        <v>2018</v>
      </c>
      <c r="J34" s="1447">
        <f t="shared" si="5"/>
        <v>2019</v>
      </c>
      <c r="K34" s="1447">
        <f t="shared" si="5"/>
        <v>2020</v>
      </c>
      <c r="L34" s="1447">
        <f t="shared" si="5"/>
        <v>2021</v>
      </c>
      <c r="M34" s="1447">
        <f t="shared" si="5"/>
        <v>2022</v>
      </c>
    </row>
    <row r="35" spans="1:13">
      <c r="B35" s="1432"/>
      <c r="C35" s="1441">
        <f>E32</f>
        <v>57.54</v>
      </c>
      <c r="D35" s="1408">
        <f t="shared" ref="D35:M35" si="6">$C$35*D36</f>
        <v>0</v>
      </c>
      <c r="E35" s="1408">
        <f t="shared" si="6"/>
        <v>0</v>
      </c>
      <c r="F35" s="1408">
        <f t="shared" si="6"/>
        <v>0</v>
      </c>
      <c r="G35" s="1408">
        <f t="shared" si="6"/>
        <v>57.54</v>
      </c>
      <c r="H35" s="1408">
        <f t="shared" si="6"/>
        <v>0</v>
      </c>
      <c r="I35" s="1408">
        <f t="shared" si="6"/>
        <v>0</v>
      </c>
      <c r="J35" s="1408">
        <f t="shared" si="6"/>
        <v>0</v>
      </c>
      <c r="K35" s="1408">
        <f t="shared" si="6"/>
        <v>0</v>
      </c>
      <c r="L35" s="1408">
        <f t="shared" si="6"/>
        <v>0</v>
      </c>
      <c r="M35" s="1408">
        <f t="shared" si="6"/>
        <v>0</v>
      </c>
    </row>
    <row r="36" spans="1:13">
      <c r="B36" s="1442" t="s">
        <v>1559</v>
      </c>
      <c r="C36" s="1436">
        <f>SUM(D36:M36)</f>
        <v>1</v>
      </c>
      <c r="D36" s="1416">
        <v>0</v>
      </c>
      <c r="E36" s="1416">
        <v>0</v>
      </c>
      <c r="F36" s="1416">
        <v>0</v>
      </c>
      <c r="G36" s="1416">
        <v>1</v>
      </c>
      <c r="H36" s="1416">
        <v>0</v>
      </c>
      <c r="I36" s="1416">
        <v>0</v>
      </c>
      <c r="J36" s="1416">
        <v>0</v>
      </c>
      <c r="K36" s="1416">
        <v>0</v>
      </c>
      <c r="L36" s="1416">
        <v>0</v>
      </c>
      <c r="M36" s="1416">
        <v>0</v>
      </c>
    </row>
    <row r="39" spans="1:13" s="1407" customFormat="1">
      <c r="A39" s="1406" t="s">
        <v>777</v>
      </c>
      <c r="B39" s="1407" t="s">
        <v>1585</v>
      </c>
      <c r="C39" s="1407" t="s">
        <v>764</v>
      </c>
      <c r="D39" s="1407" t="s">
        <v>1549</v>
      </c>
    </row>
    <row r="40" spans="1:13">
      <c r="A40" s="1421"/>
      <c r="B40" s="1432" t="s">
        <v>686</v>
      </c>
      <c r="C40" s="1432" t="s">
        <v>1552</v>
      </c>
      <c r="D40" s="1426">
        <f>N11</f>
        <v>50035</v>
      </c>
      <c r="F40" s="1440"/>
      <c r="G40" s="1410"/>
    </row>
    <row r="41" spans="1:13">
      <c r="B41" s="1431" t="s">
        <v>1560</v>
      </c>
      <c r="C41" s="1431" t="s">
        <v>780</v>
      </c>
      <c r="D41" s="1448">
        <f>S9</f>
        <v>0.6</v>
      </c>
      <c r="G41" s="1440"/>
    </row>
    <row r="42" spans="1:13">
      <c r="B42" s="1431" t="s">
        <v>781</v>
      </c>
      <c r="C42" s="1431" t="s">
        <v>1552</v>
      </c>
      <c r="D42" s="1410">
        <f>D40*D41</f>
        <v>30021</v>
      </c>
    </row>
    <row r="43" spans="1:13">
      <c r="B43" s="1431" t="s">
        <v>1787</v>
      </c>
      <c r="C43" s="1431" t="s">
        <v>1555</v>
      </c>
      <c r="D43" s="1654">
        <f>S7</f>
        <v>23</v>
      </c>
    </row>
    <row r="44" spans="1:13">
      <c r="B44" s="1431" t="s">
        <v>1587</v>
      </c>
      <c r="C44" s="1431" t="s">
        <v>1555</v>
      </c>
      <c r="D44" s="1655">
        <f>S10</f>
        <v>6</v>
      </c>
    </row>
    <row r="45" spans="1:13">
      <c r="B45" s="1431" t="s">
        <v>787</v>
      </c>
      <c r="C45" s="1431" t="s">
        <v>780</v>
      </c>
      <c r="D45" s="1411">
        <v>0</v>
      </c>
    </row>
    <row r="46" spans="1:13">
      <c r="B46" s="1431" t="s">
        <v>1562</v>
      </c>
      <c r="C46" s="1431" t="s">
        <v>780</v>
      </c>
      <c r="D46" s="1448">
        <f>S11</f>
        <v>0.14000000000000001</v>
      </c>
    </row>
    <row r="47" spans="1:13">
      <c r="B47" s="1431" t="s">
        <v>1563</v>
      </c>
      <c r="C47" s="1431" t="s">
        <v>780</v>
      </c>
      <c r="D47" s="1411">
        <v>0</v>
      </c>
    </row>
    <row r="49" spans="1:13" s="1407" customFormat="1">
      <c r="A49" s="1406">
        <v>1</v>
      </c>
      <c r="B49" s="1407" t="s">
        <v>1564</v>
      </c>
      <c r="C49" s="1431" t="str">
        <f>C34</f>
        <v>Total</v>
      </c>
      <c r="D49" s="1431">
        <f>D34</f>
        <v>2013</v>
      </c>
      <c r="E49" s="1431">
        <f>E34</f>
        <v>2014</v>
      </c>
      <c r="F49" s="1431">
        <f>F34</f>
        <v>2015</v>
      </c>
      <c r="G49" s="1431">
        <f t="shared" ref="G49:M49" si="7">F49+1</f>
        <v>2016</v>
      </c>
      <c r="H49" s="1431">
        <f t="shared" si="7"/>
        <v>2017</v>
      </c>
      <c r="I49" s="1431">
        <f t="shared" si="7"/>
        <v>2018</v>
      </c>
      <c r="J49" s="1431">
        <f t="shared" si="7"/>
        <v>2019</v>
      </c>
      <c r="K49" s="1431">
        <f t="shared" si="7"/>
        <v>2020</v>
      </c>
      <c r="L49" s="1431">
        <f t="shared" si="7"/>
        <v>2021</v>
      </c>
      <c r="M49" s="1431">
        <f t="shared" si="7"/>
        <v>2022</v>
      </c>
    </row>
    <row r="50" spans="1:13">
      <c r="B50" s="1432" t="s">
        <v>791</v>
      </c>
      <c r="C50" s="1441">
        <f>SUM(D50:M50)</f>
        <v>690.48299999999995</v>
      </c>
      <c r="D50" s="1441">
        <f>$D$42*D52*D51/1000</f>
        <v>0</v>
      </c>
      <c r="E50" s="1441">
        <f t="shared" ref="E50:M50" si="8">$D$42*E52*E51/1000</f>
        <v>0</v>
      </c>
      <c r="F50" s="1441">
        <f t="shared" si="8"/>
        <v>0</v>
      </c>
      <c r="G50" s="1441">
        <f t="shared" si="8"/>
        <v>690.48299999999995</v>
      </c>
      <c r="H50" s="1441">
        <f t="shared" si="8"/>
        <v>0</v>
      </c>
      <c r="I50" s="1441">
        <f t="shared" si="8"/>
        <v>0</v>
      </c>
      <c r="J50" s="1441">
        <f t="shared" si="8"/>
        <v>0</v>
      </c>
      <c r="K50" s="1441">
        <f t="shared" si="8"/>
        <v>0</v>
      </c>
      <c r="L50" s="1441">
        <f t="shared" si="8"/>
        <v>0</v>
      </c>
      <c r="M50" s="1441">
        <f t="shared" si="8"/>
        <v>0</v>
      </c>
    </row>
    <row r="51" spans="1:13">
      <c r="B51" s="1444" t="s">
        <v>792</v>
      </c>
      <c r="C51" s="1436">
        <f>SUM(D51:M51)</f>
        <v>1</v>
      </c>
      <c r="D51" s="1416">
        <v>0</v>
      </c>
      <c r="E51" s="1416">
        <v>0</v>
      </c>
      <c r="F51" s="1416">
        <v>0</v>
      </c>
      <c r="G51" s="1416">
        <v>1</v>
      </c>
      <c r="H51" s="1416">
        <v>0</v>
      </c>
      <c r="I51" s="1416">
        <v>0</v>
      </c>
      <c r="J51" s="1416">
        <v>0</v>
      </c>
      <c r="K51" s="1416">
        <v>0</v>
      </c>
      <c r="L51" s="1416">
        <v>0</v>
      </c>
      <c r="M51" s="1416">
        <v>0</v>
      </c>
    </row>
    <row r="52" spans="1:13">
      <c r="B52" s="1444" t="s">
        <v>1565</v>
      </c>
      <c r="D52" s="1439">
        <f>D43</f>
        <v>23</v>
      </c>
      <c r="E52" s="1439">
        <f t="shared" ref="E52:M52" si="9">D52*(1+E53)</f>
        <v>23</v>
      </c>
      <c r="F52" s="1439">
        <f t="shared" si="9"/>
        <v>23</v>
      </c>
      <c r="G52" s="1439">
        <f t="shared" si="9"/>
        <v>23</v>
      </c>
      <c r="H52" s="1439">
        <f t="shared" si="9"/>
        <v>23</v>
      </c>
      <c r="I52" s="1439">
        <f t="shared" si="9"/>
        <v>23</v>
      </c>
      <c r="J52" s="1439">
        <f t="shared" si="9"/>
        <v>23</v>
      </c>
      <c r="K52" s="1439">
        <f t="shared" si="9"/>
        <v>23</v>
      </c>
      <c r="L52" s="1439">
        <f t="shared" si="9"/>
        <v>23</v>
      </c>
      <c r="M52" s="1439">
        <f t="shared" si="9"/>
        <v>23</v>
      </c>
    </row>
    <row r="53" spans="1:13">
      <c r="B53" s="1444" t="s">
        <v>1563</v>
      </c>
      <c r="E53" s="1443">
        <f t="shared" ref="E53:J53" si="10">D47</f>
        <v>0</v>
      </c>
      <c r="F53" s="1443">
        <f t="shared" si="10"/>
        <v>0</v>
      </c>
      <c r="G53" s="1443">
        <f t="shared" si="10"/>
        <v>0</v>
      </c>
      <c r="H53" s="1443">
        <f t="shared" si="10"/>
        <v>0</v>
      </c>
      <c r="I53" s="1443">
        <f t="shared" si="10"/>
        <v>0</v>
      </c>
      <c r="J53" s="1443">
        <f t="shared" si="10"/>
        <v>0</v>
      </c>
      <c r="K53" s="1443">
        <f>J47</f>
        <v>0</v>
      </c>
      <c r="L53" s="1443">
        <f>K47</f>
        <v>0</v>
      </c>
      <c r="M53" s="1443">
        <f>L47</f>
        <v>0</v>
      </c>
    </row>
    <row r="54" spans="1:13">
      <c r="B54" s="1444" t="s">
        <v>1788</v>
      </c>
      <c r="C54" s="1440">
        <f>S5</f>
        <v>420</v>
      </c>
      <c r="D54" s="1440">
        <f>D51*$C$54</f>
        <v>0</v>
      </c>
      <c r="E54" s="1440">
        <f t="shared" ref="E54:M54" si="11">E51*$C$54</f>
        <v>0</v>
      </c>
      <c r="F54" s="1440">
        <f t="shared" si="11"/>
        <v>0</v>
      </c>
      <c r="G54" s="1440">
        <f t="shared" si="11"/>
        <v>420</v>
      </c>
      <c r="H54" s="1440">
        <f t="shared" si="11"/>
        <v>0</v>
      </c>
      <c r="I54" s="1440">
        <f t="shared" si="11"/>
        <v>0</v>
      </c>
      <c r="J54" s="1440">
        <f t="shared" si="11"/>
        <v>0</v>
      </c>
      <c r="K54" s="1440">
        <f t="shared" si="11"/>
        <v>0</v>
      </c>
      <c r="L54" s="1440">
        <f t="shared" si="11"/>
        <v>0</v>
      </c>
      <c r="M54" s="1440">
        <f t="shared" si="11"/>
        <v>0</v>
      </c>
    </row>
    <row r="55" spans="1:13">
      <c r="B55" s="1444"/>
      <c r="F55" s="1443"/>
      <c r="G55" s="1443"/>
    </row>
    <row r="56" spans="1:13" s="1407" customFormat="1">
      <c r="A56" s="1406">
        <v>2</v>
      </c>
      <c r="B56" s="1407" t="s">
        <v>794</v>
      </c>
      <c r="C56" s="1431" t="str">
        <f>C49</f>
        <v>Total</v>
      </c>
      <c r="D56" s="1431">
        <f t="shared" ref="D56:J56" si="12">D49</f>
        <v>2013</v>
      </c>
      <c r="E56" s="1431">
        <f t="shared" si="12"/>
        <v>2014</v>
      </c>
      <c r="F56" s="1431">
        <f t="shared" si="12"/>
        <v>2015</v>
      </c>
      <c r="G56" s="1431">
        <f t="shared" si="12"/>
        <v>2016</v>
      </c>
      <c r="H56" s="1431">
        <f t="shared" si="12"/>
        <v>2017</v>
      </c>
      <c r="I56" s="1431">
        <f t="shared" si="12"/>
        <v>2018</v>
      </c>
      <c r="J56" s="1431">
        <f t="shared" si="12"/>
        <v>2019</v>
      </c>
      <c r="K56" s="1431">
        <f>K49</f>
        <v>2020</v>
      </c>
      <c r="L56" s="1431">
        <f>L49</f>
        <v>2021</v>
      </c>
      <c r="M56" s="1431">
        <f>M49</f>
        <v>2022</v>
      </c>
    </row>
    <row r="57" spans="1:13">
      <c r="B57" s="1432" t="s">
        <v>1586</v>
      </c>
      <c r="C57" s="1408">
        <f>C50</f>
        <v>690.48299999999995</v>
      </c>
      <c r="D57" s="1441">
        <f>$C$57*D58</f>
        <v>0</v>
      </c>
      <c r="E57" s="1441">
        <f t="shared" ref="E57:M57" si="13">$C$57*E58</f>
        <v>0</v>
      </c>
      <c r="F57" s="1441">
        <f t="shared" si="13"/>
        <v>0</v>
      </c>
      <c r="G57" s="1441">
        <f t="shared" si="13"/>
        <v>0</v>
      </c>
      <c r="H57" s="1441">
        <f t="shared" si="13"/>
        <v>0</v>
      </c>
      <c r="I57" s="1441">
        <f t="shared" si="13"/>
        <v>0</v>
      </c>
      <c r="J57" s="1441">
        <f t="shared" si="13"/>
        <v>690.48299999999995</v>
      </c>
      <c r="K57" s="1441">
        <f t="shared" si="13"/>
        <v>0</v>
      </c>
      <c r="L57" s="1441">
        <f t="shared" si="13"/>
        <v>0</v>
      </c>
      <c r="M57" s="1441">
        <f t="shared" si="13"/>
        <v>0</v>
      </c>
    </row>
    <row r="58" spans="1:13">
      <c r="B58" s="1442" t="s">
        <v>794</v>
      </c>
      <c r="C58" s="1417">
        <f>SUM(D58:M58)</f>
        <v>1</v>
      </c>
      <c r="D58" s="1411">
        <v>0</v>
      </c>
      <c r="E58" s="1411">
        <v>0</v>
      </c>
      <c r="F58" s="1411">
        <v>0</v>
      </c>
      <c r="G58" s="1411">
        <v>0</v>
      </c>
      <c r="H58" s="1411">
        <v>0</v>
      </c>
      <c r="I58" s="1411">
        <v>0</v>
      </c>
      <c r="J58" s="1411">
        <v>1</v>
      </c>
      <c r="K58" s="1411">
        <v>0</v>
      </c>
      <c r="L58" s="1411">
        <v>0</v>
      </c>
      <c r="M58" s="1411">
        <v>0</v>
      </c>
    </row>
    <row r="59" spans="1:13">
      <c r="B59" s="1442" t="s">
        <v>1777</v>
      </c>
      <c r="C59" s="1410">
        <f>C54</f>
        <v>420</v>
      </c>
      <c r="D59" s="1410">
        <f>D58*$C$59</f>
        <v>0</v>
      </c>
      <c r="E59" s="1410">
        <f t="shared" ref="E59:M59" si="14">E58*$C$59</f>
        <v>0</v>
      </c>
      <c r="F59" s="1410">
        <f t="shared" si="14"/>
        <v>0</v>
      </c>
      <c r="G59" s="1410">
        <f t="shared" si="14"/>
        <v>0</v>
      </c>
      <c r="H59" s="1410">
        <f t="shared" si="14"/>
        <v>0</v>
      </c>
      <c r="I59" s="1410">
        <f t="shared" si="14"/>
        <v>0</v>
      </c>
      <c r="J59" s="1410">
        <f t="shared" si="14"/>
        <v>420</v>
      </c>
      <c r="K59" s="1410">
        <f t="shared" si="14"/>
        <v>0</v>
      </c>
      <c r="L59" s="1410">
        <f t="shared" si="14"/>
        <v>0</v>
      </c>
      <c r="M59" s="1410">
        <f t="shared" si="14"/>
        <v>0</v>
      </c>
    </row>
    <row r="60" spans="1:13">
      <c r="B60" s="1444"/>
      <c r="C60" s="1425"/>
      <c r="D60" s="1433"/>
      <c r="E60" s="1433"/>
      <c r="F60" s="1433"/>
      <c r="G60" s="1433"/>
    </row>
    <row r="61" spans="1:13">
      <c r="C61" s="1440"/>
      <c r="D61" s="1440"/>
      <c r="E61" s="1440"/>
      <c r="F61" s="1440"/>
      <c r="G61" s="1440"/>
    </row>
    <row r="62" spans="1:13" s="1407" customFormat="1">
      <c r="A62" s="1406">
        <v>3</v>
      </c>
      <c r="B62" s="1407" t="s">
        <v>1175</v>
      </c>
      <c r="C62" s="1431" t="str">
        <f>C56</f>
        <v>Total</v>
      </c>
      <c r="D62" s="1431">
        <f t="shared" ref="D62:J62" si="15">D56</f>
        <v>2013</v>
      </c>
      <c r="E62" s="1431">
        <f t="shared" si="15"/>
        <v>2014</v>
      </c>
      <c r="F62" s="1431">
        <f t="shared" si="15"/>
        <v>2015</v>
      </c>
      <c r="G62" s="1431">
        <f t="shared" si="15"/>
        <v>2016</v>
      </c>
      <c r="H62" s="1431">
        <f t="shared" si="15"/>
        <v>2017</v>
      </c>
      <c r="I62" s="1431">
        <f t="shared" si="15"/>
        <v>2018</v>
      </c>
      <c r="J62" s="1431">
        <f t="shared" si="15"/>
        <v>2019</v>
      </c>
      <c r="K62" s="1431">
        <f>K56</f>
        <v>2020</v>
      </c>
      <c r="L62" s="1431">
        <f>L56</f>
        <v>2021</v>
      </c>
      <c r="M62" s="1431">
        <f>M56</f>
        <v>2022</v>
      </c>
    </row>
    <row r="63" spans="1:13">
      <c r="B63" s="1432"/>
      <c r="C63" s="1441">
        <f>SUM(D63:M63)</f>
        <v>690.48299999999995</v>
      </c>
      <c r="D63" s="1408"/>
      <c r="E63" s="1408"/>
      <c r="F63" s="1408">
        <f>D50*$D66+E50*$D65+F50*$D64</f>
        <v>0</v>
      </c>
      <c r="G63" s="1408">
        <f>E50*$D66+F50*$D65+G50*$D64</f>
        <v>69.048299999999998</v>
      </c>
      <c r="H63" s="1408">
        <f t="shared" ref="H63:M63" si="16">F50*$D66+G50*$D65+H50*$D64</f>
        <v>414.28979999999996</v>
      </c>
      <c r="I63" s="1408">
        <f t="shared" si="16"/>
        <v>207.14490000000001</v>
      </c>
      <c r="J63" s="1408">
        <f t="shared" si="16"/>
        <v>0</v>
      </c>
      <c r="K63" s="1408">
        <f t="shared" si="16"/>
        <v>0</v>
      </c>
      <c r="L63" s="1408">
        <f t="shared" si="16"/>
        <v>0</v>
      </c>
      <c r="M63" s="1408">
        <f t="shared" si="16"/>
        <v>0</v>
      </c>
    </row>
    <row r="64" spans="1:13">
      <c r="B64" s="1431" t="s">
        <v>797</v>
      </c>
      <c r="C64" s="1440" t="s">
        <v>798</v>
      </c>
      <c r="D64" s="1416">
        <v>0.1</v>
      </c>
      <c r="E64" s="1440"/>
      <c r="F64" s="1440"/>
      <c r="G64" s="1440"/>
    </row>
    <row r="65" spans="1:13">
      <c r="C65" s="1440" t="s">
        <v>799</v>
      </c>
      <c r="D65" s="1416">
        <v>0.6</v>
      </c>
      <c r="E65" s="1440"/>
      <c r="F65" s="1440"/>
      <c r="G65" s="1440"/>
    </row>
    <row r="66" spans="1:13">
      <c r="C66" s="1440" t="s">
        <v>800</v>
      </c>
      <c r="D66" s="1417">
        <f>1-SUM(D64:D65)</f>
        <v>0.30000000000000004</v>
      </c>
      <c r="E66" s="1440"/>
      <c r="F66" s="1440"/>
      <c r="G66" s="1440"/>
    </row>
    <row r="67" spans="1:13">
      <c r="C67" s="1440"/>
      <c r="D67" s="1416"/>
      <c r="E67" s="1440"/>
      <c r="F67" s="1440"/>
      <c r="G67" s="1440"/>
    </row>
    <row r="68" spans="1:13">
      <c r="C68" s="1440"/>
      <c r="D68" s="1416"/>
      <c r="E68" s="1440"/>
      <c r="F68" s="1440"/>
      <c r="G68" s="1440"/>
    </row>
    <row r="69" spans="1:13" s="1407" customFormat="1">
      <c r="A69" s="1406">
        <v>4</v>
      </c>
      <c r="B69" s="1407" t="s">
        <v>1462</v>
      </c>
      <c r="C69" s="1440" t="str">
        <f>C62</f>
        <v>Total</v>
      </c>
      <c r="D69" s="1431">
        <f t="shared" ref="D69:J69" si="17">D62</f>
        <v>2013</v>
      </c>
      <c r="E69" s="1431">
        <f t="shared" si="17"/>
        <v>2014</v>
      </c>
      <c r="F69" s="1431">
        <f t="shared" si="17"/>
        <v>2015</v>
      </c>
      <c r="G69" s="1431">
        <f t="shared" si="17"/>
        <v>2016</v>
      </c>
      <c r="H69" s="1431">
        <f t="shared" si="17"/>
        <v>2017</v>
      </c>
      <c r="I69" s="1431">
        <f t="shared" si="17"/>
        <v>2018</v>
      </c>
      <c r="J69" s="1431">
        <f t="shared" si="17"/>
        <v>2019</v>
      </c>
      <c r="K69" s="1431">
        <f>K62</f>
        <v>2020</v>
      </c>
      <c r="L69" s="1431">
        <f>L62</f>
        <v>2021</v>
      </c>
      <c r="M69" s="1431">
        <f>M62</f>
        <v>2022</v>
      </c>
    </row>
    <row r="70" spans="1:13">
      <c r="B70" s="1432" t="s">
        <v>1566</v>
      </c>
      <c r="C70" s="1441">
        <f>D40*D44/1000</f>
        <v>300.20999999999998</v>
      </c>
      <c r="D70" s="1408">
        <f>$C$70*D71</f>
        <v>0</v>
      </c>
      <c r="E70" s="1408">
        <f t="shared" ref="E70:M70" si="18">$C$70*E71</f>
        <v>0</v>
      </c>
      <c r="F70" s="1408">
        <f t="shared" si="18"/>
        <v>0</v>
      </c>
      <c r="G70" s="1408">
        <f t="shared" si="18"/>
        <v>0</v>
      </c>
      <c r="H70" s="1408">
        <f t="shared" si="18"/>
        <v>210.14699999999996</v>
      </c>
      <c r="I70" s="1408">
        <f t="shared" si="18"/>
        <v>90.062999999999988</v>
      </c>
      <c r="J70" s="1408">
        <f t="shared" si="18"/>
        <v>0</v>
      </c>
      <c r="K70" s="1408">
        <f t="shared" si="18"/>
        <v>0</v>
      </c>
      <c r="L70" s="1408">
        <f t="shared" si="18"/>
        <v>0</v>
      </c>
      <c r="M70" s="1408">
        <f t="shared" si="18"/>
        <v>0</v>
      </c>
    </row>
    <row r="71" spans="1:13">
      <c r="B71" s="1431" t="s">
        <v>1559</v>
      </c>
      <c r="C71" s="1436">
        <f>SUM(D71:M71)</f>
        <v>1</v>
      </c>
      <c r="D71" s="1416">
        <v>0</v>
      </c>
      <c r="E71" s="1416">
        <v>0</v>
      </c>
      <c r="F71" s="1416">
        <v>0</v>
      </c>
      <c r="G71" s="1416">
        <v>0</v>
      </c>
      <c r="H71" s="1416">
        <v>0.7</v>
      </c>
      <c r="I71" s="1416">
        <v>0.3</v>
      </c>
      <c r="J71" s="1416">
        <v>0</v>
      </c>
      <c r="K71" s="1416">
        <v>0</v>
      </c>
      <c r="L71" s="1416">
        <v>0</v>
      </c>
      <c r="M71" s="1416">
        <v>0</v>
      </c>
    </row>
    <row r="72" spans="1:13">
      <c r="C72" s="1433"/>
      <c r="D72" s="1425"/>
      <c r="E72" s="1425"/>
      <c r="F72" s="1424"/>
      <c r="G72" s="1424"/>
      <c r="H72" s="1435"/>
    </row>
    <row r="73" spans="1:13">
      <c r="C73" s="1433"/>
      <c r="D73" s="1424"/>
      <c r="E73" s="1424"/>
      <c r="F73" s="1424"/>
      <c r="G73" s="1424"/>
    </row>
    <row r="74" spans="1:13">
      <c r="A74" s="1406">
        <v>5</v>
      </c>
      <c r="B74" s="1407" t="s">
        <v>1466</v>
      </c>
      <c r="C74" s="1431" t="str">
        <f>C69</f>
        <v>Total</v>
      </c>
      <c r="D74" s="1431">
        <f t="shared" ref="D74:I74" si="19">D69</f>
        <v>2013</v>
      </c>
      <c r="E74" s="1431">
        <f t="shared" si="19"/>
        <v>2014</v>
      </c>
      <c r="F74" s="1431">
        <f t="shared" si="19"/>
        <v>2015</v>
      </c>
      <c r="G74" s="1431">
        <f t="shared" si="19"/>
        <v>2016</v>
      </c>
      <c r="H74" s="1431">
        <f t="shared" si="19"/>
        <v>2017</v>
      </c>
      <c r="I74" s="1431">
        <f t="shared" si="19"/>
        <v>2018</v>
      </c>
      <c r="J74" s="1431">
        <f>I74+1</f>
        <v>2019</v>
      </c>
      <c r="K74" s="1431">
        <f>J74+1</f>
        <v>2020</v>
      </c>
      <c r="L74" s="1431">
        <f>K74+1</f>
        <v>2021</v>
      </c>
      <c r="M74" s="1431">
        <f>L74+1</f>
        <v>2022</v>
      </c>
    </row>
    <row r="75" spans="1:13">
      <c r="B75" s="1432" t="s">
        <v>1567</v>
      </c>
      <c r="C75" s="1441">
        <f>$C$70*C58</f>
        <v>300.20999999999998</v>
      </c>
      <c r="D75" s="1441">
        <f t="shared" ref="D75:M75" si="20">$C$70*D58</f>
        <v>0</v>
      </c>
      <c r="E75" s="1441">
        <f t="shared" si="20"/>
        <v>0</v>
      </c>
      <c r="F75" s="1441">
        <f t="shared" si="20"/>
        <v>0</v>
      </c>
      <c r="G75" s="1441">
        <f t="shared" si="20"/>
        <v>0</v>
      </c>
      <c r="H75" s="1441">
        <f t="shared" si="20"/>
        <v>0</v>
      </c>
      <c r="I75" s="1441">
        <f t="shared" si="20"/>
        <v>0</v>
      </c>
      <c r="J75" s="1441">
        <f t="shared" si="20"/>
        <v>300.20999999999998</v>
      </c>
      <c r="K75" s="1441">
        <f t="shared" si="20"/>
        <v>0</v>
      </c>
      <c r="L75" s="1441">
        <f t="shared" si="20"/>
        <v>0</v>
      </c>
      <c r="M75" s="1441">
        <f t="shared" si="20"/>
        <v>0</v>
      </c>
    </row>
    <row r="76" spans="1:13">
      <c r="B76" s="1431" t="s">
        <v>803</v>
      </c>
      <c r="C76" s="1440">
        <f>$E$32*C58</f>
        <v>57.54</v>
      </c>
      <c r="D76" s="1440">
        <f t="shared" ref="D76:M76" si="21">$E$32*D58</f>
        <v>0</v>
      </c>
      <c r="E76" s="1440">
        <f t="shared" si="21"/>
        <v>0</v>
      </c>
      <c r="F76" s="1440">
        <f t="shared" si="21"/>
        <v>0</v>
      </c>
      <c r="G76" s="1440">
        <f t="shared" si="21"/>
        <v>0</v>
      </c>
      <c r="H76" s="1440">
        <f t="shared" si="21"/>
        <v>0</v>
      </c>
      <c r="I76" s="1440">
        <f t="shared" si="21"/>
        <v>0</v>
      </c>
      <c r="J76" s="1440">
        <f t="shared" si="21"/>
        <v>57.54</v>
      </c>
      <c r="K76" s="1440">
        <f t="shared" si="21"/>
        <v>0</v>
      </c>
      <c r="L76" s="1440">
        <f t="shared" si="21"/>
        <v>0</v>
      </c>
      <c r="M76" s="1440">
        <f t="shared" si="21"/>
        <v>0</v>
      </c>
    </row>
    <row r="77" spans="1:13" s="1447" customFormat="1">
      <c r="A77" s="1459"/>
      <c r="B77" s="1447" t="s">
        <v>804</v>
      </c>
      <c r="C77" s="1458">
        <f>SUMIF(D113:M113,"&lt;="&amp;D11,D119:M119)</f>
        <v>81.795171599999989</v>
      </c>
      <c r="D77" s="1410">
        <f t="shared" ref="D77:J77" si="22">$C$77*D58</f>
        <v>0</v>
      </c>
      <c r="E77" s="1410">
        <f t="shared" si="22"/>
        <v>0</v>
      </c>
      <c r="F77" s="1410">
        <f t="shared" si="22"/>
        <v>0</v>
      </c>
      <c r="G77" s="1410">
        <f t="shared" si="22"/>
        <v>0</v>
      </c>
      <c r="H77" s="1410">
        <f t="shared" si="22"/>
        <v>0</v>
      </c>
      <c r="I77" s="1410">
        <f t="shared" si="22"/>
        <v>0</v>
      </c>
      <c r="J77" s="1410">
        <f t="shared" si="22"/>
        <v>81.795171599999989</v>
      </c>
      <c r="K77" s="1410">
        <f>$C$77*K58</f>
        <v>0</v>
      </c>
      <c r="L77" s="1410">
        <f>$C$77*L58</f>
        <v>0</v>
      </c>
      <c r="M77" s="1410">
        <f>$C$77*M58</f>
        <v>0</v>
      </c>
    </row>
    <row r="78" spans="1:13" s="1447" customFormat="1">
      <c r="A78" s="1459"/>
      <c r="B78" s="1447" t="s">
        <v>805</v>
      </c>
      <c r="C78" s="1410">
        <f>SUM(D78:M78)</f>
        <v>0</v>
      </c>
      <c r="D78" s="1410">
        <f t="shared" ref="D78:M78" si="23">IF(D74&gt;$D$11,D119,0)</f>
        <v>0</v>
      </c>
      <c r="E78" s="1410">
        <f t="shared" si="23"/>
        <v>0</v>
      </c>
      <c r="F78" s="1410">
        <f t="shared" si="23"/>
        <v>0</v>
      </c>
      <c r="G78" s="1410">
        <f t="shared" si="23"/>
        <v>0</v>
      </c>
      <c r="H78" s="1410">
        <f t="shared" si="23"/>
        <v>0</v>
      </c>
      <c r="I78" s="1410">
        <f t="shared" si="23"/>
        <v>0</v>
      </c>
      <c r="J78" s="1410">
        <f t="shared" si="23"/>
        <v>0</v>
      </c>
      <c r="K78" s="1410">
        <f t="shared" si="23"/>
        <v>0</v>
      </c>
      <c r="L78" s="1410">
        <f t="shared" si="23"/>
        <v>0</v>
      </c>
      <c r="M78" s="1410">
        <f t="shared" si="23"/>
        <v>0</v>
      </c>
    </row>
    <row r="79" spans="1:13">
      <c r="B79" s="1431" t="s">
        <v>656</v>
      </c>
      <c r="C79" s="1440">
        <f>$D$46*C57</f>
        <v>96.667619999999999</v>
      </c>
      <c r="D79" s="1440">
        <f t="shared" ref="D79:J79" si="24">$D$46*D57</f>
        <v>0</v>
      </c>
      <c r="E79" s="1440">
        <f t="shared" si="24"/>
        <v>0</v>
      </c>
      <c r="F79" s="1440">
        <f t="shared" si="24"/>
        <v>0</v>
      </c>
      <c r="G79" s="1440">
        <f t="shared" si="24"/>
        <v>0</v>
      </c>
      <c r="H79" s="1440">
        <f t="shared" si="24"/>
        <v>0</v>
      </c>
      <c r="I79" s="1440">
        <f t="shared" si="24"/>
        <v>0</v>
      </c>
      <c r="J79" s="1440">
        <f t="shared" si="24"/>
        <v>96.667619999999999</v>
      </c>
      <c r="K79" s="1440">
        <f>$D$46*K57</f>
        <v>0</v>
      </c>
      <c r="L79" s="1440">
        <f>$D$46*L57</f>
        <v>0</v>
      </c>
      <c r="M79" s="1440">
        <f>$D$46*M57</f>
        <v>0</v>
      </c>
    </row>
    <row r="80" spans="1:13">
      <c r="C80" s="1440"/>
      <c r="D80" s="1440"/>
      <c r="E80" s="1440"/>
      <c r="F80" s="1440"/>
      <c r="G80" s="1440"/>
    </row>
    <row r="82" spans="1:13" s="1407" customFormat="1">
      <c r="A82" s="1406">
        <v>6</v>
      </c>
      <c r="B82" s="1407" t="s">
        <v>878</v>
      </c>
      <c r="C82" s="1431" t="str">
        <f>C74</f>
        <v>Total</v>
      </c>
      <c r="D82" s="1431">
        <f t="shared" ref="D82:J82" si="25">D74</f>
        <v>2013</v>
      </c>
      <c r="E82" s="1431">
        <f t="shared" si="25"/>
        <v>2014</v>
      </c>
      <c r="F82" s="1431">
        <f t="shared" si="25"/>
        <v>2015</v>
      </c>
      <c r="G82" s="1431">
        <f t="shared" si="25"/>
        <v>2016</v>
      </c>
      <c r="H82" s="1431">
        <f t="shared" si="25"/>
        <v>2017</v>
      </c>
      <c r="I82" s="1431">
        <f t="shared" si="25"/>
        <v>2018</v>
      </c>
      <c r="J82" s="1431">
        <f t="shared" si="25"/>
        <v>2019</v>
      </c>
      <c r="K82" s="1431">
        <f>K74</f>
        <v>2020</v>
      </c>
      <c r="L82" s="1431">
        <f>L74</f>
        <v>2021</v>
      </c>
      <c r="M82" s="1431">
        <f>M74</f>
        <v>2022</v>
      </c>
    </row>
    <row r="83" spans="1:13">
      <c r="B83" s="1432" t="s">
        <v>26</v>
      </c>
      <c r="C83" s="1441">
        <f t="shared" ref="C83:J83" si="26">C57</f>
        <v>690.48299999999995</v>
      </c>
      <c r="D83" s="1441">
        <f t="shared" si="26"/>
        <v>0</v>
      </c>
      <c r="E83" s="1441">
        <f t="shared" si="26"/>
        <v>0</v>
      </c>
      <c r="F83" s="1441">
        <f t="shared" si="26"/>
        <v>0</v>
      </c>
      <c r="G83" s="1441">
        <f t="shared" si="26"/>
        <v>0</v>
      </c>
      <c r="H83" s="1441">
        <f t="shared" si="26"/>
        <v>0</v>
      </c>
      <c r="I83" s="1441">
        <f t="shared" si="26"/>
        <v>0</v>
      </c>
      <c r="J83" s="1441">
        <f t="shared" si="26"/>
        <v>690.48299999999995</v>
      </c>
      <c r="K83" s="1441">
        <f>K57</f>
        <v>0</v>
      </c>
      <c r="L83" s="1441">
        <f>L57</f>
        <v>0</v>
      </c>
      <c r="M83" s="1441">
        <f>M57</f>
        <v>0</v>
      </c>
    </row>
    <row r="84" spans="1:13">
      <c r="B84" s="1431" t="s">
        <v>432</v>
      </c>
      <c r="C84" s="1440">
        <f>SUM(C75:C77)</f>
        <v>439.5451716</v>
      </c>
      <c r="D84" s="1440">
        <f>SUM(D75:D77)</f>
        <v>0</v>
      </c>
      <c r="E84" s="1440">
        <f t="shared" ref="E84:J84" si="27">SUM(E75:E77)</f>
        <v>0</v>
      </c>
      <c r="F84" s="1440">
        <f t="shared" si="27"/>
        <v>0</v>
      </c>
      <c r="G84" s="1440">
        <f t="shared" si="27"/>
        <v>0</v>
      </c>
      <c r="H84" s="1440">
        <f t="shared" si="27"/>
        <v>0</v>
      </c>
      <c r="I84" s="1440">
        <f t="shared" si="27"/>
        <v>0</v>
      </c>
      <c r="J84" s="1440">
        <f t="shared" si="27"/>
        <v>439.5451716</v>
      </c>
      <c r="K84" s="1440">
        <f>SUM(K75:K77)</f>
        <v>0</v>
      </c>
      <c r="L84" s="1440">
        <f>SUM(L75:L77)</f>
        <v>0</v>
      </c>
      <c r="M84" s="1440">
        <f>SUM(M75:M77)</f>
        <v>0</v>
      </c>
    </row>
    <row r="85" spans="1:13">
      <c r="B85" s="1431" t="s">
        <v>28</v>
      </c>
      <c r="C85" s="1440">
        <f>C83-C84</f>
        <v>250.93782839999994</v>
      </c>
      <c r="D85" s="1440">
        <f t="shared" ref="D85:M85" si="28">D83-D84</f>
        <v>0</v>
      </c>
      <c r="E85" s="1440">
        <f t="shared" si="28"/>
        <v>0</v>
      </c>
      <c r="F85" s="1440">
        <f t="shared" si="28"/>
        <v>0</v>
      </c>
      <c r="G85" s="1440">
        <f t="shared" si="28"/>
        <v>0</v>
      </c>
      <c r="H85" s="1440">
        <f t="shared" si="28"/>
        <v>0</v>
      </c>
      <c r="I85" s="1440">
        <f t="shared" si="28"/>
        <v>0</v>
      </c>
      <c r="J85" s="1440">
        <f t="shared" si="28"/>
        <v>250.93782839999994</v>
      </c>
      <c r="K85" s="1440">
        <f t="shared" si="28"/>
        <v>0</v>
      </c>
      <c r="L85" s="1440">
        <f t="shared" si="28"/>
        <v>0</v>
      </c>
      <c r="M85" s="1440">
        <f t="shared" si="28"/>
        <v>0</v>
      </c>
    </row>
    <row r="86" spans="1:13">
      <c r="B86" s="1431" t="s">
        <v>656</v>
      </c>
      <c r="C86" s="1440">
        <f>C79</f>
        <v>96.667619999999999</v>
      </c>
      <c r="D86" s="1440">
        <f>D79</f>
        <v>0</v>
      </c>
      <c r="E86" s="1440">
        <f t="shared" ref="E86:J86" si="29">E79</f>
        <v>0</v>
      </c>
      <c r="F86" s="1440">
        <f t="shared" si="29"/>
        <v>0</v>
      </c>
      <c r="G86" s="1440">
        <f t="shared" si="29"/>
        <v>0</v>
      </c>
      <c r="H86" s="1440">
        <f t="shared" si="29"/>
        <v>0</v>
      </c>
      <c r="I86" s="1440">
        <f t="shared" si="29"/>
        <v>0</v>
      </c>
      <c r="J86" s="1440">
        <f t="shared" si="29"/>
        <v>96.667619999999999</v>
      </c>
      <c r="K86" s="1440">
        <f>K79</f>
        <v>0</v>
      </c>
      <c r="L86" s="1440">
        <f>L79</f>
        <v>0</v>
      </c>
      <c r="M86" s="1440">
        <f>M79</f>
        <v>0</v>
      </c>
    </row>
    <row r="87" spans="1:13">
      <c r="B87" s="1431" t="s">
        <v>805</v>
      </c>
      <c r="C87" s="1410">
        <f>C78</f>
        <v>0</v>
      </c>
      <c r="D87" s="1440">
        <f>D78</f>
        <v>0</v>
      </c>
      <c r="E87" s="1440">
        <f t="shared" ref="E87:J87" si="30">E78</f>
        <v>0</v>
      </c>
      <c r="F87" s="1440">
        <f t="shared" si="30"/>
        <v>0</v>
      </c>
      <c r="G87" s="1440">
        <f t="shared" si="30"/>
        <v>0</v>
      </c>
      <c r="H87" s="1440">
        <f t="shared" si="30"/>
        <v>0</v>
      </c>
      <c r="I87" s="1440">
        <f t="shared" si="30"/>
        <v>0</v>
      </c>
      <c r="J87" s="1440">
        <f t="shared" si="30"/>
        <v>0</v>
      </c>
      <c r="K87" s="1440">
        <f>K78</f>
        <v>0</v>
      </c>
      <c r="L87" s="1440">
        <f>L78</f>
        <v>0</v>
      </c>
      <c r="M87" s="1440">
        <f>M78</f>
        <v>0</v>
      </c>
    </row>
    <row r="88" spans="1:13">
      <c r="B88" s="1431" t="s">
        <v>822</v>
      </c>
      <c r="C88" s="1440">
        <f>C85-C86-C87</f>
        <v>154.27020839999994</v>
      </c>
      <c r="D88" s="1440">
        <f t="shared" ref="D88:M88" si="31">D85-D86-D87</f>
        <v>0</v>
      </c>
      <c r="E88" s="1440">
        <f t="shared" si="31"/>
        <v>0</v>
      </c>
      <c r="F88" s="1440">
        <f t="shared" si="31"/>
        <v>0</v>
      </c>
      <c r="G88" s="1440">
        <f t="shared" si="31"/>
        <v>0</v>
      </c>
      <c r="H88" s="1440">
        <f t="shared" si="31"/>
        <v>0</v>
      </c>
      <c r="I88" s="1440">
        <f t="shared" si="31"/>
        <v>0</v>
      </c>
      <c r="J88" s="1440">
        <f t="shared" si="31"/>
        <v>154.27020839999994</v>
      </c>
      <c r="K88" s="1440">
        <f t="shared" si="31"/>
        <v>0</v>
      </c>
      <c r="L88" s="1440">
        <f t="shared" si="31"/>
        <v>0</v>
      </c>
      <c r="M88" s="1440">
        <f t="shared" si="31"/>
        <v>0</v>
      </c>
    </row>
    <row r="89" spans="1:13">
      <c r="B89" s="1431" t="s">
        <v>290</v>
      </c>
      <c r="C89" s="1440">
        <f>SUM(D89:M89)</f>
        <v>30.854041679999991</v>
      </c>
      <c r="D89" s="1410">
        <f t="shared" ref="D89:M89" si="32">D88*D22</f>
        <v>0</v>
      </c>
      <c r="E89" s="1410">
        <f t="shared" si="32"/>
        <v>0</v>
      </c>
      <c r="F89" s="1410">
        <f t="shared" si="32"/>
        <v>0</v>
      </c>
      <c r="G89" s="1410">
        <f t="shared" si="32"/>
        <v>0</v>
      </c>
      <c r="H89" s="1410">
        <f t="shared" si="32"/>
        <v>0</v>
      </c>
      <c r="I89" s="1410">
        <f t="shared" si="32"/>
        <v>0</v>
      </c>
      <c r="J89" s="1410">
        <f t="shared" si="32"/>
        <v>30.854041679999991</v>
      </c>
      <c r="K89" s="1410">
        <f t="shared" si="32"/>
        <v>0</v>
      </c>
      <c r="L89" s="1410">
        <f t="shared" si="32"/>
        <v>0</v>
      </c>
      <c r="M89" s="1410">
        <f t="shared" si="32"/>
        <v>0</v>
      </c>
    </row>
    <row r="90" spans="1:13">
      <c r="B90" s="1431" t="s">
        <v>661</v>
      </c>
      <c r="C90" s="1440">
        <f>SUM(D90:M90)</f>
        <v>123.41616671999995</v>
      </c>
      <c r="D90" s="1440">
        <f>D88-D89</f>
        <v>0</v>
      </c>
      <c r="E90" s="1440">
        <f t="shared" ref="E90:J90" si="33">E88-E89</f>
        <v>0</v>
      </c>
      <c r="F90" s="1440">
        <f t="shared" si="33"/>
        <v>0</v>
      </c>
      <c r="G90" s="1440">
        <f t="shared" si="33"/>
        <v>0</v>
      </c>
      <c r="H90" s="1440">
        <f t="shared" si="33"/>
        <v>0</v>
      </c>
      <c r="I90" s="1440">
        <f t="shared" si="33"/>
        <v>0</v>
      </c>
      <c r="J90" s="1440">
        <f t="shared" si="33"/>
        <v>123.41616671999995</v>
      </c>
      <c r="K90" s="1440">
        <f>K88-K89</f>
        <v>0</v>
      </c>
      <c r="L90" s="1440">
        <f>L88-L89</f>
        <v>0</v>
      </c>
      <c r="M90" s="1440">
        <f>M88-M89</f>
        <v>0</v>
      </c>
    </row>
    <row r="91" spans="1:13">
      <c r="B91" s="1428" t="s">
        <v>197</v>
      </c>
      <c r="C91" s="1429">
        <f>IF(C83&lt;&gt;0,1-C84/C83,"")</f>
        <v>0.36342361564296288</v>
      </c>
      <c r="D91" s="1429" t="str">
        <f t="shared" ref="D91:J91" si="34">IF(D83&lt;&gt;0,1-D84/D83,"")</f>
        <v/>
      </c>
      <c r="E91" s="1429" t="str">
        <f t="shared" si="34"/>
        <v/>
      </c>
      <c r="F91" s="1429" t="str">
        <f t="shared" si="34"/>
        <v/>
      </c>
      <c r="G91" s="1429" t="str">
        <f t="shared" si="34"/>
        <v/>
      </c>
      <c r="H91" s="1429" t="str">
        <f t="shared" si="34"/>
        <v/>
      </c>
      <c r="I91" s="1429" t="str">
        <f t="shared" si="34"/>
        <v/>
      </c>
      <c r="J91" s="1429">
        <f t="shared" si="34"/>
        <v>0.36342361564296288</v>
      </c>
      <c r="K91" s="1429" t="str">
        <f>IF(K83&lt;&gt;0,1-K84/K83,"")</f>
        <v/>
      </c>
      <c r="L91" s="1429" t="str">
        <f>IF(L83&lt;&gt;0,1-L84/L83,"")</f>
        <v/>
      </c>
      <c r="M91" s="1429" t="str">
        <f>IF(M83&lt;&gt;0,1-M84/M83,"")</f>
        <v/>
      </c>
    </row>
    <row r="92" spans="1:13">
      <c r="B92" s="1428" t="s">
        <v>1779</v>
      </c>
      <c r="C92" s="1429">
        <f>IF(C83&lt;&gt;0,C90/C83,"")</f>
        <v>0.17873889251437031</v>
      </c>
      <c r="D92" s="1429" t="str">
        <f t="shared" ref="D92:M92" si="35">IF(D83&lt;&gt;0,D90/D83,"")</f>
        <v/>
      </c>
      <c r="E92" s="1429" t="str">
        <f t="shared" si="35"/>
        <v/>
      </c>
      <c r="F92" s="1429" t="str">
        <f t="shared" si="35"/>
        <v/>
      </c>
      <c r="G92" s="1429" t="str">
        <f t="shared" si="35"/>
        <v/>
      </c>
      <c r="H92" s="1429" t="str">
        <f t="shared" si="35"/>
        <v/>
      </c>
      <c r="I92" s="1429" t="str">
        <f t="shared" si="35"/>
        <v/>
      </c>
      <c r="J92" s="1429">
        <f t="shared" si="35"/>
        <v>0.17873889251437031</v>
      </c>
      <c r="K92" s="1429" t="str">
        <f t="shared" si="35"/>
        <v/>
      </c>
      <c r="L92" s="1429" t="str">
        <f t="shared" si="35"/>
        <v/>
      </c>
      <c r="M92" s="1429" t="str">
        <f t="shared" si="35"/>
        <v/>
      </c>
    </row>
    <row r="93" spans="1:13">
      <c r="B93" s="1428"/>
      <c r="C93" s="1429"/>
      <c r="D93" s="1429"/>
      <c r="E93" s="1429"/>
      <c r="F93" s="1429"/>
      <c r="G93" s="1429"/>
      <c r="H93" s="1429"/>
    </row>
    <row r="94" spans="1:13">
      <c r="D94" s="1440"/>
      <c r="E94" s="1440"/>
      <c r="F94" s="1440"/>
      <c r="G94" s="1440"/>
    </row>
    <row r="95" spans="1:13" s="1407" customFormat="1">
      <c r="A95" s="1406">
        <v>7</v>
      </c>
      <c r="B95" s="1407" t="s">
        <v>1589</v>
      </c>
      <c r="C95" s="1440" t="s">
        <v>642</v>
      </c>
      <c r="D95" s="1431">
        <f t="shared" ref="D95:J95" si="36">D82</f>
        <v>2013</v>
      </c>
      <c r="E95" s="1431">
        <f t="shared" si="36"/>
        <v>2014</v>
      </c>
      <c r="F95" s="1431">
        <f t="shared" si="36"/>
        <v>2015</v>
      </c>
      <c r="G95" s="1431">
        <f t="shared" si="36"/>
        <v>2016</v>
      </c>
      <c r="H95" s="1431">
        <f t="shared" si="36"/>
        <v>2017</v>
      </c>
      <c r="I95" s="1431">
        <f t="shared" si="36"/>
        <v>2018</v>
      </c>
      <c r="J95" s="1431">
        <f t="shared" si="36"/>
        <v>2019</v>
      </c>
      <c r="K95" s="1431">
        <f>K82</f>
        <v>2020</v>
      </c>
      <c r="L95" s="1431">
        <f>L82</f>
        <v>2021</v>
      </c>
      <c r="M95" s="1431">
        <f>M82</f>
        <v>2022</v>
      </c>
    </row>
    <row r="96" spans="1:13">
      <c r="B96" s="1419" t="s">
        <v>850</v>
      </c>
      <c r="C96" s="1441">
        <f>C63</f>
        <v>690.48299999999995</v>
      </c>
      <c r="D96" s="1441">
        <f t="shared" ref="D96:J96" si="37">D63</f>
        <v>0</v>
      </c>
      <c r="E96" s="1441">
        <f t="shared" si="37"/>
        <v>0</v>
      </c>
      <c r="F96" s="1441">
        <f t="shared" si="37"/>
        <v>0</v>
      </c>
      <c r="G96" s="1441">
        <f t="shared" si="37"/>
        <v>69.048299999999998</v>
      </c>
      <c r="H96" s="1441">
        <f t="shared" si="37"/>
        <v>414.28979999999996</v>
      </c>
      <c r="I96" s="1441">
        <f t="shared" si="37"/>
        <v>207.14490000000001</v>
      </c>
      <c r="J96" s="1441">
        <f t="shared" si="37"/>
        <v>0</v>
      </c>
      <c r="K96" s="1441">
        <f>K63</f>
        <v>0</v>
      </c>
      <c r="L96" s="1441">
        <f>L63</f>
        <v>0</v>
      </c>
      <c r="M96" s="1441">
        <f>M63</f>
        <v>0</v>
      </c>
    </row>
    <row r="97" spans="1:17">
      <c r="B97" s="1407"/>
      <c r="C97" s="1440"/>
      <c r="D97" s="1440"/>
      <c r="E97" s="1440"/>
      <c r="F97" s="1440"/>
      <c r="G97" s="1440"/>
      <c r="H97" s="1440"/>
      <c r="I97" s="1440"/>
      <c r="J97" s="1440"/>
      <c r="K97" s="1440"/>
      <c r="L97" s="1440"/>
      <c r="M97" s="1440"/>
    </row>
    <row r="98" spans="1:17">
      <c r="B98" s="1407" t="s">
        <v>851</v>
      </c>
      <c r="C98" s="1440">
        <f t="shared" ref="C98:J98" si="38">SUM(C99:C102)</f>
        <v>485.27166167999997</v>
      </c>
      <c r="D98" s="1440">
        <f t="shared" si="38"/>
        <v>0</v>
      </c>
      <c r="E98" s="1440">
        <f t="shared" si="38"/>
        <v>0</v>
      </c>
      <c r="F98" s="1440">
        <f t="shared" si="38"/>
        <v>0</v>
      </c>
      <c r="G98" s="1440">
        <f t="shared" si="38"/>
        <v>57.54</v>
      </c>
      <c r="H98" s="1440">
        <f t="shared" si="38"/>
        <v>210.14699999999996</v>
      </c>
      <c r="I98" s="1440">
        <f t="shared" si="38"/>
        <v>90.062999999999988</v>
      </c>
      <c r="J98" s="1440">
        <f t="shared" si="38"/>
        <v>127.52166167999999</v>
      </c>
      <c r="K98" s="1440">
        <f>SUM(K99:K102)</f>
        <v>0</v>
      </c>
      <c r="L98" s="1440">
        <f>SUM(L99:L102)</f>
        <v>0</v>
      </c>
      <c r="M98" s="1440">
        <f>SUM(M99:M102)</f>
        <v>0</v>
      </c>
      <c r="N98" s="1440"/>
      <c r="O98" s="1440"/>
      <c r="P98" s="1440"/>
      <c r="Q98" s="1440"/>
    </row>
    <row r="99" spans="1:17">
      <c r="B99" s="1431" t="s">
        <v>852</v>
      </c>
      <c r="C99" s="1440">
        <f t="shared" ref="C99:J99" si="39">C35</f>
        <v>57.54</v>
      </c>
      <c r="D99" s="1440">
        <f t="shared" si="39"/>
        <v>0</v>
      </c>
      <c r="E99" s="1440">
        <f t="shared" si="39"/>
        <v>0</v>
      </c>
      <c r="F99" s="1440">
        <f t="shared" si="39"/>
        <v>0</v>
      </c>
      <c r="G99" s="1440">
        <f t="shared" si="39"/>
        <v>57.54</v>
      </c>
      <c r="H99" s="1440">
        <f t="shared" si="39"/>
        <v>0</v>
      </c>
      <c r="I99" s="1440">
        <f t="shared" si="39"/>
        <v>0</v>
      </c>
      <c r="J99" s="1440">
        <f t="shared" si="39"/>
        <v>0</v>
      </c>
      <c r="K99" s="1440">
        <f>K35</f>
        <v>0</v>
      </c>
      <c r="L99" s="1440">
        <f>L35</f>
        <v>0</v>
      </c>
      <c r="M99" s="1440">
        <f>M35</f>
        <v>0</v>
      </c>
    </row>
    <row r="100" spans="1:17">
      <c r="B100" s="1431" t="s">
        <v>788</v>
      </c>
      <c r="C100" s="1440">
        <f t="shared" ref="C100:J100" si="40">C70</f>
        <v>300.20999999999998</v>
      </c>
      <c r="D100" s="1440">
        <f t="shared" si="40"/>
        <v>0</v>
      </c>
      <c r="E100" s="1440">
        <f t="shared" si="40"/>
        <v>0</v>
      </c>
      <c r="F100" s="1440">
        <f t="shared" si="40"/>
        <v>0</v>
      </c>
      <c r="G100" s="1440">
        <f t="shared" si="40"/>
        <v>0</v>
      </c>
      <c r="H100" s="1440">
        <f t="shared" si="40"/>
        <v>210.14699999999996</v>
      </c>
      <c r="I100" s="1440">
        <f t="shared" si="40"/>
        <v>90.062999999999988</v>
      </c>
      <c r="J100" s="1440">
        <f t="shared" si="40"/>
        <v>0</v>
      </c>
      <c r="K100" s="1440">
        <f>K70</f>
        <v>0</v>
      </c>
      <c r="L100" s="1440">
        <f>L70</f>
        <v>0</v>
      </c>
      <c r="M100" s="1440">
        <f>M70</f>
        <v>0</v>
      </c>
    </row>
    <row r="101" spans="1:17">
      <c r="B101" s="1431" t="s">
        <v>656</v>
      </c>
      <c r="C101" s="1440">
        <f t="shared" ref="C101:J101" si="41">C79</f>
        <v>96.667619999999999</v>
      </c>
      <c r="D101" s="1440">
        <f t="shared" si="41"/>
        <v>0</v>
      </c>
      <c r="E101" s="1440">
        <f t="shared" si="41"/>
        <v>0</v>
      </c>
      <c r="F101" s="1440">
        <f t="shared" si="41"/>
        <v>0</v>
      </c>
      <c r="G101" s="1440">
        <f t="shared" si="41"/>
        <v>0</v>
      </c>
      <c r="H101" s="1440">
        <f t="shared" si="41"/>
        <v>0</v>
      </c>
      <c r="I101" s="1440">
        <f t="shared" si="41"/>
        <v>0</v>
      </c>
      <c r="J101" s="1440">
        <f t="shared" si="41"/>
        <v>96.667619999999999</v>
      </c>
      <c r="K101" s="1440">
        <f>K79</f>
        <v>0</v>
      </c>
      <c r="L101" s="1440">
        <f>L79</f>
        <v>0</v>
      </c>
      <c r="M101" s="1440">
        <f>M79</f>
        <v>0</v>
      </c>
      <c r="N101" s="1440"/>
      <c r="O101" s="1440"/>
    </row>
    <row r="102" spans="1:17">
      <c r="B102" s="1431" t="s">
        <v>854</v>
      </c>
      <c r="C102" s="1440">
        <f t="shared" ref="C102:J102" si="42">C89</f>
        <v>30.854041679999991</v>
      </c>
      <c r="D102" s="1440">
        <f t="shared" si="42"/>
        <v>0</v>
      </c>
      <c r="E102" s="1440">
        <f t="shared" si="42"/>
        <v>0</v>
      </c>
      <c r="F102" s="1440">
        <f t="shared" si="42"/>
        <v>0</v>
      </c>
      <c r="G102" s="1440">
        <f t="shared" si="42"/>
        <v>0</v>
      </c>
      <c r="H102" s="1440">
        <f t="shared" si="42"/>
        <v>0</v>
      </c>
      <c r="I102" s="1440">
        <f t="shared" si="42"/>
        <v>0</v>
      </c>
      <c r="J102" s="1440">
        <f t="shared" si="42"/>
        <v>30.854041679999991</v>
      </c>
      <c r="K102" s="1440">
        <f>K89</f>
        <v>0</v>
      </c>
      <c r="L102" s="1440">
        <f>L89</f>
        <v>0</v>
      </c>
      <c r="M102" s="1440">
        <f>M89</f>
        <v>0</v>
      </c>
    </row>
    <row r="103" spans="1:17">
      <c r="A103" s="1444"/>
      <c r="B103" s="1431" t="s">
        <v>855</v>
      </c>
      <c r="C103" s="1440">
        <f t="shared" ref="C103:J103" si="43">C96-C98</f>
        <v>205.21133831999998</v>
      </c>
      <c r="D103" s="1656">
        <f t="shared" si="43"/>
        <v>0</v>
      </c>
      <c r="E103" s="1440">
        <f t="shared" si="43"/>
        <v>0</v>
      </c>
      <c r="F103" s="1440">
        <f t="shared" si="43"/>
        <v>0</v>
      </c>
      <c r="G103" s="1440">
        <f t="shared" si="43"/>
        <v>11.508299999999998</v>
      </c>
      <c r="H103" s="1440">
        <f t="shared" si="43"/>
        <v>204.14279999999999</v>
      </c>
      <c r="I103" s="1440">
        <f t="shared" si="43"/>
        <v>117.08190000000002</v>
      </c>
      <c r="J103" s="1440">
        <f t="shared" si="43"/>
        <v>-127.52166167999999</v>
      </c>
      <c r="K103" s="1440">
        <f>K96-K98</f>
        <v>0</v>
      </c>
      <c r="L103" s="1440">
        <f>L96-L98</f>
        <v>0</v>
      </c>
      <c r="M103" s="1440">
        <f>M96-M98</f>
        <v>0</v>
      </c>
    </row>
    <row r="104" spans="1:17">
      <c r="B104" s="1431" t="s">
        <v>1570</v>
      </c>
      <c r="D104" s="1452">
        <f t="shared" ref="D104:M104" si="44">IF(D95&gt;$D$12,(1+D23)^(D95-$D$12),0)</f>
        <v>0</v>
      </c>
      <c r="E104" s="1452">
        <f t="shared" si="44"/>
        <v>0</v>
      </c>
      <c r="F104" s="1452">
        <f t="shared" si="44"/>
        <v>0</v>
      </c>
      <c r="G104" s="1452">
        <f t="shared" si="44"/>
        <v>0</v>
      </c>
      <c r="H104" s="1452">
        <f t="shared" si="44"/>
        <v>0</v>
      </c>
      <c r="I104" s="1452">
        <f t="shared" si="44"/>
        <v>0</v>
      </c>
      <c r="J104" s="1452">
        <f t="shared" si="44"/>
        <v>0</v>
      </c>
      <c r="K104" s="1452">
        <f t="shared" si="44"/>
        <v>0</v>
      </c>
      <c r="L104" s="1452">
        <f t="shared" si="44"/>
        <v>0</v>
      </c>
      <c r="M104" s="1452">
        <f t="shared" si="44"/>
        <v>0</v>
      </c>
    </row>
    <row r="105" spans="1:17">
      <c r="B105" s="1431" t="s">
        <v>1452</v>
      </c>
      <c r="C105" s="1440">
        <f>SUMIF(D95:M95,"&gt;"&amp;D12,D105:M105)</f>
        <v>0</v>
      </c>
      <c r="D105" s="1440" t="str">
        <f t="shared" ref="D105:M105" si="45">IF(D104&lt;&gt;0,D103/D104,"")</f>
        <v/>
      </c>
      <c r="E105" s="1440" t="str">
        <f t="shared" si="45"/>
        <v/>
      </c>
      <c r="F105" s="1440" t="str">
        <f t="shared" si="45"/>
        <v/>
      </c>
      <c r="G105" s="1440" t="str">
        <f t="shared" si="45"/>
        <v/>
      </c>
      <c r="H105" s="1440" t="str">
        <f t="shared" si="45"/>
        <v/>
      </c>
      <c r="I105" s="1440" t="str">
        <f t="shared" si="45"/>
        <v/>
      </c>
      <c r="J105" s="1440" t="str">
        <f t="shared" si="45"/>
        <v/>
      </c>
      <c r="K105" s="1440" t="str">
        <f t="shared" si="45"/>
        <v/>
      </c>
      <c r="L105" s="1440" t="str">
        <f t="shared" si="45"/>
        <v/>
      </c>
      <c r="M105" s="1440" t="str">
        <f t="shared" si="45"/>
        <v/>
      </c>
    </row>
    <row r="106" spans="1:17">
      <c r="B106" s="1407" t="s">
        <v>1590</v>
      </c>
      <c r="C106" s="1427">
        <f>C105*I5</f>
        <v>0</v>
      </c>
    </row>
    <row r="107" spans="1:17">
      <c r="B107" s="1407"/>
      <c r="C107" s="1427"/>
    </row>
    <row r="108" spans="1:17">
      <c r="B108" s="1407" t="s">
        <v>1588</v>
      </c>
      <c r="C108" s="1440"/>
      <c r="D108" s="1431">
        <f t="shared" ref="D108:J108" si="46">D95</f>
        <v>2013</v>
      </c>
      <c r="E108" s="1431">
        <f t="shared" si="46"/>
        <v>2014</v>
      </c>
      <c r="F108" s="1431">
        <f t="shared" si="46"/>
        <v>2015</v>
      </c>
      <c r="G108" s="1431">
        <f t="shared" si="46"/>
        <v>2016</v>
      </c>
      <c r="H108" s="1431">
        <f t="shared" si="46"/>
        <v>2017</v>
      </c>
      <c r="I108" s="1431">
        <f t="shared" si="46"/>
        <v>2018</v>
      </c>
      <c r="J108" s="1431">
        <f t="shared" si="46"/>
        <v>2019</v>
      </c>
      <c r="K108" s="1431">
        <f>K95</f>
        <v>2020</v>
      </c>
      <c r="L108" s="1431">
        <f>L95</f>
        <v>2021</v>
      </c>
      <c r="M108" s="1431">
        <f>M95</f>
        <v>2022</v>
      </c>
    </row>
    <row r="109" spans="1:17" s="1447" customFormat="1">
      <c r="A109" s="1459"/>
      <c r="B109" s="1460">
        <f>IRR(D109:M109)</f>
        <v>-0.45153884863538807</v>
      </c>
      <c r="C109" s="1408"/>
      <c r="D109" s="1408">
        <f>D103</f>
        <v>0</v>
      </c>
      <c r="E109" s="1408">
        <f t="shared" ref="E109:J109" si="47">E103</f>
        <v>0</v>
      </c>
      <c r="F109" s="1408">
        <f t="shared" si="47"/>
        <v>0</v>
      </c>
      <c r="G109" s="1408">
        <f t="shared" si="47"/>
        <v>11.508299999999998</v>
      </c>
      <c r="H109" s="1408">
        <f t="shared" si="47"/>
        <v>204.14279999999999</v>
      </c>
      <c r="I109" s="1408">
        <f t="shared" si="47"/>
        <v>117.08190000000002</v>
      </c>
      <c r="J109" s="1408">
        <f t="shared" si="47"/>
        <v>-127.52166167999999</v>
      </c>
      <c r="K109" s="1408">
        <f>K103</f>
        <v>0</v>
      </c>
      <c r="L109" s="1408">
        <f>L103</f>
        <v>0</v>
      </c>
      <c r="M109" s="1408">
        <f>M103</f>
        <v>0</v>
      </c>
    </row>
    <row r="110" spans="1:17">
      <c r="B110" s="1407" t="s">
        <v>1789</v>
      </c>
      <c r="C110" s="1440"/>
      <c r="D110" s="1656">
        <f t="shared" ref="D110:M110" si="48">D103+D116-D118</f>
        <v>0</v>
      </c>
      <c r="E110" s="1656">
        <f t="shared" si="48"/>
        <v>0</v>
      </c>
      <c r="F110" s="1656">
        <f t="shared" si="48"/>
        <v>0</v>
      </c>
      <c r="G110" s="1656">
        <f t="shared" si="48"/>
        <v>238.71710999999999</v>
      </c>
      <c r="H110" s="1656">
        <f t="shared" si="48"/>
        <v>204.14279999999999</v>
      </c>
      <c r="I110" s="1656">
        <f t="shared" si="48"/>
        <v>-110.12690999999998</v>
      </c>
      <c r="J110" s="1656">
        <f t="shared" si="48"/>
        <v>-127.52166167999999</v>
      </c>
      <c r="K110" s="1656">
        <f t="shared" si="48"/>
        <v>0</v>
      </c>
      <c r="L110" s="1656">
        <f t="shared" si="48"/>
        <v>0</v>
      </c>
      <c r="M110" s="1656">
        <f t="shared" si="48"/>
        <v>0</v>
      </c>
    </row>
    <row r="111" spans="1:17">
      <c r="B111" s="1407"/>
      <c r="C111" s="1427"/>
      <c r="D111" s="1454"/>
      <c r="E111" s="1454"/>
      <c r="F111" s="1454"/>
      <c r="G111" s="1454"/>
      <c r="H111" s="1454"/>
      <c r="I111" s="1454"/>
      <c r="J111" s="1454"/>
      <c r="K111" s="1454"/>
      <c r="L111" s="1454"/>
      <c r="M111" s="1454"/>
    </row>
    <row r="112" spans="1:17">
      <c r="B112" s="1407"/>
      <c r="C112" s="1427"/>
    </row>
    <row r="113" spans="1:13" s="1407" customFormat="1">
      <c r="A113" s="1406">
        <v>8</v>
      </c>
      <c r="B113" s="1407" t="s">
        <v>1592</v>
      </c>
      <c r="C113" s="1440"/>
      <c r="D113" s="1431">
        <f t="shared" ref="D113:I113" si="49">D95</f>
        <v>2013</v>
      </c>
      <c r="E113" s="1431">
        <f t="shared" si="49"/>
        <v>2014</v>
      </c>
      <c r="F113" s="1431">
        <f t="shared" si="49"/>
        <v>2015</v>
      </c>
      <c r="G113" s="1431">
        <f t="shared" si="49"/>
        <v>2016</v>
      </c>
      <c r="H113" s="1431">
        <f t="shared" si="49"/>
        <v>2017</v>
      </c>
      <c r="I113" s="1431">
        <f t="shared" si="49"/>
        <v>2018</v>
      </c>
      <c r="J113" s="1431">
        <f>I113+1</f>
        <v>2019</v>
      </c>
      <c r="K113" s="1431">
        <f>J113+1</f>
        <v>2020</v>
      </c>
      <c r="L113" s="1431">
        <f>K113+1</f>
        <v>2021</v>
      </c>
      <c r="M113" s="1431">
        <f>L113+1</f>
        <v>2022</v>
      </c>
    </row>
    <row r="114" spans="1:13">
      <c r="B114" s="1432" t="s">
        <v>1571</v>
      </c>
      <c r="C114" s="1441">
        <f>D5*I6</f>
        <v>227.20881</v>
      </c>
      <c r="D114" s="1432"/>
      <c r="E114" s="1432"/>
      <c r="F114" s="1432"/>
      <c r="G114" s="1432"/>
      <c r="H114" s="1432"/>
      <c r="I114" s="1432"/>
      <c r="J114" s="1456"/>
      <c r="K114" s="1456"/>
      <c r="L114" s="1456"/>
      <c r="M114" s="1456"/>
    </row>
    <row r="115" spans="1:13">
      <c r="B115" s="1431" t="s">
        <v>1572</v>
      </c>
      <c r="C115" s="1436">
        <f>SUM(D115:M115)</f>
        <v>1</v>
      </c>
      <c r="D115" s="1416">
        <v>0</v>
      </c>
      <c r="E115" s="1416">
        <v>0</v>
      </c>
      <c r="F115" s="1416">
        <v>0</v>
      </c>
      <c r="G115" s="1416">
        <v>1</v>
      </c>
      <c r="H115" s="1411">
        <v>0</v>
      </c>
      <c r="I115" s="1411">
        <v>0</v>
      </c>
      <c r="J115" s="1411">
        <v>0</v>
      </c>
      <c r="K115" s="1411">
        <v>0</v>
      </c>
      <c r="L115" s="1411">
        <v>0</v>
      </c>
      <c r="M115" s="1411">
        <v>0</v>
      </c>
    </row>
    <row r="116" spans="1:13">
      <c r="B116" s="1431" t="s">
        <v>1573</v>
      </c>
      <c r="C116" s="1440">
        <f>SUM(D116:M116)</f>
        <v>227.20881</v>
      </c>
      <c r="D116" s="1410">
        <f t="shared" ref="D116:M116" si="50">D115*$C$114</f>
        <v>0</v>
      </c>
      <c r="E116" s="1410">
        <f t="shared" si="50"/>
        <v>0</v>
      </c>
      <c r="F116" s="1410">
        <f t="shared" si="50"/>
        <v>0</v>
      </c>
      <c r="G116" s="1410">
        <f t="shared" si="50"/>
        <v>227.20881</v>
      </c>
      <c r="H116" s="1410">
        <f t="shared" si="50"/>
        <v>0</v>
      </c>
      <c r="I116" s="1410">
        <f t="shared" si="50"/>
        <v>0</v>
      </c>
      <c r="J116" s="1410">
        <f t="shared" si="50"/>
        <v>0</v>
      </c>
      <c r="K116" s="1410">
        <f t="shared" si="50"/>
        <v>0</v>
      </c>
      <c r="L116" s="1410">
        <f t="shared" si="50"/>
        <v>0</v>
      </c>
      <c r="M116" s="1410">
        <f t="shared" si="50"/>
        <v>0</v>
      </c>
    </row>
    <row r="117" spans="1:13">
      <c r="B117" s="1431" t="s">
        <v>868</v>
      </c>
      <c r="C117" s="1440"/>
      <c r="D117" s="1440">
        <f>D116</f>
        <v>0</v>
      </c>
      <c r="E117" s="1440">
        <f>E116</f>
        <v>0</v>
      </c>
      <c r="F117" s="1440">
        <f>F116</f>
        <v>0</v>
      </c>
      <c r="G117" s="1440">
        <f t="shared" ref="G117:M117" si="51">F120+G116</f>
        <v>227.20881</v>
      </c>
      <c r="H117" s="1440">
        <f t="shared" si="51"/>
        <v>227.20881</v>
      </c>
      <c r="I117" s="1440">
        <f t="shared" si="51"/>
        <v>227.20881</v>
      </c>
      <c r="J117" s="1440">
        <f t="shared" si="51"/>
        <v>0</v>
      </c>
      <c r="K117" s="1440">
        <f t="shared" si="51"/>
        <v>0</v>
      </c>
      <c r="L117" s="1440">
        <f t="shared" si="51"/>
        <v>0</v>
      </c>
      <c r="M117" s="1440">
        <f t="shared" si="51"/>
        <v>0</v>
      </c>
    </row>
    <row r="118" spans="1:13">
      <c r="B118" s="1431" t="s">
        <v>1574</v>
      </c>
      <c r="C118" s="1440">
        <f>SUM(D118:M118)</f>
        <v>227.20881</v>
      </c>
      <c r="D118" s="1423"/>
      <c r="E118" s="1423"/>
      <c r="F118" s="1423"/>
      <c r="G118" s="1423"/>
      <c r="H118" s="1423"/>
      <c r="I118" s="1423">
        <f>C114</f>
        <v>227.20881</v>
      </c>
      <c r="J118" s="1410"/>
      <c r="K118" s="1440"/>
      <c r="L118" s="1440"/>
      <c r="M118" s="1440"/>
    </row>
    <row r="119" spans="1:13">
      <c r="B119" s="1431" t="s">
        <v>869</v>
      </c>
      <c r="C119" s="1440">
        <f>SUM(D119:M119)</f>
        <v>81.795171599999989</v>
      </c>
      <c r="D119" s="1440">
        <f t="shared" ref="D119:M119" si="52">D117*D21</f>
        <v>0</v>
      </c>
      <c r="E119" s="1440">
        <f t="shared" si="52"/>
        <v>0</v>
      </c>
      <c r="F119" s="1440">
        <f t="shared" si="52"/>
        <v>0</v>
      </c>
      <c r="G119" s="1440">
        <f t="shared" si="52"/>
        <v>27.265057199999998</v>
      </c>
      <c r="H119" s="1440">
        <f t="shared" si="52"/>
        <v>27.265057199999998</v>
      </c>
      <c r="I119" s="1440">
        <f t="shared" si="52"/>
        <v>27.265057199999998</v>
      </c>
      <c r="J119" s="1440">
        <f t="shared" si="52"/>
        <v>0</v>
      </c>
      <c r="K119" s="1440">
        <f t="shared" si="52"/>
        <v>0</v>
      </c>
      <c r="L119" s="1440">
        <f t="shared" si="52"/>
        <v>0</v>
      </c>
      <c r="M119" s="1440">
        <f t="shared" si="52"/>
        <v>0</v>
      </c>
    </row>
    <row r="120" spans="1:13">
      <c r="B120" s="1431" t="s">
        <v>874</v>
      </c>
      <c r="C120" s="1440"/>
      <c r="D120" s="1440">
        <f t="shared" ref="D120:M120" si="53">D117-D118</f>
        <v>0</v>
      </c>
      <c r="E120" s="1440">
        <f t="shared" si="53"/>
        <v>0</v>
      </c>
      <c r="F120" s="1440">
        <f t="shared" si="53"/>
        <v>0</v>
      </c>
      <c r="G120" s="1440">
        <f t="shared" si="53"/>
        <v>227.20881</v>
      </c>
      <c r="H120" s="1440">
        <f t="shared" si="53"/>
        <v>227.20881</v>
      </c>
      <c r="I120" s="1440">
        <f t="shared" si="53"/>
        <v>0</v>
      </c>
      <c r="J120" s="1440">
        <f t="shared" si="53"/>
        <v>0</v>
      </c>
      <c r="K120" s="1440">
        <f t="shared" si="53"/>
        <v>0</v>
      </c>
      <c r="L120" s="1440">
        <f t="shared" si="53"/>
        <v>0</v>
      </c>
      <c r="M120" s="1440">
        <f t="shared" si="53"/>
        <v>0</v>
      </c>
    </row>
    <row r="121" spans="1:13">
      <c r="C121" s="1440"/>
      <c r="D121" s="1412"/>
      <c r="E121" s="1440"/>
      <c r="F121" s="1440"/>
      <c r="G121" s="1440"/>
      <c r="H121" s="1440"/>
    </row>
    <row r="122" spans="1:13">
      <c r="C122" s="1440"/>
    </row>
    <row r="123" spans="1:13" s="1407" customFormat="1">
      <c r="A123" s="1406">
        <v>9</v>
      </c>
      <c r="B123" s="1407" t="s">
        <v>350</v>
      </c>
      <c r="C123" s="1440"/>
      <c r="D123" s="1431">
        <f t="shared" ref="D123:J123" si="54">D95</f>
        <v>2013</v>
      </c>
      <c r="E123" s="1431">
        <f t="shared" si="54"/>
        <v>2014</v>
      </c>
      <c r="F123" s="1431">
        <f t="shared" si="54"/>
        <v>2015</v>
      </c>
      <c r="G123" s="1431">
        <f t="shared" si="54"/>
        <v>2016</v>
      </c>
      <c r="H123" s="1431">
        <f t="shared" si="54"/>
        <v>2017</v>
      </c>
      <c r="I123" s="1431">
        <f t="shared" si="54"/>
        <v>2018</v>
      </c>
      <c r="J123" s="1431">
        <f t="shared" si="54"/>
        <v>2019</v>
      </c>
      <c r="K123" s="1431">
        <f>K95</f>
        <v>2020</v>
      </c>
      <c r="L123" s="1431">
        <f>L95</f>
        <v>2021</v>
      </c>
      <c r="M123" s="1431">
        <f>M95</f>
        <v>2022</v>
      </c>
    </row>
    <row r="124" spans="1:13">
      <c r="B124" s="1432" t="s">
        <v>1575</v>
      </c>
      <c r="C124" s="1441"/>
      <c r="D124" s="1441">
        <f>D63</f>
        <v>0</v>
      </c>
      <c r="E124" s="1408">
        <f t="shared" ref="E124:M124" si="55">D124+E63</f>
        <v>0</v>
      </c>
      <c r="F124" s="1408">
        <f t="shared" si="55"/>
        <v>0</v>
      </c>
      <c r="G124" s="1408">
        <f t="shared" si="55"/>
        <v>69.048299999999998</v>
      </c>
      <c r="H124" s="1408">
        <f t="shared" si="55"/>
        <v>483.33809999999994</v>
      </c>
      <c r="I124" s="1408">
        <f t="shared" si="55"/>
        <v>690.48299999999995</v>
      </c>
      <c r="J124" s="1408">
        <f t="shared" si="55"/>
        <v>690.48299999999995</v>
      </c>
      <c r="K124" s="1408">
        <f t="shared" si="55"/>
        <v>690.48299999999995</v>
      </c>
      <c r="L124" s="1408">
        <f t="shared" si="55"/>
        <v>690.48299999999995</v>
      </c>
      <c r="M124" s="1408">
        <f t="shared" si="55"/>
        <v>690.48299999999995</v>
      </c>
    </row>
    <row r="125" spans="1:13">
      <c r="B125" s="1431" t="s">
        <v>1576</v>
      </c>
      <c r="C125" s="1440"/>
      <c r="D125" s="1440">
        <f>D57</f>
        <v>0</v>
      </c>
      <c r="E125" s="1440">
        <f t="shared" ref="E125:M125" si="56">D125+E57</f>
        <v>0</v>
      </c>
      <c r="F125" s="1440">
        <f t="shared" si="56"/>
        <v>0</v>
      </c>
      <c r="G125" s="1440">
        <f t="shared" si="56"/>
        <v>0</v>
      </c>
      <c r="H125" s="1440">
        <f t="shared" si="56"/>
        <v>0</v>
      </c>
      <c r="I125" s="1440">
        <f t="shared" si="56"/>
        <v>0</v>
      </c>
      <c r="J125" s="1440">
        <f t="shared" si="56"/>
        <v>690.48299999999995</v>
      </c>
      <c r="K125" s="1440">
        <f t="shared" si="56"/>
        <v>690.48299999999995</v>
      </c>
      <c r="L125" s="1440">
        <f t="shared" si="56"/>
        <v>690.48299999999995</v>
      </c>
      <c r="M125" s="1440">
        <f t="shared" si="56"/>
        <v>690.48299999999995</v>
      </c>
    </row>
    <row r="126" spans="1:13">
      <c r="B126" s="1431" t="s">
        <v>1577</v>
      </c>
      <c r="C126" s="1440"/>
      <c r="D126" s="1440">
        <f>D50</f>
        <v>0</v>
      </c>
      <c r="E126" s="1440">
        <f t="shared" ref="E126:M126" si="57">D126+E50</f>
        <v>0</v>
      </c>
      <c r="F126" s="1440">
        <f t="shared" si="57"/>
        <v>0</v>
      </c>
      <c r="G126" s="1440">
        <f t="shared" si="57"/>
        <v>690.48299999999995</v>
      </c>
      <c r="H126" s="1440">
        <f t="shared" si="57"/>
        <v>690.48299999999995</v>
      </c>
      <c r="I126" s="1440">
        <f t="shared" si="57"/>
        <v>690.48299999999995</v>
      </c>
      <c r="J126" s="1440">
        <f t="shared" si="57"/>
        <v>690.48299999999995</v>
      </c>
      <c r="K126" s="1440">
        <f t="shared" si="57"/>
        <v>690.48299999999995</v>
      </c>
      <c r="L126" s="1440">
        <f t="shared" si="57"/>
        <v>690.48299999999995</v>
      </c>
      <c r="M126" s="1440">
        <f t="shared" si="57"/>
        <v>690.48299999999995</v>
      </c>
    </row>
    <row r="127" spans="1:13">
      <c r="B127" s="1431" t="s">
        <v>1578</v>
      </c>
      <c r="C127" s="1440"/>
      <c r="D127" s="1436" t="str">
        <f t="shared" ref="D127:J127" si="58">IF(D124&lt;&gt;0,D124/D126,"")</f>
        <v/>
      </c>
      <c r="E127" s="1436" t="str">
        <f t="shared" si="58"/>
        <v/>
      </c>
      <c r="F127" s="1436" t="str">
        <f t="shared" si="58"/>
        <v/>
      </c>
      <c r="G127" s="1436">
        <f t="shared" si="58"/>
        <v>0.1</v>
      </c>
      <c r="H127" s="1436">
        <f t="shared" si="58"/>
        <v>0.7</v>
      </c>
      <c r="I127" s="1436">
        <f t="shared" si="58"/>
        <v>1</v>
      </c>
      <c r="J127" s="1436">
        <f t="shared" si="58"/>
        <v>1</v>
      </c>
      <c r="K127" s="1436">
        <f>IF(K124&lt;&gt;0,K124/K126,"")</f>
        <v>1</v>
      </c>
      <c r="L127" s="1436">
        <f>IF(L124&lt;&gt;0,L124/L126,"")</f>
        <v>1</v>
      </c>
      <c r="M127" s="1436">
        <f>IF(M124&lt;&gt;0,M124/M126,"")</f>
        <v>1</v>
      </c>
    </row>
    <row r="128" spans="1:13">
      <c r="B128" s="1431" t="s">
        <v>1579</v>
      </c>
      <c r="C128" s="1440"/>
      <c r="D128" s="1410">
        <f t="shared" ref="D128:J128" si="59">IF(D124&gt;D125,D124-D125,0)</f>
        <v>0</v>
      </c>
      <c r="E128" s="1410">
        <f t="shared" si="59"/>
        <v>0</v>
      </c>
      <c r="F128" s="1410">
        <f t="shared" si="59"/>
        <v>0</v>
      </c>
      <c r="G128" s="1410">
        <f t="shared" si="59"/>
        <v>69.048299999999998</v>
      </c>
      <c r="H128" s="1410">
        <f t="shared" si="59"/>
        <v>483.33809999999994</v>
      </c>
      <c r="I128" s="1410">
        <f t="shared" si="59"/>
        <v>690.48299999999995</v>
      </c>
      <c r="J128" s="1410">
        <f t="shared" si="59"/>
        <v>0</v>
      </c>
      <c r="K128" s="1410">
        <f>IF(K124&gt;K125,K124-K125,0)</f>
        <v>0</v>
      </c>
      <c r="L128" s="1410">
        <f>IF(L124&gt;L125,L124-L125,0)</f>
        <v>0</v>
      </c>
      <c r="M128" s="1410">
        <f>IF(M124&gt;M125,M124-M125,0)</f>
        <v>0</v>
      </c>
    </row>
    <row r="129" spans="1:13" s="1407" customFormat="1">
      <c r="A129" s="1406"/>
      <c r="B129" s="1431" t="s">
        <v>1580</v>
      </c>
      <c r="C129" s="1440"/>
      <c r="D129" s="1410">
        <f t="shared" ref="D129:J129" si="60">IF(D125&gt;D124,D125-D124,0)</f>
        <v>0</v>
      </c>
      <c r="E129" s="1410">
        <f t="shared" si="60"/>
        <v>0</v>
      </c>
      <c r="F129" s="1410">
        <f t="shared" si="60"/>
        <v>0</v>
      </c>
      <c r="G129" s="1410">
        <f t="shared" si="60"/>
        <v>0</v>
      </c>
      <c r="H129" s="1410">
        <f t="shared" si="60"/>
        <v>0</v>
      </c>
      <c r="I129" s="1410">
        <f t="shared" si="60"/>
        <v>0</v>
      </c>
      <c r="J129" s="1410">
        <f t="shared" si="60"/>
        <v>0</v>
      </c>
      <c r="K129" s="1410">
        <f>IF(K125&gt;K124,K125-K124,0)</f>
        <v>0</v>
      </c>
      <c r="L129" s="1410">
        <f>IF(L125&gt;L124,L125-L124,0)</f>
        <v>0</v>
      </c>
      <c r="M129" s="1410">
        <f>IF(M125&gt;M124,M125-M124,0)</f>
        <v>0</v>
      </c>
    </row>
    <row r="130" spans="1:13">
      <c r="B130" s="1407"/>
      <c r="E130" s="1440"/>
      <c r="F130" s="1440"/>
      <c r="G130" s="1440"/>
      <c r="H130" s="1440"/>
      <c r="I130" s="1440"/>
      <c r="J130" s="1440"/>
      <c r="K130" s="1440"/>
      <c r="L130" s="1440"/>
      <c r="M130" s="1440"/>
    </row>
    <row r="131" spans="1:13">
      <c r="B131" s="1407" t="s">
        <v>1492</v>
      </c>
      <c r="E131" s="1440"/>
      <c r="F131" s="1440"/>
      <c r="G131" s="1440"/>
      <c r="H131" s="1440"/>
      <c r="I131" s="1440"/>
      <c r="J131" s="1440"/>
      <c r="K131" s="1440"/>
      <c r="L131" s="1440"/>
      <c r="M131" s="1440"/>
    </row>
    <row r="132" spans="1:13">
      <c r="B132" s="1431" t="s">
        <v>1581</v>
      </c>
      <c r="D132" s="1412">
        <v>0</v>
      </c>
      <c r="E132" s="1410">
        <f t="shared" ref="E132:J132" si="61">D136</f>
        <v>0</v>
      </c>
      <c r="F132" s="1440">
        <f t="shared" si="61"/>
        <v>0</v>
      </c>
      <c r="G132" s="1440">
        <f t="shared" si="61"/>
        <v>0</v>
      </c>
      <c r="H132" s="1440">
        <f t="shared" si="61"/>
        <v>57.54</v>
      </c>
      <c r="I132" s="1440">
        <f t="shared" si="61"/>
        <v>267.68699999999995</v>
      </c>
      <c r="J132" s="1440">
        <f t="shared" si="61"/>
        <v>357.74999999999994</v>
      </c>
      <c r="K132" s="1440">
        <f>J136</f>
        <v>0</v>
      </c>
      <c r="L132" s="1440">
        <f>K136</f>
        <v>0</v>
      </c>
      <c r="M132" s="1440">
        <f>L136</f>
        <v>0</v>
      </c>
    </row>
    <row r="133" spans="1:13">
      <c r="B133" s="1431" t="s">
        <v>994</v>
      </c>
      <c r="D133" s="1440">
        <f t="shared" ref="D133:M133" si="62">SUM(D99:D100)</f>
        <v>0</v>
      </c>
      <c r="E133" s="1440">
        <f t="shared" si="62"/>
        <v>0</v>
      </c>
      <c r="F133" s="1440">
        <f t="shared" si="62"/>
        <v>0</v>
      </c>
      <c r="G133" s="1440">
        <f t="shared" si="62"/>
        <v>57.54</v>
      </c>
      <c r="H133" s="1440">
        <f t="shared" si="62"/>
        <v>210.14699999999996</v>
      </c>
      <c r="I133" s="1440">
        <f t="shared" si="62"/>
        <v>90.062999999999988</v>
      </c>
      <c r="J133" s="1440">
        <f t="shared" si="62"/>
        <v>0</v>
      </c>
      <c r="K133" s="1440">
        <f t="shared" si="62"/>
        <v>0</v>
      </c>
      <c r="L133" s="1440">
        <f t="shared" si="62"/>
        <v>0</v>
      </c>
      <c r="M133" s="1440">
        <f t="shared" si="62"/>
        <v>0</v>
      </c>
    </row>
    <row r="134" spans="1:13">
      <c r="B134" s="1431" t="s">
        <v>1582</v>
      </c>
      <c r="D134" s="1431">
        <f t="shared" ref="D134:J134" si="63">$C$77*D58</f>
        <v>0</v>
      </c>
      <c r="E134" s="1431">
        <f t="shared" si="63"/>
        <v>0</v>
      </c>
      <c r="F134" s="1440">
        <f t="shared" si="63"/>
        <v>0</v>
      </c>
      <c r="G134" s="1440">
        <f t="shared" si="63"/>
        <v>0</v>
      </c>
      <c r="H134" s="1440">
        <f t="shared" si="63"/>
        <v>0</v>
      </c>
      <c r="I134" s="1440">
        <f t="shared" si="63"/>
        <v>0</v>
      </c>
      <c r="J134" s="1440">
        <f t="shared" si="63"/>
        <v>81.795171599999989</v>
      </c>
      <c r="K134" s="1440">
        <f>$C$77*K58</f>
        <v>0</v>
      </c>
      <c r="L134" s="1440">
        <f>$C$77*L58</f>
        <v>0</v>
      </c>
      <c r="M134" s="1440">
        <f>$C$77*M58</f>
        <v>0</v>
      </c>
    </row>
    <row r="135" spans="1:13">
      <c r="B135" s="1431" t="s">
        <v>1583</v>
      </c>
      <c r="D135" s="1440">
        <f t="shared" ref="D135:J135" si="64">SUM(D75:D77)</f>
        <v>0</v>
      </c>
      <c r="E135" s="1440">
        <f t="shared" si="64"/>
        <v>0</v>
      </c>
      <c r="F135" s="1440">
        <f t="shared" si="64"/>
        <v>0</v>
      </c>
      <c r="G135" s="1440">
        <f t="shared" si="64"/>
        <v>0</v>
      </c>
      <c r="H135" s="1440">
        <f t="shared" si="64"/>
        <v>0</v>
      </c>
      <c r="I135" s="1440">
        <f t="shared" si="64"/>
        <v>0</v>
      </c>
      <c r="J135" s="1440">
        <f t="shared" si="64"/>
        <v>439.5451716</v>
      </c>
      <c r="K135" s="1440">
        <f>SUM(K75:K77)</f>
        <v>0</v>
      </c>
      <c r="L135" s="1440">
        <f>SUM(L75:L77)</f>
        <v>0</v>
      </c>
      <c r="M135" s="1440">
        <f>SUM(M75:M77)</f>
        <v>0</v>
      </c>
    </row>
    <row r="136" spans="1:13">
      <c r="B136" s="1431" t="s">
        <v>874</v>
      </c>
      <c r="D136" s="1440">
        <f t="shared" ref="D136:M136" si="65">SUM(D132:D134)-D135</f>
        <v>0</v>
      </c>
      <c r="E136" s="1440">
        <f t="shared" si="65"/>
        <v>0</v>
      </c>
      <c r="F136" s="1440">
        <f t="shared" si="65"/>
        <v>0</v>
      </c>
      <c r="G136" s="1440">
        <f t="shared" si="65"/>
        <v>57.54</v>
      </c>
      <c r="H136" s="1440">
        <f t="shared" si="65"/>
        <v>267.68699999999995</v>
      </c>
      <c r="I136" s="1440">
        <f t="shared" si="65"/>
        <v>357.74999999999994</v>
      </c>
      <c r="J136" s="1440">
        <f t="shared" si="65"/>
        <v>0</v>
      </c>
      <c r="K136" s="1440">
        <f t="shared" si="65"/>
        <v>0</v>
      </c>
      <c r="L136" s="1440">
        <f t="shared" si="65"/>
        <v>0</v>
      </c>
      <c r="M136" s="1440">
        <f t="shared" si="65"/>
        <v>0</v>
      </c>
    </row>
    <row r="137" spans="1:13">
      <c r="A137" s="1430" t="s">
        <v>1584</v>
      </c>
      <c r="B137" s="1432"/>
      <c r="C137" s="1432"/>
      <c r="D137" s="1432"/>
      <c r="E137" s="1432"/>
      <c r="F137" s="1432"/>
      <c r="G137" s="1432"/>
      <c r="H137" s="1432"/>
      <c r="I137" s="1432"/>
      <c r="J137" s="1432"/>
      <c r="K137" s="1432"/>
      <c r="L137" s="1432"/>
      <c r="M137" s="1432"/>
    </row>
  </sheetData>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W137"/>
  <sheetViews>
    <sheetView topLeftCell="A3" zoomScale="115" zoomScaleNormal="115" workbookViewId="0">
      <selection activeCell="S21" sqref="S21"/>
    </sheetView>
  </sheetViews>
  <sheetFormatPr defaultColWidth="9.140625" defaultRowHeight="12"/>
  <cols>
    <col min="1" max="1" width="5.85546875" style="1406" customWidth="1"/>
    <col min="2" max="2" width="27.140625" style="1431" customWidth="1"/>
    <col min="3" max="13" width="9.140625" style="1431" customWidth="1"/>
    <col min="14" max="14" width="9.140625" style="1431" bestFit="1" customWidth="1"/>
    <col min="15" max="16384" width="9.140625" style="1431"/>
  </cols>
  <sheetData>
    <row r="1" spans="1:23" ht="21">
      <c r="A1" s="1404" t="s">
        <v>2435</v>
      </c>
    </row>
    <row r="2" spans="1:23">
      <c r="A2" s="1405" t="s">
        <v>1776</v>
      </c>
    </row>
    <row r="4" spans="1:23">
      <c r="B4" s="1407" t="s">
        <v>1539</v>
      </c>
      <c r="F4" s="1407" t="s">
        <v>1540</v>
      </c>
      <c r="K4" s="1407" t="s">
        <v>1595</v>
      </c>
      <c r="P4" s="1407" t="s">
        <v>1783</v>
      </c>
    </row>
    <row r="5" spans="1:23">
      <c r="B5" s="1432" t="s">
        <v>748</v>
      </c>
      <c r="C5" s="1432"/>
      <c r="D5" s="1408">
        <f>SUM(D6:D8)</f>
        <v>26673.4</v>
      </c>
      <c r="F5" s="1432" t="s">
        <v>636</v>
      </c>
      <c r="G5" s="1432"/>
      <c r="H5" s="1432"/>
      <c r="I5" s="1409">
        <v>0.75</v>
      </c>
      <c r="K5" s="1432" t="s">
        <v>26</v>
      </c>
      <c r="L5" s="1432"/>
      <c r="M5" s="1432"/>
      <c r="N5" s="1441">
        <f>C83</f>
        <v>60156</v>
      </c>
      <c r="P5" s="1432" t="s">
        <v>1777</v>
      </c>
      <c r="Q5" s="1432"/>
      <c r="R5" s="1432"/>
      <c r="S5" s="1422">
        <v>3800</v>
      </c>
    </row>
    <row r="6" spans="1:23">
      <c r="B6" s="1431" t="s">
        <v>678</v>
      </c>
      <c r="D6" s="1410">
        <f>SUM(E31:E32)</f>
        <v>8400</v>
      </c>
      <c r="F6" s="1431" t="s">
        <v>1542</v>
      </c>
      <c r="I6" s="1586">
        <v>0.5</v>
      </c>
      <c r="K6" s="1431" t="s">
        <v>197</v>
      </c>
      <c r="N6" s="1436">
        <f>C91</f>
        <v>0.59463671952922392</v>
      </c>
      <c r="P6" s="1431" t="s">
        <v>1778</v>
      </c>
      <c r="S6" s="1440">
        <f>D42/S5</f>
        <v>105.26315789473684</v>
      </c>
    </row>
    <row r="7" spans="1:23">
      <c r="B7" s="1431" t="s">
        <v>750</v>
      </c>
      <c r="D7" s="1410">
        <f>C70</f>
        <v>9250</v>
      </c>
      <c r="F7" s="1431" t="s">
        <v>759</v>
      </c>
      <c r="I7" s="1440">
        <f>C114</f>
        <v>13336.7</v>
      </c>
      <c r="K7" s="1431" t="s">
        <v>1779</v>
      </c>
      <c r="N7" s="1436">
        <f>C92</f>
        <v>0.35570937562337912</v>
      </c>
      <c r="P7" s="1431" t="s">
        <v>1792</v>
      </c>
      <c r="S7" s="1412">
        <v>82</v>
      </c>
    </row>
    <row r="8" spans="1:23">
      <c r="B8" s="1431" t="s">
        <v>656</v>
      </c>
      <c r="D8" s="1440">
        <f>C79</f>
        <v>9023.4</v>
      </c>
      <c r="F8" s="1431" t="s">
        <v>1544</v>
      </c>
      <c r="I8" s="1433">
        <f>G23</f>
        <v>0.1105</v>
      </c>
      <c r="K8" s="1431" t="s">
        <v>1720</v>
      </c>
      <c r="N8" s="1440">
        <f>C105</f>
        <v>16853.814742579318</v>
      </c>
      <c r="P8" s="1431" t="s">
        <v>1784</v>
      </c>
      <c r="S8" s="1423">
        <v>35</v>
      </c>
    </row>
    <row r="9" spans="1:23">
      <c r="B9" s="1431" t="s">
        <v>869</v>
      </c>
      <c r="D9" s="1440">
        <f>C119</f>
        <v>6735.0335000000005</v>
      </c>
      <c r="F9" s="1431" t="s">
        <v>1588</v>
      </c>
      <c r="I9" s="1425">
        <f>B109</f>
        <v>0.31815060610573442</v>
      </c>
      <c r="K9" s="1431" t="s">
        <v>1601</v>
      </c>
      <c r="N9" s="1410">
        <f>C90</f>
        <v>21398.053199999995</v>
      </c>
      <c r="P9" s="1431" t="s">
        <v>1560</v>
      </c>
      <c r="S9" s="1416">
        <v>0.72</v>
      </c>
    </row>
    <row r="10" spans="1:23">
      <c r="B10" s="1431" t="s">
        <v>1543</v>
      </c>
      <c r="D10" s="1412">
        <v>2027</v>
      </c>
      <c r="F10" s="1431" t="s">
        <v>1781</v>
      </c>
      <c r="I10" s="1436">
        <f>C105/C90</f>
        <v>0.78763308909706431</v>
      </c>
      <c r="K10" s="1431" t="s">
        <v>1141</v>
      </c>
      <c r="N10" s="1423">
        <v>120000</v>
      </c>
      <c r="P10" s="1431" t="s">
        <v>1785</v>
      </c>
      <c r="S10" s="1423">
        <v>18</v>
      </c>
    </row>
    <row r="11" spans="1:23">
      <c r="B11" s="1431" t="s">
        <v>751</v>
      </c>
      <c r="D11" s="1412">
        <v>2032</v>
      </c>
      <c r="F11" s="1431" t="s">
        <v>1782</v>
      </c>
      <c r="I11" s="1436">
        <f>C70/C50</f>
        <v>0.15376687279739346</v>
      </c>
      <c r="K11" s="1431" t="s">
        <v>686</v>
      </c>
      <c r="N11" s="1643">
        <v>370000</v>
      </c>
      <c r="P11" s="1431" t="s">
        <v>1786</v>
      </c>
      <c r="S11" s="1596">
        <f>'Opal Central Park'!$S$11</f>
        <v>0.14000000000000001</v>
      </c>
    </row>
    <row r="12" spans="1:23">
      <c r="B12" s="1431" t="s">
        <v>1545</v>
      </c>
      <c r="D12" s="1594">
        <v>2025</v>
      </c>
      <c r="F12" s="1431" t="s">
        <v>1780</v>
      </c>
      <c r="I12" s="1436">
        <f>E32/C50</f>
        <v>0.13963694394574108</v>
      </c>
      <c r="K12" s="1431" t="s">
        <v>1790</v>
      </c>
      <c r="N12" s="1599" t="s">
        <v>1501</v>
      </c>
      <c r="P12" s="1431" t="s">
        <v>1791</v>
      </c>
      <c r="S12" s="1423"/>
    </row>
    <row r="13" spans="1:23">
      <c r="E13" s="1412"/>
      <c r="J13" s="1413"/>
    </row>
    <row r="14" spans="1:23">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c r="R14" s="1447">
        <f>'Opal Riverside'!R14</f>
        <v>2027</v>
      </c>
      <c r="S14" s="1447">
        <f>'Opal Riverside'!S14</f>
        <v>2028</v>
      </c>
      <c r="T14" s="1447">
        <f>'Opal Riverside'!T14</f>
        <v>2029</v>
      </c>
      <c r="U14" s="1447">
        <f>'Opal Riverside'!U14</f>
        <v>2030</v>
      </c>
      <c r="V14" s="1447">
        <f>'Opal Riverside'!V14</f>
        <v>2031</v>
      </c>
      <c r="W14" s="1447">
        <f>'Opal Riverside'!W14</f>
        <v>2032</v>
      </c>
    </row>
    <row r="15" spans="1:23">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c r="R15" s="1434">
        <f t="shared" ref="R15:U18" si="1">Q15</f>
        <v>0.5</v>
      </c>
      <c r="S15" s="1434">
        <f t="shared" si="1"/>
        <v>0.5</v>
      </c>
      <c r="T15" s="1434">
        <f t="shared" si="1"/>
        <v>0.5</v>
      </c>
      <c r="U15" s="1434">
        <f t="shared" si="1"/>
        <v>0.5</v>
      </c>
      <c r="V15" s="1434">
        <f t="shared" ref="V15" si="2">U15</f>
        <v>0.5</v>
      </c>
      <c r="W15" s="1434">
        <f t="shared" ref="W15" si="3">V15</f>
        <v>0.5</v>
      </c>
    </row>
    <row r="16" spans="1:23">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c r="R16" s="1431">
        <v>1.3</v>
      </c>
      <c r="S16" s="1431">
        <v>1.3</v>
      </c>
      <c r="T16" s="1431">
        <v>1.3</v>
      </c>
      <c r="U16" s="1431">
        <v>1.3</v>
      </c>
      <c r="V16" s="1431">
        <v>1.3</v>
      </c>
      <c r="W16" s="1431">
        <v>1.3</v>
      </c>
    </row>
    <row r="17" spans="1:23">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c r="R17" s="1435">
        <f t="shared" si="1"/>
        <v>5.5E-2</v>
      </c>
      <c r="S17" s="1435">
        <f t="shared" si="1"/>
        <v>5.5E-2</v>
      </c>
      <c r="T17" s="1435">
        <f t="shared" si="1"/>
        <v>5.5E-2</v>
      </c>
      <c r="U17" s="1435">
        <f t="shared" si="1"/>
        <v>5.5E-2</v>
      </c>
      <c r="V17" s="1435">
        <f t="shared" ref="V17:V18" si="4">U17</f>
        <v>5.5E-2</v>
      </c>
      <c r="W17" s="1435">
        <f t="shared" ref="W17:W18" si="5">V17</f>
        <v>5.5E-2</v>
      </c>
    </row>
    <row r="18" spans="1:23">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c r="R18" s="1435">
        <f t="shared" si="1"/>
        <v>7.0000000000000007E-2</v>
      </c>
      <c r="S18" s="1435">
        <f t="shared" si="1"/>
        <v>7.0000000000000007E-2</v>
      </c>
      <c r="T18" s="1435">
        <f t="shared" si="1"/>
        <v>7.0000000000000007E-2</v>
      </c>
      <c r="U18" s="1435">
        <f t="shared" si="1"/>
        <v>7.0000000000000007E-2</v>
      </c>
      <c r="V18" s="1435">
        <f t="shared" si="4"/>
        <v>7.0000000000000007E-2</v>
      </c>
      <c r="W18" s="1435">
        <f t="shared" si="5"/>
        <v>7.0000000000000007E-2</v>
      </c>
    </row>
    <row r="19" spans="1:23">
      <c r="B19" s="1431" t="s">
        <v>758</v>
      </c>
      <c r="D19" s="1433">
        <f t="shared" ref="D19:Q19" si="6">D17+D16*D18</f>
        <v>0.125</v>
      </c>
      <c r="E19" s="1433">
        <f t="shared" si="6"/>
        <v>0.125</v>
      </c>
      <c r="F19" s="1433">
        <f t="shared" si="6"/>
        <v>0.125</v>
      </c>
      <c r="G19" s="1433">
        <f t="shared" si="6"/>
        <v>0.125</v>
      </c>
      <c r="H19" s="1433">
        <f t="shared" si="6"/>
        <v>0.125</v>
      </c>
      <c r="I19" s="1433">
        <f t="shared" si="6"/>
        <v>0.125</v>
      </c>
      <c r="J19" s="1433">
        <f t="shared" si="6"/>
        <v>0.125</v>
      </c>
      <c r="K19" s="1433">
        <f t="shared" si="6"/>
        <v>0.125</v>
      </c>
      <c r="L19" s="1433">
        <f t="shared" si="6"/>
        <v>0.125</v>
      </c>
      <c r="M19" s="1433">
        <f t="shared" si="6"/>
        <v>0.125</v>
      </c>
      <c r="N19" s="1433">
        <f t="shared" si="6"/>
        <v>0.14600000000000002</v>
      </c>
      <c r="O19" s="1433">
        <f t="shared" si="6"/>
        <v>0.14600000000000002</v>
      </c>
      <c r="P19" s="1433">
        <f t="shared" si="6"/>
        <v>0.14600000000000002</v>
      </c>
      <c r="Q19" s="1433">
        <f t="shared" si="6"/>
        <v>0.14600000000000002</v>
      </c>
      <c r="R19" s="1433">
        <f>R17+R16*R18</f>
        <v>0.14600000000000002</v>
      </c>
      <c r="S19" s="1433">
        <f>S17+S16*S18</f>
        <v>0.14600000000000002</v>
      </c>
      <c r="T19" s="1433">
        <f>T17+T16*T18</f>
        <v>0.14600000000000002</v>
      </c>
      <c r="U19" s="1433">
        <f>U17+U16*U18</f>
        <v>0.14600000000000002</v>
      </c>
      <c r="V19" s="1433">
        <f t="shared" ref="V19:W19" si="7">V17+V16*V18</f>
        <v>0.14600000000000002</v>
      </c>
      <c r="W19" s="1433">
        <f t="shared" si="7"/>
        <v>0.14600000000000002</v>
      </c>
    </row>
    <row r="20" spans="1:23">
      <c r="B20" s="1431" t="s">
        <v>1542</v>
      </c>
      <c r="D20" s="1436">
        <f t="shared" ref="D20:W20" si="8">$I$6</f>
        <v>0.5</v>
      </c>
      <c r="E20" s="1436">
        <f t="shared" si="8"/>
        <v>0.5</v>
      </c>
      <c r="F20" s="1436">
        <f t="shared" si="8"/>
        <v>0.5</v>
      </c>
      <c r="G20" s="1436">
        <f t="shared" si="8"/>
        <v>0.5</v>
      </c>
      <c r="H20" s="1436">
        <f t="shared" si="8"/>
        <v>0.5</v>
      </c>
      <c r="I20" s="1436">
        <f t="shared" si="8"/>
        <v>0.5</v>
      </c>
      <c r="J20" s="1436">
        <f t="shared" si="8"/>
        <v>0.5</v>
      </c>
      <c r="K20" s="1436">
        <f t="shared" si="8"/>
        <v>0.5</v>
      </c>
      <c r="L20" s="1436">
        <f t="shared" si="8"/>
        <v>0.5</v>
      </c>
      <c r="M20" s="1436">
        <f t="shared" si="8"/>
        <v>0.5</v>
      </c>
      <c r="N20" s="1436">
        <f t="shared" si="8"/>
        <v>0.5</v>
      </c>
      <c r="O20" s="1436">
        <f t="shared" si="8"/>
        <v>0.5</v>
      </c>
      <c r="P20" s="1436">
        <f t="shared" si="8"/>
        <v>0.5</v>
      </c>
      <c r="Q20" s="1436">
        <f t="shared" si="8"/>
        <v>0.5</v>
      </c>
      <c r="R20" s="1436">
        <f t="shared" si="8"/>
        <v>0.5</v>
      </c>
      <c r="S20" s="1436">
        <f t="shared" si="8"/>
        <v>0.5</v>
      </c>
      <c r="T20" s="1436">
        <f t="shared" si="8"/>
        <v>0.5</v>
      </c>
      <c r="U20" s="1436">
        <f t="shared" si="8"/>
        <v>0.5</v>
      </c>
      <c r="V20" s="1436">
        <f t="shared" si="8"/>
        <v>0.5</v>
      </c>
      <c r="W20" s="1436">
        <f t="shared" si="8"/>
        <v>0.5</v>
      </c>
    </row>
    <row r="21" spans="1:23">
      <c r="B21" s="1431" t="s">
        <v>760</v>
      </c>
      <c r="D21" s="1581">
        <f>'Opal Central Park'!D21</f>
        <v>0.14000000000000001</v>
      </c>
      <c r="E21" s="1581">
        <f>'Opal Central Park'!E21</f>
        <v>0.13</v>
      </c>
      <c r="F21" s="1581">
        <f>'Opal Central Park'!F21</f>
        <v>0.1</v>
      </c>
      <c r="G21" s="1581">
        <f>'Opal Central Park'!G21</f>
        <v>0.12</v>
      </c>
      <c r="H21" s="1425">
        <f>G21</f>
        <v>0.12</v>
      </c>
      <c r="I21" s="1418">
        <f t="shared" ref="H21:Q22" si="9">H21</f>
        <v>0.12</v>
      </c>
      <c r="J21" s="1418">
        <f t="shared" si="9"/>
        <v>0.12</v>
      </c>
      <c r="K21" s="1418">
        <f t="shared" si="9"/>
        <v>0.12</v>
      </c>
      <c r="L21" s="1418">
        <f t="shared" si="9"/>
        <v>0.12</v>
      </c>
      <c r="M21" s="1418">
        <f t="shared" si="9"/>
        <v>0.12</v>
      </c>
      <c r="N21" s="1418">
        <v>0.13</v>
      </c>
      <c r="O21" s="1418">
        <v>0.13</v>
      </c>
      <c r="P21" s="1418">
        <v>0.13</v>
      </c>
      <c r="Q21" s="1418">
        <v>0.13</v>
      </c>
      <c r="R21" s="1418">
        <v>0.13</v>
      </c>
      <c r="S21" s="1418">
        <v>0.09</v>
      </c>
      <c r="T21" s="1418">
        <f>S21</f>
        <v>0.09</v>
      </c>
      <c r="U21" s="1418">
        <f t="shared" ref="U21:W21" si="10">T21</f>
        <v>0.09</v>
      </c>
      <c r="V21" s="1418">
        <f t="shared" si="10"/>
        <v>0.09</v>
      </c>
      <c r="W21" s="1418">
        <f t="shared" si="10"/>
        <v>0.09</v>
      </c>
    </row>
    <row r="22" spans="1:23">
      <c r="B22" s="1431" t="s">
        <v>846</v>
      </c>
      <c r="D22" s="1596">
        <f>'Opal Central Park'!D22</f>
        <v>0.22</v>
      </c>
      <c r="E22" s="1596">
        <f>'Opal Central Park'!E22</f>
        <v>0.22</v>
      </c>
      <c r="F22" s="1596">
        <f>'Opal Central Park'!F22</f>
        <v>0.22</v>
      </c>
      <c r="G22" s="1596">
        <f>'Opal Central Park'!G22</f>
        <v>0.2</v>
      </c>
      <c r="H22" s="1417">
        <f t="shared" si="9"/>
        <v>0.2</v>
      </c>
      <c r="I22" s="1417">
        <f t="shared" si="9"/>
        <v>0.2</v>
      </c>
      <c r="J22" s="1417">
        <f t="shared" si="9"/>
        <v>0.2</v>
      </c>
      <c r="K22" s="1417">
        <f t="shared" si="9"/>
        <v>0.2</v>
      </c>
      <c r="L22" s="1417">
        <f t="shared" si="9"/>
        <v>0.2</v>
      </c>
      <c r="M22" s="1417">
        <f t="shared" si="9"/>
        <v>0.2</v>
      </c>
      <c r="N22" s="1417">
        <f t="shared" si="9"/>
        <v>0.2</v>
      </c>
      <c r="O22" s="1417">
        <f t="shared" si="9"/>
        <v>0.2</v>
      </c>
      <c r="P22" s="1417">
        <f t="shared" si="9"/>
        <v>0.2</v>
      </c>
      <c r="Q22" s="1417">
        <f t="shared" si="9"/>
        <v>0.2</v>
      </c>
      <c r="R22" s="1417">
        <f t="shared" ref="R22:U22" si="11">Q22</f>
        <v>0.2</v>
      </c>
      <c r="S22" s="1417">
        <f t="shared" si="11"/>
        <v>0.2</v>
      </c>
      <c r="T22" s="1417">
        <f t="shared" si="11"/>
        <v>0.2</v>
      </c>
      <c r="U22" s="1417">
        <f t="shared" si="11"/>
        <v>0.2</v>
      </c>
      <c r="V22" s="1417">
        <f t="shared" ref="V22" si="12">U22</f>
        <v>0.2</v>
      </c>
      <c r="W22" s="1417">
        <f t="shared" ref="W22" si="13">V22</f>
        <v>0.2</v>
      </c>
    </row>
    <row r="23" spans="1:23">
      <c r="B23" s="1419" t="s">
        <v>14</v>
      </c>
      <c r="C23" s="1432"/>
      <c r="D23" s="1437">
        <f>D19*D15+D21*D20*(1-D22)</f>
        <v>0.11710000000000001</v>
      </c>
      <c r="E23" s="1437">
        <f t="shared" ref="E23:Q23" si="14">E19*E15+E21*E20*(1-E22)</f>
        <v>0.1132</v>
      </c>
      <c r="F23" s="1437">
        <f>F19*F15+F21*F20*(1-F22)</f>
        <v>0.10150000000000001</v>
      </c>
      <c r="G23" s="1437">
        <f>G19*G15+G21*G20*(1-G22)</f>
        <v>0.1105</v>
      </c>
      <c r="H23" s="1437">
        <f>H19*H15+H21*H20*(1-H22)</f>
        <v>0.1105</v>
      </c>
      <c r="I23" s="1437">
        <f>I19*I15+I21*I20*(1-I22)</f>
        <v>0.1105</v>
      </c>
      <c r="J23" s="1437">
        <f t="shared" si="14"/>
        <v>0.1105</v>
      </c>
      <c r="K23" s="1437">
        <f t="shared" si="14"/>
        <v>0.1105</v>
      </c>
      <c r="L23" s="1437">
        <f t="shared" si="14"/>
        <v>0.1105</v>
      </c>
      <c r="M23" s="1437">
        <f t="shared" si="14"/>
        <v>0.1105</v>
      </c>
      <c r="N23" s="1437">
        <f t="shared" si="14"/>
        <v>0.125</v>
      </c>
      <c r="O23" s="1437">
        <f t="shared" si="14"/>
        <v>0.125</v>
      </c>
      <c r="P23" s="1437">
        <f t="shared" si="14"/>
        <v>0.125</v>
      </c>
      <c r="Q23" s="1437">
        <f t="shared" si="14"/>
        <v>0.125</v>
      </c>
      <c r="R23" s="1437">
        <f>R19*R15+R21*R20*(1-R22)</f>
        <v>0.125</v>
      </c>
      <c r="S23" s="1437">
        <f>S19*S15+S21*S20*(1-S22)</f>
        <v>0.10900000000000001</v>
      </c>
      <c r="T23" s="1437">
        <f>T19*T15+T21*T20*(1-T22)</f>
        <v>0.10900000000000001</v>
      </c>
      <c r="U23" s="1437">
        <f>U19*U15+U21*U20*(1-U22)</f>
        <v>0.10900000000000001</v>
      </c>
      <c r="V23" s="1437">
        <f t="shared" ref="V23:W23" si="15">V19*V15+V21*V20*(1-V22)</f>
        <v>0.10900000000000001</v>
      </c>
      <c r="W23" s="1437">
        <f t="shared" si="15"/>
        <v>0.10900000000000001</v>
      </c>
    </row>
    <row r="24" spans="1:23">
      <c r="E24" s="1412"/>
      <c r="J24" s="1413"/>
    </row>
    <row r="25" spans="1:23">
      <c r="E25" s="1412"/>
      <c r="J25" s="1413"/>
    </row>
    <row r="26" spans="1:23" ht="15.75">
      <c r="A26" s="1420" t="s">
        <v>1548</v>
      </c>
      <c r="B26" s="1438"/>
    </row>
    <row r="28" spans="1:23" s="1407" customFormat="1">
      <c r="A28" s="1406" t="s">
        <v>762</v>
      </c>
      <c r="B28" s="1407" t="s">
        <v>1459</v>
      </c>
      <c r="C28" s="1407" t="s">
        <v>764</v>
      </c>
      <c r="D28" s="1407" t="s">
        <v>1549</v>
      </c>
      <c r="E28" s="1407" t="s">
        <v>1550</v>
      </c>
    </row>
    <row r="29" spans="1:23">
      <c r="A29" s="1421"/>
      <c r="B29" s="1432" t="s">
        <v>1551</v>
      </c>
      <c r="C29" s="1432" t="s">
        <v>1552</v>
      </c>
      <c r="D29" s="1432"/>
      <c r="E29" s="1408">
        <f>N10</f>
        <v>120000</v>
      </c>
    </row>
    <row r="30" spans="1:23">
      <c r="B30" s="1431" t="s">
        <v>1553</v>
      </c>
      <c r="C30" s="1431" t="s">
        <v>1552</v>
      </c>
      <c r="E30" s="1410">
        <f>E29</f>
        <v>120000</v>
      </c>
    </row>
    <row r="31" spans="1:23">
      <c r="B31" s="1431" t="s">
        <v>1554</v>
      </c>
      <c r="C31" s="1431" t="s">
        <v>1555</v>
      </c>
      <c r="D31" s="1446"/>
      <c r="E31" s="1410">
        <f>E29*D31</f>
        <v>0</v>
      </c>
    </row>
    <row r="32" spans="1:23">
      <c r="B32" s="1431" t="s">
        <v>1556</v>
      </c>
      <c r="C32" s="1431" t="s">
        <v>1555</v>
      </c>
      <c r="D32" s="1654">
        <v>70</v>
      </c>
      <c r="E32" s="1440">
        <f>D32*E29/1000</f>
        <v>8400</v>
      </c>
    </row>
    <row r="34" spans="1:23">
      <c r="B34" s="1407" t="s">
        <v>773</v>
      </c>
      <c r="C34" s="1431" t="s">
        <v>642</v>
      </c>
      <c r="D34" s="1447">
        <f t="shared" ref="D34:U34" si="16">D14</f>
        <v>2013</v>
      </c>
      <c r="E34" s="1447">
        <f t="shared" si="16"/>
        <v>2014</v>
      </c>
      <c r="F34" s="1447">
        <f t="shared" si="16"/>
        <v>2015</v>
      </c>
      <c r="G34" s="1447">
        <f t="shared" si="16"/>
        <v>2016</v>
      </c>
      <c r="H34" s="1447">
        <f t="shared" si="16"/>
        <v>2017</v>
      </c>
      <c r="I34" s="1447">
        <f t="shared" si="16"/>
        <v>2018</v>
      </c>
      <c r="J34" s="1447">
        <f t="shared" si="16"/>
        <v>2019</v>
      </c>
      <c r="K34" s="1447">
        <f t="shared" si="16"/>
        <v>2020</v>
      </c>
      <c r="L34" s="1447">
        <f t="shared" si="16"/>
        <v>2021</v>
      </c>
      <c r="M34" s="1447">
        <f t="shared" si="16"/>
        <v>2022</v>
      </c>
      <c r="N34" s="1447">
        <f t="shared" si="16"/>
        <v>2023</v>
      </c>
      <c r="O34" s="1447">
        <f t="shared" si="16"/>
        <v>2024</v>
      </c>
      <c r="P34" s="1447">
        <f t="shared" si="16"/>
        <v>2025</v>
      </c>
      <c r="Q34" s="1447">
        <f t="shared" si="16"/>
        <v>2026</v>
      </c>
      <c r="R34" s="1447">
        <f t="shared" si="16"/>
        <v>2027</v>
      </c>
      <c r="S34" s="1447">
        <f t="shared" si="16"/>
        <v>2028</v>
      </c>
      <c r="T34" s="1447">
        <f t="shared" si="16"/>
        <v>2029</v>
      </c>
      <c r="U34" s="1447">
        <f t="shared" si="16"/>
        <v>2030</v>
      </c>
      <c r="V34" s="1447">
        <f t="shared" ref="V34:W34" si="17">V14</f>
        <v>2031</v>
      </c>
      <c r="W34" s="1447">
        <f t="shared" si="17"/>
        <v>2032</v>
      </c>
    </row>
    <row r="35" spans="1:23">
      <c r="B35" s="1432"/>
      <c r="C35" s="1441">
        <f>E32</f>
        <v>8400</v>
      </c>
      <c r="D35" s="1408">
        <f>$C$35*D36</f>
        <v>0</v>
      </c>
      <c r="E35" s="1408">
        <f>$C$35*E36</f>
        <v>0</v>
      </c>
      <c r="F35" s="1408">
        <f>$C$35*F36</f>
        <v>0</v>
      </c>
      <c r="G35" s="1408">
        <f>$C$35*G36</f>
        <v>0</v>
      </c>
      <c r="H35" s="1408">
        <f>$C$35*H36</f>
        <v>0</v>
      </c>
      <c r="I35" s="1408">
        <f t="shared" ref="I35:W35" si="18">$C$35*I36</f>
        <v>420</v>
      </c>
      <c r="J35" s="1408">
        <f t="shared" si="18"/>
        <v>420</v>
      </c>
      <c r="K35" s="1408">
        <f t="shared" si="18"/>
        <v>0</v>
      </c>
      <c r="L35" s="1408">
        <f t="shared" si="18"/>
        <v>0</v>
      </c>
      <c r="M35" s="1408">
        <f t="shared" si="18"/>
        <v>0</v>
      </c>
      <c r="N35" s="1408">
        <f t="shared" si="18"/>
        <v>0</v>
      </c>
      <c r="O35" s="1408">
        <f t="shared" si="18"/>
        <v>0</v>
      </c>
      <c r="P35" s="1408">
        <f t="shared" si="18"/>
        <v>0</v>
      </c>
      <c r="Q35" s="1408">
        <f t="shared" si="18"/>
        <v>0</v>
      </c>
      <c r="R35" s="1408">
        <f t="shared" si="18"/>
        <v>3360</v>
      </c>
      <c r="S35" s="1408">
        <f t="shared" si="18"/>
        <v>4200</v>
      </c>
      <c r="T35" s="1408">
        <f t="shared" si="18"/>
        <v>0</v>
      </c>
      <c r="U35" s="1408">
        <f t="shared" si="18"/>
        <v>0</v>
      </c>
      <c r="V35" s="1408">
        <f t="shared" si="18"/>
        <v>0</v>
      </c>
      <c r="W35" s="1408">
        <f t="shared" si="18"/>
        <v>0</v>
      </c>
    </row>
    <row r="36" spans="1:23">
      <c r="B36" s="1442" t="s">
        <v>1559</v>
      </c>
      <c r="C36" s="1436">
        <f>SUM(D36:U36)</f>
        <v>1</v>
      </c>
      <c r="D36" s="1416">
        <v>0</v>
      </c>
      <c r="E36" s="1416">
        <v>0</v>
      </c>
      <c r="F36" s="1416">
        <v>0</v>
      </c>
      <c r="G36" s="1416">
        <v>0</v>
      </c>
      <c r="H36" s="1416">
        <v>0</v>
      </c>
      <c r="I36" s="1416">
        <v>0.05</v>
      </c>
      <c r="J36" s="1416">
        <v>0.05</v>
      </c>
      <c r="K36" s="1416">
        <v>0</v>
      </c>
      <c r="L36" s="1416">
        <v>0</v>
      </c>
      <c r="M36" s="1416">
        <v>0</v>
      </c>
      <c r="N36" s="1416">
        <v>0</v>
      </c>
      <c r="O36" s="1416">
        <v>0</v>
      </c>
      <c r="P36" s="1416">
        <v>0</v>
      </c>
      <c r="Q36" s="1416">
        <v>0</v>
      </c>
      <c r="R36" s="1416">
        <v>0.4</v>
      </c>
      <c r="S36" s="1416">
        <v>0.5</v>
      </c>
      <c r="T36" s="1416">
        <v>0</v>
      </c>
      <c r="U36" s="1416">
        <v>0</v>
      </c>
      <c r="V36" s="1416">
        <v>0</v>
      </c>
      <c r="W36" s="1416">
        <v>0</v>
      </c>
    </row>
    <row r="39" spans="1:23" s="1407" customFormat="1">
      <c r="A39" s="1406" t="s">
        <v>777</v>
      </c>
      <c r="B39" s="1407" t="s">
        <v>1585</v>
      </c>
      <c r="C39" s="1407" t="s">
        <v>764</v>
      </c>
      <c r="D39" s="1407" t="s">
        <v>1549</v>
      </c>
    </row>
    <row r="40" spans="1:23">
      <c r="A40" s="1421"/>
      <c r="B40" s="1432" t="s">
        <v>686</v>
      </c>
      <c r="C40" s="1432" t="s">
        <v>1552</v>
      </c>
      <c r="D40" s="1426">
        <f>N11</f>
        <v>370000</v>
      </c>
      <c r="F40" s="1440"/>
      <c r="G40" s="1410"/>
    </row>
    <row r="41" spans="1:23">
      <c r="B41" s="1431" t="s">
        <v>1560</v>
      </c>
      <c r="C41" s="1431" t="s">
        <v>780</v>
      </c>
      <c r="D41" s="1448">
        <f>S9</f>
        <v>0.72</v>
      </c>
      <c r="G41" s="1440"/>
    </row>
    <row r="42" spans="1:23">
      <c r="B42" s="1431" t="s">
        <v>781</v>
      </c>
      <c r="C42" s="1431" t="s">
        <v>1552</v>
      </c>
      <c r="D42" s="1410">
        <v>400000</v>
      </c>
    </row>
    <row r="43" spans="1:23">
      <c r="B43" s="1431" t="s">
        <v>1787</v>
      </c>
      <c r="C43" s="1431" t="s">
        <v>1555</v>
      </c>
      <c r="D43" s="1654">
        <f>S7</f>
        <v>82</v>
      </c>
    </row>
    <row r="44" spans="1:23">
      <c r="B44" s="1431" t="s">
        <v>1587</v>
      </c>
      <c r="C44" s="1431" t="s">
        <v>1555</v>
      </c>
      <c r="D44" s="1655">
        <v>25</v>
      </c>
    </row>
    <row r="45" spans="1:23">
      <c r="B45" s="1431" t="s">
        <v>787</v>
      </c>
      <c r="C45" s="1431" t="s">
        <v>780</v>
      </c>
      <c r="D45" s="1411">
        <v>0</v>
      </c>
    </row>
    <row r="46" spans="1:23">
      <c r="B46" s="1431" t="s">
        <v>1562</v>
      </c>
      <c r="C46" s="1431" t="s">
        <v>780</v>
      </c>
      <c r="D46" s="1448">
        <v>0.15</v>
      </c>
    </row>
    <row r="47" spans="1:23">
      <c r="B47" s="1431" t="s">
        <v>1563</v>
      </c>
      <c r="C47" s="1431" t="s">
        <v>780</v>
      </c>
      <c r="D47" s="1411">
        <v>0</v>
      </c>
    </row>
    <row r="49" spans="1:23" s="1407" customFormat="1">
      <c r="A49" s="1406">
        <v>1</v>
      </c>
      <c r="B49" s="1407" t="s">
        <v>1564</v>
      </c>
      <c r="C49" s="1431" t="str">
        <f>C34</f>
        <v>Total</v>
      </c>
      <c r="D49" s="1431">
        <f>D34</f>
        <v>2013</v>
      </c>
      <c r="E49" s="1431">
        <f>E34</f>
        <v>2014</v>
      </c>
      <c r="F49" s="1431">
        <f>F34</f>
        <v>2015</v>
      </c>
      <c r="G49" s="1431">
        <f t="shared" ref="G49:W49" si="19">F49+1</f>
        <v>2016</v>
      </c>
      <c r="H49" s="1431">
        <f t="shared" si="19"/>
        <v>2017</v>
      </c>
      <c r="I49" s="1431">
        <f t="shared" si="19"/>
        <v>2018</v>
      </c>
      <c r="J49" s="1431">
        <f t="shared" si="19"/>
        <v>2019</v>
      </c>
      <c r="K49" s="1431">
        <f t="shared" si="19"/>
        <v>2020</v>
      </c>
      <c r="L49" s="1431">
        <f t="shared" si="19"/>
        <v>2021</v>
      </c>
      <c r="M49" s="1431">
        <f t="shared" si="19"/>
        <v>2022</v>
      </c>
      <c r="N49" s="1431">
        <f t="shared" si="19"/>
        <v>2023</v>
      </c>
      <c r="O49" s="1431">
        <f t="shared" si="19"/>
        <v>2024</v>
      </c>
      <c r="P49" s="1431">
        <f t="shared" si="19"/>
        <v>2025</v>
      </c>
      <c r="Q49" s="1431">
        <f t="shared" si="19"/>
        <v>2026</v>
      </c>
      <c r="R49" s="1431">
        <f t="shared" si="19"/>
        <v>2027</v>
      </c>
      <c r="S49" s="1431">
        <f t="shared" si="19"/>
        <v>2028</v>
      </c>
      <c r="T49" s="1431">
        <f t="shared" si="19"/>
        <v>2029</v>
      </c>
      <c r="U49" s="1431">
        <f t="shared" si="19"/>
        <v>2030</v>
      </c>
      <c r="V49" s="1431">
        <f t="shared" si="19"/>
        <v>2031</v>
      </c>
      <c r="W49" s="1431">
        <f t="shared" si="19"/>
        <v>2032</v>
      </c>
    </row>
    <row r="50" spans="1:23">
      <c r="B50" s="1432" t="s">
        <v>791</v>
      </c>
      <c r="C50" s="1441">
        <f>SUM(D50:U50)</f>
        <v>60156</v>
      </c>
      <c r="D50" s="1441">
        <f>$D$42*D52*D51/1000</f>
        <v>0</v>
      </c>
      <c r="E50" s="1441">
        <f t="shared" ref="E50:M50" si="20">$D$42*E52*E51/1000</f>
        <v>0</v>
      </c>
      <c r="F50" s="1441">
        <f t="shared" si="20"/>
        <v>0</v>
      </c>
      <c r="G50" s="1441">
        <f t="shared" si="20"/>
        <v>0</v>
      </c>
      <c r="H50" s="1441">
        <f t="shared" si="20"/>
        <v>0</v>
      </c>
      <c r="I50" s="1441">
        <f t="shared" si="20"/>
        <v>0</v>
      </c>
      <c r="J50" s="1441">
        <f t="shared" si="20"/>
        <v>0</v>
      </c>
      <c r="K50" s="1441">
        <f t="shared" si="20"/>
        <v>0</v>
      </c>
      <c r="L50" s="1441">
        <f t="shared" si="20"/>
        <v>0</v>
      </c>
      <c r="M50" s="1441">
        <f t="shared" si="20"/>
        <v>0</v>
      </c>
      <c r="N50" s="1441">
        <f t="shared" ref="N50:U50" si="21">$D$42*N52*N51/1000</f>
        <v>0</v>
      </c>
      <c r="O50" s="1441">
        <f t="shared" si="21"/>
        <v>0</v>
      </c>
      <c r="P50" s="1441">
        <f t="shared" si="21"/>
        <v>0</v>
      </c>
      <c r="Q50" s="1441">
        <f t="shared" si="21"/>
        <v>0</v>
      </c>
      <c r="R50" s="1441">
        <f t="shared" si="21"/>
        <v>0</v>
      </c>
      <c r="S50" s="1441">
        <f t="shared" si="21"/>
        <v>16200</v>
      </c>
      <c r="T50" s="1441">
        <f t="shared" si="21"/>
        <v>17820</v>
      </c>
      <c r="U50" s="1441">
        <f t="shared" si="21"/>
        <v>26136.000000000004</v>
      </c>
      <c r="V50" s="1441">
        <f t="shared" ref="V50:W50" si="22">$D$42*V52*V51/1000</f>
        <v>0</v>
      </c>
      <c r="W50" s="1441">
        <f t="shared" si="22"/>
        <v>0</v>
      </c>
    </row>
    <row r="51" spans="1:23">
      <c r="B51" s="1444" t="s">
        <v>792</v>
      </c>
      <c r="C51" s="1436">
        <f>SUM(D51:U51)</f>
        <v>1</v>
      </c>
      <c r="D51" s="1416">
        <v>0</v>
      </c>
      <c r="E51" s="1416">
        <v>0</v>
      </c>
      <c r="F51" s="1416">
        <v>0</v>
      </c>
      <c r="G51" s="1416">
        <v>0</v>
      </c>
      <c r="H51" s="1416">
        <v>0</v>
      </c>
      <c r="I51" s="1416">
        <v>0</v>
      </c>
      <c r="J51" s="1416">
        <v>0</v>
      </c>
      <c r="K51" s="1416">
        <v>0</v>
      </c>
      <c r="L51" s="1416">
        <v>0</v>
      </c>
      <c r="M51" s="1416">
        <v>0</v>
      </c>
      <c r="N51" s="1416">
        <v>0</v>
      </c>
      <c r="O51" s="1416">
        <v>0</v>
      </c>
      <c r="P51" s="1416">
        <v>0</v>
      </c>
      <c r="Q51" s="1416">
        <v>0</v>
      </c>
      <c r="R51" s="1416">
        <v>0</v>
      </c>
      <c r="S51" s="1416">
        <v>0.3</v>
      </c>
      <c r="T51" s="1416">
        <v>0.3</v>
      </c>
      <c r="U51" s="1416">
        <v>0.4</v>
      </c>
      <c r="V51" s="1416">
        <v>0</v>
      </c>
      <c r="W51" s="1416">
        <v>0</v>
      </c>
    </row>
    <row r="52" spans="1:23">
      <c r="B52" s="1444" t="s">
        <v>1565</v>
      </c>
      <c r="D52" s="1439">
        <f>D43</f>
        <v>82</v>
      </c>
      <c r="E52" s="1439">
        <f t="shared" ref="E52:M52" si="23">D52*(1+E53)</f>
        <v>82</v>
      </c>
      <c r="F52" s="1439">
        <f t="shared" si="23"/>
        <v>82</v>
      </c>
      <c r="G52" s="1439">
        <f t="shared" si="23"/>
        <v>82</v>
      </c>
      <c r="H52" s="1439">
        <f t="shared" si="23"/>
        <v>82</v>
      </c>
      <c r="I52" s="1439">
        <f t="shared" si="23"/>
        <v>82</v>
      </c>
      <c r="J52" s="1439">
        <f t="shared" si="23"/>
        <v>82</v>
      </c>
      <c r="K52" s="1439">
        <f t="shared" si="23"/>
        <v>82</v>
      </c>
      <c r="L52" s="1439">
        <f t="shared" si="23"/>
        <v>82</v>
      </c>
      <c r="M52" s="1439">
        <f t="shared" si="23"/>
        <v>82</v>
      </c>
      <c r="N52" s="1439">
        <f t="shared" ref="N52:W52" si="24">M52*(1+N53)</f>
        <v>82</v>
      </c>
      <c r="O52" s="1439">
        <f t="shared" si="24"/>
        <v>84.460000000000008</v>
      </c>
      <c r="P52" s="1439">
        <f t="shared" si="24"/>
        <v>86.993800000000007</v>
      </c>
      <c r="Q52" s="1439">
        <f t="shared" si="24"/>
        <v>86.993800000000007</v>
      </c>
      <c r="R52" s="1439">
        <f t="shared" si="24"/>
        <v>86.993800000000007</v>
      </c>
      <c r="S52" s="2256">
        <v>135</v>
      </c>
      <c r="T52" s="2256">
        <f t="shared" si="24"/>
        <v>148.5</v>
      </c>
      <c r="U52" s="2256">
        <f t="shared" si="24"/>
        <v>163.35000000000002</v>
      </c>
      <c r="V52" s="2256">
        <f t="shared" si="24"/>
        <v>343.03500000000008</v>
      </c>
      <c r="W52" s="2256">
        <f t="shared" si="24"/>
        <v>1063.4085000000002</v>
      </c>
    </row>
    <row r="53" spans="1:23">
      <c r="B53" s="1444" t="s">
        <v>1563</v>
      </c>
      <c r="E53" s="1443">
        <f t="shared" ref="E53:J53" si="25">D47</f>
        <v>0</v>
      </c>
      <c r="F53" s="1443">
        <f t="shared" si="25"/>
        <v>0</v>
      </c>
      <c r="G53" s="1443">
        <f t="shared" si="25"/>
        <v>0</v>
      </c>
      <c r="H53" s="1443">
        <f t="shared" si="25"/>
        <v>0</v>
      </c>
      <c r="I53" s="1443">
        <f t="shared" si="25"/>
        <v>0</v>
      </c>
      <c r="J53" s="1443">
        <f t="shared" si="25"/>
        <v>0</v>
      </c>
      <c r="K53" s="1443">
        <f t="shared" ref="K53:N53" si="26">J47</f>
        <v>0</v>
      </c>
      <c r="L53" s="1443">
        <f t="shared" si="26"/>
        <v>0</v>
      </c>
      <c r="M53" s="1443">
        <f t="shared" si="26"/>
        <v>0</v>
      </c>
      <c r="N53" s="1443">
        <f t="shared" si="26"/>
        <v>0</v>
      </c>
      <c r="O53" s="1443">
        <v>0.03</v>
      </c>
      <c r="P53" s="1443">
        <v>0.03</v>
      </c>
      <c r="Q53" s="1443">
        <v>0</v>
      </c>
      <c r="R53" s="1443">
        <v>0</v>
      </c>
      <c r="S53" s="1443">
        <v>0.03</v>
      </c>
      <c r="T53" s="1443">
        <v>0.1</v>
      </c>
      <c r="U53" s="1443">
        <v>0.1</v>
      </c>
      <c r="V53" s="1443">
        <v>1.1000000000000001</v>
      </c>
      <c r="W53" s="1443">
        <v>2.1</v>
      </c>
    </row>
    <row r="54" spans="1:23">
      <c r="B54" s="1444" t="s">
        <v>1788</v>
      </c>
      <c r="C54" s="1440">
        <f>S5</f>
        <v>3800</v>
      </c>
      <c r="D54" s="1440">
        <f>D51*$C$54</f>
        <v>0</v>
      </c>
      <c r="E54" s="1440">
        <f t="shared" ref="E54:M54" si="27">E51*$C$54</f>
        <v>0</v>
      </c>
      <c r="F54" s="1440">
        <f t="shared" si="27"/>
        <v>0</v>
      </c>
      <c r="G54" s="1440">
        <f t="shared" si="27"/>
        <v>0</v>
      </c>
      <c r="H54" s="1440">
        <f t="shared" si="27"/>
        <v>0</v>
      </c>
      <c r="I54" s="1440">
        <f t="shared" si="27"/>
        <v>0</v>
      </c>
      <c r="J54" s="1440">
        <f t="shared" si="27"/>
        <v>0</v>
      </c>
      <c r="K54" s="1440">
        <f t="shared" si="27"/>
        <v>0</v>
      </c>
      <c r="L54" s="1440">
        <f t="shared" si="27"/>
        <v>0</v>
      </c>
      <c r="M54" s="1440">
        <f t="shared" si="27"/>
        <v>0</v>
      </c>
      <c r="N54" s="1440">
        <f t="shared" ref="N54:U54" si="28">N51*$C$54</f>
        <v>0</v>
      </c>
      <c r="O54" s="1440">
        <f t="shared" si="28"/>
        <v>0</v>
      </c>
      <c r="P54" s="1440">
        <f t="shared" si="28"/>
        <v>0</v>
      </c>
      <c r="Q54" s="1440">
        <f t="shared" si="28"/>
        <v>0</v>
      </c>
      <c r="R54" s="1440">
        <f t="shared" si="28"/>
        <v>0</v>
      </c>
      <c r="S54" s="1440">
        <f t="shared" si="28"/>
        <v>1140</v>
      </c>
      <c r="T54" s="1440">
        <f t="shared" si="28"/>
        <v>1140</v>
      </c>
      <c r="U54" s="1440">
        <f t="shared" si="28"/>
        <v>1520</v>
      </c>
      <c r="V54" s="1440">
        <f t="shared" ref="V54:W54" si="29">V51*$C$54</f>
        <v>0</v>
      </c>
      <c r="W54" s="1440">
        <f t="shared" si="29"/>
        <v>0</v>
      </c>
    </row>
    <row r="55" spans="1:23">
      <c r="B55" s="1444"/>
      <c r="F55" s="1443"/>
      <c r="G55" s="1443"/>
    </row>
    <row r="56" spans="1:23" s="1407" customFormat="1">
      <c r="A56" s="1406">
        <v>2</v>
      </c>
      <c r="B56" s="1407" t="s">
        <v>794</v>
      </c>
      <c r="C56" s="1431" t="str">
        <f>C49</f>
        <v>Total</v>
      </c>
      <c r="D56" s="1431">
        <f t="shared" ref="D56:J56" si="30">D49</f>
        <v>2013</v>
      </c>
      <c r="E56" s="1431">
        <f t="shared" si="30"/>
        <v>2014</v>
      </c>
      <c r="F56" s="1431">
        <f t="shared" si="30"/>
        <v>2015</v>
      </c>
      <c r="G56" s="1431">
        <f t="shared" si="30"/>
        <v>2016</v>
      </c>
      <c r="H56" s="1431">
        <f t="shared" si="30"/>
        <v>2017</v>
      </c>
      <c r="I56" s="1431">
        <f t="shared" si="30"/>
        <v>2018</v>
      </c>
      <c r="J56" s="1431">
        <f t="shared" si="30"/>
        <v>2019</v>
      </c>
      <c r="K56" s="1431">
        <f t="shared" ref="K56:U56" si="31">K49</f>
        <v>2020</v>
      </c>
      <c r="L56" s="1431">
        <f t="shared" si="31"/>
        <v>2021</v>
      </c>
      <c r="M56" s="1431">
        <f t="shared" si="31"/>
        <v>2022</v>
      </c>
      <c r="N56" s="1431">
        <f t="shared" si="31"/>
        <v>2023</v>
      </c>
      <c r="O56" s="1431">
        <f t="shared" si="31"/>
        <v>2024</v>
      </c>
      <c r="P56" s="1431">
        <f t="shared" si="31"/>
        <v>2025</v>
      </c>
      <c r="Q56" s="1431">
        <f t="shared" si="31"/>
        <v>2026</v>
      </c>
      <c r="R56" s="1431">
        <f t="shared" si="31"/>
        <v>2027</v>
      </c>
      <c r="S56" s="1431">
        <f t="shared" si="31"/>
        <v>2028</v>
      </c>
      <c r="T56" s="1431">
        <f t="shared" si="31"/>
        <v>2029</v>
      </c>
      <c r="U56" s="1431">
        <f t="shared" si="31"/>
        <v>2030</v>
      </c>
      <c r="V56" s="1431">
        <f t="shared" ref="V56:W56" si="32">V49</f>
        <v>2031</v>
      </c>
      <c r="W56" s="1431">
        <f t="shared" si="32"/>
        <v>2032</v>
      </c>
    </row>
    <row r="57" spans="1:23">
      <c r="B57" s="1432" t="s">
        <v>1586</v>
      </c>
      <c r="C57" s="1408">
        <f>C50</f>
        <v>60156</v>
      </c>
      <c r="D57" s="1441">
        <f>$C$57*D58</f>
        <v>0</v>
      </c>
      <c r="E57" s="1441">
        <f t="shared" ref="E57:W57" si="33">$C$57*E58</f>
        <v>0</v>
      </c>
      <c r="F57" s="1441">
        <f t="shared" si="33"/>
        <v>0</v>
      </c>
      <c r="G57" s="1441">
        <f t="shared" si="33"/>
        <v>0</v>
      </c>
      <c r="H57" s="1441">
        <f t="shared" si="33"/>
        <v>0</v>
      </c>
      <c r="I57" s="1441">
        <f t="shared" si="33"/>
        <v>0</v>
      </c>
      <c r="J57" s="1441">
        <f t="shared" si="33"/>
        <v>0</v>
      </c>
      <c r="K57" s="1441">
        <f t="shared" si="33"/>
        <v>0</v>
      </c>
      <c r="L57" s="1441">
        <f t="shared" si="33"/>
        <v>0</v>
      </c>
      <c r="M57" s="1441">
        <f t="shared" si="33"/>
        <v>0</v>
      </c>
      <c r="N57" s="1441">
        <f t="shared" si="33"/>
        <v>0</v>
      </c>
      <c r="O57" s="1441">
        <f t="shared" si="33"/>
        <v>0</v>
      </c>
      <c r="P57" s="1441">
        <f t="shared" si="33"/>
        <v>0</v>
      </c>
      <c r="Q57" s="1441">
        <f t="shared" si="33"/>
        <v>0</v>
      </c>
      <c r="R57" s="1441">
        <f t="shared" si="33"/>
        <v>0</v>
      </c>
      <c r="S57" s="1441">
        <f t="shared" si="33"/>
        <v>0</v>
      </c>
      <c r="T57" s="1441">
        <f t="shared" si="33"/>
        <v>0</v>
      </c>
      <c r="U57" s="1441">
        <f t="shared" si="33"/>
        <v>12031.2</v>
      </c>
      <c r="V57" s="1441">
        <f t="shared" si="33"/>
        <v>30078</v>
      </c>
      <c r="W57" s="1441">
        <f t="shared" si="33"/>
        <v>18046.8</v>
      </c>
    </row>
    <row r="58" spans="1:23">
      <c r="B58" s="1442" t="s">
        <v>794</v>
      </c>
      <c r="C58" s="1436">
        <f>SUM(D58:U58)</f>
        <v>0.2</v>
      </c>
      <c r="D58" s="1411">
        <v>0</v>
      </c>
      <c r="E58" s="1411">
        <v>0</v>
      </c>
      <c r="F58" s="1411">
        <v>0</v>
      </c>
      <c r="G58" s="1411">
        <v>0</v>
      </c>
      <c r="H58" s="1411">
        <v>0</v>
      </c>
      <c r="I58" s="1411">
        <v>0</v>
      </c>
      <c r="J58" s="1411">
        <v>0</v>
      </c>
      <c r="K58" s="1411">
        <v>0</v>
      </c>
      <c r="L58" s="1411">
        <v>0</v>
      </c>
      <c r="M58" s="1411">
        <v>0</v>
      </c>
      <c r="N58" s="1411">
        <v>0</v>
      </c>
      <c r="O58" s="1411">
        <v>0</v>
      </c>
      <c r="P58" s="1411">
        <v>0</v>
      </c>
      <c r="Q58" s="1411">
        <v>0</v>
      </c>
      <c r="R58" s="1411">
        <v>0</v>
      </c>
      <c r="S58" s="1411">
        <v>0</v>
      </c>
      <c r="T58" s="1411">
        <v>0</v>
      </c>
      <c r="U58" s="1411">
        <v>0.2</v>
      </c>
      <c r="V58" s="1411">
        <v>0.5</v>
      </c>
      <c r="W58" s="1411">
        <v>0.3</v>
      </c>
    </row>
    <row r="59" spans="1:23">
      <c r="B59" s="1442" t="s">
        <v>1777</v>
      </c>
      <c r="C59" s="1410">
        <f>C54</f>
        <v>3800</v>
      </c>
      <c r="D59" s="1410">
        <f>D58*$C$59</f>
        <v>0</v>
      </c>
      <c r="E59" s="1410">
        <f t="shared" ref="E59:M59" si="34">E58*$C$59</f>
        <v>0</v>
      </c>
      <c r="F59" s="1410">
        <f t="shared" si="34"/>
        <v>0</v>
      </c>
      <c r="G59" s="1410">
        <f t="shared" si="34"/>
        <v>0</v>
      </c>
      <c r="H59" s="1410">
        <f t="shared" si="34"/>
        <v>0</v>
      </c>
      <c r="I59" s="1410">
        <f t="shared" si="34"/>
        <v>0</v>
      </c>
      <c r="J59" s="1410">
        <f t="shared" si="34"/>
        <v>0</v>
      </c>
      <c r="K59" s="1410">
        <f t="shared" si="34"/>
        <v>0</v>
      </c>
      <c r="L59" s="1410">
        <f t="shared" si="34"/>
        <v>0</v>
      </c>
      <c r="M59" s="1410">
        <f t="shared" si="34"/>
        <v>0</v>
      </c>
      <c r="N59" s="1410">
        <f t="shared" ref="N59:U59" si="35">N58*$C$59</f>
        <v>0</v>
      </c>
      <c r="O59" s="1410">
        <f t="shared" si="35"/>
        <v>0</v>
      </c>
      <c r="P59" s="1410">
        <f t="shared" si="35"/>
        <v>0</v>
      </c>
      <c r="Q59" s="1410">
        <f t="shared" si="35"/>
        <v>0</v>
      </c>
      <c r="R59" s="1410">
        <f t="shared" si="35"/>
        <v>0</v>
      </c>
      <c r="S59" s="1410">
        <f t="shared" si="35"/>
        <v>0</v>
      </c>
      <c r="T59" s="1410">
        <f t="shared" si="35"/>
        <v>0</v>
      </c>
      <c r="U59" s="1410">
        <f t="shared" si="35"/>
        <v>760</v>
      </c>
      <c r="V59" s="1410">
        <f t="shared" ref="V59:W59" si="36">V58*$C$59</f>
        <v>1900</v>
      </c>
      <c r="W59" s="1410">
        <f t="shared" si="36"/>
        <v>1140</v>
      </c>
    </row>
    <row r="60" spans="1:23">
      <c r="B60" s="1444"/>
      <c r="C60" s="1425"/>
      <c r="D60" s="1433"/>
      <c r="E60" s="1433"/>
      <c r="F60" s="1433"/>
      <c r="G60" s="1433"/>
    </row>
    <row r="61" spans="1:23">
      <c r="C61" s="1440"/>
      <c r="D61" s="1440"/>
      <c r="E61" s="1440"/>
      <c r="F61" s="1440"/>
      <c r="G61" s="1440"/>
    </row>
    <row r="62" spans="1:23" s="1407" customFormat="1">
      <c r="A62" s="1406">
        <v>3</v>
      </c>
      <c r="B62" s="1407" t="s">
        <v>1175</v>
      </c>
      <c r="C62" s="1431" t="str">
        <f>C56</f>
        <v>Total</v>
      </c>
      <c r="D62" s="1431">
        <f t="shared" ref="D62:J62" si="37">D56</f>
        <v>2013</v>
      </c>
      <c r="E62" s="1431">
        <f t="shared" si="37"/>
        <v>2014</v>
      </c>
      <c r="F62" s="1431">
        <f t="shared" si="37"/>
        <v>2015</v>
      </c>
      <c r="G62" s="1431">
        <f t="shared" si="37"/>
        <v>2016</v>
      </c>
      <c r="H62" s="1431">
        <f t="shared" si="37"/>
        <v>2017</v>
      </c>
      <c r="I62" s="1431">
        <f t="shared" si="37"/>
        <v>2018</v>
      </c>
      <c r="J62" s="1431">
        <f t="shared" si="37"/>
        <v>2019</v>
      </c>
      <c r="K62" s="1431">
        <f t="shared" ref="K62:U62" si="38">K56</f>
        <v>2020</v>
      </c>
      <c r="L62" s="1431">
        <f t="shared" si="38"/>
        <v>2021</v>
      </c>
      <c r="M62" s="1431">
        <f t="shared" si="38"/>
        <v>2022</v>
      </c>
      <c r="N62" s="1431">
        <f t="shared" si="38"/>
        <v>2023</v>
      </c>
      <c r="O62" s="1431">
        <f t="shared" si="38"/>
        <v>2024</v>
      </c>
      <c r="P62" s="1431">
        <f t="shared" si="38"/>
        <v>2025</v>
      </c>
      <c r="Q62" s="1431">
        <f t="shared" si="38"/>
        <v>2026</v>
      </c>
      <c r="R62" s="1431">
        <f t="shared" si="38"/>
        <v>2027</v>
      </c>
      <c r="S62" s="1431">
        <f t="shared" si="38"/>
        <v>2028</v>
      </c>
      <c r="T62" s="1431">
        <f t="shared" si="38"/>
        <v>2029</v>
      </c>
      <c r="U62" s="1431">
        <f t="shared" si="38"/>
        <v>2030</v>
      </c>
      <c r="V62" s="1431">
        <f t="shared" ref="V62:W62" si="39">V56</f>
        <v>2031</v>
      </c>
      <c r="W62" s="1431">
        <f t="shared" si="39"/>
        <v>2032</v>
      </c>
    </row>
    <row r="63" spans="1:23">
      <c r="B63" s="1432"/>
      <c r="C63" s="1441">
        <f>SUM(D63:U63)</f>
        <v>38296.800000000003</v>
      </c>
      <c r="D63" s="1408"/>
      <c r="E63" s="1408"/>
      <c r="F63" s="1408">
        <f>D50*$D66+E50*$D65+F50*$D64</f>
        <v>0</v>
      </c>
      <c r="G63" s="1408">
        <f>E50*$D66+F50*$D65+G50*$D64</f>
        <v>0</v>
      </c>
      <c r="H63" s="1408">
        <f t="shared" ref="H63:M63" si="40">F50*$D66+G50*$D65+H50*$D64</f>
        <v>0</v>
      </c>
      <c r="I63" s="1408">
        <f t="shared" si="40"/>
        <v>0</v>
      </c>
      <c r="J63" s="1408">
        <f t="shared" si="40"/>
        <v>0</v>
      </c>
      <c r="K63" s="1408">
        <f t="shared" si="40"/>
        <v>0</v>
      </c>
      <c r="L63" s="1408">
        <f t="shared" si="40"/>
        <v>0</v>
      </c>
      <c r="M63" s="1408">
        <f t="shared" si="40"/>
        <v>0</v>
      </c>
      <c r="N63" s="1408">
        <f t="shared" ref="N63:W63" si="41">L50*$D66+M50*$D65+N50*$D64</f>
        <v>0</v>
      </c>
      <c r="O63" s="1408">
        <f t="shared" si="41"/>
        <v>0</v>
      </c>
      <c r="P63" s="1408">
        <f t="shared" si="41"/>
        <v>0</v>
      </c>
      <c r="Q63" s="1408">
        <f t="shared" si="41"/>
        <v>0</v>
      </c>
      <c r="R63" s="1408">
        <f t="shared" si="41"/>
        <v>0</v>
      </c>
      <c r="S63" s="1408">
        <f t="shared" si="41"/>
        <v>4860</v>
      </c>
      <c r="T63" s="1408">
        <f t="shared" si="41"/>
        <v>13446</v>
      </c>
      <c r="U63" s="1408">
        <f t="shared" si="41"/>
        <v>19990.800000000003</v>
      </c>
      <c r="V63" s="1408">
        <f t="shared" si="41"/>
        <v>16632</v>
      </c>
      <c r="W63" s="1408">
        <f t="shared" si="41"/>
        <v>5227.2</v>
      </c>
    </row>
    <row r="64" spans="1:23">
      <c r="B64" s="1431" t="s">
        <v>797</v>
      </c>
      <c r="C64" s="1440" t="s">
        <v>798</v>
      </c>
      <c r="D64" s="1416">
        <v>0.3</v>
      </c>
      <c r="E64" s="1440"/>
      <c r="F64" s="1440"/>
      <c r="G64" s="1440"/>
    </row>
    <row r="65" spans="1:23">
      <c r="C65" s="1440" t="s">
        <v>799</v>
      </c>
      <c r="D65" s="1416">
        <v>0.5</v>
      </c>
      <c r="E65" s="1440"/>
      <c r="F65" s="1440"/>
      <c r="G65" s="1440"/>
    </row>
    <row r="66" spans="1:23">
      <c r="C66" s="1440" t="s">
        <v>800</v>
      </c>
      <c r="D66" s="1417">
        <f>1-SUM(D64:D65)</f>
        <v>0.19999999999999996</v>
      </c>
      <c r="E66" s="1440"/>
      <c r="F66" s="1440"/>
      <c r="G66" s="1440"/>
    </row>
    <row r="67" spans="1:23">
      <c r="C67" s="1440"/>
      <c r="D67" s="1416"/>
      <c r="E67" s="1440"/>
      <c r="F67" s="1440"/>
      <c r="G67" s="1440"/>
    </row>
    <row r="68" spans="1:23">
      <c r="C68" s="1440"/>
      <c r="D68" s="1416"/>
      <c r="E68" s="1440"/>
      <c r="F68" s="1440"/>
      <c r="G68" s="1440"/>
    </row>
    <row r="69" spans="1:23" s="1407" customFormat="1">
      <c r="A69" s="1406">
        <v>4</v>
      </c>
      <c r="B69" s="1407" t="s">
        <v>1462</v>
      </c>
      <c r="C69" s="1440" t="str">
        <f>C62</f>
        <v>Total</v>
      </c>
      <c r="D69" s="1431">
        <f t="shared" ref="D69:J69" si="42">D62</f>
        <v>2013</v>
      </c>
      <c r="E69" s="1431">
        <f t="shared" si="42"/>
        <v>2014</v>
      </c>
      <c r="F69" s="1431">
        <f t="shared" si="42"/>
        <v>2015</v>
      </c>
      <c r="G69" s="1431">
        <f t="shared" si="42"/>
        <v>2016</v>
      </c>
      <c r="H69" s="1431">
        <f t="shared" si="42"/>
        <v>2017</v>
      </c>
      <c r="I69" s="1431">
        <f t="shared" si="42"/>
        <v>2018</v>
      </c>
      <c r="J69" s="1431">
        <f t="shared" si="42"/>
        <v>2019</v>
      </c>
      <c r="K69" s="1431">
        <f t="shared" ref="K69:U69" si="43">K62</f>
        <v>2020</v>
      </c>
      <c r="L69" s="1431">
        <f t="shared" si="43"/>
        <v>2021</v>
      </c>
      <c r="M69" s="1431">
        <f t="shared" si="43"/>
        <v>2022</v>
      </c>
      <c r="N69" s="1431">
        <f t="shared" si="43"/>
        <v>2023</v>
      </c>
      <c r="O69" s="1431">
        <f t="shared" si="43"/>
        <v>2024</v>
      </c>
      <c r="P69" s="1431">
        <f t="shared" si="43"/>
        <v>2025</v>
      </c>
      <c r="Q69" s="1431">
        <f t="shared" si="43"/>
        <v>2026</v>
      </c>
      <c r="R69" s="1431">
        <f t="shared" si="43"/>
        <v>2027</v>
      </c>
      <c r="S69" s="1431">
        <f t="shared" si="43"/>
        <v>2028</v>
      </c>
      <c r="T69" s="1431">
        <f t="shared" si="43"/>
        <v>2029</v>
      </c>
      <c r="U69" s="1431">
        <f t="shared" si="43"/>
        <v>2030</v>
      </c>
      <c r="V69" s="1431">
        <f t="shared" ref="V69:W69" si="44">V62</f>
        <v>2031</v>
      </c>
      <c r="W69" s="1431">
        <f t="shared" si="44"/>
        <v>2032</v>
      </c>
    </row>
    <row r="70" spans="1:23">
      <c r="B70" s="1432" t="s">
        <v>1566</v>
      </c>
      <c r="C70" s="1441">
        <f>D40*D44/1000</f>
        <v>9250</v>
      </c>
      <c r="D70" s="1408">
        <f>$C$70*D71</f>
        <v>0</v>
      </c>
      <c r="E70" s="1408">
        <f t="shared" ref="E70:W70" si="45">$C$70*E71</f>
        <v>0</v>
      </c>
      <c r="F70" s="1408">
        <f t="shared" si="45"/>
        <v>0</v>
      </c>
      <c r="G70" s="1408">
        <f t="shared" si="45"/>
        <v>0</v>
      </c>
      <c r="H70" s="1408">
        <f t="shared" si="45"/>
        <v>0</v>
      </c>
      <c r="I70" s="1408">
        <f t="shared" si="45"/>
        <v>0</v>
      </c>
      <c r="J70" s="1408">
        <f t="shared" si="45"/>
        <v>0</v>
      </c>
      <c r="K70" s="1408">
        <f t="shared" si="45"/>
        <v>0</v>
      </c>
      <c r="L70" s="1408">
        <f t="shared" si="45"/>
        <v>0</v>
      </c>
      <c r="M70" s="1408">
        <f t="shared" si="45"/>
        <v>0</v>
      </c>
      <c r="N70" s="1408">
        <f t="shared" si="45"/>
        <v>0</v>
      </c>
      <c r="O70" s="1408">
        <f t="shared" si="45"/>
        <v>0</v>
      </c>
      <c r="P70" s="1408">
        <f t="shared" si="45"/>
        <v>0</v>
      </c>
      <c r="Q70" s="1408">
        <f t="shared" si="45"/>
        <v>0</v>
      </c>
      <c r="R70" s="1408">
        <f t="shared" si="45"/>
        <v>0</v>
      </c>
      <c r="S70" s="1408">
        <f t="shared" si="45"/>
        <v>0</v>
      </c>
      <c r="T70" s="1408">
        <f t="shared" si="45"/>
        <v>3237.5</v>
      </c>
      <c r="U70" s="1408">
        <f t="shared" si="45"/>
        <v>3700</v>
      </c>
      <c r="V70" s="1408">
        <f t="shared" si="45"/>
        <v>2312.5</v>
      </c>
      <c r="W70" s="1408">
        <f t="shared" si="45"/>
        <v>0</v>
      </c>
    </row>
    <row r="71" spans="1:23">
      <c r="B71" s="1431" t="s">
        <v>1559</v>
      </c>
      <c r="C71" s="1436">
        <f>SUM(D71:W71)</f>
        <v>1</v>
      </c>
      <c r="D71" s="1416">
        <v>0</v>
      </c>
      <c r="E71" s="1416">
        <v>0</v>
      </c>
      <c r="F71" s="1416">
        <v>0</v>
      </c>
      <c r="G71" s="1416">
        <v>0</v>
      </c>
      <c r="H71" s="1416">
        <v>0</v>
      </c>
      <c r="I71" s="1416">
        <v>0</v>
      </c>
      <c r="J71" s="1416">
        <v>0</v>
      </c>
      <c r="K71" s="1416">
        <v>0</v>
      </c>
      <c r="L71" s="1416">
        <v>0</v>
      </c>
      <c r="M71" s="1416">
        <v>0</v>
      </c>
      <c r="N71" s="1416">
        <v>0</v>
      </c>
      <c r="O71" s="1416">
        <v>0</v>
      </c>
      <c r="P71" s="1416">
        <v>0</v>
      </c>
      <c r="Q71" s="1416">
        <v>0</v>
      </c>
      <c r="R71" s="1416">
        <v>0</v>
      </c>
      <c r="S71" s="1416">
        <v>0</v>
      </c>
      <c r="T71" s="1416">
        <v>0.35</v>
      </c>
      <c r="U71" s="1416">
        <v>0.4</v>
      </c>
      <c r="V71" s="1416">
        <v>0.25</v>
      </c>
      <c r="W71" s="1416">
        <v>0</v>
      </c>
    </row>
    <row r="72" spans="1:23">
      <c r="C72" s="1433"/>
      <c r="D72" s="1425"/>
      <c r="E72" s="1425"/>
      <c r="F72" s="1424"/>
      <c r="G72" s="1424"/>
      <c r="H72" s="1435"/>
    </row>
    <row r="73" spans="1:23">
      <c r="C73" s="1433"/>
      <c r="D73" s="1424"/>
      <c r="E73" s="1424"/>
      <c r="F73" s="1424"/>
      <c r="G73" s="1424"/>
    </row>
    <row r="74" spans="1:23">
      <c r="A74" s="1406">
        <v>5</v>
      </c>
      <c r="B74" s="1407" t="s">
        <v>1466</v>
      </c>
      <c r="C74" s="1431" t="str">
        <f>C69</f>
        <v>Total</v>
      </c>
      <c r="D74" s="1431">
        <f t="shared" ref="D74:I74" si="46">D69</f>
        <v>2013</v>
      </c>
      <c r="E74" s="1431">
        <f t="shared" si="46"/>
        <v>2014</v>
      </c>
      <c r="F74" s="1431">
        <f t="shared" si="46"/>
        <v>2015</v>
      </c>
      <c r="G74" s="1431">
        <f t="shared" si="46"/>
        <v>2016</v>
      </c>
      <c r="H74" s="1431">
        <f t="shared" si="46"/>
        <v>2017</v>
      </c>
      <c r="I74" s="1431">
        <f t="shared" si="46"/>
        <v>2018</v>
      </c>
      <c r="J74" s="1431">
        <f t="shared" ref="J74:U74" si="47">I74+1</f>
        <v>2019</v>
      </c>
      <c r="K74" s="1431">
        <f t="shared" si="47"/>
        <v>2020</v>
      </c>
      <c r="L74" s="1431">
        <f t="shared" si="47"/>
        <v>2021</v>
      </c>
      <c r="M74" s="1431">
        <f t="shared" si="47"/>
        <v>2022</v>
      </c>
      <c r="N74" s="1431">
        <f t="shared" si="47"/>
        <v>2023</v>
      </c>
      <c r="O74" s="1431">
        <f t="shared" si="47"/>
        <v>2024</v>
      </c>
      <c r="P74" s="1431">
        <f t="shared" si="47"/>
        <v>2025</v>
      </c>
      <c r="Q74" s="1431">
        <f t="shared" si="47"/>
        <v>2026</v>
      </c>
      <c r="R74" s="1431">
        <f t="shared" si="47"/>
        <v>2027</v>
      </c>
      <c r="S74" s="1431">
        <f t="shared" si="47"/>
        <v>2028</v>
      </c>
      <c r="T74" s="1431">
        <f t="shared" si="47"/>
        <v>2029</v>
      </c>
      <c r="U74" s="1431">
        <f t="shared" si="47"/>
        <v>2030</v>
      </c>
      <c r="V74" s="1431">
        <f t="shared" ref="V74" si="48">U74+1</f>
        <v>2031</v>
      </c>
      <c r="W74" s="1431">
        <f t="shared" ref="W74" si="49">V74+1</f>
        <v>2032</v>
      </c>
    </row>
    <row r="75" spans="1:23">
      <c r="B75" s="1432" t="s">
        <v>1567</v>
      </c>
      <c r="C75" s="1441">
        <f>$C$70*C58</f>
        <v>1850</v>
      </c>
      <c r="D75" s="1441">
        <f t="shared" ref="D75:M75" si="50">$C$70*D58</f>
        <v>0</v>
      </c>
      <c r="E75" s="1441">
        <f t="shared" si="50"/>
        <v>0</v>
      </c>
      <c r="F75" s="1441">
        <f t="shared" si="50"/>
        <v>0</v>
      </c>
      <c r="G75" s="1441">
        <f t="shared" si="50"/>
        <v>0</v>
      </c>
      <c r="H75" s="1441">
        <f t="shared" si="50"/>
        <v>0</v>
      </c>
      <c r="I75" s="1441">
        <f t="shared" si="50"/>
        <v>0</v>
      </c>
      <c r="J75" s="1441">
        <f t="shared" si="50"/>
        <v>0</v>
      </c>
      <c r="K75" s="1441">
        <f t="shared" si="50"/>
        <v>0</v>
      </c>
      <c r="L75" s="1441">
        <f t="shared" si="50"/>
        <v>0</v>
      </c>
      <c r="M75" s="1441">
        <f t="shared" si="50"/>
        <v>0</v>
      </c>
      <c r="N75" s="1441">
        <f t="shared" ref="N75:U75" si="51">$C$70*N58</f>
        <v>0</v>
      </c>
      <c r="O75" s="1441">
        <f t="shared" si="51"/>
        <v>0</v>
      </c>
      <c r="P75" s="1441">
        <f t="shared" si="51"/>
        <v>0</v>
      </c>
      <c r="Q75" s="1441">
        <f t="shared" si="51"/>
        <v>0</v>
      </c>
      <c r="R75" s="1441">
        <f t="shared" si="51"/>
        <v>0</v>
      </c>
      <c r="S75" s="1441">
        <f t="shared" si="51"/>
        <v>0</v>
      </c>
      <c r="T75" s="1441">
        <f t="shared" si="51"/>
        <v>0</v>
      </c>
      <c r="U75" s="1441">
        <f t="shared" si="51"/>
        <v>1850</v>
      </c>
      <c r="V75" s="1441">
        <f t="shared" ref="V75:W75" si="52">$C$70*V58</f>
        <v>4625</v>
      </c>
      <c r="W75" s="1441">
        <f t="shared" si="52"/>
        <v>2775</v>
      </c>
    </row>
    <row r="76" spans="1:23">
      <c r="B76" s="1431" t="s">
        <v>803</v>
      </c>
      <c r="C76" s="1440">
        <f>$E$32*C58</f>
        <v>1680</v>
      </c>
      <c r="D76" s="1440">
        <f t="shared" ref="D76:M76" si="53">$E$32*D58</f>
        <v>0</v>
      </c>
      <c r="E76" s="1440">
        <f t="shared" si="53"/>
        <v>0</v>
      </c>
      <c r="F76" s="1440">
        <f t="shared" si="53"/>
        <v>0</v>
      </c>
      <c r="G76" s="1440">
        <f t="shared" si="53"/>
        <v>0</v>
      </c>
      <c r="H76" s="1440">
        <f t="shared" si="53"/>
        <v>0</v>
      </c>
      <c r="I76" s="1440">
        <f t="shared" si="53"/>
        <v>0</v>
      </c>
      <c r="J76" s="1440">
        <f t="shared" si="53"/>
        <v>0</v>
      </c>
      <c r="K76" s="1440">
        <f t="shared" si="53"/>
        <v>0</v>
      </c>
      <c r="L76" s="1440">
        <f t="shared" si="53"/>
        <v>0</v>
      </c>
      <c r="M76" s="1440">
        <f t="shared" si="53"/>
        <v>0</v>
      </c>
      <c r="N76" s="1440">
        <f t="shared" ref="N76:U76" si="54">$E$32*N58</f>
        <v>0</v>
      </c>
      <c r="O76" s="1440">
        <f t="shared" si="54"/>
        <v>0</v>
      </c>
      <c r="P76" s="1440">
        <f t="shared" si="54"/>
        <v>0</v>
      </c>
      <c r="Q76" s="1440">
        <f t="shared" si="54"/>
        <v>0</v>
      </c>
      <c r="R76" s="1440">
        <f t="shared" si="54"/>
        <v>0</v>
      </c>
      <c r="S76" s="1440">
        <f t="shared" si="54"/>
        <v>0</v>
      </c>
      <c r="T76" s="1440">
        <f t="shared" si="54"/>
        <v>0</v>
      </c>
      <c r="U76" s="1440">
        <f t="shared" si="54"/>
        <v>1680</v>
      </c>
      <c r="V76" s="1440">
        <f t="shared" ref="V76:W76" si="55">$E$32*V58</f>
        <v>4200</v>
      </c>
      <c r="W76" s="1440">
        <f t="shared" si="55"/>
        <v>2520</v>
      </c>
    </row>
    <row r="77" spans="1:23" s="1447" customFormat="1">
      <c r="A77" s="1459"/>
      <c r="B77" s="1447" t="s">
        <v>804</v>
      </c>
      <c r="C77" s="1458">
        <f>SUMIF(D113:U113,"&lt;="&amp;D11,D119:U119)</f>
        <v>6735.0335000000005</v>
      </c>
      <c r="D77" s="1410">
        <f t="shared" ref="D77:J77" si="56">$C$77*D58</f>
        <v>0</v>
      </c>
      <c r="E77" s="1410">
        <f t="shared" si="56"/>
        <v>0</v>
      </c>
      <c r="F77" s="1410">
        <f t="shared" si="56"/>
        <v>0</v>
      </c>
      <c r="G77" s="1410">
        <f t="shared" si="56"/>
        <v>0</v>
      </c>
      <c r="H77" s="1410">
        <f t="shared" si="56"/>
        <v>0</v>
      </c>
      <c r="I77" s="1410">
        <f t="shared" si="56"/>
        <v>0</v>
      </c>
      <c r="J77" s="1410">
        <f t="shared" si="56"/>
        <v>0</v>
      </c>
      <c r="K77" s="1410">
        <f t="shared" ref="K77:U77" si="57">$C$77*K58</f>
        <v>0</v>
      </c>
      <c r="L77" s="1410">
        <f t="shared" si="57"/>
        <v>0</v>
      </c>
      <c r="M77" s="1410">
        <f t="shared" si="57"/>
        <v>0</v>
      </c>
      <c r="N77" s="1410">
        <f t="shared" si="57"/>
        <v>0</v>
      </c>
      <c r="O77" s="1410">
        <f t="shared" si="57"/>
        <v>0</v>
      </c>
      <c r="P77" s="1410">
        <f t="shared" si="57"/>
        <v>0</v>
      </c>
      <c r="Q77" s="1410">
        <f t="shared" si="57"/>
        <v>0</v>
      </c>
      <c r="R77" s="1410">
        <f t="shared" si="57"/>
        <v>0</v>
      </c>
      <c r="S77" s="1410">
        <f t="shared" si="57"/>
        <v>0</v>
      </c>
      <c r="T77" s="1410">
        <f t="shared" si="57"/>
        <v>0</v>
      </c>
      <c r="U77" s="1410">
        <f t="shared" si="57"/>
        <v>1347.0067000000001</v>
      </c>
      <c r="V77" s="1410">
        <f t="shared" ref="V77:W77" si="58">$C$77*V58</f>
        <v>3367.5167500000002</v>
      </c>
      <c r="W77" s="1410">
        <f t="shared" si="58"/>
        <v>2020.5100500000001</v>
      </c>
    </row>
    <row r="78" spans="1:23" s="1447" customFormat="1">
      <c r="A78" s="1459"/>
      <c r="B78" s="1447" t="s">
        <v>805</v>
      </c>
      <c r="C78" s="1410">
        <f>SUM(D78:W78)</f>
        <v>0</v>
      </c>
      <c r="D78" s="1410">
        <f t="shared" ref="D78:M78" si="59">IF(D74&gt;$D$11,D119,0)</f>
        <v>0</v>
      </c>
      <c r="E78" s="1410">
        <f t="shared" si="59"/>
        <v>0</v>
      </c>
      <c r="F78" s="1410">
        <f t="shared" si="59"/>
        <v>0</v>
      </c>
      <c r="G78" s="1410">
        <f t="shared" si="59"/>
        <v>0</v>
      </c>
      <c r="H78" s="1410">
        <f t="shared" si="59"/>
        <v>0</v>
      </c>
      <c r="I78" s="1410">
        <f t="shared" si="59"/>
        <v>0</v>
      </c>
      <c r="J78" s="1410">
        <f t="shared" si="59"/>
        <v>0</v>
      </c>
      <c r="K78" s="1410">
        <f t="shared" si="59"/>
        <v>0</v>
      </c>
      <c r="L78" s="1410">
        <f t="shared" si="59"/>
        <v>0</v>
      </c>
      <c r="M78" s="1410">
        <f t="shared" si="59"/>
        <v>0</v>
      </c>
      <c r="N78" s="1410">
        <f t="shared" ref="N78:U78" si="60">IF(N74&gt;$D$11,N119,0)</f>
        <v>0</v>
      </c>
      <c r="O78" s="1410">
        <f t="shared" si="60"/>
        <v>0</v>
      </c>
      <c r="P78" s="1410">
        <f t="shared" si="60"/>
        <v>0</v>
      </c>
      <c r="Q78" s="1410">
        <f t="shared" si="60"/>
        <v>0</v>
      </c>
      <c r="R78" s="1410">
        <f t="shared" si="60"/>
        <v>0</v>
      </c>
      <c r="S78" s="1410">
        <f t="shared" si="60"/>
        <v>0</v>
      </c>
      <c r="T78" s="1410">
        <f t="shared" si="60"/>
        <v>0</v>
      </c>
      <c r="U78" s="1410">
        <f t="shared" si="60"/>
        <v>0</v>
      </c>
      <c r="V78" s="1410">
        <f t="shared" ref="V78:W78" si="61">IF(V74&gt;$D$11,V119,0)</f>
        <v>0</v>
      </c>
      <c r="W78" s="1410">
        <f t="shared" si="61"/>
        <v>0</v>
      </c>
    </row>
    <row r="79" spans="1:23">
      <c r="B79" s="1431" t="s">
        <v>656</v>
      </c>
      <c r="C79" s="1440">
        <f>$D$46*C57</f>
        <v>9023.4</v>
      </c>
      <c r="D79" s="1440">
        <f t="shared" ref="D79:J79" si="62">$D$46*D57</f>
        <v>0</v>
      </c>
      <c r="E79" s="1440">
        <f t="shared" si="62"/>
        <v>0</v>
      </c>
      <c r="F79" s="1440">
        <f t="shared" si="62"/>
        <v>0</v>
      </c>
      <c r="G79" s="1440">
        <f t="shared" si="62"/>
        <v>0</v>
      </c>
      <c r="H79" s="1440">
        <f t="shared" si="62"/>
        <v>0</v>
      </c>
      <c r="I79" s="1440">
        <f t="shared" si="62"/>
        <v>0</v>
      </c>
      <c r="J79" s="1440">
        <f t="shared" si="62"/>
        <v>0</v>
      </c>
      <c r="K79" s="1440">
        <f t="shared" ref="K79:U79" si="63">$D$46*K57</f>
        <v>0</v>
      </c>
      <c r="L79" s="1440">
        <f t="shared" si="63"/>
        <v>0</v>
      </c>
      <c r="M79" s="1440">
        <f t="shared" si="63"/>
        <v>0</v>
      </c>
      <c r="N79" s="1440">
        <f t="shared" si="63"/>
        <v>0</v>
      </c>
      <c r="O79" s="1440">
        <f t="shared" si="63"/>
        <v>0</v>
      </c>
      <c r="P79" s="1440">
        <f t="shared" si="63"/>
        <v>0</v>
      </c>
      <c r="Q79" s="1440">
        <f t="shared" si="63"/>
        <v>0</v>
      </c>
      <c r="R79" s="1440">
        <f t="shared" si="63"/>
        <v>0</v>
      </c>
      <c r="S79" s="1440">
        <f t="shared" si="63"/>
        <v>0</v>
      </c>
      <c r="T79" s="1440">
        <f t="shared" si="63"/>
        <v>0</v>
      </c>
      <c r="U79" s="1440">
        <f t="shared" si="63"/>
        <v>1804.68</v>
      </c>
      <c r="V79" s="1440">
        <f t="shared" ref="V79:W79" si="64">$D$46*V57</f>
        <v>4511.7</v>
      </c>
      <c r="W79" s="1440">
        <f t="shared" si="64"/>
        <v>2707.02</v>
      </c>
    </row>
    <row r="80" spans="1:23">
      <c r="C80" s="1440"/>
      <c r="D80" s="1440"/>
      <c r="E80" s="1440"/>
      <c r="F80" s="1440"/>
      <c r="G80" s="1440"/>
    </row>
    <row r="82" spans="1:23" s="1407" customFormat="1">
      <c r="A82" s="1406">
        <v>6</v>
      </c>
      <c r="B82" s="1407" t="s">
        <v>878</v>
      </c>
      <c r="C82" s="1431" t="str">
        <f>C74</f>
        <v>Total</v>
      </c>
      <c r="D82" s="1431">
        <f t="shared" ref="D82:J82" si="65">D74</f>
        <v>2013</v>
      </c>
      <c r="E82" s="1431">
        <f t="shared" si="65"/>
        <v>2014</v>
      </c>
      <c r="F82" s="1431">
        <f t="shared" si="65"/>
        <v>2015</v>
      </c>
      <c r="G82" s="1431">
        <f t="shared" si="65"/>
        <v>2016</v>
      </c>
      <c r="H82" s="1431">
        <f t="shared" si="65"/>
        <v>2017</v>
      </c>
      <c r="I82" s="1431">
        <f t="shared" si="65"/>
        <v>2018</v>
      </c>
      <c r="J82" s="1431">
        <f t="shared" si="65"/>
        <v>2019</v>
      </c>
      <c r="K82" s="1431">
        <f t="shared" ref="K82:U82" si="66">K74</f>
        <v>2020</v>
      </c>
      <c r="L82" s="1431">
        <f t="shared" si="66"/>
        <v>2021</v>
      </c>
      <c r="M82" s="1431">
        <f t="shared" si="66"/>
        <v>2022</v>
      </c>
      <c r="N82" s="1431">
        <f t="shared" si="66"/>
        <v>2023</v>
      </c>
      <c r="O82" s="1431">
        <f t="shared" si="66"/>
        <v>2024</v>
      </c>
      <c r="P82" s="1431">
        <f t="shared" si="66"/>
        <v>2025</v>
      </c>
      <c r="Q82" s="1431">
        <f t="shared" si="66"/>
        <v>2026</v>
      </c>
      <c r="R82" s="1431">
        <f t="shared" si="66"/>
        <v>2027</v>
      </c>
      <c r="S82" s="1431">
        <f t="shared" si="66"/>
        <v>2028</v>
      </c>
      <c r="T82" s="1431">
        <f t="shared" si="66"/>
        <v>2029</v>
      </c>
      <c r="U82" s="1431">
        <f t="shared" si="66"/>
        <v>2030</v>
      </c>
      <c r="V82" s="1431">
        <f t="shared" ref="V82:W82" si="67">V74</f>
        <v>2031</v>
      </c>
      <c r="W82" s="1431">
        <f t="shared" si="67"/>
        <v>2032</v>
      </c>
    </row>
    <row r="83" spans="1:23">
      <c r="B83" s="1432" t="s">
        <v>26</v>
      </c>
      <c r="C83" s="1440">
        <f t="shared" ref="C83:C90" si="68">SUM(D83:W83)</f>
        <v>60156</v>
      </c>
      <c r="D83" s="1441">
        <f t="shared" ref="D83:J83" si="69">D57</f>
        <v>0</v>
      </c>
      <c r="E83" s="1441">
        <f t="shared" si="69"/>
        <v>0</v>
      </c>
      <c r="F83" s="1441">
        <f t="shared" si="69"/>
        <v>0</v>
      </c>
      <c r="G83" s="1441">
        <f t="shared" si="69"/>
        <v>0</v>
      </c>
      <c r="H83" s="1441">
        <f t="shared" si="69"/>
        <v>0</v>
      </c>
      <c r="I83" s="1441">
        <f t="shared" si="69"/>
        <v>0</v>
      </c>
      <c r="J83" s="1441">
        <f t="shared" si="69"/>
        <v>0</v>
      </c>
      <c r="K83" s="1441">
        <f t="shared" ref="K83:U83" si="70">K57</f>
        <v>0</v>
      </c>
      <c r="L83" s="1441">
        <f t="shared" si="70"/>
        <v>0</v>
      </c>
      <c r="M83" s="1441">
        <f t="shared" si="70"/>
        <v>0</v>
      </c>
      <c r="N83" s="1441">
        <f t="shared" si="70"/>
        <v>0</v>
      </c>
      <c r="O83" s="1441">
        <f t="shared" si="70"/>
        <v>0</v>
      </c>
      <c r="P83" s="1441">
        <f t="shared" si="70"/>
        <v>0</v>
      </c>
      <c r="Q83" s="1441">
        <f t="shared" si="70"/>
        <v>0</v>
      </c>
      <c r="R83" s="1441">
        <f t="shared" si="70"/>
        <v>0</v>
      </c>
      <c r="S83" s="1441">
        <f t="shared" si="70"/>
        <v>0</v>
      </c>
      <c r="T83" s="1441">
        <f t="shared" si="70"/>
        <v>0</v>
      </c>
      <c r="U83" s="1441">
        <f t="shared" si="70"/>
        <v>12031.2</v>
      </c>
      <c r="V83" s="1441">
        <f t="shared" ref="V83:W83" si="71">V57</f>
        <v>30078</v>
      </c>
      <c r="W83" s="1441">
        <f t="shared" si="71"/>
        <v>18046.8</v>
      </c>
    </row>
    <row r="84" spans="1:23">
      <c r="B84" s="1431" t="s">
        <v>432</v>
      </c>
      <c r="C84" s="1440">
        <f t="shared" si="68"/>
        <v>24385.033500000001</v>
      </c>
      <c r="D84" s="1440">
        <f>SUM(D75:D77)</f>
        <v>0</v>
      </c>
      <c r="E84" s="1440">
        <f t="shared" ref="E84:J84" si="72">SUM(E75:E77)</f>
        <v>0</v>
      </c>
      <c r="F84" s="1440">
        <f t="shared" si="72"/>
        <v>0</v>
      </c>
      <c r="G84" s="1440">
        <f t="shared" si="72"/>
        <v>0</v>
      </c>
      <c r="H84" s="1440">
        <f t="shared" si="72"/>
        <v>0</v>
      </c>
      <c r="I84" s="1440">
        <f t="shared" si="72"/>
        <v>0</v>
      </c>
      <c r="J84" s="1440">
        <f t="shared" si="72"/>
        <v>0</v>
      </c>
      <c r="K84" s="1440">
        <f t="shared" ref="K84:U84" si="73">SUM(K75:K77)</f>
        <v>0</v>
      </c>
      <c r="L84" s="1440">
        <f t="shared" si="73"/>
        <v>0</v>
      </c>
      <c r="M84" s="1440">
        <f t="shared" si="73"/>
        <v>0</v>
      </c>
      <c r="N84" s="1440">
        <f t="shared" si="73"/>
        <v>0</v>
      </c>
      <c r="O84" s="1440">
        <f t="shared" si="73"/>
        <v>0</v>
      </c>
      <c r="P84" s="1440">
        <f t="shared" si="73"/>
        <v>0</v>
      </c>
      <c r="Q84" s="1440">
        <f t="shared" si="73"/>
        <v>0</v>
      </c>
      <c r="R84" s="1440">
        <f t="shared" si="73"/>
        <v>0</v>
      </c>
      <c r="S84" s="1440">
        <f t="shared" si="73"/>
        <v>0</v>
      </c>
      <c r="T84" s="1440">
        <f t="shared" si="73"/>
        <v>0</v>
      </c>
      <c r="U84" s="1440">
        <f t="shared" si="73"/>
        <v>4877.0066999999999</v>
      </c>
      <c r="V84" s="1440">
        <f t="shared" ref="V84:W84" si="74">SUM(V75:V77)</f>
        <v>12192.516750000001</v>
      </c>
      <c r="W84" s="1440">
        <f t="shared" si="74"/>
        <v>7315.5100499999999</v>
      </c>
    </row>
    <row r="85" spans="1:23">
      <c r="B85" s="1431" t="s">
        <v>28</v>
      </c>
      <c r="C85" s="1440">
        <f t="shared" si="68"/>
        <v>35770.966499999995</v>
      </c>
      <c r="D85" s="1440">
        <f t="shared" ref="D85:M85" si="75">D83-D84</f>
        <v>0</v>
      </c>
      <c r="E85" s="1440">
        <f t="shared" si="75"/>
        <v>0</v>
      </c>
      <c r="F85" s="1440">
        <f t="shared" si="75"/>
        <v>0</v>
      </c>
      <c r="G85" s="1440">
        <f t="shared" si="75"/>
        <v>0</v>
      </c>
      <c r="H85" s="1440">
        <f t="shared" si="75"/>
        <v>0</v>
      </c>
      <c r="I85" s="1440">
        <f t="shared" si="75"/>
        <v>0</v>
      </c>
      <c r="J85" s="1440">
        <f t="shared" si="75"/>
        <v>0</v>
      </c>
      <c r="K85" s="1440">
        <f t="shared" si="75"/>
        <v>0</v>
      </c>
      <c r="L85" s="1440">
        <f t="shared" si="75"/>
        <v>0</v>
      </c>
      <c r="M85" s="1440">
        <f t="shared" si="75"/>
        <v>0</v>
      </c>
      <c r="N85" s="1440">
        <f t="shared" ref="N85:U85" si="76">N83-N84</f>
        <v>0</v>
      </c>
      <c r="O85" s="1440">
        <f t="shared" si="76"/>
        <v>0</v>
      </c>
      <c r="P85" s="1440">
        <f t="shared" si="76"/>
        <v>0</v>
      </c>
      <c r="Q85" s="1440">
        <f t="shared" si="76"/>
        <v>0</v>
      </c>
      <c r="R85" s="1440">
        <f t="shared" si="76"/>
        <v>0</v>
      </c>
      <c r="S85" s="1440">
        <f t="shared" si="76"/>
        <v>0</v>
      </c>
      <c r="T85" s="1440">
        <f t="shared" si="76"/>
        <v>0</v>
      </c>
      <c r="U85" s="1440">
        <f t="shared" si="76"/>
        <v>7154.1933000000008</v>
      </c>
      <c r="V85" s="1440">
        <f t="shared" ref="V85:W85" si="77">V83-V84</f>
        <v>17885.483249999997</v>
      </c>
      <c r="W85" s="1440">
        <f t="shared" si="77"/>
        <v>10731.289949999998</v>
      </c>
    </row>
    <row r="86" spans="1:23">
      <c r="B86" s="1431" t="s">
        <v>656</v>
      </c>
      <c r="C86" s="1440">
        <f t="shared" si="68"/>
        <v>9023.4</v>
      </c>
      <c r="D86" s="1440">
        <f>D79</f>
        <v>0</v>
      </c>
      <c r="E86" s="1440">
        <f t="shared" ref="E86:J86" si="78">E79</f>
        <v>0</v>
      </c>
      <c r="F86" s="1440">
        <f t="shared" si="78"/>
        <v>0</v>
      </c>
      <c r="G86" s="1440">
        <f t="shared" si="78"/>
        <v>0</v>
      </c>
      <c r="H86" s="1440">
        <f t="shared" si="78"/>
        <v>0</v>
      </c>
      <c r="I86" s="1440">
        <f t="shared" si="78"/>
        <v>0</v>
      </c>
      <c r="J86" s="1440">
        <f t="shared" si="78"/>
        <v>0</v>
      </c>
      <c r="K86" s="1440">
        <f t="shared" ref="K86:U86" si="79">K79</f>
        <v>0</v>
      </c>
      <c r="L86" s="1440">
        <f t="shared" si="79"/>
        <v>0</v>
      </c>
      <c r="M86" s="1440">
        <f t="shared" si="79"/>
        <v>0</v>
      </c>
      <c r="N86" s="1440">
        <f t="shared" si="79"/>
        <v>0</v>
      </c>
      <c r="O86" s="1440">
        <f t="shared" si="79"/>
        <v>0</v>
      </c>
      <c r="P86" s="1440">
        <f t="shared" si="79"/>
        <v>0</v>
      </c>
      <c r="Q86" s="1440">
        <f t="shared" si="79"/>
        <v>0</v>
      </c>
      <c r="R86" s="1440">
        <f t="shared" si="79"/>
        <v>0</v>
      </c>
      <c r="S86" s="1440">
        <f t="shared" si="79"/>
        <v>0</v>
      </c>
      <c r="T86" s="1440">
        <f t="shared" si="79"/>
        <v>0</v>
      </c>
      <c r="U86" s="1440">
        <f t="shared" si="79"/>
        <v>1804.68</v>
      </c>
      <c r="V86" s="1440">
        <f t="shared" ref="V86:W86" si="80">V79</f>
        <v>4511.7</v>
      </c>
      <c r="W86" s="1440">
        <f t="shared" si="80"/>
        <v>2707.02</v>
      </c>
    </row>
    <row r="87" spans="1:23">
      <c r="B87" s="1431" t="s">
        <v>805</v>
      </c>
      <c r="C87" s="1440">
        <f t="shared" si="68"/>
        <v>0</v>
      </c>
      <c r="D87" s="1440">
        <f>D78</f>
        <v>0</v>
      </c>
      <c r="E87" s="1440">
        <f t="shared" ref="E87:J87" si="81">E78</f>
        <v>0</v>
      </c>
      <c r="F87" s="1440">
        <f t="shared" si="81"/>
        <v>0</v>
      </c>
      <c r="G87" s="1440">
        <f t="shared" si="81"/>
        <v>0</v>
      </c>
      <c r="H87" s="1440">
        <f t="shared" si="81"/>
        <v>0</v>
      </c>
      <c r="I87" s="1440">
        <f t="shared" si="81"/>
        <v>0</v>
      </c>
      <c r="J87" s="1440">
        <f t="shared" si="81"/>
        <v>0</v>
      </c>
      <c r="K87" s="1440">
        <f t="shared" ref="K87:U87" si="82">K78</f>
        <v>0</v>
      </c>
      <c r="L87" s="1440">
        <f t="shared" si="82"/>
        <v>0</v>
      </c>
      <c r="M87" s="1440">
        <f t="shared" si="82"/>
        <v>0</v>
      </c>
      <c r="N87" s="1440">
        <f t="shared" si="82"/>
        <v>0</v>
      </c>
      <c r="O87" s="1440">
        <f t="shared" si="82"/>
        <v>0</v>
      </c>
      <c r="P87" s="1440">
        <f t="shared" si="82"/>
        <v>0</v>
      </c>
      <c r="Q87" s="1440">
        <f t="shared" si="82"/>
        <v>0</v>
      </c>
      <c r="R87" s="1440">
        <f t="shared" si="82"/>
        <v>0</v>
      </c>
      <c r="S87" s="1440">
        <f t="shared" si="82"/>
        <v>0</v>
      </c>
      <c r="T87" s="1440">
        <f t="shared" si="82"/>
        <v>0</v>
      </c>
      <c r="U87" s="1440">
        <f t="shared" si="82"/>
        <v>0</v>
      </c>
      <c r="V87" s="1440">
        <f t="shared" ref="V87:W87" si="83">V78</f>
        <v>0</v>
      </c>
      <c r="W87" s="1440">
        <f t="shared" si="83"/>
        <v>0</v>
      </c>
    </row>
    <row r="88" spans="1:23">
      <c r="B88" s="1431" t="s">
        <v>822</v>
      </c>
      <c r="C88" s="1440">
        <f t="shared" si="68"/>
        <v>26747.566499999997</v>
      </c>
      <c r="D88" s="1440">
        <f t="shared" ref="D88:M88" si="84">D85-D86-D87</f>
        <v>0</v>
      </c>
      <c r="E88" s="1440">
        <f t="shared" si="84"/>
        <v>0</v>
      </c>
      <c r="F88" s="1440">
        <f t="shared" si="84"/>
        <v>0</v>
      </c>
      <c r="G88" s="1440">
        <f t="shared" si="84"/>
        <v>0</v>
      </c>
      <c r="H88" s="1440">
        <f t="shared" si="84"/>
        <v>0</v>
      </c>
      <c r="I88" s="1440">
        <f t="shared" si="84"/>
        <v>0</v>
      </c>
      <c r="J88" s="1440">
        <f t="shared" si="84"/>
        <v>0</v>
      </c>
      <c r="K88" s="1440">
        <f t="shared" si="84"/>
        <v>0</v>
      </c>
      <c r="L88" s="1440">
        <f t="shared" si="84"/>
        <v>0</v>
      </c>
      <c r="M88" s="1440">
        <f t="shared" si="84"/>
        <v>0</v>
      </c>
      <c r="N88" s="1440">
        <f t="shared" ref="N88:U88" si="85">N85-N86-N87</f>
        <v>0</v>
      </c>
      <c r="O88" s="1440">
        <f t="shared" si="85"/>
        <v>0</v>
      </c>
      <c r="P88" s="1440">
        <f t="shared" si="85"/>
        <v>0</v>
      </c>
      <c r="Q88" s="1440">
        <f t="shared" si="85"/>
        <v>0</v>
      </c>
      <c r="R88" s="1440">
        <f t="shared" si="85"/>
        <v>0</v>
      </c>
      <c r="S88" s="1440">
        <f t="shared" si="85"/>
        <v>0</v>
      </c>
      <c r="T88" s="1440">
        <f t="shared" si="85"/>
        <v>0</v>
      </c>
      <c r="U88" s="1440">
        <f t="shared" si="85"/>
        <v>5349.5133000000005</v>
      </c>
      <c r="V88" s="1440">
        <f t="shared" ref="V88:W88" si="86">V85-V86-V87</f>
        <v>13373.783249999997</v>
      </c>
      <c r="W88" s="1440">
        <f t="shared" si="86"/>
        <v>8024.2699499999981</v>
      </c>
    </row>
    <row r="89" spans="1:23">
      <c r="B89" s="1431" t="s">
        <v>290</v>
      </c>
      <c r="C89" s="1440">
        <f t="shared" si="68"/>
        <v>5349.5132999999987</v>
      </c>
      <c r="D89" s="1410">
        <f t="shared" ref="D89:M89" si="87">D88*D22</f>
        <v>0</v>
      </c>
      <c r="E89" s="1410">
        <f t="shared" si="87"/>
        <v>0</v>
      </c>
      <c r="F89" s="1410">
        <f t="shared" si="87"/>
        <v>0</v>
      </c>
      <c r="G89" s="1410">
        <f t="shared" si="87"/>
        <v>0</v>
      </c>
      <c r="H89" s="1410">
        <f t="shared" si="87"/>
        <v>0</v>
      </c>
      <c r="I89" s="1410">
        <f t="shared" si="87"/>
        <v>0</v>
      </c>
      <c r="J89" s="1410">
        <f t="shared" si="87"/>
        <v>0</v>
      </c>
      <c r="K89" s="1410">
        <f t="shared" si="87"/>
        <v>0</v>
      </c>
      <c r="L89" s="1410">
        <f t="shared" si="87"/>
        <v>0</v>
      </c>
      <c r="M89" s="1410">
        <f t="shared" si="87"/>
        <v>0</v>
      </c>
      <c r="N89" s="1410">
        <f t="shared" ref="N89:U89" si="88">N88*N22</f>
        <v>0</v>
      </c>
      <c r="O89" s="1410">
        <f t="shared" si="88"/>
        <v>0</v>
      </c>
      <c r="P89" s="1410">
        <f t="shared" si="88"/>
        <v>0</v>
      </c>
      <c r="Q89" s="1410">
        <f t="shared" si="88"/>
        <v>0</v>
      </c>
      <c r="R89" s="1410">
        <f t="shared" si="88"/>
        <v>0</v>
      </c>
      <c r="S89" s="1410">
        <f t="shared" si="88"/>
        <v>0</v>
      </c>
      <c r="T89" s="1410">
        <f t="shared" si="88"/>
        <v>0</v>
      </c>
      <c r="U89" s="1410">
        <f t="shared" si="88"/>
        <v>1069.9026600000002</v>
      </c>
      <c r="V89" s="1410">
        <f t="shared" ref="V89:W89" si="89">V88*V22</f>
        <v>2674.7566499999994</v>
      </c>
      <c r="W89" s="1410">
        <f t="shared" si="89"/>
        <v>1604.8539899999996</v>
      </c>
    </row>
    <row r="90" spans="1:23">
      <c r="B90" s="1431" t="s">
        <v>661</v>
      </c>
      <c r="C90" s="1440">
        <f t="shared" si="68"/>
        <v>21398.053199999995</v>
      </c>
      <c r="D90" s="1440">
        <f>D88-D89</f>
        <v>0</v>
      </c>
      <c r="E90" s="1440">
        <f t="shared" ref="E90:J90" si="90">E88-E89</f>
        <v>0</v>
      </c>
      <c r="F90" s="1440">
        <f t="shared" si="90"/>
        <v>0</v>
      </c>
      <c r="G90" s="1440">
        <f t="shared" si="90"/>
        <v>0</v>
      </c>
      <c r="H90" s="1440">
        <f t="shared" si="90"/>
        <v>0</v>
      </c>
      <c r="I90" s="1440">
        <f t="shared" si="90"/>
        <v>0</v>
      </c>
      <c r="J90" s="1440">
        <f t="shared" si="90"/>
        <v>0</v>
      </c>
      <c r="K90" s="1440">
        <f t="shared" ref="K90:U90" si="91">K88-K89</f>
        <v>0</v>
      </c>
      <c r="L90" s="1440">
        <f t="shared" si="91"/>
        <v>0</v>
      </c>
      <c r="M90" s="1440">
        <f t="shared" si="91"/>
        <v>0</v>
      </c>
      <c r="N90" s="1440">
        <f t="shared" si="91"/>
        <v>0</v>
      </c>
      <c r="O90" s="1440">
        <f t="shared" si="91"/>
        <v>0</v>
      </c>
      <c r="P90" s="1440">
        <f t="shared" si="91"/>
        <v>0</v>
      </c>
      <c r="Q90" s="1440">
        <f t="shared" si="91"/>
        <v>0</v>
      </c>
      <c r="R90" s="1440">
        <f t="shared" si="91"/>
        <v>0</v>
      </c>
      <c r="S90" s="1440">
        <f t="shared" si="91"/>
        <v>0</v>
      </c>
      <c r="T90" s="1440">
        <f t="shared" si="91"/>
        <v>0</v>
      </c>
      <c r="U90" s="1440">
        <f t="shared" si="91"/>
        <v>4279.6106400000008</v>
      </c>
      <c r="V90" s="1440">
        <f t="shared" ref="V90:W90" si="92">V88-V89</f>
        <v>10699.026599999997</v>
      </c>
      <c r="W90" s="1440">
        <f t="shared" si="92"/>
        <v>6419.4159599999984</v>
      </c>
    </row>
    <row r="91" spans="1:23">
      <c r="B91" s="1428" t="s">
        <v>197</v>
      </c>
      <c r="C91" s="1429">
        <f>IF(C83&lt;&gt;0,1-C84/C83,"")</f>
        <v>0.59463671952922392</v>
      </c>
      <c r="D91" s="1429" t="str">
        <f t="shared" ref="D91:J91" si="93">IF(D83&lt;&gt;0,1-D84/D83,"")</f>
        <v/>
      </c>
      <c r="E91" s="1429" t="str">
        <f t="shared" si="93"/>
        <v/>
      </c>
      <c r="F91" s="1429" t="str">
        <f t="shared" si="93"/>
        <v/>
      </c>
      <c r="G91" s="1429" t="str">
        <f t="shared" si="93"/>
        <v/>
      </c>
      <c r="H91" s="1429" t="str">
        <f t="shared" si="93"/>
        <v/>
      </c>
      <c r="I91" s="1429" t="str">
        <f t="shared" si="93"/>
        <v/>
      </c>
      <c r="J91" s="1429" t="str">
        <f t="shared" si="93"/>
        <v/>
      </c>
      <c r="K91" s="1429" t="str">
        <f t="shared" ref="K91:U91" si="94">IF(K83&lt;&gt;0,1-K84/K83,"")</f>
        <v/>
      </c>
      <c r="L91" s="1429" t="str">
        <f t="shared" si="94"/>
        <v/>
      </c>
      <c r="M91" s="1429" t="str">
        <f t="shared" si="94"/>
        <v/>
      </c>
      <c r="N91" s="1429" t="str">
        <f t="shared" si="94"/>
        <v/>
      </c>
      <c r="O91" s="1429" t="str">
        <f t="shared" si="94"/>
        <v/>
      </c>
      <c r="P91" s="1429" t="str">
        <f t="shared" si="94"/>
        <v/>
      </c>
      <c r="Q91" s="1429" t="str">
        <f t="shared" si="94"/>
        <v/>
      </c>
      <c r="R91" s="1429" t="str">
        <f t="shared" si="94"/>
        <v/>
      </c>
      <c r="S91" s="1429" t="str">
        <f t="shared" si="94"/>
        <v/>
      </c>
      <c r="T91" s="1429" t="str">
        <f t="shared" si="94"/>
        <v/>
      </c>
      <c r="U91" s="1429">
        <f t="shared" si="94"/>
        <v>0.59463671952922403</v>
      </c>
      <c r="V91" s="1429">
        <f t="shared" ref="V91:W91" si="95">IF(V83&lt;&gt;0,1-V84/V83,"")</f>
        <v>0.59463671952922392</v>
      </c>
      <c r="W91" s="1429">
        <f t="shared" si="95"/>
        <v>0.59463671952922403</v>
      </c>
    </row>
    <row r="92" spans="1:23">
      <c r="B92" s="1428" t="s">
        <v>1779</v>
      </c>
      <c r="C92" s="1429">
        <f>IF(C83&lt;&gt;0,C90/C83,"")</f>
        <v>0.35570937562337912</v>
      </c>
      <c r="D92" s="1429" t="str">
        <f t="shared" ref="D92:M92" si="96">IF(D83&lt;&gt;0,D90/D83,"")</f>
        <v/>
      </c>
      <c r="E92" s="1429" t="str">
        <f t="shared" si="96"/>
        <v/>
      </c>
      <c r="F92" s="1429" t="str">
        <f t="shared" si="96"/>
        <v/>
      </c>
      <c r="G92" s="1429" t="str">
        <f t="shared" si="96"/>
        <v/>
      </c>
      <c r="H92" s="1429" t="str">
        <f t="shared" si="96"/>
        <v/>
      </c>
      <c r="I92" s="1429" t="str">
        <f t="shared" si="96"/>
        <v/>
      </c>
      <c r="J92" s="1429" t="str">
        <f t="shared" si="96"/>
        <v/>
      </c>
      <c r="K92" s="1429" t="str">
        <f t="shared" si="96"/>
        <v/>
      </c>
      <c r="L92" s="1429" t="str">
        <f t="shared" si="96"/>
        <v/>
      </c>
      <c r="M92" s="1429" t="str">
        <f t="shared" si="96"/>
        <v/>
      </c>
      <c r="N92" s="1429" t="str">
        <f t="shared" ref="N92:U92" si="97">IF(N83&lt;&gt;0,N90/N83,"")</f>
        <v/>
      </c>
      <c r="O92" s="1429" t="str">
        <f t="shared" si="97"/>
        <v/>
      </c>
      <c r="P92" s="1429" t="str">
        <f t="shared" si="97"/>
        <v/>
      </c>
      <c r="Q92" s="1429" t="str">
        <f t="shared" si="97"/>
        <v/>
      </c>
      <c r="R92" s="1429" t="str">
        <f t="shared" si="97"/>
        <v/>
      </c>
      <c r="S92" s="1429" t="str">
        <f t="shared" si="97"/>
        <v/>
      </c>
      <c r="T92" s="1429" t="str">
        <f t="shared" si="97"/>
        <v/>
      </c>
      <c r="U92" s="1429">
        <f t="shared" si="97"/>
        <v>0.35570937562337923</v>
      </c>
      <c r="V92" s="1429">
        <f t="shared" ref="V92:W92" si="98">IF(V83&lt;&gt;0,V90/V83,"")</f>
        <v>0.35570937562337912</v>
      </c>
      <c r="W92" s="1429">
        <f t="shared" si="98"/>
        <v>0.35570937562337912</v>
      </c>
    </row>
    <row r="93" spans="1:23">
      <c r="B93" s="1428"/>
      <c r="C93" s="1429"/>
      <c r="D93" s="1429"/>
      <c r="E93" s="1429"/>
      <c r="F93" s="1429"/>
      <c r="G93" s="1429"/>
      <c r="H93" s="1429"/>
    </row>
    <row r="94" spans="1:23">
      <c r="D94" s="1440"/>
      <c r="E94" s="1440"/>
      <c r="F94" s="1440"/>
      <c r="G94" s="1440"/>
    </row>
    <row r="95" spans="1:23" s="1407" customFormat="1">
      <c r="A95" s="1406">
        <v>7</v>
      </c>
      <c r="B95" s="1407" t="s">
        <v>1589</v>
      </c>
      <c r="C95" s="1440" t="s">
        <v>642</v>
      </c>
      <c r="D95" s="1431">
        <f t="shared" ref="D95:J95" si="99">D82</f>
        <v>2013</v>
      </c>
      <c r="E95" s="1431">
        <f t="shared" si="99"/>
        <v>2014</v>
      </c>
      <c r="F95" s="1431">
        <f t="shared" si="99"/>
        <v>2015</v>
      </c>
      <c r="G95" s="1431">
        <f t="shared" si="99"/>
        <v>2016</v>
      </c>
      <c r="H95" s="1431">
        <f t="shared" si="99"/>
        <v>2017</v>
      </c>
      <c r="I95" s="1431">
        <f t="shared" si="99"/>
        <v>2018</v>
      </c>
      <c r="J95" s="1431">
        <f t="shared" si="99"/>
        <v>2019</v>
      </c>
      <c r="K95" s="1431">
        <f t="shared" ref="K95:U95" si="100">K82</f>
        <v>2020</v>
      </c>
      <c r="L95" s="1431">
        <f t="shared" si="100"/>
        <v>2021</v>
      </c>
      <c r="M95" s="1431">
        <f t="shared" si="100"/>
        <v>2022</v>
      </c>
      <c r="N95" s="1431">
        <f t="shared" si="100"/>
        <v>2023</v>
      </c>
      <c r="O95" s="1431">
        <f t="shared" si="100"/>
        <v>2024</v>
      </c>
      <c r="P95" s="1431">
        <f t="shared" si="100"/>
        <v>2025</v>
      </c>
      <c r="Q95" s="1431">
        <f t="shared" si="100"/>
        <v>2026</v>
      </c>
      <c r="R95" s="1431">
        <f t="shared" si="100"/>
        <v>2027</v>
      </c>
      <c r="S95" s="1431">
        <f t="shared" si="100"/>
        <v>2028</v>
      </c>
      <c r="T95" s="1431">
        <f t="shared" si="100"/>
        <v>2029</v>
      </c>
      <c r="U95" s="1431">
        <f t="shared" si="100"/>
        <v>2030</v>
      </c>
      <c r="V95" s="1431">
        <f t="shared" ref="V95:W95" si="101">V82</f>
        <v>2031</v>
      </c>
      <c r="W95" s="1431">
        <f t="shared" si="101"/>
        <v>2032</v>
      </c>
    </row>
    <row r="96" spans="1:23">
      <c r="B96" s="1419" t="s">
        <v>850</v>
      </c>
      <c r="C96" s="1441">
        <f>C63</f>
        <v>38296.800000000003</v>
      </c>
      <c r="D96" s="1441">
        <f t="shared" ref="D96:J96" si="102">D63</f>
        <v>0</v>
      </c>
      <c r="E96" s="1441">
        <f t="shared" si="102"/>
        <v>0</v>
      </c>
      <c r="F96" s="1441">
        <f t="shared" si="102"/>
        <v>0</v>
      </c>
      <c r="G96" s="1441">
        <f t="shared" si="102"/>
        <v>0</v>
      </c>
      <c r="H96" s="1441">
        <f t="shared" si="102"/>
        <v>0</v>
      </c>
      <c r="I96" s="1441">
        <f t="shared" si="102"/>
        <v>0</v>
      </c>
      <c r="J96" s="1441">
        <f t="shared" si="102"/>
        <v>0</v>
      </c>
      <c r="K96" s="1441">
        <f t="shared" ref="K96:U96" si="103">K63</f>
        <v>0</v>
      </c>
      <c r="L96" s="1441">
        <f t="shared" si="103"/>
        <v>0</v>
      </c>
      <c r="M96" s="1441">
        <f t="shared" si="103"/>
        <v>0</v>
      </c>
      <c r="N96" s="1441">
        <f t="shared" si="103"/>
        <v>0</v>
      </c>
      <c r="O96" s="1441">
        <f t="shared" si="103"/>
        <v>0</v>
      </c>
      <c r="P96" s="1441">
        <f t="shared" si="103"/>
        <v>0</v>
      </c>
      <c r="Q96" s="1441">
        <f t="shared" si="103"/>
        <v>0</v>
      </c>
      <c r="R96" s="1441">
        <f t="shared" si="103"/>
        <v>0</v>
      </c>
      <c r="S96" s="1441">
        <f t="shared" si="103"/>
        <v>4860</v>
      </c>
      <c r="T96" s="1441">
        <f t="shared" si="103"/>
        <v>13446</v>
      </c>
      <c r="U96" s="1441">
        <f t="shared" si="103"/>
        <v>19990.800000000003</v>
      </c>
      <c r="V96" s="1441">
        <f t="shared" ref="V96:W96" si="104">V63</f>
        <v>16632</v>
      </c>
      <c r="W96" s="1441">
        <f t="shared" si="104"/>
        <v>5227.2</v>
      </c>
    </row>
    <row r="97" spans="1:23">
      <c r="B97" s="1407"/>
      <c r="C97" s="1440"/>
      <c r="D97" s="1440"/>
      <c r="E97" s="1440"/>
      <c r="F97" s="1440"/>
      <c r="G97" s="1440"/>
      <c r="H97" s="1440"/>
      <c r="I97" s="1440"/>
      <c r="J97" s="1440"/>
      <c r="K97" s="1440"/>
      <c r="L97" s="1440"/>
      <c r="M97" s="1440"/>
      <c r="N97" s="1440"/>
      <c r="O97" s="1440"/>
      <c r="P97" s="1440"/>
      <c r="Q97" s="1440"/>
      <c r="R97" s="1440"/>
      <c r="S97" s="1440"/>
      <c r="T97" s="1440"/>
      <c r="U97" s="1440"/>
      <c r="V97" s="1440"/>
      <c r="W97" s="1440"/>
    </row>
    <row r="98" spans="1:23">
      <c r="B98" s="1407" t="s">
        <v>851</v>
      </c>
      <c r="C98" s="1440">
        <f t="shared" ref="C98:J98" si="105">SUM(C99:C102)</f>
        <v>32022.9133</v>
      </c>
      <c r="D98" s="1440">
        <f t="shared" si="105"/>
        <v>0</v>
      </c>
      <c r="E98" s="1440">
        <f t="shared" si="105"/>
        <v>0</v>
      </c>
      <c r="F98" s="1440">
        <f t="shared" si="105"/>
        <v>0</v>
      </c>
      <c r="G98" s="1440">
        <f t="shared" si="105"/>
        <v>0</v>
      </c>
      <c r="H98" s="1440">
        <f t="shared" si="105"/>
        <v>0</v>
      </c>
      <c r="I98" s="1440">
        <f t="shared" si="105"/>
        <v>420</v>
      </c>
      <c r="J98" s="1440">
        <f t="shared" si="105"/>
        <v>420</v>
      </c>
      <c r="K98" s="1440">
        <f t="shared" ref="K98:U98" si="106">SUM(K99:K102)</f>
        <v>0</v>
      </c>
      <c r="L98" s="1440">
        <f t="shared" si="106"/>
        <v>0</v>
      </c>
      <c r="M98" s="1440">
        <f t="shared" si="106"/>
        <v>0</v>
      </c>
      <c r="N98" s="1440">
        <f t="shared" si="106"/>
        <v>0</v>
      </c>
      <c r="O98" s="1440">
        <f t="shared" si="106"/>
        <v>0</v>
      </c>
      <c r="P98" s="1440">
        <f t="shared" si="106"/>
        <v>0</v>
      </c>
      <c r="Q98" s="1440">
        <f t="shared" si="106"/>
        <v>0</v>
      </c>
      <c r="R98" s="1440">
        <f t="shared" si="106"/>
        <v>3360</v>
      </c>
      <c r="S98" s="1440">
        <f t="shared" si="106"/>
        <v>4200</v>
      </c>
      <c r="T98" s="1440">
        <f t="shared" si="106"/>
        <v>3237.5</v>
      </c>
      <c r="U98" s="1440">
        <f t="shared" si="106"/>
        <v>6574.58266</v>
      </c>
      <c r="V98" s="1440">
        <f t="shared" ref="V98:W98" si="107">SUM(V99:V102)</f>
        <v>9498.9566500000001</v>
      </c>
      <c r="W98" s="1440">
        <f t="shared" si="107"/>
        <v>4311.87399</v>
      </c>
    </row>
    <row r="99" spans="1:23">
      <c r="B99" s="1431" t="s">
        <v>852</v>
      </c>
      <c r="C99" s="1440">
        <f t="shared" ref="C99:J99" si="108">C35</f>
        <v>8400</v>
      </c>
      <c r="D99" s="1440">
        <f t="shared" si="108"/>
        <v>0</v>
      </c>
      <c r="E99" s="1440">
        <f t="shared" si="108"/>
        <v>0</v>
      </c>
      <c r="F99" s="1440">
        <f t="shared" si="108"/>
        <v>0</v>
      </c>
      <c r="G99" s="1440">
        <f t="shared" si="108"/>
        <v>0</v>
      </c>
      <c r="H99" s="1440">
        <f t="shared" si="108"/>
        <v>0</v>
      </c>
      <c r="I99" s="1440">
        <f t="shared" si="108"/>
        <v>420</v>
      </c>
      <c r="J99" s="1440">
        <f t="shared" si="108"/>
        <v>420</v>
      </c>
      <c r="K99" s="1440">
        <f t="shared" ref="K99:U99" si="109">K35</f>
        <v>0</v>
      </c>
      <c r="L99" s="1440">
        <f t="shared" si="109"/>
        <v>0</v>
      </c>
      <c r="M99" s="1440">
        <f t="shared" si="109"/>
        <v>0</v>
      </c>
      <c r="N99" s="1440">
        <f t="shared" si="109"/>
        <v>0</v>
      </c>
      <c r="O99" s="1440">
        <f t="shared" si="109"/>
        <v>0</v>
      </c>
      <c r="P99" s="1440">
        <f t="shared" si="109"/>
        <v>0</v>
      </c>
      <c r="Q99" s="1440">
        <f t="shared" si="109"/>
        <v>0</v>
      </c>
      <c r="R99" s="1440">
        <f t="shared" si="109"/>
        <v>3360</v>
      </c>
      <c r="S99" s="1440">
        <f t="shared" si="109"/>
        <v>4200</v>
      </c>
      <c r="T99" s="1440">
        <f t="shared" si="109"/>
        <v>0</v>
      </c>
      <c r="U99" s="1440">
        <f t="shared" si="109"/>
        <v>0</v>
      </c>
      <c r="V99" s="1440">
        <f t="shared" ref="V99:W99" si="110">V35</f>
        <v>0</v>
      </c>
      <c r="W99" s="1440">
        <f t="shared" si="110"/>
        <v>0</v>
      </c>
    </row>
    <row r="100" spans="1:23">
      <c r="B100" s="1431" t="s">
        <v>788</v>
      </c>
      <c r="C100" s="1440">
        <f t="shared" ref="C100:J100" si="111">C70</f>
        <v>9250</v>
      </c>
      <c r="D100" s="1440">
        <f t="shared" si="111"/>
        <v>0</v>
      </c>
      <c r="E100" s="1440">
        <f t="shared" si="111"/>
        <v>0</v>
      </c>
      <c r="F100" s="1440">
        <f t="shared" si="111"/>
        <v>0</v>
      </c>
      <c r="G100" s="1440">
        <f t="shared" si="111"/>
        <v>0</v>
      </c>
      <c r="H100" s="1440">
        <f t="shared" si="111"/>
        <v>0</v>
      </c>
      <c r="I100" s="1440">
        <f t="shared" si="111"/>
        <v>0</v>
      </c>
      <c r="J100" s="1440">
        <f t="shared" si="111"/>
        <v>0</v>
      </c>
      <c r="K100" s="1440">
        <f t="shared" ref="K100:U100" si="112">K70</f>
        <v>0</v>
      </c>
      <c r="L100" s="1440">
        <f t="shared" si="112"/>
        <v>0</v>
      </c>
      <c r="M100" s="1440">
        <f t="shared" si="112"/>
        <v>0</v>
      </c>
      <c r="N100" s="1440">
        <f t="shared" si="112"/>
        <v>0</v>
      </c>
      <c r="O100" s="1440">
        <f t="shared" si="112"/>
        <v>0</v>
      </c>
      <c r="P100" s="1440">
        <f t="shared" si="112"/>
        <v>0</v>
      </c>
      <c r="Q100" s="1440">
        <f t="shared" si="112"/>
        <v>0</v>
      </c>
      <c r="R100" s="1440">
        <f t="shared" si="112"/>
        <v>0</v>
      </c>
      <c r="S100" s="1440">
        <f t="shared" si="112"/>
        <v>0</v>
      </c>
      <c r="T100" s="1440">
        <f t="shared" si="112"/>
        <v>3237.5</v>
      </c>
      <c r="U100" s="1440">
        <f t="shared" si="112"/>
        <v>3700</v>
      </c>
      <c r="V100" s="1440">
        <f t="shared" ref="V100:W100" si="113">V70</f>
        <v>2312.5</v>
      </c>
      <c r="W100" s="1440">
        <f t="shared" si="113"/>
        <v>0</v>
      </c>
    </row>
    <row r="101" spans="1:23">
      <c r="B101" s="1431" t="s">
        <v>656</v>
      </c>
      <c r="C101" s="1440">
        <f t="shared" ref="C101:J101" si="114">C79</f>
        <v>9023.4</v>
      </c>
      <c r="D101" s="1440">
        <f t="shared" si="114"/>
        <v>0</v>
      </c>
      <c r="E101" s="1440">
        <f t="shared" si="114"/>
        <v>0</v>
      </c>
      <c r="F101" s="1440">
        <f t="shared" si="114"/>
        <v>0</v>
      </c>
      <c r="G101" s="1440">
        <f t="shared" si="114"/>
        <v>0</v>
      </c>
      <c r="H101" s="1440">
        <f t="shared" si="114"/>
        <v>0</v>
      </c>
      <c r="I101" s="1440">
        <f t="shared" si="114"/>
        <v>0</v>
      </c>
      <c r="J101" s="1440">
        <f t="shared" si="114"/>
        <v>0</v>
      </c>
      <c r="K101" s="1440">
        <f t="shared" ref="K101:U101" si="115">K79</f>
        <v>0</v>
      </c>
      <c r="L101" s="1440">
        <f t="shared" si="115"/>
        <v>0</v>
      </c>
      <c r="M101" s="1440">
        <f t="shared" si="115"/>
        <v>0</v>
      </c>
      <c r="N101" s="1440">
        <f t="shared" si="115"/>
        <v>0</v>
      </c>
      <c r="O101" s="1440">
        <f t="shared" si="115"/>
        <v>0</v>
      </c>
      <c r="P101" s="1440">
        <f t="shared" si="115"/>
        <v>0</v>
      </c>
      <c r="Q101" s="1440">
        <f t="shared" si="115"/>
        <v>0</v>
      </c>
      <c r="R101" s="1440">
        <f t="shared" si="115"/>
        <v>0</v>
      </c>
      <c r="S101" s="1440">
        <f t="shared" si="115"/>
        <v>0</v>
      </c>
      <c r="T101" s="1440">
        <f t="shared" si="115"/>
        <v>0</v>
      </c>
      <c r="U101" s="1440">
        <f t="shared" si="115"/>
        <v>1804.68</v>
      </c>
      <c r="V101" s="1440">
        <f t="shared" ref="V101:W101" si="116">V79</f>
        <v>4511.7</v>
      </c>
      <c r="W101" s="1440">
        <f t="shared" si="116"/>
        <v>2707.02</v>
      </c>
    </row>
    <row r="102" spans="1:23">
      <c r="B102" s="1431" t="s">
        <v>854</v>
      </c>
      <c r="C102" s="1440">
        <f t="shared" ref="C102:J102" si="117">C89</f>
        <v>5349.5132999999987</v>
      </c>
      <c r="D102" s="1440">
        <f t="shared" si="117"/>
        <v>0</v>
      </c>
      <c r="E102" s="1440">
        <f t="shared" si="117"/>
        <v>0</v>
      </c>
      <c r="F102" s="1440">
        <f t="shared" si="117"/>
        <v>0</v>
      </c>
      <c r="G102" s="1440">
        <f t="shared" si="117"/>
        <v>0</v>
      </c>
      <c r="H102" s="1440">
        <f t="shared" si="117"/>
        <v>0</v>
      </c>
      <c r="I102" s="1440">
        <f t="shared" si="117"/>
        <v>0</v>
      </c>
      <c r="J102" s="1440">
        <f t="shared" si="117"/>
        <v>0</v>
      </c>
      <c r="K102" s="1440">
        <f t="shared" ref="K102:U102" si="118">K89</f>
        <v>0</v>
      </c>
      <c r="L102" s="1440">
        <f t="shared" si="118"/>
        <v>0</v>
      </c>
      <c r="M102" s="1440">
        <f t="shared" si="118"/>
        <v>0</v>
      </c>
      <c r="N102" s="1440">
        <f t="shared" si="118"/>
        <v>0</v>
      </c>
      <c r="O102" s="1440">
        <f t="shared" si="118"/>
        <v>0</v>
      </c>
      <c r="P102" s="1440">
        <f t="shared" si="118"/>
        <v>0</v>
      </c>
      <c r="Q102" s="1440">
        <f t="shared" si="118"/>
        <v>0</v>
      </c>
      <c r="R102" s="1440">
        <f t="shared" si="118"/>
        <v>0</v>
      </c>
      <c r="S102" s="1440">
        <f t="shared" si="118"/>
        <v>0</v>
      </c>
      <c r="T102" s="1440">
        <f t="shared" si="118"/>
        <v>0</v>
      </c>
      <c r="U102" s="1440">
        <f t="shared" si="118"/>
        <v>1069.9026600000002</v>
      </c>
      <c r="V102" s="1440">
        <f t="shared" ref="V102:W102" si="119">V89</f>
        <v>2674.7566499999994</v>
      </c>
      <c r="W102" s="1440">
        <f t="shared" si="119"/>
        <v>1604.8539899999996</v>
      </c>
    </row>
    <row r="103" spans="1:23">
      <c r="A103" s="1444"/>
      <c r="B103" s="1431" t="s">
        <v>855</v>
      </c>
      <c r="C103" s="1440">
        <f t="shared" ref="C103:J103" si="120">C96-C98</f>
        <v>6273.8867000000027</v>
      </c>
      <c r="D103" s="1656">
        <f t="shared" si="120"/>
        <v>0</v>
      </c>
      <c r="E103" s="1440">
        <f t="shared" si="120"/>
        <v>0</v>
      </c>
      <c r="F103" s="1440">
        <f t="shared" si="120"/>
        <v>0</v>
      </c>
      <c r="G103" s="1440">
        <f t="shared" si="120"/>
        <v>0</v>
      </c>
      <c r="H103" s="1440">
        <f t="shared" si="120"/>
        <v>0</v>
      </c>
      <c r="I103" s="1440">
        <f t="shared" si="120"/>
        <v>-420</v>
      </c>
      <c r="J103" s="1440">
        <f t="shared" si="120"/>
        <v>-420</v>
      </c>
      <c r="K103" s="1440">
        <f t="shared" ref="K103:U103" si="121">K96-K98</f>
        <v>0</v>
      </c>
      <c r="L103" s="1440">
        <f t="shared" si="121"/>
        <v>0</v>
      </c>
      <c r="M103" s="1440">
        <f t="shared" si="121"/>
        <v>0</v>
      </c>
      <c r="N103" s="1440">
        <f t="shared" si="121"/>
        <v>0</v>
      </c>
      <c r="O103" s="1440">
        <f t="shared" si="121"/>
        <v>0</v>
      </c>
      <c r="P103" s="1440">
        <f t="shared" si="121"/>
        <v>0</v>
      </c>
      <c r="Q103" s="1440">
        <f t="shared" si="121"/>
        <v>0</v>
      </c>
      <c r="R103" s="1440">
        <f t="shared" si="121"/>
        <v>-3360</v>
      </c>
      <c r="S103" s="1440">
        <f t="shared" si="121"/>
        <v>660</v>
      </c>
      <c r="T103" s="1440">
        <f t="shared" si="121"/>
        <v>10208.5</v>
      </c>
      <c r="U103" s="1440">
        <f t="shared" si="121"/>
        <v>13416.217340000003</v>
      </c>
      <c r="V103" s="1440">
        <f t="shared" ref="V103:W103" si="122">V96-V98</f>
        <v>7133.0433499999999</v>
      </c>
      <c r="W103" s="1440">
        <f t="shared" si="122"/>
        <v>915.32600999999977</v>
      </c>
    </row>
    <row r="104" spans="1:23">
      <c r="B104" s="1431" t="s">
        <v>1570</v>
      </c>
      <c r="D104" s="1452">
        <f t="shared" ref="D104:M104" si="123">IF(D95&gt;$D$12,(1+D23)^(D95-$D$12),0)</f>
        <v>0</v>
      </c>
      <c r="E104" s="1452">
        <f t="shared" si="123"/>
        <v>0</v>
      </c>
      <c r="F104" s="1452">
        <f t="shared" si="123"/>
        <v>0</v>
      </c>
      <c r="G104" s="1452">
        <f t="shared" si="123"/>
        <v>0</v>
      </c>
      <c r="H104" s="1452">
        <f t="shared" si="123"/>
        <v>0</v>
      </c>
      <c r="I104" s="1452">
        <f t="shared" si="123"/>
        <v>0</v>
      </c>
      <c r="J104" s="1452">
        <f t="shared" si="123"/>
        <v>0</v>
      </c>
      <c r="K104" s="1452">
        <f t="shared" si="123"/>
        <v>0</v>
      </c>
      <c r="L104" s="1452">
        <f t="shared" si="123"/>
        <v>0</v>
      </c>
      <c r="M104" s="1452">
        <f t="shared" si="123"/>
        <v>0</v>
      </c>
      <c r="N104" s="1452">
        <f t="shared" ref="N104:U104" si="124">IF(N95&gt;$D$12,(1+N23)^(N95-$D$12),0)</f>
        <v>0</v>
      </c>
      <c r="O104" s="1452">
        <f t="shared" si="124"/>
        <v>0</v>
      </c>
      <c r="P104" s="1452">
        <f t="shared" si="124"/>
        <v>0</v>
      </c>
      <c r="Q104" s="1452">
        <f t="shared" si="124"/>
        <v>1.125</v>
      </c>
      <c r="R104" s="1452">
        <f t="shared" si="124"/>
        <v>1.265625</v>
      </c>
      <c r="S104" s="1452">
        <f t="shared" si="124"/>
        <v>1.3639380290000001</v>
      </c>
      <c r="T104" s="1452">
        <f t="shared" si="124"/>
        <v>1.5126072741609999</v>
      </c>
      <c r="U104" s="1452">
        <f t="shared" si="124"/>
        <v>1.6774814670445488</v>
      </c>
      <c r="V104" s="1452">
        <f t="shared" ref="V104:W104" si="125">IF(V95&gt;$D$12,(1+V23)^(V95-$D$12),0)</f>
        <v>1.8603269469524049</v>
      </c>
      <c r="W104" s="1452">
        <f t="shared" si="125"/>
        <v>2.0631025841702169</v>
      </c>
    </row>
    <row r="105" spans="1:23">
      <c r="B105" s="1431" t="s">
        <v>1452</v>
      </c>
      <c r="C105" s="1440">
        <f>SUMIF(D95:W95,"&gt;"&amp;D12,D105:W105)</f>
        <v>16853.814742579318</v>
      </c>
      <c r="D105" s="1440" t="str">
        <f t="shared" ref="D105:M105" si="126">IF(D104&lt;&gt;0,D103/D104,"")</f>
        <v/>
      </c>
      <c r="E105" s="1440" t="str">
        <f t="shared" si="126"/>
        <v/>
      </c>
      <c r="F105" s="1440" t="str">
        <f t="shared" si="126"/>
        <v/>
      </c>
      <c r="G105" s="1440" t="str">
        <f t="shared" si="126"/>
        <v/>
      </c>
      <c r="H105" s="1440" t="str">
        <f t="shared" si="126"/>
        <v/>
      </c>
      <c r="I105" s="1440" t="str">
        <f t="shared" si="126"/>
        <v/>
      </c>
      <c r="J105" s="1440" t="str">
        <f t="shared" si="126"/>
        <v/>
      </c>
      <c r="K105" s="1440" t="str">
        <f t="shared" si="126"/>
        <v/>
      </c>
      <c r="L105" s="1440" t="str">
        <f t="shared" si="126"/>
        <v/>
      </c>
      <c r="M105" s="1440" t="str">
        <f t="shared" si="126"/>
        <v/>
      </c>
      <c r="N105" s="1440" t="str">
        <f t="shared" ref="N105:U105" si="127">IF(N104&lt;&gt;0,N103/N104,"")</f>
        <v/>
      </c>
      <c r="O105" s="1440" t="str">
        <f t="shared" si="127"/>
        <v/>
      </c>
      <c r="P105" s="1440" t="str">
        <f t="shared" si="127"/>
        <v/>
      </c>
      <c r="Q105" s="1440">
        <f t="shared" si="127"/>
        <v>0</v>
      </c>
      <c r="R105" s="1440">
        <f t="shared" si="127"/>
        <v>-2654.8148148148148</v>
      </c>
      <c r="S105" s="1440">
        <f t="shared" si="127"/>
        <v>483.89295258809739</v>
      </c>
      <c r="T105" s="1440">
        <f t="shared" si="127"/>
        <v>6748.9428183943937</v>
      </c>
      <c r="U105" s="1440">
        <f t="shared" si="127"/>
        <v>7997.8334208587166</v>
      </c>
      <c r="V105" s="1440">
        <f t="shared" ref="V105:W105" si="128">IF(V104&lt;&gt;0,V103/V104,"")</f>
        <v>3834.2955584691072</v>
      </c>
      <c r="W105" s="1440">
        <f t="shared" si="128"/>
        <v>443.66480708381516</v>
      </c>
    </row>
    <row r="106" spans="1:23">
      <c r="B106" s="1407" t="s">
        <v>1590</v>
      </c>
      <c r="C106" s="1427">
        <f>C105*I5</f>
        <v>12640.361056934489</v>
      </c>
    </row>
    <row r="107" spans="1:23">
      <c r="B107" s="1407"/>
      <c r="C107" s="1427"/>
    </row>
    <row r="108" spans="1:23">
      <c r="B108" s="1407" t="s">
        <v>1588</v>
      </c>
      <c r="C108" s="1440"/>
      <c r="D108" s="1431">
        <f t="shared" ref="D108:J108" si="129">D95</f>
        <v>2013</v>
      </c>
      <c r="E108" s="1431">
        <f t="shared" si="129"/>
        <v>2014</v>
      </c>
      <c r="F108" s="1431">
        <f t="shared" si="129"/>
        <v>2015</v>
      </c>
      <c r="G108" s="1431">
        <f t="shared" si="129"/>
        <v>2016</v>
      </c>
      <c r="H108" s="1431">
        <f t="shared" si="129"/>
        <v>2017</v>
      </c>
      <c r="I108" s="1431">
        <f t="shared" si="129"/>
        <v>2018</v>
      </c>
      <c r="J108" s="1431">
        <f t="shared" si="129"/>
        <v>2019</v>
      </c>
      <c r="K108" s="1431">
        <f t="shared" ref="K108:U108" si="130">K95</f>
        <v>2020</v>
      </c>
      <c r="L108" s="1431">
        <f t="shared" si="130"/>
        <v>2021</v>
      </c>
      <c r="M108" s="1431">
        <f t="shared" si="130"/>
        <v>2022</v>
      </c>
      <c r="N108" s="1431">
        <f t="shared" si="130"/>
        <v>2023</v>
      </c>
      <c r="O108" s="1431">
        <f t="shared" si="130"/>
        <v>2024</v>
      </c>
      <c r="P108" s="1431">
        <f t="shared" si="130"/>
        <v>2025</v>
      </c>
      <c r="Q108" s="1431">
        <f t="shared" si="130"/>
        <v>2026</v>
      </c>
      <c r="R108" s="1431">
        <f t="shared" si="130"/>
        <v>2027</v>
      </c>
      <c r="S108" s="1431">
        <f t="shared" si="130"/>
        <v>2028</v>
      </c>
      <c r="T108" s="1431">
        <f t="shared" si="130"/>
        <v>2029</v>
      </c>
      <c r="U108" s="1431">
        <f t="shared" si="130"/>
        <v>2030</v>
      </c>
      <c r="V108" s="1431">
        <f t="shared" ref="V108:W108" si="131">V95</f>
        <v>2031</v>
      </c>
      <c r="W108" s="1431">
        <f t="shared" si="131"/>
        <v>2032</v>
      </c>
    </row>
    <row r="109" spans="1:23" s="1447" customFormat="1">
      <c r="A109" s="1459"/>
      <c r="B109" s="1460">
        <f>IRR(D109:U109)</f>
        <v>0.31815060610573442</v>
      </c>
      <c r="C109" s="1408"/>
      <c r="D109" s="1408">
        <f>D103</f>
        <v>0</v>
      </c>
      <c r="E109" s="1408">
        <f t="shared" ref="E109:J109" si="132">E103</f>
        <v>0</v>
      </c>
      <c r="F109" s="1408">
        <f t="shared" si="132"/>
        <v>0</v>
      </c>
      <c r="G109" s="1408">
        <f t="shared" si="132"/>
        <v>0</v>
      </c>
      <c r="H109" s="1408">
        <f t="shared" si="132"/>
        <v>0</v>
      </c>
      <c r="I109" s="1408">
        <f t="shared" si="132"/>
        <v>-420</v>
      </c>
      <c r="J109" s="1408">
        <f t="shared" si="132"/>
        <v>-420</v>
      </c>
      <c r="K109" s="1408">
        <f t="shared" ref="K109:U109" si="133">K103</f>
        <v>0</v>
      </c>
      <c r="L109" s="1408">
        <f t="shared" si="133"/>
        <v>0</v>
      </c>
      <c r="M109" s="1408">
        <f t="shared" si="133"/>
        <v>0</v>
      </c>
      <c r="N109" s="1408">
        <f t="shared" si="133"/>
        <v>0</v>
      </c>
      <c r="O109" s="1408">
        <f t="shared" si="133"/>
        <v>0</v>
      </c>
      <c r="P109" s="1408">
        <f t="shared" si="133"/>
        <v>0</v>
      </c>
      <c r="Q109" s="1408">
        <f t="shared" si="133"/>
        <v>0</v>
      </c>
      <c r="R109" s="1408">
        <f t="shared" si="133"/>
        <v>-3360</v>
      </c>
      <c r="S109" s="1408">
        <f t="shared" si="133"/>
        <v>660</v>
      </c>
      <c r="T109" s="1408">
        <f t="shared" si="133"/>
        <v>10208.5</v>
      </c>
      <c r="U109" s="1408">
        <f t="shared" si="133"/>
        <v>13416.217340000003</v>
      </c>
      <c r="V109" s="1408">
        <f t="shared" ref="V109:W109" si="134">V103</f>
        <v>7133.0433499999999</v>
      </c>
      <c r="W109" s="1408">
        <f t="shared" si="134"/>
        <v>915.32600999999977</v>
      </c>
    </row>
    <row r="110" spans="1:23">
      <c r="B110" s="1407" t="s">
        <v>1789</v>
      </c>
      <c r="C110" s="1440"/>
      <c r="D110" s="1656">
        <f t="shared" ref="D110:M110" si="135">D103+D116-D118</f>
        <v>0</v>
      </c>
      <c r="E110" s="1656">
        <f t="shared" si="135"/>
        <v>0</v>
      </c>
      <c r="F110" s="1656">
        <f t="shared" si="135"/>
        <v>0</v>
      </c>
      <c r="G110" s="1656">
        <f t="shared" si="135"/>
        <v>0</v>
      </c>
      <c r="H110" s="1656">
        <f t="shared" si="135"/>
        <v>0</v>
      </c>
      <c r="I110" s="1656">
        <f t="shared" si="135"/>
        <v>-420</v>
      </c>
      <c r="J110" s="1656">
        <f t="shared" si="135"/>
        <v>-420</v>
      </c>
      <c r="K110" s="1656">
        <f t="shared" si="135"/>
        <v>0</v>
      </c>
      <c r="L110" s="1656">
        <f t="shared" si="135"/>
        <v>0</v>
      </c>
      <c r="M110" s="1656">
        <f t="shared" si="135"/>
        <v>0</v>
      </c>
      <c r="N110" s="1656">
        <f t="shared" ref="N110:U110" si="136">N103+N116-N118</f>
        <v>0</v>
      </c>
      <c r="O110" s="1656">
        <f t="shared" si="136"/>
        <v>0</v>
      </c>
      <c r="P110" s="1656">
        <f t="shared" si="136"/>
        <v>6668.35</v>
      </c>
      <c r="Q110" s="1656">
        <f t="shared" si="136"/>
        <v>6668.35</v>
      </c>
      <c r="R110" s="1656">
        <f t="shared" si="136"/>
        <v>-3360</v>
      </c>
      <c r="S110" s="1656">
        <f t="shared" si="136"/>
        <v>-3785.5666666666666</v>
      </c>
      <c r="T110" s="1656">
        <f t="shared" si="136"/>
        <v>5762.9333333333334</v>
      </c>
      <c r="U110" s="1656">
        <f t="shared" si="136"/>
        <v>8970.6506733333372</v>
      </c>
      <c r="V110" s="1656">
        <f t="shared" ref="V110:W110" si="137">V103+V116-V118</f>
        <v>2687.4766833333333</v>
      </c>
      <c r="W110" s="1656">
        <f t="shared" si="137"/>
        <v>-3530.2406566666668</v>
      </c>
    </row>
    <row r="111" spans="1:23">
      <c r="B111" s="1407"/>
      <c r="C111" s="1427"/>
      <c r="D111" s="1454"/>
      <c r="E111" s="1454"/>
      <c r="F111" s="1454"/>
      <c r="G111" s="1454"/>
      <c r="H111" s="1454"/>
      <c r="I111" s="1454"/>
      <c r="J111" s="1454"/>
      <c r="K111" s="1454"/>
      <c r="L111" s="1454"/>
      <c r="M111" s="1454"/>
      <c r="N111" s="1454"/>
      <c r="O111" s="1454"/>
      <c r="P111" s="1454"/>
      <c r="Q111" s="1454"/>
      <c r="R111" s="1454"/>
      <c r="S111" s="1454"/>
      <c r="T111" s="1454"/>
      <c r="U111" s="1454"/>
      <c r="V111" s="1454"/>
      <c r="W111" s="1454"/>
    </row>
    <row r="112" spans="1:23">
      <c r="B112" s="1407"/>
      <c r="C112" s="1427"/>
    </row>
    <row r="113" spans="1:23" s="1407" customFormat="1">
      <c r="A113" s="1406">
        <v>8</v>
      </c>
      <c r="B113" s="1407" t="s">
        <v>1592</v>
      </c>
      <c r="C113" s="1440"/>
      <c r="D113" s="1431">
        <f t="shared" ref="D113:I113" si="138">D95</f>
        <v>2013</v>
      </c>
      <c r="E113" s="1431">
        <f t="shared" si="138"/>
        <v>2014</v>
      </c>
      <c r="F113" s="1431">
        <f t="shared" si="138"/>
        <v>2015</v>
      </c>
      <c r="G113" s="1431">
        <f t="shared" si="138"/>
        <v>2016</v>
      </c>
      <c r="H113" s="1431">
        <f t="shared" si="138"/>
        <v>2017</v>
      </c>
      <c r="I113" s="1431">
        <f t="shared" si="138"/>
        <v>2018</v>
      </c>
      <c r="J113" s="1431">
        <f t="shared" ref="J113:U113" si="139">I113+1</f>
        <v>2019</v>
      </c>
      <c r="K113" s="1431">
        <f t="shared" si="139"/>
        <v>2020</v>
      </c>
      <c r="L113" s="1431">
        <f t="shared" si="139"/>
        <v>2021</v>
      </c>
      <c r="M113" s="1431">
        <f t="shared" si="139"/>
        <v>2022</v>
      </c>
      <c r="N113" s="1431">
        <f t="shared" si="139"/>
        <v>2023</v>
      </c>
      <c r="O113" s="1431">
        <f t="shared" si="139"/>
        <v>2024</v>
      </c>
      <c r="P113" s="1431">
        <f t="shared" si="139"/>
        <v>2025</v>
      </c>
      <c r="Q113" s="1431">
        <f t="shared" si="139"/>
        <v>2026</v>
      </c>
      <c r="R113" s="1431">
        <f t="shared" si="139"/>
        <v>2027</v>
      </c>
      <c r="S113" s="1431">
        <f t="shared" si="139"/>
        <v>2028</v>
      </c>
      <c r="T113" s="1431">
        <f t="shared" si="139"/>
        <v>2029</v>
      </c>
      <c r="U113" s="1431">
        <f t="shared" si="139"/>
        <v>2030</v>
      </c>
      <c r="V113" s="1431">
        <f t="shared" ref="V113" si="140">U113+1</f>
        <v>2031</v>
      </c>
      <c r="W113" s="1431">
        <f t="shared" ref="W113" si="141">V113+1</f>
        <v>2032</v>
      </c>
    </row>
    <row r="114" spans="1:23">
      <c r="B114" s="1432" t="s">
        <v>1571</v>
      </c>
      <c r="C114" s="1441">
        <f>D5*I6</f>
        <v>13336.7</v>
      </c>
      <c r="D114" s="1432"/>
      <c r="E114" s="1432"/>
      <c r="F114" s="1432"/>
      <c r="G114" s="1432"/>
      <c r="H114" s="1432"/>
      <c r="I114" s="1432"/>
      <c r="J114" s="1456"/>
      <c r="K114" s="1456"/>
      <c r="L114" s="1456"/>
      <c r="M114" s="1456"/>
      <c r="N114" s="1456"/>
      <c r="O114" s="1456"/>
      <c r="P114" s="1456"/>
      <c r="Q114" s="1456"/>
      <c r="R114" s="1456"/>
      <c r="S114" s="1456"/>
      <c r="T114" s="1456"/>
      <c r="U114" s="1456"/>
      <c r="V114" s="1456"/>
      <c r="W114" s="1456"/>
    </row>
    <row r="115" spans="1:23">
      <c r="B115" s="1431" t="s">
        <v>1572</v>
      </c>
      <c r="C115" s="1436">
        <f>SUM(D115:U115)</f>
        <v>1</v>
      </c>
      <c r="D115" s="1416">
        <v>0</v>
      </c>
      <c r="E115" s="1416">
        <v>0</v>
      </c>
      <c r="F115" s="1416">
        <v>0</v>
      </c>
      <c r="G115" s="1416">
        <v>0</v>
      </c>
      <c r="H115" s="1411">
        <v>0</v>
      </c>
      <c r="I115" s="1411">
        <v>0</v>
      </c>
      <c r="J115" s="1411">
        <v>0</v>
      </c>
      <c r="K115" s="1411">
        <v>0</v>
      </c>
      <c r="L115" s="1411">
        <v>0</v>
      </c>
      <c r="M115" s="1411">
        <v>0</v>
      </c>
      <c r="N115" s="1411">
        <v>0</v>
      </c>
      <c r="O115" s="1411">
        <v>0</v>
      </c>
      <c r="P115" s="1411">
        <v>0.5</v>
      </c>
      <c r="Q115" s="1411">
        <v>0.5</v>
      </c>
      <c r="R115" s="1411">
        <v>0</v>
      </c>
      <c r="S115" s="1411">
        <v>0</v>
      </c>
      <c r="T115" s="1411">
        <v>0</v>
      </c>
      <c r="U115" s="1411">
        <v>0</v>
      </c>
      <c r="V115" s="1411">
        <v>0</v>
      </c>
      <c r="W115" s="1411">
        <v>0</v>
      </c>
    </row>
    <row r="116" spans="1:23">
      <c r="B116" s="1431" t="s">
        <v>1573</v>
      </c>
      <c r="C116" s="1440">
        <f>SUM(D116:M116)</f>
        <v>0</v>
      </c>
      <c r="D116" s="1410">
        <f t="shared" ref="D116:M116" si="142">D115*$C$114</f>
        <v>0</v>
      </c>
      <c r="E116" s="1410">
        <f t="shared" si="142"/>
        <v>0</v>
      </c>
      <c r="F116" s="1410">
        <f t="shared" si="142"/>
        <v>0</v>
      </c>
      <c r="G116" s="1410">
        <f t="shared" si="142"/>
        <v>0</v>
      </c>
      <c r="H116" s="1410">
        <f t="shared" si="142"/>
        <v>0</v>
      </c>
      <c r="I116" s="1410">
        <f t="shared" si="142"/>
        <v>0</v>
      </c>
      <c r="J116" s="1410">
        <f t="shared" si="142"/>
        <v>0</v>
      </c>
      <c r="K116" s="1410">
        <f t="shared" si="142"/>
        <v>0</v>
      </c>
      <c r="L116" s="1410">
        <f t="shared" si="142"/>
        <v>0</v>
      </c>
      <c r="M116" s="1410">
        <f t="shared" si="142"/>
        <v>0</v>
      </c>
      <c r="N116" s="1410">
        <f t="shared" ref="N116:U116" si="143">N115*$C$114</f>
        <v>0</v>
      </c>
      <c r="O116" s="1410">
        <f t="shared" si="143"/>
        <v>0</v>
      </c>
      <c r="P116" s="1410">
        <f t="shared" si="143"/>
        <v>6668.35</v>
      </c>
      <c r="Q116" s="1410">
        <f t="shared" si="143"/>
        <v>6668.35</v>
      </c>
      <c r="R116" s="1410">
        <f t="shared" si="143"/>
        <v>0</v>
      </c>
      <c r="S116" s="1410">
        <f t="shared" si="143"/>
        <v>0</v>
      </c>
      <c r="T116" s="1410">
        <f t="shared" si="143"/>
        <v>0</v>
      </c>
      <c r="U116" s="1410">
        <f t="shared" si="143"/>
        <v>0</v>
      </c>
      <c r="V116" s="1410">
        <f t="shared" ref="V116:W116" si="144">V115*$C$114</f>
        <v>0</v>
      </c>
      <c r="W116" s="1410">
        <f t="shared" si="144"/>
        <v>0</v>
      </c>
    </row>
    <row r="117" spans="1:23">
      <c r="B117" s="1431" t="s">
        <v>868</v>
      </c>
      <c r="C117" s="1440"/>
      <c r="D117" s="1440">
        <f>D116</f>
        <v>0</v>
      </c>
      <c r="E117" s="1440">
        <f>E116</f>
        <v>0</v>
      </c>
      <c r="F117" s="1440">
        <f>F116</f>
        <v>0</v>
      </c>
      <c r="G117" s="1440">
        <f t="shared" ref="G117:U117" si="145">F120+G116</f>
        <v>0</v>
      </c>
      <c r="H117" s="1440">
        <f t="shared" si="145"/>
        <v>0</v>
      </c>
      <c r="I117" s="1440">
        <f t="shared" si="145"/>
        <v>0</v>
      </c>
      <c r="J117" s="1440">
        <f t="shared" si="145"/>
        <v>0</v>
      </c>
      <c r="K117" s="1440">
        <f t="shared" si="145"/>
        <v>0</v>
      </c>
      <c r="L117" s="1440">
        <f t="shared" si="145"/>
        <v>0</v>
      </c>
      <c r="M117" s="1440">
        <f t="shared" si="145"/>
        <v>0</v>
      </c>
      <c r="N117" s="1440">
        <f t="shared" si="145"/>
        <v>0</v>
      </c>
      <c r="O117" s="1440">
        <f t="shared" si="145"/>
        <v>0</v>
      </c>
      <c r="P117" s="1440">
        <f t="shared" si="145"/>
        <v>6668.35</v>
      </c>
      <c r="Q117" s="1440">
        <f t="shared" si="145"/>
        <v>13336.7</v>
      </c>
      <c r="R117" s="1440">
        <f t="shared" si="145"/>
        <v>13336.7</v>
      </c>
      <c r="S117" s="1440">
        <f t="shared" si="145"/>
        <v>13336.7</v>
      </c>
      <c r="T117" s="1440">
        <f t="shared" si="145"/>
        <v>8891.133333333335</v>
      </c>
      <c r="U117" s="1440">
        <f t="shared" si="145"/>
        <v>4445.5666666666684</v>
      </c>
      <c r="V117" s="1440">
        <f t="shared" ref="V117" si="146">U120+V116</f>
        <v>0</v>
      </c>
      <c r="W117" s="1440">
        <f t="shared" ref="W117" si="147">V120+W116</f>
        <v>-4445.5666666666666</v>
      </c>
    </row>
    <row r="118" spans="1:23">
      <c r="B118" s="1431" t="s">
        <v>1574</v>
      </c>
      <c r="C118" s="1440">
        <f>SUM(D118:M118)</f>
        <v>0</v>
      </c>
      <c r="D118" s="1423"/>
      <c r="E118" s="1423"/>
      <c r="F118" s="1423"/>
      <c r="G118" s="1423"/>
      <c r="H118" s="1423"/>
      <c r="I118" s="1410"/>
      <c r="J118" s="1410"/>
      <c r="K118" s="1423"/>
      <c r="L118" s="1423"/>
      <c r="M118" s="1423"/>
      <c r="N118" s="1423"/>
      <c r="O118" s="1423"/>
      <c r="P118" s="1423">
        <v>0</v>
      </c>
      <c r="Q118" s="1423">
        <f>E114</f>
        <v>0</v>
      </c>
      <c r="R118" s="1423">
        <f>F114</f>
        <v>0</v>
      </c>
      <c r="S118" s="1423">
        <f>R117/3</f>
        <v>4445.5666666666666</v>
      </c>
      <c r="T118" s="1423">
        <f>S118</f>
        <v>4445.5666666666666</v>
      </c>
      <c r="U118" s="1423">
        <f>T118</f>
        <v>4445.5666666666666</v>
      </c>
      <c r="V118" s="1423">
        <f t="shared" ref="V118:W118" si="148">U118</f>
        <v>4445.5666666666666</v>
      </c>
      <c r="W118" s="1423">
        <f t="shared" si="148"/>
        <v>4445.5666666666666</v>
      </c>
    </row>
    <row r="119" spans="1:23">
      <c r="B119" s="1431" t="s">
        <v>869</v>
      </c>
      <c r="C119" s="1440">
        <f>SUM(D119:U119)</f>
        <v>6735.0335000000005</v>
      </c>
      <c r="D119" s="1440">
        <f t="shared" ref="D119:M119" si="149">D117*D21</f>
        <v>0</v>
      </c>
      <c r="E119" s="1440">
        <f t="shared" si="149"/>
        <v>0</v>
      </c>
      <c r="F119" s="1440">
        <f t="shared" si="149"/>
        <v>0</v>
      </c>
      <c r="G119" s="1440">
        <f t="shared" si="149"/>
        <v>0</v>
      </c>
      <c r="H119" s="1440">
        <f t="shared" si="149"/>
        <v>0</v>
      </c>
      <c r="I119" s="1440">
        <f t="shared" si="149"/>
        <v>0</v>
      </c>
      <c r="J119" s="1440">
        <f t="shared" si="149"/>
        <v>0</v>
      </c>
      <c r="K119" s="1440">
        <f t="shared" si="149"/>
        <v>0</v>
      </c>
      <c r="L119" s="1440">
        <f t="shared" si="149"/>
        <v>0</v>
      </c>
      <c r="M119" s="1440">
        <f t="shared" si="149"/>
        <v>0</v>
      </c>
      <c r="N119" s="1440">
        <f t="shared" ref="N119:U119" si="150">N117*N21</f>
        <v>0</v>
      </c>
      <c r="O119" s="1440">
        <f t="shared" si="150"/>
        <v>0</v>
      </c>
      <c r="P119" s="1440">
        <f t="shared" si="150"/>
        <v>866.88550000000009</v>
      </c>
      <c r="Q119" s="1440">
        <f t="shared" si="150"/>
        <v>1733.7710000000002</v>
      </c>
      <c r="R119" s="1440">
        <f t="shared" si="150"/>
        <v>1733.7710000000002</v>
      </c>
      <c r="S119" s="1440">
        <f t="shared" si="150"/>
        <v>1200.3030000000001</v>
      </c>
      <c r="T119" s="1440">
        <f t="shared" si="150"/>
        <v>800.20200000000011</v>
      </c>
      <c r="U119" s="1440">
        <f t="shared" si="150"/>
        <v>400.10100000000017</v>
      </c>
      <c r="V119" s="1440">
        <f t="shared" ref="V119:W119" si="151">V117*V21</f>
        <v>0</v>
      </c>
      <c r="W119" s="1440">
        <f t="shared" si="151"/>
        <v>-400.101</v>
      </c>
    </row>
    <row r="120" spans="1:23">
      <c r="B120" s="1431" t="s">
        <v>874</v>
      </c>
      <c r="C120" s="1440"/>
      <c r="D120" s="1440">
        <f t="shared" ref="D120:M120" si="152">D117-D118</f>
        <v>0</v>
      </c>
      <c r="E120" s="1440">
        <f t="shared" si="152"/>
        <v>0</v>
      </c>
      <c r="F120" s="1440">
        <f t="shared" si="152"/>
        <v>0</v>
      </c>
      <c r="G120" s="1440">
        <f t="shared" si="152"/>
        <v>0</v>
      </c>
      <c r="H120" s="1440">
        <f t="shared" si="152"/>
        <v>0</v>
      </c>
      <c r="I120" s="1440">
        <f t="shared" si="152"/>
        <v>0</v>
      </c>
      <c r="J120" s="1440">
        <f t="shared" si="152"/>
        <v>0</v>
      </c>
      <c r="K120" s="1440">
        <f t="shared" si="152"/>
        <v>0</v>
      </c>
      <c r="L120" s="1440">
        <f t="shared" si="152"/>
        <v>0</v>
      </c>
      <c r="M120" s="1440">
        <f t="shared" si="152"/>
        <v>0</v>
      </c>
      <c r="N120" s="1440">
        <f t="shared" ref="N120:U120" si="153">N117-N118</f>
        <v>0</v>
      </c>
      <c r="O120" s="1440">
        <f t="shared" si="153"/>
        <v>0</v>
      </c>
      <c r="P120" s="1440">
        <f t="shared" si="153"/>
        <v>6668.35</v>
      </c>
      <c r="Q120" s="1440">
        <f t="shared" si="153"/>
        <v>13336.7</v>
      </c>
      <c r="R120" s="1440">
        <f t="shared" si="153"/>
        <v>13336.7</v>
      </c>
      <c r="S120" s="1440">
        <f t="shared" si="153"/>
        <v>8891.133333333335</v>
      </c>
      <c r="T120" s="1440">
        <f t="shared" si="153"/>
        <v>4445.5666666666684</v>
      </c>
      <c r="U120" s="1440">
        <f t="shared" si="153"/>
        <v>0</v>
      </c>
      <c r="V120" s="1440">
        <f t="shared" ref="V120:W120" si="154">V117-V118</f>
        <v>-4445.5666666666666</v>
      </c>
      <c r="W120" s="1440">
        <f t="shared" si="154"/>
        <v>-8891.1333333333332</v>
      </c>
    </row>
    <row r="121" spans="1:23">
      <c r="C121" s="1440"/>
      <c r="D121" s="1412"/>
      <c r="E121" s="1440"/>
      <c r="F121" s="1440"/>
      <c r="G121" s="1440"/>
      <c r="H121" s="1440"/>
    </row>
    <row r="122" spans="1:23">
      <c r="C122" s="1440"/>
    </row>
    <row r="123" spans="1:23" s="1407" customFormat="1">
      <c r="A123" s="1406">
        <v>9</v>
      </c>
      <c r="B123" s="1407" t="s">
        <v>350</v>
      </c>
      <c r="C123" s="1440"/>
      <c r="D123" s="1431">
        <f t="shared" ref="D123:J123" si="155">D95</f>
        <v>2013</v>
      </c>
      <c r="E123" s="1431">
        <f t="shared" si="155"/>
        <v>2014</v>
      </c>
      <c r="F123" s="1431">
        <f t="shared" si="155"/>
        <v>2015</v>
      </c>
      <c r="G123" s="1431">
        <f t="shared" si="155"/>
        <v>2016</v>
      </c>
      <c r="H123" s="1431">
        <f t="shared" si="155"/>
        <v>2017</v>
      </c>
      <c r="I123" s="1431">
        <f t="shared" si="155"/>
        <v>2018</v>
      </c>
      <c r="J123" s="1431">
        <f t="shared" si="155"/>
        <v>2019</v>
      </c>
      <c r="K123" s="1431">
        <f t="shared" ref="K123:U123" si="156">K95</f>
        <v>2020</v>
      </c>
      <c r="L123" s="1431">
        <f t="shared" si="156"/>
        <v>2021</v>
      </c>
      <c r="M123" s="1431">
        <f t="shared" si="156"/>
        <v>2022</v>
      </c>
      <c r="N123" s="1431">
        <f t="shared" si="156"/>
        <v>2023</v>
      </c>
      <c r="O123" s="1431">
        <f t="shared" si="156"/>
        <v>2024</v>
      </c>
      <c r="P123" s="1431">
        <f t="shared" si="156"/>
        <v>2025</v>
      </c>
      <c r="Q123" s="1431">
        <f t="shared" si="156"/>
        <v>2026</v>
      </c>
      <c r="R123" s="1431">
        <f t="shared" si="156"/>
        <v>2027</v>
      </c>
      <c r="S123" s="1431">
        <f t="shared" si="156"/>
        <v>2028</v>
      </c>
      <c r="T123" s="1431">
        <f t="shared" si="156"/>
        <v>2029</v>
      </c>
      <c r="U123" s="1431">
        <f t="shared" si="156"/>
        <v>2030</v>
      </c>
      <c r="V123" s="1431">
        <f t="shared" ref="V123:W123" si="157">V95</f>
        <v>2031</v>
      </c>
      <c r="W123" s="1431">
        <f t="shared" si="157"/>
        <v>2032</v>
      </c>
    </row>
    <row r="124" spans="1:23">
      <c r="B124" s="1432" t="s">
        <v>1575</v>
      </c>
      <c r="C124" s="1441"/>
      <c r="D124" s="1441">
        <f>D63</f>
        <v>0</v>
      </c>
      <c r="E124" s="1408">
        <f t="shared" ref="E124:M124" si="158">D124+E63</f>
        <v>0</v>
      </c>
      <c r="F124" s="1408">
        <f t="shared" si="158"/>
        <v>0</v>
      </c>
      <c r="G124" s="1408">
        <f t="shared" si="158"/>
        <v>0</v>
      </c>
      <c r="H124" s="1408">
        <f t="shared" si="158"/>
        <v>0</v>
      </c>
      <c r="I124" s="1408">
        <f t="shared" si="158"/>
        <v>0</v>
      </c>
      <c r="J124" s="1408">
        <f t="shared" si="158"/>
        <v>0</v>
      </c>
      <c r="K124" s="1408">
        <f t="shared" si="158"/>
        <v>0</v>
      </c>
      <c r="L124" s="1408">
        <f t="shared" si="158"/>
        <v>0</v>
      </c>
      <c r="M124" s="1408">
        <f t="shared" si="158"/>
        <v>0</v>
      </c>
      <c r="N124" s="1408">
        <f t="shared" ref="N124:U124" si="159">M124+N63</f>
        <v>0</v>
      </c>
      <c r="O124" s="1408">
        <f t="shared" si="159"/>
        <v>0</v>
      </c>
      <c r="P124" s="1408">
        <f t="shared" si="159"/>
        <v>0</v>
      </c>
      <c r="Q124" s="1408">
        <f t="shared" si="159"/>
        <v>0</v>
      </c>
      <c r="R124" s="1408">
        <f t="shared" si="159"/>
        <v>0</v>
      </c>
      <c r="S124" s="1408">
        <f t="shared" si="159"/>
        <v>4860</v>
      </c>
      <c r="T124" s="1408">
        <f t="shared" si="159"/>
        <v>18306</v>
      </c>
      <c r="U124" s="1408">
        <f t="shared" si="159"/>
        <v>38296.800000000003</v>
      </c>
      <c r="V124" s="1408">
        <f t="shared" ref="V124" si="160">U124+V63</f>
        <v>54928.800000000003</v>
      </c>
      <c r="W124" s="1408">
        <f t="shared" ref="W124" si="161">V124+W63</f>
        <v>60156</v>
      </c>
    </row>
    <row r="125" spans="1:23">
      <c r="B125" s="1431" t="s">
        <v>1576</v>
      </c>
      <c r="C125" s="1440"/>
      <c r="D125" s="1440">
        <f>D57</f>
        <v>0</v>
      </c>
      <c r="E125" s="1440">
        <f t="shared" ref="E125:M125" si="162">D125+E57</f>
        <v>0</v>
      </c>
      <c r="F125" s="1440">
        <f t="shared" si="162"/>
        <v>0</v>
      </c>
      <c r="G125" s="1440">
        <f t="shared" si="162"/>
        <v>0</v>
      </c>
      <c r="H125" s="1440">
        <f t="shared" si="162"/>
        <v>0</v>
      </c>
      <c r="I125" s="1440">
        <f t="shared" si="162"/>
        <v>0</v>
      </c>
      <c r="J125" s="1440">
        <f t="shared" si="162"/>
        <v>0</v>
      </c>
      <c r="K125" s="1440">
        <f t="shared" si="162"/>
        <v>0</v>
      </c>
      <c r="L125" s="1440">
        <f t="shared" si="162"/>
        <v>0</v>
      </c>
      <c r="M125" s="1440">
        <f t="shared" si="162"/>
        <v>0</v>
      </c>
      <c r="N125" s="1440">
        <f t="shared" ref="N125:U125" si="163">M125+N57</f>
        <v>0</v>
      </c>
      <c r="O125" s="1440">
        <f t="shared" si="163"/>
        <v>0</v>
      </c>
      <c r="P125" s="1440">
        <f t="shared" si="163"/>
        <v>0</v>
      </c>
      <c r="Q125" s="1440">
        <f t="shared" si="163"/>
        <v>0</v>
      </c>
      <c r="R125" s="1440">
        <f t="shared" si="163"/>
        <v>0</v>
      </c>
      <c r="S125" s="1440">
        <f t="shared" si="163"/>
        <v>0</v>
      </c>
      <c r="T125" s="1440">
        <f t="shared" si="163"/>
        <v>0</v>
      </c>
      <c r="U125" s="1440">
        <f t="shared" si="163"/>
        <v>12031.2</v>
      </c>
      <c r="V125" s="1440">
        <f t="shared" ref="V125" si="164">U125+V57</f>
        <v>42109.2</v>
      </c>
      <c r="W125" s="1440">
        <f t="shared" ref="W125" si="165">V125+W57</f>
        <v>60156</v>
      </c>
    </row>
    <row r="126" spans="1:23">
      <c r="B126" s="1431" t="s">
        <v>1577</v>
      </c>
      <c r="C126" s="1440"/>
      <c r="D126" s="1440">
        <f>D50</f>
        <v>0</v>
      </c>
      <c r="E126" s="1440">
        <f t="shared" ref="E126:M126" si="166">D126+E50</f>
        <v>0</v>
      </c>
      <c r="F126" s="1440">
        <f t="shared" si="166"/>
        <v>0</v>
      </c>
      <c r="G126" s="1440">
        <f t="shared" si="166"/>
        <v>0</v>
      </c>
      <c r="H126" s="1440">
        <f t="shared" si="166"/>
        <v>0</v>
      </c>
      <c r="I126" s="1440">
        <f t="shared" si="166"/>
        <v>0</v>
      </c>
      <c r="J126" s="1440">
        <f t="shared" si="166"/>
        <v>0</v>
      </c>
      <c r="K126" s="1440">
        <f t="shared" si="166"/>
        <v>0</v>
      </c>
      <c r="L126" s="1440">
        <f t="shared" si="166"/>
        <v>0</v>
      </c>
      <c r="M126" s="1440">
        <f t="shared" si="166"/>
        <v>0</v>
      </c>
      <c r="N126" s="1440">
        <f t="shared" ref="N126:U126" si="167">M126+N50</f>
        <v>0</v>
      </c>
      <c r="O126" s="1440">
        <f t="shared" si="167"/>
        <v>0</v>
      </c>
      <c r="P126" s="1440">
        <f t="shared" si="167"/>
        <v>0</v>
      </c>
      <c r="Q126" s="1440">
        <f t="shared" si="167"/>
        <v>0</v>
      </c>
      <c r="R126" s="1440">
        <f t="shared" si="167"/>
        <v>0</v>
      </c>
      <c r="S126" s="1440">
        <f t="shared" si="167"/>
        <v>16200</v>
      </c>
      <c r="T126" s="1440">
        <f t="shared" si="167"/>
        <v>34020</v>
      </c>
      <c r="U126" s="1440">
        <f t="shared" si="167"/>
        <v>60156</v>
      </c>
      <c r="V126" s="1440">
        <f t="shared" ref="V126" si="168">U126+V50</f>
        <v>60156</v>
      </c>
      <c r="W126" s="1440">
        <f t="shared" ref="W126" si="169">V126+W50</f>
        <v>60156</v>
      </c>
    </row>
    <row r="127" spans="1:23">
      <c r="B127" s="1431" t="s">
        <v>1578</v>
      </c>
      <c r="C127" s="1440"/>
      <c r="D127" s="1436" t="str">
        <f t="shared" ref="D127:J127" si="170">IF(D124&lt;&gt;0,D124/D126,"")</f>
        <v/>
      </c>
      <c r="E127" s="1436" t="str">
        <f t="shared" si="170"/>
        <v/>
      </c>
      <c r="F127" s="1436" t="str">
        <f t="shared" si="170"/>
        <v/>
      </c>
      <c r="G127" s="1436" t="str">
        <f t="shared" si="170"/>
        <v/>
      </c>
      <c r="H127" s="1436" t="str">
        <f t="shared" si="170"/>
        <v/>
      </c>
      <c r="I127" s="1436" t="str">
        <f t="shared" si="170"/>
        <v/>
      </c>
      <c r="J127" s="1436" t="str">
        <f t="shared" si="170"/>
        <v/>
      </c>
      <c r="K127" s="1436" t="str">
        <f t="shared" ref="K127:U127" si="171">IF(K124&lt;&gt;0,K124/K126,"")</f>
        <v/>
      </c>
      <c r="L127" s="1436" t="str">
        <f t="shared" si="171"/>
        <v/>
      </c>
      <c r="M127" s="1436" t="str">
        <f t="shared" si="171"/>
        <v/>
      </c>
      <c r="N127" s="1436" t="str">
        <f t="shared" si="171"/>
        <v/>
      </c>
      <c r="O127" s="1436" t="str">
        <f t="shared" si="171"/>
        <v/>
      </c>
      <c r="P127" s="1436" t="str">
        <f t="shared" si="171"/>
        <v/>
      </c>
      <c r="Q127" s="1436" t="str">
        <f t="shared" si="171"/>
        <v/>
      </c>
      <c r="R127" s="1436" t="str">
        <f t="shared" si="171"/>
        <v/>
      </c>
      <c r="S127" s="1436">
        <f t="shared" si="171"/>
        <v>0.3</v>
      </c>
      <c r="T127" s="1436">
        <f t="shared" si="171"/>
        <v>0.53809523809523807</v>
      </c>
      <c r="U127" s="1436">
        <f t="shared" si="171"/>
        <v>0.63662477558348296</v>
      </c>
      <c r="V127" s="1436">
        <f t="shared" ref="V127:W127" si="172">IF(V124&lt;&gt;0,V124/V126,"")</f>
        <v>0.91310592459605033</v>
      </c>
      <c r="W127" s="1436">
        <f t="shared" si="172"/>
        <v>1</v>
      </c>
    </row>
    <row r="128" spans="1:23">
      <c r="B128" s="1431" t="s">
        <v>1579</v>
      </c>
      <c r="C128" s="1440"/>
      <c r="D128" s="1410">
        <f t="shared" ref="D128:J128" si="173">IF(D124&gt;D125,D124-D125,0)</f>
        <v>0</v>
      </c>
      <c r="E128" s="1410">
        <f t="shared" si="173"/>
        <v>0</v>
      </c>
      <c r="F128" s="1410">
        <f t="shared" si="173"/>
        <v>0</v>
      </c>
      <c r="G128" s="1410">
        <f t="shared" si="173"/>
        <v>0</v>
      </c>
      <c r="H128" s="1410">
        <f t="shared" si="173"/>
        <v>0</v>
      </c>
      <c r="I128" s="1410">
        <f t="shared" si="173"/>
        <v>0</v>
      </c>
      <c r="J128" s="1410">
        <f t="shared" si="173"/>
        <v>0</v>
      </c>
      <c r="K128" s="1410">
        <f t="shared" ref="K128:U128" si="174">IF(K124&gt;K125,K124-K125,0)</f>
        <v>0</v>
      </c>
      <c r="L128" s="1410">
        <f t="shared" si="174"/>
        <v>0</v>
      </c>
      <c r="M128" s="1410">
        <f t="shared" si="174"/>
        <v>0</v>
      </c>
      <c r="N128" s="1410">
        <f t="shared" si="174"/>
        <v>0</v>
      </c>
      <c r="O128" s="1410">
        <f t="shared" si="174"/>
        <v>0</v>
      </c>
      <c r="P128" s="1410">
        <f t="shared" si="174"/>
        <v>0</v>
      </c>
      <c r="Q128" s="1410">
        <f t="shared" si="174"/>
        <v>0</v>
      </c>
      <c r="R128" s="1410">
        <f t="shared" si="174"/>
        <v>0</v>
      </c>
      <c r="S128" s="1410">
        <f t="shared" si="174"/>
        <v>4860</v>
      </c>
      <c r="T128" s="1410">
        <f t="shared" si="174"/>
        <v>18306</v>
      </c>
      <c r="U128" s="1410">
        <f t="shared" si="174"/>
        <v>26265.600000000002</v>
      </c>
      <c r="V128" s="1410">
        <f t="shared" ref="V128:W128" si="175">IF(V124&gt;V125,V124-V125,0)</f>
        <v>12819.600000000006</v>
      </c>
      <c r="W128" s="1410">
        <f t="shared" si="175"/>
        <v>0</v>
      </c>
    </row>
    <row r="129" spans="1:23" s="1407" customFormat="1">
      <c r="A129" s="1406"/>
      <c r="B129" s="1431" t="s">
        <v>1580</v>
      </c>
      <c r="C129" s="1440"/>
      <c r="D129" s="1410">
        <f t="shared" ref="D129:J129" si="176">IF(D125&gt;D124,D125-D124,0)</f>
        <v>0</v>
      </c>
      <c r="E129" s="1410">
        <f t="shared" si="176"/>
        <v>0</v>
      </c>
      <c r="F129" s="1410">
        <f t="shared" si="176"/>
        <v>0</v>
      </c>
      <c r="G129" s="1410">
        <f t="shared" si="176"/>
        <v>0</v>
      </c>
      <c r="H129" s="1410">
        <f t="shared" si="176"/>
        <v>0</v>
      </c>
      <c r="I129" s="1410">
        <f t="shared" si="176"/>
        <v>0</v>
      </c>
      <c r="J129" s="1410">
        <f t="shared" si="176"/>
        <v>0</v>
      </c>
      <c r="K129" s="1410">
        <f t="shared" ref="K129:U129" si="177">IF(K125&gt;K124,K125-K124,0)</f>
        <v>0</v>
      </c>
      <c r="L129" s="1410">
        <f t="shared" si="177"/>
        <v>0</v>
      </c>
      <c r="M129" s="1410">
        <f t="shared" si="177"/>
        <v>0</v>
      </c>
      <c r="N129" s="1410">
        <f t="shared" si="177"/>
        <v>0</v>
      </c>
      <c r="O129" s="1410">
        <f t="shared" si="177"/>
        <v>0</v>
      </c>
      <c r="P129" s="1410">
        <f t="shared" si="177"/>
        <v>0</v>
      </c>
      <c r="Q129" s="1410">
        <f t="shared" si="177"/>
        <v>0</v>
      </c>
      <c r="R129" s="1410">
        <f t="shared" si="177"/>
        <v>0</v>
      </c>
      <c r="S129" s="1410">
        <f t="shared" si="177"/>
        <v>0</v>
      </c>
      <c r="T129" s="1410">
        <f t="shared" si="177"/>
        <v>0</v>
      </c>
      <c r="U129" s="1410">
        <f t="shared" si="177"/>
        <v>0</v>
      </c>
      <c r="V129" s="1410">
        <f t="shared" ref="V129:W129" si="178">IF(V125&gt;V124,V125-V124,0)</f>
        <v>0</v>
      </c>
      <c r="W129" s="1410">
        <f t="shared" si="178"/>
        <v>0</v>
      </c>
    </row>
    <row r="130" spans="1:23">
      <c r="B130" s="1407"/>
      <c r="E130" s="1440"/>
      <c r="F130" s="1440"/>
      <c r="G130" s="1440"/>
      <c r="H130" s="1440"/>
      <c r="I130" s="1440"/>
      <c r="J130" s="1440"/>
      <c r="K130" s="1440"/>
      <c r="L130" s="1440"/>
      <c r="M130" s="1440"/>
      <c r="N130" s="1440"/>
      <c r="O130" s="1440"/>
      <c r="P130" s="1440"/>
      <c r="Q130" s="1440"/>
      <c r="R130" s="1440"/>
      <c r="S130" s="1440"/>
      <c r="T130" s="1440"/>
      <c r="U130" s="1440"/>
      <c r="V130" s="1440"/>
      <c r="W130" s="1440"/>
    </row>
    <row r="131" spans="1:23">
      <c r="B131" s="1407" t="s">
        <v>1492</v>
      </c>
      <c r="E131" s="1440"/>
      <c r="F131" s="1440"/>
      <c r="G131" s="1440"/>
      <c r="H131" s="1440"/>
      <c r="I131" s="1440"/>
      <c r="J131" s="1440"/>
      <c r="K131" s="1440"/>
      <c r="L131" s="1440"/>
      <c r="M131" s="1440"/>
      <c r="N131" s="1440"/>
      <c r="O131" s="1440"/>
      <c r="P131" s="1440"/>
      <c r="Q131" s="1440"/>
      <c r="R131" s="1440"/>
      <c r="S131" s="1440"/>
      <c r="T131" s="1440"/>
      <c r="U131" s="1440"/>
      <c r="V131" s="1440"/>
      <c r="W131" s="1440"/>
    </row>
    <row r="132" spans="1:23">
      <c r="B132" s="1431" t="s">
        <v>1581</v>
      </c>
      <c r="D132" s="1412">
        <v>0</v>
      </c>
      <c r="E132" s="1410">
        <f t="shared" ref="E132:J132" si="179">D136</f>
        <v>0</v>
      </c>
      <c r="F132" s="1440">
        <f t="shared" si="179"/>
        <v>0</v>
      </c>
      <c r="G132" s="1440">
        <f t="shared" si="179"/>
        <v>0</v>
      </c>
      <c r="H132" s="1440">
        <f t="shared" si="179"/>
        <v>0</v>
      </c>
      <c r="I132" s="1440">
        <f t="shared" si="179"/>
        <v>0</v>
      </c>
      <c r="J132" s="1440">
        <f t="shared" si="179"/>
        <v>420</v>
      </c>
      <c r="K132" s="1440">
        <f t="shared" ref="K132:U132" si="180">J136</f>
        <v>840</v>
      </c>
      <c r="L132" s="1440">
        <f t="shared" si="180"/>
        <v>840</v>
      </c>
      <c r="M132" s="1440">
        <f t="shared" si="180"/>
        <v>840</v>
      </c>
      <c r="N132" s="1440">
        <f t="shared" si="180"/>
        <v>840</v>
      </c>
      <c r="O132" s="1440">
        <f t="shared" si="180"/>
        <v>840</v>
      </c>
      <c r="P132" s="1440">
        <f t="shared" si="180"/>
        <v>840</v>
      </c>
      <c r="Q132" s="1440">
        <f t="shared" si="180"/>
        <v>840</v>
      </c>
      <c r="R132" s="1440">
        <f t="shared" si="180"/>
        <v>840</v>
      </c>
      <c r="S132" s="1440">
        <f t="shared" si="180"/>
        <v>4200</v>
      </c>
      <c r="T132" s="1440">
        <f t="shared" si="180"/>
        <v>8400</v>
      </c>
      <c r="U132" s="1440">
        <f t="shared" si="180"/>
        <v>11637.5</v>
      </c>
      <c r="V132" s="1440">
        <f t="shared" ref="V132" si="181">U136</f>
        <v>11807.500000000002</v>
      </c>
      <c r="W132" s="1440">
        <f t="shared" ref="W132" si="182">V136</f>
        <v>5295.0000000000018</v>
      </c>
    </row>
    <row r="133" spans="1:23">
      <c r="B133" s="1431" t="s">
        <v>994</v>
      </c>
      <c r="D133" s="1440">
        <f t="shared" ref="D133:M133" si="183">SUM(D99:D100)</f>
        <v>0</v>
      </c>
      <c r="E133" s="1440">
        <f t="shared" si="183"/>
        <v>0</v>
      </c>
      <c r="F133" s="1440">
        <f t="shared" si="183"/>
        <v>0</v>
      </c>
      <c r="G133" s="1440">
        <f t="shared" si="183"/>
        <v>0</v>
      </c>
      <c r="H133" s="1440">
        <f t="shared" si="183"/>
        <v>0</v>
      </c>
      <c r="I133" s="1440">
        <f t="shared" si="183"/>
        <v>420</v>
      </c>
      <c r="J133" s="1440">
        <f t="shared" si="183"/>
        <v>420</v>
      </c>
      <c r="K133" s="1440">
        <f t="shared" si="183"/>
        <v>0</v>
      </c>
      <c r="L133" s="1440">
        <f t="shared" si="183"/>
        <v>0</v>
      </c>
      <c r="M133" s="1440">
        <f t="shared" si="183"/>
        <v>0</v>
      </c>
      <c r="N133" s="1440">
        <f t="shared" ref="N133:U133" si="184">SUM(N99:N100)</f>
        <v>0</v>
      </c>
      <c r="O133" s="1440">
        <f t="shared" si="184"/>
        <v>0</v>
      </c>
      <c r="P133" s="1440">
        <f t="shared" si="184"/>
        <v>0</v>
      </c>
      <c r="Q133" s="1440">
        <f t="shared" si="184"/>
        <v>0</v>
      </c>
      <c r="R133" s="1440">
        <f t="shared" si="184"/>
        <v>3360</v>
      </c>
      <c r="S133" s="1440">
        <f t="shared" si="184"/>
        <v>4200</v>
      </c>
      <c r="T133" s="1440">
        <f t="shared" si="184"/>
        <v>3237.5</v>
      </c>
      <c r="U133" s="1440">
        <f t="shared" si="184"/>
        <v>3700</v>
      </c>
      <c r="V133" s="1440">
        <f t="shared" ref="V133:W133" si="185">SUM(V99:V100)</f>
        <v>2312.5</v>
      </c>
      <c r="W133" s="1440">
        <f t="shared" si="185"/>
        <v>0</v>
      </c>
    </row>
    <row r="134" spans="1:23">
      <c r="B134" s="1431" t="s">
        <v>1582</v>
      </c>
      <c r="D134" s="1431">
        <f t="shared" ref="D134:J134" si="186">$C$77*D58</f>
        <v>0</v>
      </c>
      <c r="E134" s="1431">
        <f t="shared" si="186"/>
        <v>0</v>
      </c>
      <c r="F134" s="1440">
        <f t="shared" si="186"/>
        <v>0</v>
      </c>
      <c r="G134" s="1440">
        <f t="shared" si="186"/>
        <v>0</v>
      </c>
      <c r="H134" s="1440">
        <f t="shared" si="186"/>
        <v>0</v>
      </c>
      <c r="I134" s="1440">
        <f t="shared" si="186"/>
        <v>0</v>
      </c>
      <c r="J134" s="1440">
        <f t="shared" si="186"/>
        <v>0</v>
      </c>
      <c r="K134" s="1440">
        <f t="shared" ref="K134:U134" si="187">$C$77*K58</f>
        <v>0</v>
      </c>
      <c r="L134" s="1440">
        <f t="shared" si="187"/>
        <v>0</v>
      </c>
      <c r="M134" s="1440">
        <f t="shared" si="187"/>
        <v>0</v>
      </c>
      <c r="N134" s="1440">
        <f t="shared" si="187"/>
        <v>0</v>
      </c>
      <c r="O134" s="1440">
        <f t="shared" si="187"/>
        <v>0</v>
      </c>
      <c r="P134" s="1440">
        <f t="shared" si="187"/>
        <v>0</v>
      </c>
      <c r="Q134" s="1440">
        <f t="shared" si="187"/>
        <v>0</v>
      </c>
      <c r="R134" s="1440">
        <f t="shared" si="187"/>
        <v>0</v>
      </c>
      <c r="S134" s="1440">
        <f t="shared" si="187"/>
        <v>0</v>
      </c>
      <c r="T134" s="1440">
        <f t="shared" si="187"/>
        <v>0</v>
      </c>
      <c r="U134" s="1440">
        <f t="shared" si="187"/>
        <v>1347.0067000000001</v>
      </c>
      <c r="V134" s="1440">
        <f t="shared" ref="V134:W134" si="188">$C$77*V58</f>
        <v>3367.5167500000002</v>
      </c>
      <c r="W134" s="1440">
        <f t="shared" si="188"/>
        <v>2020.5100500000001</v>
      </c>
    </row>
    <row r="135" spans="1:23">
      <c r="B135" s="1431" t="s">
        <v>1583</v>
      </c>
      <c r="D135" s="1440">
        <f t="shared" ref="D135:J135" si="189">SUM(D75:D77)</f>
        <v>0</v>
      </c>
      <c r="E135" s="1440">
        <f t="shared" si="189"/>
        <v>0</v>
      </c>
      <c r="F135" s="1440">
        <f t="shared" si="189"/>
        <v>0</v>
      </c>
      <c r="G135" s="1440">
        <f t="shared" si="189"/>
        <v>0</v>
      </c>
      <c r="H135" s="1440">
        <f t="shared" si="189"/>
        <v>0</v>
      </c>
      <c r="I135" s="1440">
        <f t="shared" si="189"/>
        <v>0</v>
      </c>
      <c r="J135" s="1440">
        <f t="shared" si="189"/>
        <v>0</v>
      </c>
      <c r="K135" s="1440">
        <f t="shared" ref="K135:U135" si="190">SUM(K75:K77)</f>
        <v>0</v>
      </c>
      <c r="L135" s="1440">
        <f t="shared" si="190"/>
        <v>0</v>
      </c>
      <c r="M135" s="1440">
        <f t="shared" si="190"/>
        <v>0</v>
      </c>
      <c r="N135" s="1440">
        <f t="shared" si="190"/>
        <v>0</v>
      </c>
      <c r="O135" s="1440">
        <f t="shared" si="190"/>
        <v>0</v>
      </c>
      <c r="P135" s="1440">
        <f t="shared" si="190"/>
        <v>0</v>
      </c>
      <c r="Q135" s="1440">
        <f t="shared" si="190"/>
        <v>0</v>
      </c>
      <c r="R135" s="1440">
        <f t="shared" si="190"/>
        <v>0</v>
      </c>
      <c r="S135" s="1440">
        <f t="shared" si="190"/>
        <v>0</v>
      </c>
      <c r="T135" s="1440">
        <f t="shared" si="190"/>
        <v>0</v>
      </c>
      <c r="U135" s="1440">
        <f t="shared" si="190"/>
        <v>4877.0066999999999</v>
      </c>
      <c r="V135" s="1440">
        <f t="shared" ref="V135:W135" si="191">SUM(V75:V77)</f>
        <v>12192.516750000001</v>
      </c>
      <c r="W135" s="1440">
        <f t="shared" si="191"/>
        <v>7315.5100499999999</v>
      </c>
    </row>
    <row r="136" spans="1:23">
      <c r="B136" s="1431" t="s">
        <v>874</v>
      </c>
      <c r="D136" s="1440">
        <f t="shared" ref="D136:M136" si="192">SUM(D132:D134)-D135</f>
        <v>0</v>
      </c>
      <c r="E136" s="1440">
        <f t="shared" si="192"/>
        <v>0</v>
      </c>
      <c r="F136" s="1440">
        <f t="shared" si="192"/>
        <v>0</v>
      </c>
      <c r="G136" s="1440">
        <f t="shared" si="192"/>
        <v>0</v>
      </c>
      <c r="H136" s="1440">
        <f t="shared" si="192"/>
        <v>0</v>
      </c>
      <c r="I136" s="1440">
        <f t="shared" si="192"/>
        <v>420</v>
      </c>
      <c r="J136" s="1440">
        <f t="shared" si="192"/>
        <v>840</v>
      </c>
      <c r="K136" s="1440">
        <f t="shared" si="192"/>
        <v>840</v>
      </c>
      <c r="L136" s="1440">
        <f t="shared" si="192"/>
        <v>840</v>
      </c>
      <c r="M136" s="1440">
        <f t="shared" si="192"/>
        <v>840</v>
      </c>
      <c r="N136" s="1440">
        <f t="shared" ref="N136:U136" si="193">SUM(N132:N134)-N135</f>
        <v>840</v>
      </c>
      <c r="O136" s="1440">
        <f t="shared" si="193"/>
        <v>840</v>
      </c>
      <c r="P136" s="1440">
        <f t="shared" si="193"/>
        <v>840</v>
      </c>
      <c r="Q136" s="1440">
        <f t="shared" si="193"/>
        <v>840</v>
      </c>
      <c r="R136" s="1440">
        <f t="shared" si="193"/>
        <v>4200</v>
      </c>
      <c r="S136" s="1440">
        <f t="shared" si="193"/>
        <v>8400</v>
      </c>
      <c r="T136" s="1440">
        <f t="shared" si="193"/>
        <v>11637.5</v>
      </c>
      <c r="U136" s="1440">
        <f t="shared" si="193"/>
        <v>11807.500000000002</v>
      </c>
      <c r="V136" s="1440">
        <f t="shared" ref="V136:W136" si="194">SUM(V132:V134)-V135</f>
        <v>5295.0000000000018</v>
      </c>
      <c r="W136" s="1440">
        <f t="shared" si="194"/>
        <v>0</v>
      </c>
    </row>
    <row r="137" spans="1:23">
      <c r="A137" s="1430" t="s">
        <v>1584</v>
      </c>
      <c r="B137" s="1432"/>
      <c r="C137" s="1432"/>
      <c r="D137" s="1432"/>
      <c r="E137" s="1432"/>
      <c r="F137" s="1432"/>
      <c r="G137" s="1432"/>
      <c r="H137" s="1432"/>
      <c r="I137" s="1432"/>
      <c r="J137" s="1432"/>
      <c r="K137" s="1432"/>
      <c r="L137" s="1432"/>
      <c r="M137" s="1432"/>
      <c r="N137" s="1432"/>
      <c r="O137" s="1432"/>
      <c r="P137" s="1432"/>
      <c r="Q137" s="1432"/>
      <c r="R137" s="1432"/>
      <c r="S137" s="1432"/>
      <c r="T137" s="1432"/>
      <c r="U137" s="1432"/>
    </row>
  </sheetData>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T137"/>
  <sheetViews>
    <sheetView topLeftCell="A29" zoomScaleNormal="100" workbookViewId="0">
      <selection activeCell="K43" sqref="K43"/>
    </sheetView>
  </sheetViews>
  <sheetFormatPr defaultColWidth="9.140625" defaultRowHeight="12"/>
  <cols>
    <col min="1" max="1" width="5.85546875" style="1406" customWidth="1"/>
    <col min="2" max="2" width="27.140625" style="1431" customWidth="1"/>
    <col min="3" max="13" width="9.140625" style="1431" customWidth="1"/>
    <col min="14" max="14" width="9.140625" style="1431" bestFit="1" customWidth="1"/>
    <col min="15" max="16384" width="9.140625" style="1431"/>
  </cols>
  <sheetData>
    <row r="1" spans="1:19" ht="21">
      <c r="A1" s="1404" t="s">
        <v>2433</v>
      </c>
    </row>
    <row r="2" spans="1:19">
      <c r="A2" s="1405" t="s">
        <v>1776</v>
      </c>
    </row>
    <row r="4" spans="1:19">
      <c r="B4" s="1407" t="s">
        <v>1539</v>
      </c>
      <c r="F4" s="1407" t="s">
        <v>1540</v>
      </c>
      <c r="K4" s="1407" t="s">
        <v>1595</v>
      </c>
      <c r="P4" s="1407" t="s">
        <v>1783</v>
      </c>
    </row>
    <row r="5" spans="1:19">
      <c r="B5" s="1432" t="s">
        <v>748</v>
      </c>
      <c r="C5" s="1432"/>
      <c r="D5" s="1408">
        <f>SUM(D6:D8)</f>
        <v>9903.5384999999987</v>
      </c>
      <c r="F5" s="1432" t="s">
        <v>636</v>
      </c>
      <c r="G5" s="1432"/>
      <c r="H5" s="1432"/>
      <c r="I5" s="1409">
        <v>1</v>
      </c>
      <c r="K5" s="1432" t="s">
        <v>26</v>
      </c>
      <c r="L5" s="1432"/>
      <c r="M5" s="1432"/>
      <c r="N5" s="1441">
        <f>C83</f>
        <v>15141.795</v>
      </c>
      <c r="P5" s="1432" t="s">
        <v>1777</v>
      </c>
      <c r="Q5" s="1432"/>
      <c r="R5" s="1432"/>
      <c r="S5" s="1422">
        <v>4000</v>
      </c>
    </row>
    <row r="6" spans="1:19">
      <c r="B6" s="1431" t="s">
        <v>678</v>
      </c>
      <c r="D6" s="1410">
        <f>SUM(E31:E32)</f>
        <v>3036</v>
      </c>
      <c r="F6" s="1431" t="s">
        <v>1542</v>
      </c>
      <c r="I6" s="1411">
        <v>0.5</v>
      </c>
      <c r="K6" s="1431" t="s">
        <v>197</v>
      </c>
      <c r="N6" s="1436">
        <f>C91</f>
        <v>0.4464606579008632</v>
      </c>
      <c r="P6" s="1431" t="s">
        <v>1778</v>
      </c>
      <c r="S6" s="1440">
        <f>D42/S5</f>
        <v>116.25</v>
      </c>
    </row>
    <row r="7" spans="1:19">
      <c r="B7" s="1431" t="s">
        <v>750</v>
      </c>
      <c r="D7" s="1410">
        <f>C70</f>
        <v>2325</v>
      </c>
      <c r="F7" s="1431" t="s">
        <v>759</v>
      </c>
      <c r="I7" s="1440">
        <f>C114</f>
        <v>4951.7692499999994</v>
      </c>
      <c r="K7" s="1431" t="s">
        <v>1779</v>
      </c>
      <c r="N7" s="1436">
        <f>C92</f>
        <v>0.11716852632069057</v>
      </c>
      <c r="P7" s="1431" t="s">
        <v>1792</v>
      </c>
      <c r="S7" s="1412">
        <v>25</v>
      </c>
    </row>
    <row r="8" spans="1:19">
      <c r="B8" s="1431" t="s">
        <v>656</v>
      </c>
      <c r="D8" s="1440">
        <f>C79</f>
        <v>4542.5384999999997</v>
      </c>
      <c r="F8" s="1431" t="s">
        <v>1544</v>
      </c>
      <c r="I8" s="1433">
        <f>G23</f>
        <v>0.1105</v>
      </c>
      <c r="K8" s="1431" t="s">
        <v>1720</v>
      </c>
      <c r="N8" s="1440">
        <f>C105</f>
        <v>3349.1516923283139</v>
      </c>
      <c r="P8" s="1431" t="s">
        <v>1784</v>
      </c>
      <c r="S8" s="1423">
        <v>3.3</v>
      </c>
    </row>
    <row r="9" spans="1:19">
      <c r="B9" s="1431" t="s">
        <v>869</v>
      </c>
      <c r="D9" s="1440">
        <f>C119</f>
        <v>3020.5792424999995</v>
      </c>
      <c r="F9" s="1431" t="s">
        <v>1588</v>
      </c>
      <c r="I9" s="1425">
        <f>B109</f>
        <v>-2.0740652185125774E-2</v>
      </c>
      <c r="K9" s="1431" t="s">
        <v>1601</v>
      </c>
      <c r="N9" s="1410">
        <f>C90</f>
        <v>1774.1418060000008</v>
      </c>
      <c r="P9" s="1431" t="s">
        <v>1560</v>
      </c>
      <c r="S9" s="1416">
        <v>1</v>
      </c>
    </row>
    <row r="10" spans="1:19">
      <c r="B10" s="1431" t="s">
        <v>1543</v>
      </c>
      <c r="D10" s="1412">
        <v>2019</v>
      </c>
      <c r="F10" s="1431" t="s">
        <v>1781</v>
      </c>
      <c r="I10" s="1436">
        <f>C105/C90</f>
        <v>1.8877587355203287</v>
      </c>
      <c r="K10" s="1431" t="s">
        <v>1141</v>
      </c>
      <c r="N10" s="1423">
        <v>920000</v>
      </c>
      <c r="P10" s="1431" t="s">
        <v>1785</v>
      </c>
      <c r="S10" s="1423">
        <v>5</v>
      </c>
    </row>
    <row r="11" spans="1:19">
      <c r="B11" s="1431" t="s">
        <v>751</v>
      </c>
      <c r="D11" s="1412">
        <v>2026</v>
      </c>
      <c r="F11" s="1431" t="s">
        <v>1782</v>
      </c>
      <c r="I11" s="1436">
        <f>C70/C50</f>
        <v>0.15354850597303688</v>
      </c>
      <c r="K11" s="1431" t="s">
        <v>686</v>
      </c>
      <c r="N11" s="1643">
        <v>465000</v>
      </c>
      <c r="P11" s="1431" t="s">
        <v>1786</v>
      </c>
      <c r="S11" s="1416">
        <v>0.3</v>
      </c>
    </row>
    <row r="12" spans="1:19">
      <c r="B12" s="1431" t="s">
        <v>1545</v>
      </c>
      <c r="D12" s="1594">
        <v>2023</v>
      </c>
      <c r="F12" s="1431" t="s">
        <v>1780</v>
      </c>
      <c r="I12" s="1436">
        <f>E32/C50</f>
        <v>0.20050462973511396</v>
      </c>
      <c r="K12" s="1431" t="s">
        <v>1790</v>
      </c>
      <c r="N12" s="1599" t="s">
        <v>1926</v>
      </c>
      <c r="P12" s="1431" t="s">
        <v>1791</v>
      </c>
      <c r="S12" s="1423"/>
    </row>
    <row r="13" spans="1:19">
      <c r="E13" s="1412"/>
      <c r="J13" s="1413"/>
    </row>
    <row r="14" spans="1:19">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c r="R14" s="1447">
        <f>'Opal Riverside'!R14</f>
        <v>2027</v>
      </c>
      <c r="S14" s="1447">
        <f>'Opal Riverside'!S14</f>
        <v>2028</v>
      </c>
    </row>
    <row r="15" spans="1:19">
      <c r="B15" s="1432" t="s">
        <v>1547</v>
      </c>
      <c r="C15" s="1432"/>
      <c r="D15" s="1434">
        <f>1-I6</f>
        <v>0.5</v>
      </c>
      <c r="E15" s="1434">
        <f t="shared" ref="E15:S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c r="R15" s="1434">
        <f t="shared" si="0"/>
        <v>0.5</v>
      </c>
      <c r="S15" s="1434">
        <f t="shared" si="0"/>
        <v>0.5</v>
      </c>
    </row>
    <row r="16" spans="1:19">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c r="R16" s="1431">
        <v>1.3</v>
      </c>
      <c r="S16" s="1431">
        <v>1.3</v>
      </c>
    </row>
    <row r="17" spans="1:19">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c r="R17" s="1435">
        <f t="shared" si="0"/>
        <v>5.5E-2</v>
      </c>
      <c r="S17" s="1435">
        <f t="shared" si="0"/>
        <v>5.5E-2</v>
      </c>
    </row>
    <row r="18" spans="1:19">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c r="R18" s="1435">
        <f t="shared" si="0"/>
        <v>7.0000000000000007E-2</v>
      </c>
      <c r="S18" s="1435">
        <f t="shared" si="0"/>
        <v>7.0000000000000007E-2</v>
      </c>
    </row>
    <row r="19" spans="1:19">
      <c r="B19" s="1431" t="s">
        <v>758</v>
      </c>
      <c r="D19" s="1433">
        <f t="shared" ref="D19:Q19" si="1">D17+D16*D18</f>
        <v>0.125</v>
      </c>
      <c r="E19" s="1433">
        <f t="shared" si="1"/>
        <v>0.125</v>
      </c>
      <c r="F19" s="1433">
        <f t="shared" si="1"/>
        <v>0.125</v>
      </c>
      <c r="G19" s="1433">
        <f t="shared" si="1"/>
        <v>0.125</v>
      </c>
      <c r="H19" s="1433">
        <f t="shared" si="1"/>
        <v>0.125</v>
      </c>
      <c r="I19" s="1433">
        <f t="shared" si="1"/>
        <v>0.125</v>
      </c>
      <c r="J19" s="1433">
        <f t="shared" si="1"/>
        <v>0.125</v>
      </c>
      <c r="K19" s="1433">
        <f t="shared" si="1"/>
        <v>0.125</v>
      </c>
      <c r="L19" s="1433">
        <f t="shared" si="1"/>
        <v>0.125</v>
      </c>
      <c r="M19" s="1433">
        <f t="shared" si="1"/>
        <v>0.125</v>
      </c>
      <c r="N19" s="1433">
        <f t="shared" si="1"/>
        <v>0.14600000000000002</v>
      </c>
      <c r="O19" s="1433">
        <f t="shared" si="1"/>
        <v>0.14600000000000002</v>
      </c>
      <c r="P19" s="1433">
        <f t="shared" si="1"/>
        <v>0.14600000000000002</v>
      </c>
      <c r="Q19" s="1433">
        <f t="shared" si="1"/>
        <v>0.14600000000000002</v>
      </c>
      <c r="R19" s="1433">
        <f t="shared" ref="R19:S19" si="2">R17+R16*R18</f>
        <v>0.14600000000000002</v>
      </c>
      <c r="S19" s="1433">
        <f t="shared" si="2"/>
        <v>0.14600000000000002</v>
      </c>
    </row>
    <row r="20" spans="1:19">
      <c r="B20" s="1431" t="s">
        <v>1542</v>
      </c>
      <c r="D20" s="1436">
        <f t="shared" ref="D20:S20" si="3">$I$6</f>
        <v>0.5</v>
      </c>
      <c r="E20" s="1436">
        <f t="shared" si="3"/>
        <v>0.5</v>
      </c>
      <c r="F20" s="1436">
        <f t="shared" si="3"/>
        <v>0.5</v>
      </c>
      <c r="G20" s="1436">
        <f t="shared" si="3"/>
        <v>0.5</v>
      </c>
      <c r="H20" s="1436">
        <f t="shared" si="3"/>
        <v>0.5</v>
      </c>
      <c r="I20" s="1436">
        <f t="shared" si="3"/>
        <v>0.5</v>
      </c>
      <c r="J20" s="1436">
        <f t="shared" si="3"/>
        <v>0.5</v>
      </c>
      <c r="K20" s="1436">
        <f t="shared" si="3"/>
        <v>0.5</v>
      </c>
      <c r="L20" s="1436">
        <f t="shared" si="3"/>
        <v>0.5</v>
      </c>
      <c r="M20" s="1436">
        <f t="shared" si="3"/>
        <v>0.5</v>
      </c>
      <c r="N20" s="1436">
        <f t="shared" si="3"/>
        <v>0.5</v>
      </c>
      <c r="O20" s="1436">
        <f t="shared" si="3"/>
        <v>0.5</v>
      </c>
      <c r="P20" s="1436">
        <f t="shared" si="3"/>
        <v>0.5</v>
      </c>
      <c r="Q20" s="1436">
        <f t="shared" si="3"/>
        <v>0.5</v>
      </c>
      <c r="R20" s="1436">
        <f t="shared" si="3"/>
        <v>0.5</v>
      </c>
      <c r="S20" s="1436">
        <f t="shared" si="3"/>
        <v>0.5</v>
      </c>
    </row>
    <row r="21" spans="1:19">
      <c r="B21" s="1431" t="s">
        <v>760</v>
      </c>
      <c r="D21" s="1581">
        <f>'Opal Central Park'!D21</f>
        <v>0.14000000000000001</v>
      </c>
      <c r="E21" s="1581">
        <f>'Opal Central Park'!E21</f>
        <v>0.13</v>
      </c>
      <c r="F21" s="1581">
        <f>'Opal Central Park'!F21</f>
        <v>0.1</v>
      </c>
      <c r="G21" s="1581">
        <f>'Opal Central Park'!G21</f>
        <v>0.12</v>
      </c>
      <c r="H21" s="1425">
        <f>G21</f>
        <v>0.12</v>
      </c>
      <c r="I21" s="1418">
        <f t="shared" ref="H21:S22" si="4">H21</f>
        <v>0.12</v>
      </c>
      <c r="J21" s="1418">
        <f t="shared" si="4"/>
        <v>0.12</v>
      </c>
      <c r="K21" s="1418">
        <f t="shared" si="4"/>
        <v>0.12</v>
      </c>
      <c r="L21" s="1418">
        <f t="shared" si="4"/>
        <v>0.12</v>
      </c>
      <c r="M21" s="1418">
        <f t="shared" si="4"/>
        <v>0.12</v>
      </c>
      <c r="N21" s="2182">
        <v>0.13</v>
      </c>
      <c r="O21" s="2182">
        <v>0.13</v>
      </c>
      <c r="P21" s="2182">
        <v>0.13</v>
      </c>
      <c r="Q21" s="2182">
        <v>0.13</v>
      </c>
      <c r="R21" s="2182">
        <v>0.13</v>
      </c>
      <c r="S21" s="2182">
        <v>0.13</v>
      </c>
    </row>
    <row r="22" spans="1:19">
      <c r="B22" s="1431" t="s">
        <v>846</v>
      </c>
      <c r="D22" s="1596">
        <f>'Opal Central Park'!D22</f>
        <v>0.22</v>
      </c>
      <c r="E22" s="1596">
        <f>'Opal Central Park'!E22</f>
        <v>0.22</v>
      </c>
      <c r="F22" s="1596">
        <f>'Opal Central Park'!F22</f>
        <v>0.22</v>
      </c>
      <c r="G22" s="1596">
        <f>'Opal Central Park'!G22</f>
        <v>0.2</v>
      </c>
      <c r="H22" s="1417">
        <f t="shared" si="4"/>
        <v>0.2</v>
      </c>
      <c r="I22" s="1417">
        <f t="shared" si="4"/>
        <v>0.2</v>
      </c>
      <c r="J22" s="1417">
        <f t="shared" si="4"/>
        <v>0.2</v>
      </c>
      <c r="K22" s="1417">
        <f t="shared" si="4"/>
        <v>0.2</v>
      </c>
      <c r="L22" s="1417">
        <f t="shared" si="4"/>
        <v>0.2</v>
      </c>
      <c r="M22" s="1417">
        <f t="shared" si="4"/>
        <v>0.2</v>
      </c>
      <c r="N22" s="1417">
        <f t="shared" si="4"/>
        <v>0.2</v>
      </c>
      <c r="O22" s="1417">
        <f t="shared" si="4"/>
        <v>0.2</v>
      </c>
      <c r="P22" s="1417">
        <f t="shared" si="4"/>
        <v>0.2</v>
      </c>
      <c r="Q22" s="1417">
        <f t="shared" si="4"/>
        <v>0.2</v>
      </c>
      <c r="R22" s="1417">
        <f t="shared" si="4"/>
        <v>0.2</v>
      </c>
      <c r="S22" s="1417">
        <f t="shared" si="4"/>
        <v>0.2</v>
      </c>
    </row>
    <row r="23" spans="1:19">
      <c r="B23" s="1419" t="s">
        <v>14</v>
      </c>
      <c r="C23" s="1432"/>
      <c r="D23" s="1437">
        <f>D19*D15+D21*D20*(1-D22)</f>
        <v>0.11710000000000001</v>
      </c>
      <c r="E23" s="1437">
        <f t="shared" ref="E23:Q23" si="5">E19*E15+E21*E20*(1-E22)</f>
        <v>0.1132</v>
      </c>
      <c r="F23" s="1437">
        <f>F19*F15+F21*F20*(1-F22)</f>
        <v>0.10150000000000001</v>
      </c>
      <c r="G23" s="1437">
        <f>G19*G15+G21*G20*(1-G22)</f>
        <v>0.1105</v>
      </c>
      <c r="H23" s="1437">
        <f>H19*H15+H21*H20*(1-H22)</f>
        <v>0.1105</v>
      </c>
      <c r="I23" s="1437">
        <f>I19*I15+I21*I20*(1-I22)</f>
        <v>0.1105</v>
      </c>
      <c r="J23" s="1437">
        <f t="shared" si="5"/>
        <v>0.1105</v>
      </c>
      <c r="K23" s="1437">
        <f t="shared" si="5"/>
        <v>0.1105</v>
      </c>
      <c r="L23" s="1437">
        <f t="shared" si="5"/>
        <v>0.1105</v>
      </c>
      <c r="M23" s="1437">
        <f t="shared" si="5"/>
        <v>0.1105</v>
      </c>
      <c r="N23" s="1437">
        <f t="shared" si="5"/>
        <v>0.125</v>
      </c>
      <c r="O23" s="1437">
        <f t="shared" si="5"/>
        <v>0.125</v>
      </c>
      <c r="P23" s="1437">
        <f t="shared" si="5"/>
        <v>0.125</v>
      </c>
      <c r="Q23" s="1437">
        <f t="shared" si="5"/>
        <v>0.125</v>
      </c>
      <c r="R23" s="1437">
        <f t="shared" ref="R23:S23" si="6">R19*R15+R21*R20*(1-R22)</f>
        <v>0.125</v>
      </c>
      <c r="S23" s="1437">
        <f t="shared" si="6"/>
        <v>0.125</v>
      </c>
    </row>
    <row r="24" spans="1:19">
      <c r="E24" s="1412"/>
      <c r="J24" s="1413"/>
    </row>
    <row r="25" spans="1:19">
      <c r="E25" s="1412"/>
      <c r="J25" s="1413"/>
    </row>
    <row r="26" spans="1:19" ht="15.75">
      <c r="A26" s="1420" t="s">
        <v>1548</v>
      </c>
      <c r="B26" s="1438"/>
    </row>
    <row r="28" spans="1:19" s="1407" customFormat="1">
      <c r="A28" s="1406" t="s">
        <v>762</v>
      </c>
      <c r="B28" s="1407" t="s">
        <v>1459</v>
      </c>
      <c r="C28" s="1407" t="s">
        <v>764</v>
      </c>
      <c r="D28" s="1407" t="s">
        <v>1549</v>
      </c>
      <c r="E28" s="1407" t="s">
        <v>1550</v>
      </c>
    </row>
    <row r="29" spans="1:19">
      <c r="A29" s="1421"/>
      <c r="B29" s="1432" t="s">
        <v>1551</v>
      </c>
      <c r="C29" s="1432" t="s">
        <v>1552</v>
      </c>
      <c r="D29" s="1432"/>
      <c r="E29" s="1408">
        <f>N10</f>
        <v>920000</v>
      </c>
    </row>
    <row r="30" spans="1:19">
      <c r="B30" s="1431" t="s">
        <v>1553</v>
      </c>
      <c r="C30" s="1431" t="s">
        <v>1552</v>
      </c>
      <c r="E30" s="1410">
        <f>E29</f>
        <v>920000</v>
      </c>
    </row>
    <row r="31" spans="1:19">
      <c r="B31" s="1431" t="s">
        <v>1554</v>
      </c>
      <c r="C31" s="1431" t="s">
        <v>1555</v>
      </c>
      <c r="D31" s="1446"/>
      <c r="E31" s="1410">
        <f>E29*D31</f>
        <v>0</v>
      </c>
    </row>
    <row r="32" spans="1:19">
      <c r="B32" s="1431" t="s">
        <v>1556</v>
      </c>
      <c r="C32" s="1431" t="s">
        <v>1555</v>
      </c>
      <c r="D32" s="1654">
        <f>S8</f>
        <v>3.3</v>
      </c>
      <c r="E32" s="1440">
        <f>D32*E29/1000</f>
        <v>3036</v>
      </c>
    </row>
    <row r="34" spans="1:19">
      <c r="B34" s="1407" t="s">
        <v>773</v>
      </c>
      <c r="C34" s="1431" t="s">
        <v>642</v>
      </c>
      <c r="D34" s="1447">
        <f>D14</f>
        <v>2013</v>
      </c>
      <c r="E34" s="1447">
        <f>E14</f>
        <v>2014</v>
      </c>
      <c r="F34" s="1447">
        <f>F14</f>
        <v>2015</v>
      </c>
      <c r="G34" s="1447">
        <f>G14</f>
        <v>2016</v>
      </c>
      <c r="H34" s="1447">
        <f>H14</f>
        <v>2017</v>
      </c>
      <c r="I34" s="1447">
        <f t="shared" ref="I34:Q34" si="7">I14</f>
        <v>2018</v>
      </c>
      <c r="J34" s="1447">
        <f t="shared" si="7"/>
        <v>2019</v>
      </c>
      <c r="K34" s="1447">
        <f t="shared" si="7"/>
        <v>2020</v>
      </c>
      <c r="L34" s="1447">
        <f t="shared" si="7"/>
        <v>2021</v>
      </c>
      <c r="M34" s="1447">
        <f t="shared" si="7"/>
        <v>2022</v>
      </c>
      <c r="N34" s="1447">
        <f t="shared" si="7"/>
        <v>2023</v>
      </c>
      <c r="O34" s="1447">
        <f t="shared" si="7"/>
        <v>2024</v>
      </c>
      <c r="P34" s="1447">
        <f t="shared" si="7"/>
        <v>2025</v>
      </c>
      <c r="Q34" s="1447">
        <f t="shared" si="7"/>
        <v>2026</v>
      </c>
      <c r="R34" s="1447">
        <f t="shared" ref="R34:S34" si="8">R14</f>
        <v>2027</v>
      </c>
      <c r="S34" s="1447">
        <f t="shared" si="8"/>
        <v>2028</v>
      </c>
    </row>
    <row r="35" spans="1:19">
      <c r="B35" s="1432"/>
      <c r="C35" s="1441">
        <f>E32</f>
        <v>3036</v>
      </c>
      <c r="D35" s="1408">
        <f>$C$35*D36</f>
        <v>0</v>
      </c>
      <c r="E35" s="1408">
        <f>$C$35*E36</f>
        <v>0</v>
      </c>
      <c r="F35" s="1408">
        <f>$C$35*F36</f>
        <v>0</v>
      </c>
      <c r="G35" s="1408">
        <f>$C$35*G36</f>
        <v>0</v>
      </c>
      <c r="H35" s="1408">
        <f>$C$35*H36</f>
        <v>0</v>
      </c>
      <c r="I35" s="1408">
        <f t="shared" ref="I35:S35" si="9">$C$35*I36</f>
        <v>0</v>
      </c>
      <c r="J35" s="1408">
        <f t="shared" si="9"/>
        <v>1669.8000000000002</v>
      </c>
      <c r="K35" s="1408">
        <f t="shared" si="9"/>
        <v>1366.2</v>
      </c>
      <c r="L35" s="1408">
        <f t="shared" si="9"/>
        <v>0</v>
      </c>
      <c r="M35" s="1408">
        <f t="shared" si="9"/>
        <v>0</v>
      </c>
      <c r="N35" s="1408">
        <f t="shared" si="9"/>
        <v>0</v>
      </c>
      <c r="O35" s="1408">
        <f t="shared" si="9"/>
        <v>0</v>
      </c>
      <c r="P35" s="1408">
        <f t="shared" si="9"/>
        <v>0</v>
      </c>
      <c r="Q35" s="1408">
        <f t="shared" si="9"/>
        <v>0</v>
      </c>
      <c r="R35" s="1408">
        <f t="shared" si="9"/>
        <v>0</v>
      </c>
      <c r="S35" s="1408">
        <f t="shared" si="9"/>
        <v>0</v>
      </c>
    </row>
    <row r="36" spans="1:19">
      <c r="B36" s="1442" t="s">
        <v>1559</v>
      </c>
      <c r="C36" s="1436">
        <f>SUM(D36:S36)</f>
        <v>1</v>
      </c>
      <c r="D36" s="1416">
        <v>0</v>
      </c>
      <c r="E36" s="1416">
        <v>0</v>
      </c>
      <c r="F36" s="1416">
        <v>0</v>
      </c>
      <c r="G36" s="1416">
        <v>0</v>
      </c>
      <c r="H36" s="1416">
        <v>0</v>
      </c>
      <c r="I36" s="1416">
        <v>0</v>
      </c>
      <c r="J36" s="1416">
        <v>0.55000000000000004</v>
      </c>
      <c r="K36" s="1416">
        <v>0.45</v>
      </c>
      <c r="L36" s="1416">
        <v>0</v>
      </c>
      <c r="M36" s="1416">
        <v>0</v>
      </c>
      <c r="N36" s="1416">
        <v>0</v>
      </c>
      <c r="O36" s="1416">
        <v>0</v>
      </c>
      <c r="P36" s="1416">
        <v>0</v>
      </c>
      <c r="Q36" s="1416">
        <v>0</v>
      </c>
      <c r="R36" s="1416">
        <v>0</v>
      </c>
      <c r="S36" s="1416">
        <v>0</v>
      </c>
    </row>
    <row r="39" spans="1:19" s="1407" customFormat="1">
      <c r="A39" s="1406" t="s">
        <v>777</v>
      </c>
      <c r="B39" s="1407" t="s">
        <v>1585</v>
      </c>
      <c r="C39" s="1407" t="s">
        <v>764</v>
      </c>
      <c r="D39" s="1407" t="s">
        <v>1549</v>
      </c>
    </row>
    <row r="40" spans="1:19">
      <c r="A40" s="1421"/>
      <c r="B40" s="1432" t="s">
        <v>686</v>
      </c>
      <c r="C40" s="1432" t="s">
        <v>1552</v>
      </c>
      <c r="D40" s="1426">
        <f>N11</f>
        <v>465000</v>
      </c>
      <c r="F40" s="1440"/>
      <c r="G40" s="1410"/>
    </row>
    <row r="41" spans="1:19">
      <c r="B41" s="1431" t="s">
        <v>1560</v>
      </c>
      <c r="C41" s="1431" t="s">
        <v>780</v>
      </c>
      <c r="D41" s="1448">
        <f>S9</f>
        <v>1</v>
      </c>
      <c r="G41" s="1440"/>
    </row>
    <row r="42" spans="1:19">
      <c r="B42" s="1431" t="s">
        <v>781</v>
      </c>
      <c r="C42" s="1431" t="s">
        <v>1552</v>
      </c>
      <c r="D42" s="1410">
        <f>D40*D41</f>
        <v>465000</v>
      </c>
    </row>
    <row r="43" spans="1:19">
      <c r="B43" s="1431" t="s">
        <v>1787</v>
      </c>
      <c r="C43" s="1431" t="s">
        <v>1555</v>
      </c>
      <c r="D43" s="1654">
        <f>S7</f>
        <v>25</v>
      </c>
    </row>
    <row r="44" spans="1:19">
      <c r="B44" s="1431" t="s">
        <v>1587</v>
      </c>
      <c r="C44" s="1431" t="s">
        <v>1555</v>
      </c>
      <c r="D44" s="1655">
        <f>S10</f>
        <v>5</v>
      </c>
    </row>
    <row r="45" spans="1:19">
      <c r="B45" s="1431" t="s">
        <v>787</v>
      </c>
      <c r="C45" s="1431" t="s">
        <v>780</v>
      </c>
      <c r="D45" s="1411">
        <v>0</v>
      </c>
    </row>
    <row r="46" spans="1:19">
      <c r="B46" s="1431" t="s">
        <v>1562</v>
      </c>
      <c r="C46" s="1431" t="s">
        <v>780</v>
      </c>
      <c r="D46" s="1448">
        <f>S11</f>
        <v>0.3</v>
      </c>
    </row>
    <row r="47" spans="1:19">
      <c r="B47" s="1431" t="s">
        <v>1563</v>
      </c>
      <c r="C47" s="1431" t="s">
        <v>780</v>
      </c>
      <c r="D47" s="1411">
        <v>0.03</v>
      </c>
    </row>
    <row r="49" spans="1:20" s="1407" customFormat="1">
      <c r="A49" s="1406">
        <v>1</v>
      </c>
      <c r="B49" s="1407" t="s">
        <v>1564</v>
      </c>
      <c r="C49" s="1431" t="str">
        <f>C34</f>
        <v>Total</v>
      </c>
      <c r="D49" s="1431">
        <f>D34</f>
        <v>2013</v>
      </c>
      <c r="E49" s="1431">
        <f>E34</f>
        <v>2014</v>
      </c>
      <c r="F49" s="1431">
        <f>F34</f>
        <v>2015</v>
      </c>
      <c r="G49" s="1431">
        <f>F49+1</f>
        <v>2016</v>
      </c>
      <c r="H49" s="1431">
        <f>G49+1</f>
        <v>2017</v>
      </c>
      <c r="I49" s="1431">
        <f>H49+1</f>
        <v>2018</v>
      </c>
      <c r="J49" s="1431">
        <f>I49+1</f>
        <v>2019</v>
      </c>
      <c r="K49" s="1431">
        <f>J49+1</f>
        <v>2020</v>
      </c>
      <c r="L49" s="1431">
        <f t="shared" ref="L49:S49" si="10">K49+1</f>
        <v>2021</v>
      </c>
      <c r="M49" s="1431">
        <f t="shared" si="10"/>
        <v>2022</v>
      </c>
      <c r="N49" s="1431">
        <f t="shared" si="10"/>
        <v>2023</v>
      </c>
      <c r="O49" s="1431">
        <f t="shared" si="10"/>
        <v>2024</v>
      </c>
      <c r="P49" s="1431">
        <f t="shared" si="10"/>
        <v>2025</v>
      </c>
      <c r="Q49" s="1431">
        <f t="shared" si="10"/>
        <v>2026</v>
      </c>
      <c r="R49" s="1431">
        <f t="shared" si="10"/>
        <v>2027</v>
      </c>
      <c r="S49" s="1431">
        <f t="shared" si="10"/>
        <v>2028</v>
      </c>
    </row>
    <row r="50" spans="1:20">
      <c r="B50" s="1432" t="s">
        <v>791</v>
      </c>
      <c r="C50" s="1441">
        <f>SUM(D50:S50)</f>
        <v>15141.795</v>
      </c>
      <c r="D50" s="1441">
        <f>$D$42*D52*D51/1000</f>
        <v>0</v>
      </c>
      <c r="E50" s="1441">
        <f t="shared" ref="E50:Q50" si="11">$D$42*E52*E51/1000</f>
        <v>0</v>
      </c>
      <c r="F50" s="1441">
        <f t="shared" si="11"/>
        <v>0</v>
      </c>
      <c r="G50" s="1441">
        <f t="shared" si="11"/>
        <v>0</v>
      </c>
      <c r="H50" s="1441">
        <f t="shared" si="11"/>
        <v>0</v>
      </c>
      <c r="I50" s="1441">
        <f t="shared" si="11"/>
        <v>0</v>
      </c>
      <c r="J50" s="1441">
        <f t="shared" si="11"/>
        <v>0</v>
      </c>
      <c r="K50" s="1441">
        <f t="shared" si="11"/>
        <v>1556.5875000000001</v>
      </c>
      <c r="L50" s="1441">
        <f t="shared" si="11"/>
        <v>2993.4375</v>
      </c>
      <c r="M50" s="1441">
        <f t="shared" si="11"/>
        <v>3232.9124999999999</v>
      </c>
      <c r="N50" s="1441">
        <f t="shared" si="11"/>
        <v>0</v>
      </c>
      <c r="O50" s="1441">
        <f t="shared" si="11"/>
        <v>0</v>
      </c>
      <c r="P50" s="1441">
        <f t="shared" si="11"/>
        <v>2162.25</v>
      </c>
      <c r="Q50" s="1441">
        <f t="shared" si="11"/>
        <v>5196.6075000000001</v>
      </c>
      <c r="R50" s="1441">
        <f t="shared" ref="R50:S50" si="12">$D$42*R52*R51/1000</f>
        <v>0</v>
      </c>
      <c r="S50" s="1441">
        <f t="shared" si="12"/>
        <v>0</v>
      </c>
    </row>
    <row r="51" spans="1:20">
      <c r="B51" s="1444" t="s">
        <v>792</v>
      </c>
      <c r="C51" s="1436">
        <f>SUM(D51:S51)</f>
        <v>1.1499999999999999</v>
      </c>
      <c r="D51" s="1416">
        <v>0</v>
      </c>
      <c r="E51" s="1416">
        <v>0</v>
      </c>
      <c r="F51" s="1416">
        <v>0</v>
      </c>
      <c r="G51" s="1416">
        <v>0</v>
      </c>
      <c r="H51" s="1416">
        <v>0</v>
      </c>
      <c r="I51" s="1416">
        <v>0</v>
      </c>
      <c r="J51" s="1416">
        <v>0</v>
      </c>
      <c r="K51" s="1416">
        <v>0.13</v>
      </c>
      <c r="L51" s="1416">
        <v>0.25</v>
      </c>
      <c r="M51" s="1416">
        <v>0.27</v>
      </c>
      <c r="N51" s="1416">
        <v>0</v>
      </c>
      <c r="O51" s="1416">
        <v>0</v>
      </c>
      <c r="P51" s="1416">
        <v>0.15</v>
      </c>
      <c r="Q51" s="1416">
        <v>0.35</v>
      </c>
      <c r="R51" s="1416">
        <v>0</v>
      </c>
      <c r="S51" s="1416">
        <v>0</v>
      </c>
    </row>
    <row r="52" spans="1:20">
      <c r="B52" s="1444" t="s">
        <v>1565</v>
      </c>
      <c r="D52" s="1439">
        <f>D43</f>
        <v>25</v>
      </c>
      <c r="E52" s="1439">
        <f t="shared" ref="E52:S52" si="13">D52*(1+E53)</f>
        <v>25.75</v>
      </c>
      <c r="F52" s="1439">
        <f t="shared" si="13"/>
        <v>25.75</v>
      </c>
      <c r="G52" s="1439">
        <f t="shared" si="13"/>
        <v>25.75</v>
      </c>
      <c r="H52" s="1439">
        <f t="shared" si="13"/>
        <v>25.75</v>
      </c>
      <c r="I52" s="1439">
        <f t="shared" si="13"/>
        <v>25.75</v>
      </c>
      <c r="J52" s="1439">
        <f t="shared" si="13"/>
        <v>25.75</v>
      </c>
      <c r="K52" s="1439">
        <f t="shared" si="13"/>
        <v>25.75</v>
      </c>
      <c r="L52" s="1439">
        <f t="shared" si="13"/>
        <v>25.75</v>
      </c>
      <c r="M52" s="1439">
        <f t="shared" si="13"/>
        <v>25.75</v>
      </c>
      <c r="N52" s="1439">
        <f t="shared" si="13"/>
        <v>26.522500000000001</v>
      </c>
      <c r="O52" s="1439">
        <f t="shared" si="13"/>
        <v>27.318175</v>
      </c>
      <c r="P52" s="1439">
        <v>31</v>
      </c>
      <c r="Q52" s="1439">
        <f t="shared" si="13"/>
        <v>31.93</v>
      </c>
      <c r="R52" s="1439">
        <f t="shared" si="13"/>
        <v>32.887900000000002</v>
      </c>
      <c r="S52" s="1439">
        <f t="shared" si="13"/>
        <v>33.874537000000004</v>
      </c>
    </row>
    <row r="53" spans="1:20">
      <c r="B53" s="1444" t="s">
        <v>1563</v>
      </c>
      <c r="E53" s="1443">
        <f t="shared" ref="E53:J53" si="14">D47</f>
        <v>0.03</v>
      </c>
      <c r="F53" s="1443">
        <f t="shared" si="14"/>
        <v>0</v>
      </c>
      <c r="G53" s="1443">
        <f t="shared" si="14"/>
        <v>0</v>
      </c>
      <c r="H53" s="1443">
        <f t="shared" si="14"/>
        <v>0</v>
      </c>
      <c r="I53" s="1443">
        <f t="shared" si="14"/>
        <v>0</v>
      </c>
      <c r="J53" s="1443">
        <f t="shared" si="14"/>
        <v>0</v>
      </c>
      <c r="K53" s="1443">
        <f>J47</f>
        <v>0</v>
      </c>
      <c r="L53" s="1443">
        <f t="shared" ref="L53:M53" si="15">K47</f>
        <v>0</v>
      </c>
      <c r="M53" s="1443">
        <f t="shared" si="15"/>
        <v>0</v>
      </c>
      <c r="N53" s="1443">
        <f>D47</f>
        <v>0.03</v>
      </c>
      <c r="O53" s="1443">
        <f>N53</f>
        <v>0.03</v>
      </c>
      <c r="P53" s="1443">
        <f t="shared" ref="P53:S53" si="16">O53</f>
        <v>0.03</v>
      </c>
      <c r="Q53" s="1443">
        <f t="shared" si="16"/>
        <v>0.03</v>
      </c>
      <c r="R53" s="1443">
        <f t="shared" si="16"/>
        <v>0.03</v>
      </c>
      <c r="S53" s="1443">
        <f t="shared" si="16"/>
        <v>0.03</v>
      </c>
    </row>
    <row r="54" spans="1:20">
      <c r="B54" s="1444" t="s">
        <v>1788</v>
      </c>
      <c r="C54" s="1440">
        <f>S5</f>
        <v>4000</v>
      </c>
      <c r="D54" s="1440">
        <f>D51*$C$54</f>
        <v>0</v>
      </c>
      <c r="E54" s="1440">
        <f t="shared" ref="E54:Q54" si="17">E51*$C$54</f>
        <v>0</v>
      </c>
      <c r="F54" s="1440">
        <f t="shared" si="17"/>
        <v>0</v>
      </c>
      <c r="G54" s="1440">
        <f t="shared" si="17"/>
        <v>0</v>
      </c>
      <c r="H54" s="1440">
        <f t="shared" si="17"/>
        <v>0</v>
      </c>
      <c r="I54" s="1440">
        <f t="shared" si="17"/>
        <v>0</v>
      </c>
      <c r="J54" s="1440">
        <f t="shared" si="17"/>
        <v>0</v>
      </c>
      <c r="K54" s="1440">
        <f t="shared" si="17"/>
        <v>520</v>
      </c>
      <c r="L54" s="1440">
        <f t="shared" si="17"/>
        <v>1000</v>
      </c>
      <c r="M54" s="1440">
        <f t="shared" si="17"/>
        <v>1080</v>
      </c>
      <c r="N54" s="1440">
        <f t="shared" si="17"/>
        <v>0</v>
      </c>
      <c r="O54" s="1440">
        <f t="shared" si="17"/>
        <v>0</v>
      </c>
      <c r="P54" s="1440">
        <f t="shared" si="17"/>
        <v>600</v>
      </c>
      <c r="Q54" s="1440">
        <f t="shared" si="17"/>
        <v>1400</v>
      </c>
      <c r="R54" s="1440">
        <f t="shared" ref="R54:S54" si="18">R51*$C$54</f>
        <v>0</v>
      </c>
      <c r="S54" s="1440">
        <f t="shared" si="18"/>
        <v>0</v>
      </c>
    </row>
    <row r="55" spans="1:20">
      <c r="B55" s="1444"/>
      <c r="F55" s="1443"/>
      <c r="G55" s="1443"/>
    </row>
    <row r="56" spans="1:20" s="1407" customFormat="1">
      <c r="A56" s="1406">
        <v>2</v>
      </c>
      <c r="B56" s="1407" t="s">
        <v>794</v>
      </c>
      <c r="C56" s="1431" t="str">
        <f>C49</f>
        <v>Total</v>
      </c>
      <c r="D56" s="1431">
        <f t="shared" ref="D56:J56" si="19">D49</f>
        <v>2013</v>
      </c>
      <c r="E56" s="1431">
        <f t="shared" si="19"/>
        <v>2014</v>
      </c>
      <c r="F56" s="1431">
        <f t="shared" si="19"/>
        <v>2015</v>
      </c>
      <c r="G56" s="1431">
        <f t="shared" si="19"/>
        <v>2016</v>
      </c>
      <c r="H56" s="1431">
        <f t="shared" si="19"/>
        <v>2017</v>
      </c>
      <c r="I56" s="1431">
        <f t="shared" si="19"/>
        <v>2018</v>
      </c>
      <c r="J56" s="1431">
        <f t="shared" si="19"/>
        <v>2019</v>
      </c>
      <c r="K56" s="1431">
        <f>K49</f>
        <v>2020</v>
      </c>
      <c r="L56" s="1431">
        <f t="shared" ref="L56:Q56" si="20">L49</f>
        <v>2021</v>
      </c>
      <c r="M56" s="1431">
        <f t="shared" si="20"/>
        <v>2022</v>
      </c>
      <c r="N56" s="1431">
        <f t="shared" si="20"/>
        <v>2023</v>
      </c>
      <c r="O56" s="1431">
        <f t="shared" si="20"/>
        <v>2024</v>
      </c>
      <c r="P56" s="1431">
        <f t="shared" si="20"/>
        <v>2025</v>
      </c>
      <c r="Q56" s="1431">
        <f t="shared" si="20"/>
        <v>2026</v>
      </c>
      <c r="R56" s="1431">
        <f t="shared" ref="R56:S56" si="21">R49</f>
        <v>2027</v>
      </c>
      <c r="S56" s="1431">
        <f t="shared" si="21"/>
        <v>2028</v>
      </c>
    </row>
    <row r="57" spans="1:20">
      <c r="B57" s="1432" t="s">
        <v>1586</v>
      </c>
      <c r="C57" s="1408">
        <f>C50</f>
        <v>15141.795</v>
      </c>
      <c r="D57" s="1441">
        <f>$C$57*D58</f>
        <v>0</v>
      </c>
      <c r="E57" s="1441">
        <f t="shared" ref="E57:S57" si="22">$C$57*E58</f>
        <v>0</v>
      </c>
      <c r="F57" s="1441">
        <f t="shared" si="22"/>
        <v>0</v>
      </c>
      <c r="G57" s="1441">
        <f t="shared" si="22"/>
        <v>0</v>
      </c>
      <c r="H57" s="1441">
        <f t="shared" si="22"/>
        <v>0</v>
      </c>
      <c r="I57" s="1441">
        <f t="shared" si="22"/>
        <v>0</v>
      </c>
      <c r="J57" s="1441">
        <f t="shared" si="22"/>
        <v>0</v>
      </c>
      <c r="K57" s="1441">
        <f t="shared" si="22"/>
        <v>0</v>
      </c>
      <c r="L57" s="1441">
        <f t="shared" si="22"/>
        <v>3785.44875</v>
      </c>
      <c r="M57" s="1441">
        <f t="shared" si="22"/>
        <v>2271.2692499999998</v>
      </c>
      <c r="N57" s="1441">
        <f t="shared" si="22"/>
        <v>1514.1795000000002</v>
      </c>
      <c r="O57" s="1441">
        <f t="shared" si="22"/>
        <v>757.08975000000009</v>
      </c>
      <c r="P57" s="1441">
        <f t="shared" si="22"/>
        <v>3028.3590000000004</v>
      </c>
      <c r="Q57" s="1441">
        <f t="shared" si="22"/>
        <v>3785.44875</v>
      </c>
      <c r="R57" s="1441">
        <f t="shared" si="22"/>
        <v>0</v>
      </c>
      <c r="S57" s="1441">
        <f t="shared" si="22"/>
        <v>0</v>
      </c>
    </row>
    <row r="58" spans="1:20">
      <c r="B58" s="1442" t="s">
        <v>794</v>
      </c>
      <c r="C58" s="1417">
        <f>SUM(D58:S58)</f>
        <v>1</v>
      </c>
      <c r="D58" s="1411">
        <v>0</v>
      </c>
      <c r="E58" s="1411">
        <v>0</v>
      </c>
      <c r="F58" s="1411">
        <v>0</v>
      </c>
      <c r="G58" s="1411">
        <v>0</v>
      </c>
      <c r="H58" s="1411">
        <v>0</v>
      </c>
      <c r="I58" s="1411">
        <v>0</v>
      </c>
      <c r="J58" s="1411">
        <v>0</v>
      </c>
      <c r="K58" s="1411">
        <v>0</v>
      </c>
      <c r="L58" s="1411">
        <v>0.25</v>
      </c>
      <c r="M58" s="1411">
        <v>0.15</v>
      </c>
      <c r="N58" s="1411">
        <v>0.1</v>
      </c>
      <c r="O58" s="1411">
        <v>0.05</v>
      </c>
      <c r="P58" s="1411">
        <v>0.2</v>
      </c>
      <c r="Q58" s="1411">
        <v>0.25</v>
      </c>
      <c r="R58" s="1411">
        <v>0</v>
      </c>
      <c r="S58" s="1411">
        <v>0</v>
      </c>
    </row>
    <row r="59" spans="1:20">
      <c r="B59" s="1442" t="s">
        <v>1777</v>
      </c>
      <c r="C59" s="1410">
        <f>C54</f>
        <v>4000</v>
      </c>
      <c r="D59" s="1410">
        <f>D58*$C$59</f>
        <v>0</v>
      </c>
      <c r="E59" s="1410">
        <f t="shared" ref="E59:Q59" si="23">E58*$C$59</f>
        <v>0</v>
      </c>
      <c r="F59" s="1410">
        <f t="shared" si="23"/>
        <v>0</v>
      </c>
      <c r="G59" s="1410">
        <f t="shared" si="23"/>
        <v>0</v>
      </c>
      <c r="H59" s="1410">
        <f t="shared" si="23"/>
        <v>0</v>
      </c>
      <c r="I59" s="1410">
        <f t="shared" si="23"/>
        <v>0</v>
      </c>
      <c r="J59" s="1410">
        <f t="shared" si="23"/>
        <v>0</v>
      </c>
      <c r="K59" s="1410">
        <f t="shared" si="23"/>
        <v>0</v>
      </c>
      <c r="L59" s="1410">
        <f t="shared" si="23"/>
        <v>1000</v>
      </c>
      <c r="M59" s="1410">
        <f t="shared" si="23"/>
        <v>600</v>
      </c>
      <c r="N59" s="1410">
        <f t="shared" si="23"/>
        <v>400</v>
      </c>
      <c r="O59" s="1410">
        <f t="shared" si="23"/>
        <v>200</v>
      </c>
      <c r="P59" s="1410">
        <f t="shared" si="23"/>
        <v>800</v>
      </c>
      <c r="Q59" s="1410">
        <f t="shared" si="23"/>
        <v>1000</v>
      </c>
      <c r="R59" s="1410">
        <f t="shared" ref="R59:S59" si="24">R58*$C$59</f>
        <v>0</v>
      </c>
      <c r="S59" s="1410">
        <f t="shared" si="24"/>
        <v>0</v>
      </c>
    </row>
    <row r="60" spans="1:20">
      <c r="B60" s="1444"/>
      <c r="C60" s="1425"/>
      <c r="D60" s="1433"/>
      <c r="E60" s="1433"/>
      <c r="F60" s="1433"/>
      <c r="G60" s="1433"/>
    </row>
    <row r="61" spans="1:20">
      <c r="C61" s="1440"/>
      <c r="D61" s="1440"/>
      <c r="E61" s="1440"/>
      <c r="F61" s="1440"/>
      <c r="G61" s="1440"/>
    </row>
    <row r="62" spans="1:20" s="1407" customFormat="1">
      <c r="A62" s="1406">
        <v>3</v>
      </c>
      <c r="B62" s="1407" t="s">
        <v>1175</v>
      </c>
      <c r="C62" s="1431" t="str">
        <f>C56</f>
        <v>Total</v>
      </c>
      <c r="D62" s="1431">
        <f t="shared" ref="D62:J62" si="25">D56</f>
        <v>2013</v>
      </c>
      <c r="E62" s="1431">
        <f t="shared" si="25"/>
        <v>2014</v>
      </c>
      <c r="F62" s="1431">
        <f t="shared" si="25"/>
        <v>2015</v>
      </c>
      <c r="G62" s="1431">
        <f t="shared" si="25"/>
        <v>2016</v>
      </c>
      <c r="H62" s="1431">
        <f t="shared" si="25"/>
        <v>2017</v>
      </c>
      <c r="I62" s="1431">
        <f t="shared" si="25"/>
        <v>2018</v>
      </c>
      <c r="J62" s="1431">
        <f t="shared" si="25"/>
        <v>2019</v>
      </c>
      <c r="K62" s="1431">
        <f>K56</f>
        <v>2020</v>
      </c>
      <c r="L62" s="1431">
        <f t="shared" ref="L62:Q62" si="26">L56</f>
        <v>2021</v>
      </c>
      <c r="M62" s="1431">
        <f t="shared" si="26"/>
        <v>2022</v>
      </c>
      <c r="N62" s="1431">
        <f t="shared" si="26"/>
        <v>2023</v>
      </c>
      <c r="O62" s="1431">
        <f t="shared" si="26"/>
        <v>2024</v>
      </c>
      <c r="P62" s="1431">
        <f t="shared" si="26"/>
        <v>2025</v>
      </c>
      <c r="Q62" s="1431">
        <f t="shared" si="26"/>
        <v>2026</v>
      </c>
      <c r="R62" s="1431">
        <f t="shared" ref="R62:S62" si="27">R56</f>
        <v>2027</v>
      </c>
      <c r="S62" s="1431">
        <f t="shared" si="27"/>
        <v>2028</v>
      </c>
    </row>
    <row r="63" spans="1:20">
      <c r="B63" s="1432"/>
      <c r="C63" s="1441">
        <f>SUM(D63:S63)</f>
        <v>15141.795</v>
      </c>
      <c r="D63" s="1408"/>
      <c r="E63" s="1408"/>
      <c r="F63" s="1408">
        <f>D50*$D66+E50*$D65+F50*$D64</f>
        <v>0</v>
      </c>
      <c r="G63" s="1408">
        <f>E50*$D66+F50*$D65+G50*$D64</f>
        <v>0</v>
      </c>
      <c r="H63" s="1408">
        <f t="shared" ref="H63:S63" si="28">F50*$D66+G50*$D65+H50*$D64</f>
        <v>0</v>
      </c>
      <c r="I63" s="1408">
        <f t="shared" si="28"/>
        <v>0</v>
      </c>
      <c r="J63" s="1408">
        <f t="shared" si="28"/>
        <v>0</v>
      </c>
      <c r="K63" s="1408">
        <f t="shared" si="28"/>
        <v>311.31750000000005</v>
      </c>
      <c r="L63" s="1408">
        <f t="shared" si="28"/>
        <v>1221.3225000000002</v>
      </c>
      <c r="M63" s="1408">
        <f t="shared" si="28"/>
        <v>2466.5925000000002</v>
      </c>
      <c r="N63" s="1408">
        <f t="shared" si="28"/>
        <v>2490.54</v>
      </c>
      <c r="O63" s="1408">
        <f t="shared" si="28"/>
        <v>1293.165</v>
      </c>
      <c r="P63" s="1408">
        <f t="shared" si="28"/>
        <v>432.45000000000005</v>
      </c>
      <c r="Q63" s="1408">
        <f>O50*$D66+P50*$D65+Q50*$D64</f>
        <v>1904.2215000000001</v>
      </c>
      <c r="R63" s="1408">
        <f t="shared" si="28"/>
        <v>2943.5430000000001</v>
      </c>
      <c r="S63" s="1408">
        <f t="shared" si="28"/>
        <v>2078.643</v>
      </c>
      <c r="T63" s="1408"/>
    </row>
    <row r="64" spans="1:20">
      <c r="B64" s="1431" t="s">
        <v>797</v>
      </c>
      <c r="C64" s="1440" t="s">
        <v>798</v>
      </c>
      <c r="D64" s="1416">
        <v>0.2</v>
      </c>
      <c r="E64" s="1440"/>
      <c r="F64" s="1440"/>
      <c r="G64" s="1440"/>
    </row>
    <row r="65" spans="1:19">
      <c r="C65" s="1440" t="s">
        <v>799</v>
      </c>
      <c r="D65" s="1416">
        <v>0.4</v>
      </c>
      <c r="E65" s="1440"/>
      <c r="F65" s="1440"/>
      <c r="G65" s="1440"/>
    </row>
    <row r="66" spans="1:19">
      <c r="C66" s="1440" t="s">
        <v>800</v>
      </c>
      <c r="D66" s="1416">
        <v>0.4</v>
      </c>
      <c r="E66" s="1440"/>
      <c r="F66" s="1440"/>
      <c r="G66" s="1440"/>
    </row>
    <row r="67" spans="1:19">
      <c r="C67" s="1440"/>
      <c r="D67" s="1416"/>
      <c r="E67" s="1440"/>
      <c r="F67" s="1440"/>
      <c r="G67" s="1440"/>
    </row>
    <row r="68" spans="1:19">
      <c r="C68" s="1440"/>
      <c r="D68" s="1416"/>
      <c r="E68" s="1440"/>
      <c r="F68" s="1440"/>
      <c r="G68" s="1440"/>
    </row>
    <row r="69" spans="1:19" s="1407" customFormat="1">
      <c r="A69" s="1406">
        <v>4</v>
      </c>
      <c r="B69" s="1407" t="s">
        <v>1462</v>
      </c>
      <c r="C69" s="1440" t="str">
        <f>C62</f>
        <v>Total</v>
      </c>
      <c r="D69" s="1431">
        <f t="shared" ref="D69:J69" si="29">D62</f>
        <v>2013</v>
      </c>
      <c r="E69" s="1431">
        <f t="shared" si="29"/>
        <v>2014</v>
      </c>
      <c r="F69" s="1431">
        <f t="shared" si="29"/>
        <v>2015</v>
      </c>
      <c r="G69" s="1431">
        <f t="shared" si="29"/>
        <v>2016</v>
      </c>
      <c r="H69" s="1431">
        <f t="shared" si="29"/>
        <v>2017</v>
      </c>
      <c r="I69" s="1431">
        <f t="shared" si="29"/>
        <v>2018</v>
      </c>
      <c r="J69" s="1431">
        <f t="shared" si="29"/>
        <v>2019</v>
      </c>
      <c r="K69" s="1431">
        <f>K62</f>
        <v>2020</v>
      </c>
      <c r="L69" s="1431">
        <f t="shared" ref="L69:Q69" si="30">L62</f>
        <v>2021</v>
      </c>
      <c r="M69" s="1431">
        <f t="shared" si="30"/>
        <v>2022</v>
      </c>
      <c r="N69" s="1431">
        <f t="shared" si="30"/>
        <v>2023</v>
      </c>
      <c r="O69" s="1431">
        <f t="shared" si="30"/>
        <v>2024</v>
      </c>
      <c r="P69" s="1431">
        <f t="shared" si="30"/>
        <v>2025</v>
      </c>
      <c r="Q69" s="1431">
        <f t="shared" si="30"/>
        <v>2026</v>
      </c>
      <c r="R69" s="1431">
        <f t="shared" ref="R69:S69" si="31">R62</f>
        <v>2027</v>
      </c>
      <c r="S69" s="1431">
        <f t="shared" si="31"/>
        <v>2028</v>
      </c>
    </row>
    <row r="70" spans="1:19">
      <c r="B70" s="1432" t="s">
        <v>1566</v>
      </c>
      <c r="C70" s="1441">
        <f>D40*D44/1000</f>
        <v>2325</v>
      </c>
      <c r="D70" s="1408">
        <f>$C$70*D71</f>
        <v>0</v>
      </c>
      <c r="E70" s="1408">
        <f t="shared" ref="E70:S70" si="32">$C$70*E71</f>
        <v>0</v>
      </c>
      <c r="F70" s="1408">
        <f t="shared" si="32"/>
        <v>0</v>
      </c>
      <c r="G70" s="1408">
        <f t="shared" si="32"/>
        <v>0</v>
      </c>
      <c r="H70" s="1408">
        <f t="shared" si="32"/>
        <v>0</v>
      </c>
      <c r="I70" s="1408">
        <f t="shared" si="32"/>
        <v>0</v>
      </c>
      <c r="J70" s="1408">
        <f t="shared" si="32"/>
        <v>0</v>
      </c>
      <c r="K70" s="1408">
        <f t="shared" si="32"/>
        <v>348.75</v>
      </c>
      <c r="L70" s="1408">
        <f t="shared" si="32"/>
        <v>348.75</v>
      </c>
      <c r="M70" s="1408">
        <f t="shared" si="32"/>
        <v>465</v>
      </c>
      <c r="N70" s="1408">
        <f t="shared" si="32"/>
        <v>465</v>
      </c>
      <c r="O70" s="1408">
        <f t="shared" si="32"/>
        <v>348.75</v>
      </c>
      <c r="P70" s="1408">
        <f t="shared" si="32"/>
        <v>348.75</v>
      </c>
      <c r="Q70" s="1408">
        <f t="shared" si="32"/>
        <v>0</v>
      </c>
      <c r="R70" s="1408">
        <f t="shared" si="32"/>
        <v>0</v>
      </c>
      <c r="S70" s="1408">
        <f t="shared" si="32"/>
        <v>0</v>
      </c>
    </row>
    <row r="71" spans="1:19">
      <c r="B71" s="1431" t="s">
        <v>1559</v>
      </c>
      <c r="C71" s="1436">
        <f>SUM(D71:S71)</f>
        <v>1</v>
      </c>
      <c r="D71" s="1416">
        <v>0</v>
      </c>
      <c r="E71" s="1416">
        <v>0</v>
      </c>
      <c r="F71" s="1416">
        <v>0</v>
      </c>
      <c r="G71" s="1416">
        <v>0</v>
      </c>
      <c r="H71" s="1416">
        <v>0</v>
      </c>
      <c r="I71" s="1416">
        <v>0</v>
      </c>
      <c r="J71" s="1416">
        <v>0</v>
      </c>
      <c r="K71" s="1416">
        <v>0.15</v>
      </c>
      <c r="L71" s="1416">
        <v>0.15</v>
      </c>
      <c r="M71" s="1416">
        <v>0.2</v>
      </c>
      <c r="N71" s="1416">
        <v>0.2</v>
      </c>
      <c r="O71" s="1416">
        <v>0.15</v>
      </c>
      <c r="P71" s="1416">
        <v>0.15</v>
      </c>
      <c r="Q71" s="1416">
        <v>0</v>
      </c>
      <c r="R71" s="1416">
        <v>0</v>
      </c>
      <c r="S71" s="1416">
        <v>0</v>
      </c>
    </row>
    <row r="72" spans="1:19">
      <c r="C72" s="1433"/>
      <c r="D72" s="1425"/>
      <c r="E72" s="1425"/>
      <c r="F72" s="1424"/>
      <c r="G72" s="1424"/>
      <c r="H72" s="1435"/>
    </row>
    <row r="73" spans="1:19">
      <c r="C73" s="1433"/>
      <c r="D73" s="1424"/>
      <c r="E73" s="1424"/>
      <c r="F73" s="1424"/>
      <c r="G73" s="1424"/>
    </row>
    <row r="74" spans="1:19">
      <c r="A74" s="1406">
        <v>5</v>
      </c>
      <c r="B74" s="1407" t="s">
        <v>1466</v>
      </c>
      <c r="C74" s="1431" t="str">
        <f>C69</f>
        <v>Total</v>
      </c>
      <c r="D74" s="1431">
        <f t="shared" ref="D74:I74" si="33">D69</f>
        <v>2013</v>
      </c>
      <c r="E74" s="1431">
        <f t="shared" si="33"/>
        <v>2014</v>
      </c>
      <c r="F74" s="1431">
        <f t="shared" si="33"/>
        <v>2015</v>
      </c>
      <c r="G74" s="1431">
        <f t="shared" si="33"/>
        <v>2016</v>
      </c>
      <c r="H74" s="1431">
        <f t="shared" si="33"/>
        <v>2017</v>
      </c>
      <c r="I74" s="1431">
        <f t="shared" si="33"/>
        <v>2018</v>
      </c>
      <c r="J74" s="1431">
        <f>I74+1</f>
        <v>2019</v>
      </c>
      <c r="K74" s="1431">
        <f>J74+1</f>
        <v>2020</v>
      </c>
      <c r="L74" s="1431">
        <f t="shared" ref="L74:S74" si="34">K74+1</f>
        <v>2021</v>
      </c>
      <c r="M74" s="1431">
        <f t="shared" si="34"/>
        <v>2022</v>
      </c>
      <c r="N74" s="1431">
        <f t="shared" si="34"/>
        <v>2023</v>
      </c>
      <c r="O74" s="1431">
        <f t="shared" si="34"/>
        <v>2024</v>
      </c>
      <c r="P74" s="1431">
        <f t="shared" si="34"/>
        <v>2025</v>
      </c>
      <c r="Q74" s="1431">
        <f t="shared" si="34"/>
        <v>2026</v>
      </c>
      <c r="R74" s="1431">
        <f t="shared" si="34"/>
        <v>2027</v>
      </c>
      <c r="S74" s="1431">
        <f t="shared" si="34"/>
        <v>2028</v>
      </c>
    </row>
    <row r="75" spans="1:19">
      <c r="B75" s="1432" t="s">
        <v>1567</v>
      </c>
      <c r="C75" s="1441">
        <f>$C$70*C58</f>
        <v>2325</v>
      </c>
      <c r="D75" s="1441">
        <f t="shared" ref="D75:Q75" si="35">$C$70*D58</f>
        <v>0</v>
      </c>
      <c r="E75" s="1441">
        <f t="shared" si="35"/>
        <v>0</v>
      </c>
      <c r="F75" s="1441">
        <f t="shared" si="35"/>
        <v>0</v>
      </c>
      <c r="G75" s="1441">
        <f t="shared" si="35"/>
        <v>0</v>
      </c>
      <c r="H75" s="1441">
        <f t="shared" si="35"/>
        <v>0</v>
      </c>
      <c r="I75" s="1441">
        <f t="shared" si="35"/>
        <v>0</v>
      </c>
      <c r="J75" s="1441">
        <f t="shared" si="35"/>
        <v>0</v>
      </c>
      <c r="K75" s="1441">
        <f t="shared" si="35"/>
        <v>0</v>
      </c>
      <c r="L75" s="1441">
        <f t="shared" si="35"/>
        <v>581.25</v>
      </c>
      <c r="M75" s="1441">
        <f t="shared" si="35"/>
        <v>348.75</v>
      </c>
      <c r="N75" s="1441">
        <f t="shared" si="35"/>
        <v>232.5</v>
      </c>
      <c r="O75" s="1441">
        <f t="shared" si="35"/>
        <v>116.25</v>
      </c>
      <c r="P75" s="1441">
        <f t="shared" si="35"/>
        <v>465</v>
      </c>
      <c r="Q75" s="1441">
        <f t="shared" si="35"/>
        <v>581.25</v>
      </c>
      <c r="R75" s="1441">
        <f t="shared" ref="R75:S75" si="36">$C$70*R58</f>
        <v>0</v>
      </c>
      <c r="S75" s="1441">
        <f t="shared" si="36"/>
        <v>0</v>
      </c>
    </row>
    <row r="76" spans="1:19">
      <c r="B76" s="1431" t="s">
        <v>803</v>
      </c>
      <c r="C76" s="1440">
        <f>$E$32*C58</f>
        <v>3036</v>
      </c>
      <c r="D76" s="1440">
        <f t="shared" ref="D76:Q76" si="37">$E$32*D58</f>
        <v>0</v>
      </c>
      <c r="E76" s="1440">
        <f t="shared" si="37"/>
        <v>0</v>
      </c>
      <c r="F76" s="1440">
        <f t="shared" si="37"/>
        <v>0</v>
      </c>
      <c r="G76" s="1440">
        <f t="shared" si="37"/>
        <v>0</v>
      </c>
      <c r="H76" s="1440">
        <f t="shared" si="37"/>
        <v>0</v>
      </c>
      <c r="I76" s="1440">
        <f t="shared" si="37"/>
        <v>0</v>
      </c>
      <c r="J76" s="1440">
        <f t="shared" si="37"/>
        <v>0</v>
      </c>
      <c r="K76" s="1440">
        <f t="shared" si="37"/>
        <v>0</v>
      </c>
      <c r="L76" s="1440">
        <f t="shared" si="37"/>
        <v>759</v>
      </c>
      <c r="M76" s="1440">
        <f t="shared" si="37"/>
        <v>455.4</v>
      </c>
      <c r="N76" s="1440">
        <f t="shared" si="37"/>
        <v>303.60000000000002</v>
      </c>
      <c r="O76" s="1440">
        <f t="shared" si="37"/>
        <v>151.80000000000001</v>
      </c>
      <c r="P76" s="1440">
        <f t="shared" si="37"/>
        <v>607.20000000000005</v>
      </c>
      <c r="Q76" s="1440">
        <f t="shared" si="37"/>
        <v>759</v>
      </c>
      <c r="R76" s="1440">
        <f t="shared" ref="R76:S76" si="38">$E$32*R58</f>
        <v>0</v>
      </c>
      <c r="S76" s="1440">
        <f t="shared" si="38"/>
        <v>0</v>
      </c>
    </row>
    <row r="77" spans="1:19" s="1447" customFormat="1">
      <c r="A77" s="1459"/>
      <c r="B77" s="1447" t="s">
        <v>804</v>
      </c>
      <c r="C77" s="1458">
        <f>SUMIF(D113:S113,"&lt;="&amp;D11,D119:S119)</f>
        <v>3020.5792424999995</v>
      </c>
      <c r="D77" s="1410">
        <f t="shared" ref="D77:J77" si="39">$C$77*D58</f>
        <v>0</v>
      </c>
      <c r="E77" s="1410">
        <f t="shared" si="39"/>
        <v>0</v>
      </c>
      <c r="F77" s="1410">
        <f t="shared" si="39"/>
        <v>0</v>
      </c>
      <c r="G77" s="1410">
        <f t="shared" si="39"/>
        <v>0</v>
      </c>
      <c r="H77" s="1410">
        <f t="shared" si="39"/>
        <v>0</v>
      </c>
      <c r="I77" s="1410">
        <f t="shared" si="39"/>
        <v>0</v>
      </c>
      <c r="J77" s="1410">
        <f t="shared" si="39"/>
        <v>0</v>
      </c>
      <c r="K77" s="1410">
        <f>$C$77*K58</f>
        <v>0</v>
      </c>
      <c r="L77" s="1410">
        <f t="shared" ref="L77:Q77" si="40">$C$77*L58</f>
        <v>755.14481062499988</v>
      </c>
      <c r="M77" s="1410">
        <f t="shared" si="40"/>
        <v>453.08688637499989</v>
      </c>
      <c r="N77" s="1410">
        <f t="shared" si="40"/>
        <v>302.05792424999999</v>
      </c>
      <c r="O77" s="1410">
        <f t="shared" si="40"/>
        <v>151.02896212499999</v>
      </c>
      <c r="P77" s="1410">
        <f t="shared" si="40"/>
        <v>604.11584849999997</v>
      </c>
      <c r="Q77" s="1410">
        <f t="shared" si="40"/>
        <v>755.14481062499988</v>
      </c>
      <c r="R77" s="1410">
        <f t="shared" ref="R77:S77" si="41">$C$77*R58</f>
        <v>0</v>
      </c>
      <c r="S77" s="1410">
        <f t="shared" si="41"/>
        <v>0</v>
      </c>
    </row>
    <row r="78" spans="1:19" s="1447" customFormat="1">
      <c r="A78" s="1459"/>
      <c r="B78" s="1447" t="s">
        <v>805</v>
      </c>
      <c r="C78" s="1410">
        <f>SUM(D78:S78)</f>
        <v>0</v>
      </c>
      <c r="D78" s="1410">
        <f t="shared" ref="D78:Q78" si="42">IF(D74&gt;$D$11,D119,0)</f>
        <v>0</v>
      </c>
      <c r="E78" s="1410">
        <f t="shared" si="42"/>
        <v>0</v>
      </c>
      <c r="F78" s="1410">
        <f t="shared" si="42"/>
        <v>0</v>
      </c>
      <c r="G78" s="1410">
        <f t="shared" si="42"/>
        <v>0</v>
      </c>
      <c r="H78" s="1410">
        <f t="shared" si="42"/>
        <v>0</v>
      </c>
      <c r="I78" s="1410">
        <f t="shared" si="42"/>
        <v>0</v>
      </c>
      <c r="J78" s="1410">
        <f t="shared" si="42"/>
        <v>0</v>
      </c>
      <c r="K78" s="1410">
        <f t="shared" si="42"/>
        <v>0</v>
      </c>
      <c r="L78" s="1410">
        <f t="shared" si="42"/>
        <v>0</v>
      </c>
      <c r="M78" s="1410">
        <f t="shared" si="42"/>
        <v>0</v>
      </c>
      <c r="N78" s="1410">
        <f t="shared" si="42"/>
        <v>0</v>
      </c>
      <c r="O78" s="1410">
        <f t="shared" si="42"/>
        <v>0</v>
      </c>
      <c r="P78" s="1410">
        <f t="shared" si="42"/>
        <v>0</v>
      </c>
      <c r="Q78" s="1410">
        <f t="shared" si="42"/>
        <v>0</v>
      </c>
      <c r="R78" s="1410">
        <f t="shared" ref="R78:S78" si="43">IF(R74&gt;$D$11,R119,0)</f>
        <v>0</v>
      </c>
      <c r="S78" s="1410">
        <f t="shared" si="43"/>
        <v>0</v>
      </c>
    </row>
    <row r="79" spans="1:19">
      <c r="B79" s="1431" t="s">
        <v>656</v>
      </c>
      <c r="C79" s="1440">
        <f>$D$46*C57</f>
        <v>4542.5384999999997</v>
      </c>
      <c r="D79" s="1440">
        <f t="shared" ref="D79:J79" si="44">$D$46*D57</f>
        <v>0</v>
      </c>
      <c r="E79" s="1440">
        <f t="shared" si="44"/>
        <v>0</v>
      </c>
      <c r="F79" s="1440">
        <f t="shared" si="44"/>
        <v>0</v>
      </c>
      <c r="G79" s="1440">
        <f t="shared" si="44"/>
        <v>0</v>
      </c>
      <c r="H79" s="1440">
        <f t="shared" si="44"/>
        <v>0</v>
      </c>
      <c r="I79" s="1440">
        <f t="shared" si="44"/>
        <v>0</v>
      </c>
      <c r="J79" s="1440">
        <f t="shared" si="44"/>
        <v>0</v>
      </c>
      <c r="K79" s="1440">
        <f>$D$46*K57</f>
        <v>0</v>
      </c>
      <c r="L79" s="1440">
        <f t="shared" ref="L79:Q79" si="45">$D$46*L57</f>
        <v>1135.6346249999999</v>
      </c>
      <c r="M79" s="1440">
        <f t="shared" si="45"/>
        <v>681.38077499999997</v>
      </c>
      <c r="N79" s="1440">
        <f t="shared" si="45"/>
        <v>454.25385000000006</v>
      </c>
      <c r="O79" s="1440">
        <f t="shared" si="45"/>
        <v>227.12692500000003</v>
      </c>
      <c r="P79" s="1440">
        <f t="shared" si="45"/>
        <v>908.50770000000011</v>
      </c>
      <c r="Q79" s="1440">
        <f t="shared" si="45"/>
        <v>1135.6346249999999</v>
      </c>
      <c r="R79" s="1440">
        <f t="shared" ref="R79:S79" si="46">$D$46*R57</f>
        <v>0</v>
      </c>
      <c r="S79" s="1440">
        <f t="shared" si="46"/>
        <v>0</v>
      </c>
    </row>
    <row r="80" spans="1:19">
      <c r="C80" s="1440"/>
      <c r="D80" s="1440"/>
      <c r="E80" s="1440"/>
      <c r="F80" s="1440"/>
      <c r="G80" s="1440"/>
    </row>
    <row r="82" spans="1:19" s="1407" customFormat="1">
      <c r="A82" s="1406">
        <v>6</v>
      </c>
      <c r="B82" s="1407" t="s">
        <v>878</v>
      </c>
      <c r="C82" s="1431" t="str">
        <f>C74</f>
        <v>Total</v>
      </c>
      <c r="D82" s="1431">
        <f t="shared" ref="D82:J82" si="47">D74</f>
        <v>2013</v>
      </c>
      <c r="E82" s="1431">
        <f t="shared" si="47"/>
        <v>2014</v>
      </c>
      <c r="F82" s="1431">
        <f t="shared" si="47"/>
        <v>2015</v>
      </c>
      <c r="G82" s="1431">
        <f t="shared" si="47"/>
        <v>2016</v>
      </c>
      <c r="H82" s="1431">
        <f t="shared" si="47"/>
        <v>2017</v>
      </c>
      <c r="I82" s="1431">
        <f t="shared" si="47"/>
        <v>2018</v>
      </c>
      <c r="J82" s="1431">
        <f t="shared" si="47"/>
        <v>2019</v>
      </c>
      <c r="K82" s="1431">
        <f>K74</f>
        <v>2020</v>
      </c>
      <c r="L82" s="1431">
        <f t="shared" ref="L82:Q82" si="48">L74</f>
        <v>2021</v>
      </c>
      <c r="M82" s="1431">
        <f t="shared" si="48"/>
        <v>2022</v>
      </c>
      <c r="N82" s="1431">
        <f t="shared" si="48"/>
        <v>2023</v>
      </c>
      <c r="O82" s="1431">
        <f t="shared" si="48"/>
        <v>2024</v>
      </c>
      <c r="P82" s="1431">
        <f t="shared" si="48"/>
        <v>2025</v>
      </c>
      <c r="Q82" s="1431">
        <f t="shared" si="48"/>
        <v>2026</v>
      </c>
      <c r="R82" s="1431">
        <f t="shared" ref="R82:S82" si="49">R74</f>
        <v>2027</v>
      </c>
      <c r="S82" s="1431">
        <f t="shared" si="49"/>
        <v>2028</v>
      </c>
    </row>
    <row r="83" spans="1:19">
      <c r="B83" s="1432" t="s">
        <v>26</v>
      </c>
      <c r="C83" s="1441">
        <f t="shared" ref="C83:J83" si="50">C57</f>
        <v>15141.795</v>
      </c>
      <c r="D83" s="1441">
        <f t="shared" si="50"/>
        <v>0</v>
      </c>
      <c r="E83" s="1441">
        <f t="shared" si="50"/>
        <v>0</v>
      </c>
      <c r="F83" s="1441">
        <f t="shared" si="50"/>
        <v>0</v>
      </c>
      <c r="G83" s="1441">
        <f t="shared" si="50"/>
        <v>0</v>
      </c>
      <c r="H83" s="1441">
        <f t="shared" si="50"/>
        <v>0</v>
      </c>
      <c r="I83" s="1441">
        <f t="shared" si="50"/>
        <v>0</v>
      </c>
      <c r="J83" s="1441">
        <f t="shared" si="50"/>
        <v>0</v>
      </c>
      <c r="K83" s="1441">
        <f>K57</f>
        <v>0</v>
      </c>
      <c r="L83" s="1441">
        <f t="shared" ref="L83:Q83" si="51">L57</f>
        <v>3785.44875</v>
      </c>
      <c r="M83" s="1441">
        <f t="shared" si="51"/>
        <v>2271.2692499999998</v>
      </c>
      <c r="N83" s="1441">
        <f t="shared" si="51"/>
        <v>1514.1795000000002</v>
      </c>
      <c r="O83" s="1441">
        <f t="shared" si="51"/>
        <v>757.08975000000009</v>
      </c>
      <c r="P83" s="1441">
        <f t="shared" si="51"/>
        <v>3028.3590000000004</v>
      </c>
      <c r="Q83" s="1441">
        <f t="shared" si="51"/>
        <v>3785.44875</v>
      </c>
      <c r="R83" s="1441">
        <f t="shared" ref="R83:S83" si="52">R57</f>
        <v>0</v>
      </c>
      <c r="S83" s="1441">
        <f t="shared" si="52"/>
        <v>0</v>
      </c>
    </row>
    <row r="84" spans="1:19">
      <c r="B84" s="1431" t="s">
        <v>432</v>
      </c>
      <c r="C84" s="1440">
        <f>SUM(C75:C77)</f>
        <v>8381.5792425</v>
      </c>
      <c r="D84" s="1440">
        <f>SUM(D75:D77)</f>
        <v>0</v>
      </c>
      <c r="E84" s="1440">
        <f t="shared" ref="E84:J84" si="53">SUM(E75:E77)</f>
        <v>0</v>
      </c>
      <c r="F84" s="1440">
        <f t="shared" si="53"/>
        <v>0</v>
      </c>
      <c r="G84" s="1440">
        <f t="shared" si="53"/>
        <v>0</v>
      </c>
      <c r="H84" s="1440">
        <f t="shared" si="53"/>
        <v>0</v>
      </c>
      <c r="I84" s="1440">
        <f t="shared" si="53"/>
        <v>0</v>
      </c>
      <c r="J84" s="1440">
        <f t="shared" si="53"/>
        <v>0</v>
      </c>
      <c r="K84" s="1440">
        <f>SUM(K75:K77)</f>
        <v>0</v>
      </c>
      <c r="L84" s="1440">
        <f t="shared" ref="L84:Q84" si="54">SUM(L75:L77)</f>
        <v>2095.394810625</v>
      </c>
      <c r="M84" s="1440">
        <f t="shared" si="54"/>
        <v>1257.2368863749998</v>
      </c>
      <c r="N84" s="1440">
        <f t="shared" si="54"/>
        <v>838.15792424999995</v>
      </c>
      <c r="O84" s="1440">
        <f t="shared" si="54"/>
        <v>419.07896212499998</v>
      </c>
      <c r="P84" s="1440">
        <f t="shared" si="54"/>
        <v>1676.3158484999999</v>
      </c>
      <c r="Q84" s="1440">
        <f t="shared" si="54"/>
        <v>2095.394810625</v>
      </c>
      <c r="R84" s="1440">
        <f t="shared" ref="R84:S84" si="55">SUM(R75:R77)</f>
        <v>0</v>
      </c>
      <c r="S84" s="1440">
        <f t="shared" si="55"/>
        <v>0</v>
      </c>
    </row>
    <row r="85" spans="1:19">
      <c r="B85" s="1431" t="s">
        <v>28</v>
      </c>
      <c r="C85" s="1440">
        <f>C83-C84</f>
        <v>6760.2157575000001</v>
      </c>
      <c r="D85" s="1440">
        <f t="shared" ref="D85:Q85" si="56">D83-D84</f>
        <v>0</v>
      </c>
      <c r="E85" s="1440">
        <f t="shared" si="56"/>
        <v>0</v>
      </c>
      <c r="F85" s="1440">
        <f t="shared" si="56"/>
        <v>0</v>
      </c>
      <c r="G85" s="1440">
        <f t="shared" si="56"/>
        <v>0</v>
      </c>
      <c r="H85" s="1440">
        <f t="shared" si="56"/>
        <v>0</v>
      </c>
      <c r="I85" s="1440">
        <f t="shared" si="56"/>
        <v>0</v>
      </c>
      <c r="J85" s="1440">
        <f t="shared" si="56"/>
        <v>0</v>
      </c>
      <c r="K85" s="1440">
        <f t="shared" si="56"/>
        <v>0</v>
      </c>
      <c r="L85" s="1440">
        <f t="shared" si="56"/>
        <v>1690.053939375</v>
      </c>
      <c r="M85" s="1440">
        <f t="shared" si="56"/>
        <v>1014.032363625</v>
      </c>
      <c r="N85" s="1440">
        <f t="shared" si="56"/>
        <v>676.02157575000024</v>
      </c>
      <c r="O85" s="1440">
        <f t="shared" si="56"/>
        <v>338.01078787500012</v>
      </c>
      <c r="P85" s="1440">
        <f t="shared" si="56"/>
        <v>1352.0431515000005</v>
      </c>
      <c r="Q85" s="1440">
        <f t="shared" si="56"/>
        <v>1690.053939375</v>
      </c>
      <c r="R85" s="1440">
        <f t="shared" ref="R85:S85" si="57">R83-R84</f>
        <v>0</v>
      </c>
      <c r="S85" s="1440">
        <f t="shared" si="57"/>
        <v>0</v>
      </c>
    </row>
    <row r="86" spans="1:19">
      <c r="B86" s="1431" t="s">
        <v>656</v>
      </c>
      <c r="C86" s="1440">
        <f>C79</f>
        <v>4542.5384999999997</v>
      </c>
      <c r="D86" s="1440">
        <f>D79</f>
        <v>0</v>
      </c>
      <c r="E86" s="1440">
        <f t="shared" ref="E86:J86" si="58">E79</f>
        <v>0</v>
      </c>
      <c r="F86" s="1440">
        <f t="shared" si="58"/>
        <v>0</v>
      </c>
      <c r="G86" s="1440">
        <f t="shared" si="58"/>
        <v>0</v>
      </c>
      <c r="H86" s="1440">
        <f t="shared" si="58"/>
        <v>0</v>
      </c>
      <c r="I86" s="1440">
        <f t="shared" si="58"/>
        <v>0</v>
      </c>
      <c r="J86" s="1440">
        <f t="shared" si="58"/>
        <v>0</v>
      </c>
      <c r="K86" s="1440">
        <f>K79</f>
        <v>0</v>
      </c>
      <c r="L86" s="1440">
        <f t="shared" ref="L86:Q86" si="59">L79</f>
        <v>1135.6346249999999</v>
      </c>
      <c r="M86" s="1440">
        <f t="shared" si="59"/>
        <v>681.38077499999997</v>
      </c>
      <c r="N86" s="1440">
        <f t="shared" si="59"/>
        <v>454.25385000000006</v>
      </c>
      <c r="O86" s="1440">
        <f t="shared" si="59"/>
        <v>227.12692500000003</v>
      </c>
      <c r="P86" s="1440">
        <f t="shared" si="59"/>
        <v>908.50770000000011</v>
      </c>
      <c r="Q86" s="1440">
        <f t="shared" si="59"/>
        <v>1135.6346249999999</v>
      </c>
      <c r="R86" s="1440">
        <f t="shared" ref="R86:S86" si="60">R79</f>
        <v>0</v>
      </c>
      <c r="S86" s="1440">
        <f t="shared" si="60"/>
        <v>0</v>
      </c>
    </row>
    <row r="87" spans="1:19">
      <c r="B87" s="1431" t="s">
        <v>805</v>
      </c>
      <c r="C87" s="1410">
        <f>C78</f>
        <v>0</v>
      </c>
      <c r="D87" s="1440">
        <f>D78</f>
        <v>0</v>
      </c>
      <c r="E87" s="1440">
        <f t="shared" ref="E87:J87" si="61">E78</f>
        <v>0</v>
      </c>
      <c r="F87" s="1440">
        <f t="shared" si="61"/>
        <v>0</v>
      </c>
      <c r="G87" s="1440">
        <f t="shared" si="61"/>
        <v>0</v>
      </c>
      <c r="H87" s="1440">
        <f t="shared" si="61"/>
        <v>0</v>
      </c>
      <c r="I87" s="1440">
        <f t="shared" si="61"/>
        <v>0</v>
      </c>
      <c r="J87" s="1440">
        <f t="shared" si="61"/>
        <v>0</v>
      </c>
      <c r="K87" s="1440">
        <f>K78</f>
        <v>0</v>
      </c>
      <c r="L87" s="1440">
        <f t="shared" ref="L87:Q87" si="62">L78</f>
        <v>0</v>
      </c>
      <c r="M87" s="1440">
        <f t="shared" si="62"/>
        <v>0</v>
      </c>
      <c r="N87" s="1440">
        <f t="shared" si="62"/>
        <v>0</v>
      </c>
      <c r="O87" s="1440">
        <f t="shared" si="62"/>
        <v>0</v>
      </c>
      <c r="P87" s="1440">
        <f t="shared" si="62"/>
        <v>0</v>
      </c>
      <c r="Q87" s="1440">
        <f t="shared" si="62"/>
        <v>0</v>
      </c>
      <c r="R87" s="1440">
        <f t="shared" ref="R87:S87" si="63">R78</f>
        <v>0</v>
      </c>
      <c r="S87" s="1440">
        <f t="shared" si="63"/>
        <v>0</v>
      </c>
    </row>
    <row r="88" spans="1:19">
      <c r="B88" s="1431" t="s">
        <v>822</v>
      </c>
      <c r="C88" s="1440">
        <f>C85-C86-C87</f>
        <v>2217.6772575000005</v>
      </c>
      <c r="D88" s="1440">
        <f t="shared" ref="D88:Q88" si="64">D85-D86-D87</f>
        <v>0</v>
      </c>
      <c r="E88" s="1440">
        <f t="shared" si="64"/>
        <v>0</v>
      </c>
      <c r="F88" s="1440">
        <f t="shared" si="64"/>
        <v>0</v>
      </c>
      <c r="G88" s="1440">
        <f t="shared" si="64"/>
        <v>0</v>
      </c>
      <c r="H88" s="1440">
        <f t="shared" si="64"/>
        <v>0</v>
      </c>
      <c r="I88" s="1440">
        <f t="shared" si="64"/>
        <v>0</v>
      </c>
      <c r="J88" s="1440">
        <f t="shared" si="64"/>
        <v>0</v>
      </c>
      <c r="K88" s="1440">
        <f t="shared" si="64"/>
        <v>0</v>
      </c>
      <c r="L88" s="1440">
        <f t="shared" si="64"/>
        <v>554.41931437500011</v>
      </c>
      <c r="M88" s="1440">
        <f t="shared" si="64"/>
        <v>332.65158862500004</v>
      </c>
      <c r="N88" s="1440">
        <f t="shared" si="64"/>
        <v>221.76772575000018</v>
      </c>
      <c r="O88" s="1440">
        <f t="shared" si="64"/>
        <v>110.88386287500009</v>
      </c>
      <c r="P88" s="1440">
        <f t="shared" si="64"/>
        <v>443.53545150000036</v>
      </c>
      <c r="Q88" s="1440">
        <f t="shared" si="64"/>
        <v>554.41931437500011</v>
      </c>
      <c r="R88" s="1440">
        <f t="shared" ref="R88:S88" si="65">R85-R86-R87</f>
        <v>0</v>
      </c>
      <c r="S88" s="1440">
        <f t="shared" si="65"/>
        <v>0</v>
      </c>
    </row>
    <row r="89" spans="1:19">
      <c r="B89" s="1431" t="s">
        <v>290</v>
      </c>
      <c r="C89" s="1440">
        <f>SUM(D89:S89)</f>
        <v>443.53545150000025</v>
      </c>
      <c r="D89" s="1410">
        <f t="shared" ref="D89:Q89" si="66">D88*D22</f>
        <v>0</v>
      </c>
      <c r="E89" s="1410">
        <f t="shared" si="66"/>
        <v>0</v>
      </c>
      <c r="F89" s="1410">
        <f t="shared" si="66"/>
        <v>0</v>
      </c>
      <c r="G89" s="1410">
        <f t="shared" si="66"/>
        <v>0</v>
      </c>
      <c r="H89" s="1410">
        <f t="shared" si="66"/>
        <v>0</v>
      </c>
      <c r="I89" s="1410">
        <f t="shared" si="66"/>
        <v>0</v>
      </c>
      <c r="J89" s="1410">
        <f t="shared" si="66"/>
        <v>0</v>
      </c>
      <c r="K89" s="1410">
        <f t="shared" si="66"/>
        <v>0</v>
      </c>
      <c r="L89" s="1410">
        <f t="shared" si="66"/>
        <v>110.88386287500003</v>
      </c>
      <c r="M89" s="1410">
        <f t="shared" si="66"/>
        <v>66.530317725000018</v>
      </c>
      <c r="N89" s="1410">
        <f t="shared" si="66"/>
        <v>44.353545150000038</v>
      </c>
      <c r="O89" s="1410">
        <f t="shared" si="66"/>
        <v>22.176772575000019</v>
      </c>
      <c r="P89" s="1410">
        <f t="shared" si="66"/>
        <v>88.707090300000075</v>
      </c>
      <c r="Q89" s="1410">
        <f t="shared" si="66"/>
        <v>110.88386287500003</v>
      </c>
      <c r="R89" s="1410">
        <f t="shared" ref="R89:S89" si="67">R88*R22</f>
        <v>0</v>
      </c>
      <c r="S89" s="1410">
        <f t="shared" si="67"/>
        <v>0</v>
      </c>
    </row>
    <row r="90" spans="1:19">
      <c r="B90" s="1431" t="s">
        <v>661</v>
      </c>
      <c r="C90" s="1440">
        <f>SUM(D90:S90)</f>
        <v>1774.1418060000008</v>
      </c>
      <c r="D90" s="1440">
        <f>D88-D89</f>
        <v>0</v>
      </c>
      <c r="E90" s="1440">
        <f t="shared" ref="E90:J90" si="68">E88-E89</f>
        <v>0</v>
      </c>
      <c r="F90" s="1440">
        <f t="shared" si="68"/>
        <v>0</v>
      </c>
      <c r="G90" s="1440">
        <f t="shared" si="68"/>
        <v>0</v>
      </c>
      <c r="H90" s="1440">
        <f t="shared" si="68"/>
        <v>0</v>
      </c>
      <c r="I90" s="1440">
        <f t="shared" si="68"/>
        <v>0</v>
      </c>
      <c r="J90" s="1440">
        <f t="shared" si="68"/>
        <v>0</v>
      </c>
      <c r="K90" s="1440">
        <f>K88-K89</f>
        <v>0</v>
      </c>
      <c r="L90" s="1440">
        <f t="shared" ref="L90:Q90" si="69">L88-L89</f>
        <v>443.53545150000008</v>
      </c>
      <c r="M90" s="1440">
        <f t="shared" si="69"/>
        <v>266.12127090000001</v>
      </c>
      <c r="N90" s="1440">
        <f t="shared" si="69"/>
        <v>177.41418060000015</v>
      </c>
      <c r="O90" s="1440">
        <f t="shared" si="69"/>
        <v>88.707090300000075</v>
      </c>
      <c r="P90" s="1440">
        <f t="shared" si="69"/>
        <v>354.8283612000003</v>
      </c>
      <c r="Q90" s="1440">
        <f t="shared" si="69"/>
        <v>443.53545150000008</v>
      </c>
      <c r="R90" s="1440">
        <f t="shared" ref="R90:S90" si="70">R88-R89</f>
        <v>0</v>
      </c>
      <c r="S90" s="1440">
        <f t="shared" si="70"/>
        <v>0</v>
      </c>
    </row>
    <row r="91" spans="1:19">
      <c r="B91" s="1428" t="s">
        <v>197</v>
      </c>
      <c r="C91" s="1429">
        <f>IF(C83&lt;&gt;0,1-C84/C83,"")</f>
        <v>0.4464606579008632</v>
      </c>
      <c r="D91" s="1429" t="str">
        <f t="shared" ref="D91:J91" si="71">IF(D83&lt;&gt;0,1-D84/D83,"")</f>
        <v/>
      </c>
      <c r="E91" s="1429" t="str">
        <f t="shared" si="71"/>
        <v/>
      </c>
      <c r="F91" s="1429" t="str">
        <f t="shared" si="71"/>
        <v/>
      </c>
      <c r="G91" s="1429" t="str">
        <f t="shared" si="71"/>
        <v/>
      </c>
      <c r="H91" s="1429" t="str">
        <f t="shared" si="71"/>
        <v/>
      </c>
      <c r="I91" s="1429" t="str">
        <f t="shared" si="71"/>
        <v/>
      </c>
      <c r="J91" s="1429" t="str">
        <f t="shared" si="71"/>
        <v/>
      </c>
      <c r="K91" s="1429" t="str">
        <f>IF(K83&lt;&gt;0,1-K84/K83,"")</f>
        <v/>
      </c>
      <c r="L91" s="1429">
        <f t="shared" ref="L91:Q91" si="72">IF(L83&lt;&gt;0,1-L84/L83,"")</f>
        <v>0.4464606579008632</v>
      </c>
      <c r="M91" s="1429">
        <f t="shared" si="72"/>
        <v>0.4464606579008632</v>
      </c>
      <c r="N91" s="1429">
        <f t="shared" si="72"/>
        <v>0.4464606579008632</v>
      </c>
      <c r="O91" s="1429">
        <f t="shared" si="72"/>
        <v>0.4464606579008632</v>
      </c>
      <c r="P91" s="1429">
        <f t="shared" si="72"/>
        <v>0.4464606579008632</v>
      </c>
      <c r="Q91" s="1429">
        <f t="shared" si="72"/>
        <v>0.4464606579008632</v>
      </c>
      <c r="R91" s="1429" t="str">
        <f t="shared" ref="R91:S91" si="73">IF(R83&lt;&gt;0,1-R84/R83,"")</f>
        <v/>
      </c>
      <c r="S91" s="1429" t="str">
        <f t="shared" si="73"/>
        <v/>
      </c>
    </row>
    <row r="92" spans="1:19">
      <c r="B92" s="1428" t="s">
        <v>1779</v>
      </c>
      <c r="C92" s="1429">
        <f>IF(C83&lt;&gt;0,C90/C83,"")</f>
        <v>0.11716852632069057</v>
      </c>
      <c r="D92" s="1429" t="str">
        <f t="shared" ref="D92:Q92" si="74">IF(D83&lt;&gt;0,D90/D83,"")</f>
        <v/>
      </c>
      <c r="E92" s="1429" t="str">
        <f t="shared" si="74"/>
        <v/>
      </c>
      <c r="F92" s="1429" t="str">
        <f t="shared" si="74"/>
        <v/>
      </c>
      <c r="G92" s="1429" t="str">
        <f t="shared" si="74"/>
        <v/>
      </c>
      <c r="H92" s="1429" t="str">
        <f t="shared" si="74"/>
        <v/>
      </c>
      <c r="I92" s="1429" t="str">
        <f t="shared" si="74"/>
        <v/>
      </c>
      <c r="J92" s="1429" t="str">
        <f t="shared" si="74"/>
        <v/>
      </c>
      <c r="K92" s="1429" t="str">
        <f t="shared" si="74"/>
        <v/>
      </c>
      <c r="L92" s="1429">
        <f t="shared" si="74"/>
        <v>0.11716852632069054</v>
      </c>
      <c r="M92" s="1429">
        <f t="shared" si="74"/>
        <v>0.11716852632069052</v>
      </c>
      <c r="N92" s="1429">
        <f t="shared" si="74"/>
        <v>0.11716852632069059</v>
      </c>
      <c r="O92" s="1429">
        <f t="shared" si="74"/>
        <v>0.11716852632069059</v>
      </c>
      <c r="P92" s="1429">
        <f t="shared" si="74"/>
        <v>0.11716852632069059</v>
      </c>
      <c r="Q92" s="1429">
        <f t="shared" si="74"/>
        <v>0.11716852632069054</v>
      </c>
      <c r="R92" s="1429" t="str">
        <f t="shared" ref="R92:S92" si="75">IF(R83&lt;&gt;0,R90/R83,"")</f>
        <v/>
      </c>
      <c r="S92" s="1429" t="str">
        <f t="shared" si="75"/>
        <v/>
      </c>
    </row>
    <row r="93" spans="1:19">
      <c r="B93" s="1428"/>
      <c r="C93" s="1429"/>
      <c r="D93" s="1429"/>
      <c r="E93" s="1429"/>
      <c r="F93" s="1429"/>
      <c r="G93" s="1429"/>
      <c r="H93" s="1429"/>
    </row>
    <row r="94" spans="1:19">
      <c r="D94" s="1440"/>
      <c r="E94" s="1440"/>
      <c r="F94" s="1440"/>
      <c r="G94" s="1440"/>
    </row>
    <row r="95" spans="1:19" s="1407" customFormat="1">
      <c r="A95" s="1406">
        <v>7</v>
      </c>
      <c r="B95" s="1407" t="s">
        <v>1589</v>
      </c>
      <c r="C95" s="1440" t="s">
        <v>642</v>
      </c>
      <c r="D95" s="1431">
        <f t="shared" ref="D95:J95" si="76">D82</f>
        <v>2013</v>
      </c>
      <c r="E95" s="1431">
        <f t="shared" si="76"/>
        <v>2014</v>
      </c>
      <c r="F95" s="1431">
        <f t="shared" si="76"/>
        <v>2015</v>
      </c>
      <c r="G95" s="1431">
        <f t="shared" si="76"/>
        <v>2016</v>
      </c>
      <c r="H95" s="1431">
        <f t="shared" si="76"/>
        <v>2017</v>
      </c>
      <c r="I95" s="1431">
        <f t="shared" si="76"/>
        <v>2018</v>
      </c>
      <c r="J95" s="1431">
        <f t="shared" si="76"/>
        <v>2019</v>
      </c>
      <c r="K95" s="1431">
        <f>K82</f>
        <v>2020</v>
      </c>
      <c r="L95" s="1431">
        <f t="shared" ref="L95:Q95" si="77">L82</f>
        <v>2021</v>
      </c>
      <c r="M95" s="1431">
        <f t="shared" si="77"/>
        <v>2022</v>
      </c>
      <c r="N95" s="1431">
        <f t="shared" si="77"/>
        <v>2023</v>
      </c>
      <c r="O95" s="1431">
        <f t="shared" si="77"/>
        <v>2024</v>
      </c>
      <c r="P95" s="1431">
        <f t="shared" si="77"/>
        <v>2025</v>
      </c>
      <c r="Q95" s="1431">
        <f t="shared" si="77"/>
        <v>2026</v>
      </c>
      <c r="R95" s="1431">
        <f t="shared" ref="R95:S95" si="78">R82</f>
        <v>2027</v>
      </c>
      <c r="S95" s="1431">
        <f t="shared" si="78"/>
        <v>2028</v>
      </c>
    </row>
    <row r="96" spans="1:19">
      <c r="B96" s="1419" t="s">
        <v>850</v>
      </c>
      <c r="C96" s="1441">
        <f>C63</f>
        <v>15141.795</v>
      </c>
      <c r="D96" s="1441">
        <f t="shared" ref="D96:J96" si="79">D63</f>
        <v>0</v>
      </c>
      <c r="E96" s="1441">
        <f t="shared" si="79"/>
        <v>0</v>
      </c>
      <c r="F96" s="1441">
        <f t="shared" si="79"/>
        <v>0</v>
      </c>
      <c r="G96" s="1441">
        <f t="shared" si="79"/>
        <v>0</v>
      </c>
      <c r="H96" s="1441">
        <f t="shared" si="79"/>
        <v>0</v>
      </c>
      <c r="I96" s="1441">
        <f t="shared" si="79"/>
        <v>0</v>
      </c>
      <c r="J96" s="1441">
        <f t="shared" si="79"/>
        <v>0</v>
      </c>
      <c r="K96" s="1441">
        <f>K63</f>
        <v>311.31750000000005</v>
      </c>
      <c r="L96" s="1441">
        <f t="shared" ref="L96:P96" si="80">L63</f>
        <v>1221.3225000000002</v>
      </c>
      <c r="M96" s="1441">
        <f t="shared" si="80"/>
        <v>2466.5925000000002</v>
      </c>
      <c r="N96" s="1441">
        <f>N63</f>
        <v>2490.54</v>
      </c>
      <c r="O96" s="1441">
        <f t="shared" si="80"/>
        <v>1293.165</v>
      </c>
      <c r="P96" s="1441">
        <f t="shared" si="80"/>
        <v>432.45000000000005</v>
      </c>
      <c r="Q96" s="1441">
        <f>Q63</f>
        <v>1904.2215000000001</v>
      </c>
      <c r="R96" s="1441">
        <f t="shared" ref="R96:S96" si="81">R63</f>
        <v>2943.5430000000001</v>
      </c>
      <c r="S96" s="1441">
        <f t="shared" si="81"/>
        <v>2078.643</v>
      </c>
    </row>
    <row r="97" spans="1:19">
      <c r="B97" s="1407"/>
      <c r="C97" s="1440"/>
      <c r="D97" s="1440"/>
      <c r="E97" s="1440"/>
      <c r="F97" s="1440"/>
      <c r="G97" s="1440"/>
      <c r="H97" s="1440"/>
      <c r="I97" s="1440"/>
      <c r="J97" s="1440"/>
      <c r="K97" s="1440"/>
      <c r="L97" s="1440"/>
      <c r="M97" s="1440"/>
      <c r="N97" s="1440"/>
      <c r="O97" s="1440"/>
      <c r="P97" s="1440"/>
      <c r="Q97" s="1440"/>
      <c r="R97" s="1440"/>
      <c r="S97" s="1440"/>
    </row>
    <row r="98" spans="1:19">
      <c r="B98" s="1407" t="s">
        <v>851</v>
      </c>
      <c r="C98" s="1440">
        <f t="shared" ref="C98:J98" si="82">SUM(C99:C102)</f>
        <v>10347.073951499999</v>
      </c>
      <c r="D98" s="1440">
        <f t="shared" si="82"/>
        <v>0</v>
      </c>
      <c r="E98" s="1440">
        <f t="shared" si="82"/>
        <v>0</v>
      </c>
      <c r="F98" s="1440">
        <f t="shared" si="82"/>
        <v>0</v>
      </c>
      <c r="G98" s="1440">
        <f t="shared" si="82"/>
        <v>0</v>
      </c>
      <c r="H98" s="1440">
        <f t="shared" si="82"/>
        <v>0</v>
      </c>
      <c r="I98" s="1440">
        <f t="shared" si="82"/>
        <v>0</v>
      </c>
      <c r="J98" s="1440">
        <f t="shared" si="82"/>
        <v>1669.8000000000002</v>
      </c>
      <c r="K98" s="1440">
        <f>SUM(K99:K102)</f>
        <v>1714.95</v>
      </c>
      <c r="L98" s="1440">
        <f t="shared" ref="L98:Q98" si="83">SUM(L99:L102)</f>
        <v>1595.2684878749999</v>
      </c>
      <c r="M98" s="1440">
        <f t="shared" si="83"/>
        <v>1212.9110927250001</v>
      </c>
      <c r="N98" s="1440">
        <f t="shared" si="83"/>
        <v>963.60739515000012</v>
      </c>
      <c r="O98" s="1440">
        <f t="shared" si="83"/>
        <v>598.053697575</v>
      </c>
      <c r="P98" s="1440">
        <f t="shared" si="83"/>
        <v>1345.9647903000002</v>
      </c>
      <c r="Q98" s="1440">
        <f t="shared" si="83"/>
        <v>1246.5184878749999</v>
      </c>
      <c r="R98" s="1440">
        <f t="shared" ref="R98:S98" si="84">SUM(R99:R102)</f>
        <v>0</v>
      </c>
      <c r="S98" s="1440">
        <f t="shared" si="84"/>
        <v>0</v>
      </c>
    </row>
    <row r="99" spans="1:19">
      <c r="B99" s="1431" t="s">
        <v>852</v>
      </c>
      <c r="C99" s="1440">
        <f t="shared" ref="C99:J99" si="85">C35</f>
        <v>3036</v>
      </c>
      <c r="D99" s="1440">
        <f t="shared" si="85"/>
        <v>0</v>
      </c>
      <c r="E99" s="1440">
        <f t="shared" si="85"/>
        <v>0</v>
      </c>
      <c r="F99" s="1440">
        <f t="shared" si="85"/>
        <v>0</v>
      </c>
      <c r="G99" s="1440">
        <f t="shared" si="85"/>
        <v>0</v>
      </c>
      <c r="H99" s="1440">
        <f t="shared" si="85"/>
        <v>0</v>
      </c>
      <c r="I99" s="1440">
        <f t="shared" si="85"/>
        <v>0</v>
      </c>
      <c r="J99" s="1440">
        <f t="shared" si="85"/>
        <v>1669.8000000000002</v>
      </c>
      <c r="K99" s="1440">
        <f>K35</f>
        <v>1366.2</v>
      </c>
      <c r="L99" s="1440">
        <f t="shared" ref="L99:Q99" si="86">L35</f>
        <v>0</v>
      </c>
      <c r="M99" s="1440">
        <f t="shared" si="86"/>
        <v>0</v>
      </c>
      <c r="N99" s="1440">
        <f t="shared" si="86"/>
        <v>0</v>
      </c>
      <c r="O99" s="1440">
        <f t="shared" si="86"/>
        <v>0</v>
      </c>
      <c r="P99" s="1440">
        <f t="shared" si="86"/>
        <v>0</v>
      </c>
      <c r="Q99" s="1440">
        <f t="shared" si="86"/>
        <v>0</v>
      </c>
      <c r="R99" s="1440">
        <f t="shared" ref="R99:S99" si="87">R35</f>
        <v>0</v>
      </c>
      <c r="S99" s="1440">
        <f t="shared" si="87"/>
        <v>0</v>
      </c>
    </row>
    <row r="100" spans="1:19">
      <c r="B100" s="1431" t="s">
        <v>788</v>
      </c>
      <c r="C100" s="1440">
        <f t="shared" ref="C100:J100" si="88">C70</f>
        <v>2325</v>
      </c>
      <c r="D100" s="1440">
        <f t="shared" si="88"/>
        <v>0</v>
      </c>
      <c r="E100" s="1440">
        <f t="shared" si="88"/>
        <v>0</v>
      </c>
      <c r="F100" s="1440">
        <f t="shared" si="88"/>
        <v>0</v>
      </c>
      <c r="G100" s="1440">
        <f t="shared" si="88"/>
        <v>0</v>
      </c>
      <c r="H100" s="1440">
        <f t="shared" si="88"/>
        <v>0</v>
      </c>
      <c r="I100" s="1440">
        <f t="shared" si="88"/>
        <v>0</v>
      </c>
      <c r="J100" s="1440">
        <f t="shared" si="88"/>
        <v>0</v>
      </c>
      <c r="K100" s="1440">
        <f>K70</f>
        <v>348.75</v>
      </c>
      <c r="L100" s="1440">
        <f t="shared" ref="L100:Q100" si="89">L70</f>
        <v>348.75</v>
      </c>
      <c r="M100" s="1440">
        <f t="shared" si="89"/>
        <v>465</v>
      </c>
      <c r="N100" s="1440">
        <f t="shared" si="89"/>
        <v>465</v>
      </c>
      <c r="O100" s="1440">
        <f t="shared" si="89"/>
        <v>348.75</v>
      </c>
      <c r="P100" s="1440">
        <f t="shared" si="89"/>
        <v>348.75</v>
      </c>
      <c r="Q100" s="1440">
        <f t="shared" si="89"/>
        <v>0</v>
      </c>
      <c r="R100" s="1440">
        <f t="shared" ref="R100:S100" si="90">R70</f>
        <v>0</v>
      </c>
      <c r="S100" s="1440">
        <f t="shared" si="90"/>
        <v>0</v>
      </c>
    </row>
    <row r="101" spans="1:19">
      <c r="B101" s="1431" t="s">
        <v>656</v>
      </c>
      <c r="C101" s="1440">
        <f t="shared" ref="C101:J101" si="91">C79</f>
        <v>4542.5384999999997</v>
      </c>
      <c r="D101" s="1440">
        <f t="shared" si="91"/>
        <v>0</v>
      </c>
      <c r="E101" s="1440">
        <f t="shared" si="91"/>
        <v>0</v>
      </c>
      <c r="F101" s="1440">
        <f t="shared" si="91"/>
        <v>0</v>
      </c>
      <c r="G101" s="1440">
        <f t="shared" si="91"/>
        <v>0</v>
      </c>
      <c r="H101" s="1440">
        <f t="shared" si="91"/>
        <v>0</v>
      </c>
      <c r="I101" s="1440">
        <f t="shared" si="91"/>
        <v>0</v>
      </c>
      <c r="J101" s="1440">
        <f t="shared" si="91"/>
        <v>0</v>
      </c>
      <c r="K101" s="1440">
        <f>K79</f>
        <v>0</v>
      </c>
      <c r="L101" s="1440">
        <f t="shared" ref="L101:Q101" si="92">L79</f>
        <v>1135.6346249999999</v>
      </c>
      <c r="M101" s="1440">
        <f t="shared" si="92"/>
        <v>681.38077499999997</v>
      </c>
      <c r="N101" s="1440">
        <f t="shared" si="92"/>
        <v>454.25385000000006</v>
      </c>
      <c r="O101" s="1440">
        <f t="shared" si="92"/>
        <v>227.12692500000003</v>
      </c>
      <c r="P101" s="1440">
        <f t="shared" si="92"/>
        <v>908.50770000000011</v>
      </c>
      <c r="Q101" s="1440">
        <f t="shared" si="92"/>
        <v>1135.6346249999999</v>
      </c>
      <c r="R101" s="1440">
        <f t="shared" ref="R101:S101" si="93">R79</f>
        <v>0</v>
      </c>
      <c r="S101" s="1440">
        <f t="shared" si="93"/>
        <v>0</v>
      </c>
    </row>
    <row r="102" spans="1:19">
      <c r="B102" s="1431" t="s">
        <v>854</v>
      </c>
      <c r="C102" s="1440">
        <f t="shared" ref="C102:J102" si="94">C89</f>
        <v>443.53545150000025</v>
      </c>
      <c r="D102" s="1440">
        <f t="shared" si="94"/>
        <v>0</v>
      </c>
      <c r="E102" s="1440">
        <f t="shared" si="94"/>
        <v>0</v>
      </c>
      <c r="F102" s="1440">
        <f t="shared" si="94"/>
        <v>0</v>
      </c>
      <c r="G102" s="1440">
        <f t="shared" si="94"/>
        <v>0</v>
      </c>
      <c r="H102" s="1440">
        <f t="shared" si="94"/>
        <v>0</v>
      </c>
      <c r="I102" s="1440">
        <f t="shared" si="94"/>
        <v>0</v>
      </c>
      <c r="J102" s="1440">
        <f t="shared" si="94"/>
        <v>0</v>
      </c>
      <c r="K102" s="1440">
        <f>K89</f>
        <v>0</v>
      </c>
      <c r="L102" s="1440">
        <f t="shared" ref="L102:Q102" si="95">L89</f>
        <v>110.88386287500003</v>
      </c>
      <c r="M102" s="1440">
        <f t="shared" si="95"/>
        <v>66.530317725000018</v>
      </c>
      <c r="N102" s="1440">
        <f t="shared" si="95"/>
        <v>44.353545150000038</v>
      </c>
      <c r="O102" s="1440">
        <f t="shared" si="95"/>
        <v>22.176772575000019</v>
      </c>
      <c r="P102" s="1440">
        <f t="shared" si="95"/>
        <v>88.707090300000075</v>
      </c>
      <c r="Q102" s="1440">
        <f t="shared" si="95"/>
        <v>110.88386287500003</v>
      </c>
      <c r="R102" s="1440">
        <f t="shared" ref="R102:S102" si="96">R89</f>
        <v>0</v>
      </c>
      <c r="S102" s="1440">
        <f t="shared" si="96"/>
        <v>0</v>
      </c>
    </row>
    <row r="103" spans="1:19">
      <c r="A103" s="1444"/>
      <c r="B103" s="1431" t="s">
        <v>855</v>
      </c>
      <c r="C103" s="1440">
        <f t="shared" ref="C103:J103" si="97">C96-C98</f>
        <v>4794.7210485000014</v>
      </c>
      <c r="D103" s="1656">
        <f t="shared" si="97"/>
        <v>0</v>
      </c>
      <c r="E103" s="1440">
        <f t="shared" si="97"/>
        <v>0</v>
      </c>
      <c r="F103" s="1440">
        <f t="shared" si="97"/>
        <v>0</v>
      </c>
      <c r="G103" s="1440">
        <f t="shared" si="97"/>
        <v>0</v>
      </c>
      <c r="H103" s="1440">
        <f t="shared" si="97"/>
        <v>0</v>
      </c>
      <c r="I103" s="1440">
        <f t="shared" si="97"/>
        <v>0</v>
      </c>
      <c r="J103" s="1440">
        <f t="shared" si="97"/>
        <v>-1669.8000000000002</v>
      </c>
      <c r="K103" s="1440">
        <f>K96-K98</f>
        <v>-1403.6324999999999</v>
      </c>
      <c r="L103" s="1440">
        <f t="shared" ref="L103:Q103" si="98">L96-L98</f>
        <v>-373.94598787499967</v>
      </c>
      <c r="M103" s="1440">
        <f t="shared" si="98"/>
        <v>1253.6814072750001</v>
      </c>
      <c r="N103" s="1440">
        <f t="shared" si="98"/>
        <v>1526.9326048499997</v>
      </c>
      <c r="O103" s="1440">
        <f t="shared" si="98"/>
        <v>695.11130242499996</v>
      </c>
      <c r="P103" s="1440">
        <f t="shared" si="98"/>
        <v>-913.51479030000019</v>
      </c>
      <c r="Q103" s="1440">
        <f t="shared" si="98"/>
        <v>657.70301212500021</v>
      </c>
      <c r="R103" s="1440">
        <f>R96-R98</f>
        <v>2943.5430000000001</v>
      </c>
      <c r="S103" s="1440">
        <f t="shared" ref="S103" si="99">S96-S98</f>
        <v>2078.643</v>
      </c>
    </row>
    <row r="104" spans="1:19">
      <c r="B104" s="1431" t="s">
        <v>1570</v>
      </c>
      <c r="D104" s="1452">
        <f t="shared" ref="D104:Q104" si="100">IF(D95&gt;$D$12,(1+D23)^(D95-$D$12),0)</f>
        <v>0</v>
      </c>
      <c r="E104" s="1452">
        <f t="shared" si="100"/>
        <v>0</v>
      </c>
      <c r="F104" s="1452">
        <f t="shared" si="100"/>
        <v>0</v>
      </c>
      <c r="G104" s="1452">
        <f t="shared" si="100"/>
        <v>0</v>
      </c>
      <c r="H104" s="1452">
        <f t="shared" si="100"/>
        <v>0</v>
      </c>
      <c r="I104" s="1452">
        <f t="shared" si="100"/>
        <v>0</v>
      </c>
      <c r="J104" s="1452">
        <f t="shared" si="100"/>
        <v>0</v>
      </c>
      <c r="K104" s="1452">
        <f t="shared" si="100"/>
        <v>0</v>
      </c>
      <c r="L104" s="1452">
        <f t="shared" si="100"/>
        <v>0</v>
      </c>
      <c r="M104" s="1452">
        <f t="shared" si="100"/>
        <v>0</v>
      </c>
      <c r="N104" s="1452">
        <f t="shared" si="100"/>
        <v>0</v>
      </c>
      <c r="O104" s="1452">
        <f t="shared" si="100"/>
        <v>1.125</v>
      </c>
      <c r="P104" s="1452">
        <f t="shared" si="100"/>
        <v>1.265625</v>
      </c>
      <c r="Q104" s="1452">
        <f t="shared" si="100"/>
        <v>1.423828125</v>
      </c>
      <c r="R104" s="1452">
        <f t="shared" ref="R104:S104" si="101">IF(R95&gt;$D$12,(1+R23)^(R95-$D$12),0)</f>
        <v>1.601806640625</v>
      </c>
      <c r="S104" s="1452">
        <f t="shared" si="101"/>
        <v>1.802032470703125</v>
      </c>
    </row>
    <row r="105" spans="1:19">
      <c r="B105" s="1431" t="s">
        <v>1452</v>
      </c>
      <c r="C105" s="1440">
        <f>SUMIF(D95:S95,"&gt;"&amp;D12,D105:S105)</f>
        <v>3349.1516923283139</v>
      </c>
      <c r="D105" s="1440" t="str">
        <f t="shared" ref="D105:Q105" si="102">IF(D104&lt;&gt;0,D103/D104,"")</f>
        <v/>
      </c>
      <c r="E105" s="1440" t="str">
        <f t="shared" si="102"/>
        <v/>
      </c>
      <c r="F105" s="1440" t="str">
        <f t="shared" si="102"/>
        <v/>
      </c>
      <c r="G105" s="1440" t="str">
        <f t="shared" si="102"/>
        <v/>
      </c>
      <c r="H105" s="1440" t="str">
        <f t="shared" si="102"/>
        <v/>
      </c>
      <c r="I105" s="1440" t="str">
        <f t="shared" si="102"/>
        <v/>
      </c>
      <c r="J105" s="1440" t="str">
        <f t="shared" si="102"/>
        <v/>
      </c>
      <c r="K105" s="1440" t="str">
        <f t="shared" si="102"/>
        <v/>
      </c>
      <c r="L105" s="1440" t="str">
        <f t="shared" si="102"/>
        <v/>
      </c>
      <c r="M105" s="1440" t="str">
        <f t="shared" si="102"/>
        <v/>
      </c>
      <c r="N105" s="1440" t="str">
        <f t="shared" si="102"/>
        <v/>
      </c>
      <c r="O105" s="1440">
        <f t="shared" si="102"/>
        <v>617.87671326666668</v>
      </c>
      <c r="P105" s="1440">
        <f t="shared" si="102"/>
        <v>-721.78946394074092</v>
      </c>
      <c r="Q105" s="1440">
        <f t="shared" si="102"/>
        <v>461.92584665020593</v>
      </c>
      <c r="R105" s="1440">
        <f t="shared" ref="R105:S105" si="103">IF(R104&lt;&gt;0,R103/R104,"")</f>
        <v>1837.6394037494285</v>
      </c>
      <c r="S105" s="1440">
        <f t="shared" si="103"/>
        <v>1153.4991926027537</v>
      </c>
    </row>
    <row r="106" spans="1:19">
      <c r="B106" s="1407" t="s">
        <v>1590</v>
      </c>
      <c r="C106" s="1427">
        <f>C105*I5</f>
        <v>3349.1516923283139</v>
      </c>
    </row>
    <row r="107" spans="1:19">
      <c r="B107" s="1407"/>
      <c r="C107" s="1427"/>
    </row>
    <row r="108" spans="1:19">
      <c r="B108" s="1407" t="s">
        <v>1588</v>
      </c>
      <c r="C108" s="1440"/>
      <c r="D108" s="1431">
        <f t="shared" ref="D108:J108" si="104">D95</f>
        <v>2013</v>
      </c>
      <c r="E108" s="1431">
        <f t="shared" si="104"/>
        <v>2014</v>
      </c>
      <c r="F108" s="1431">
        <f t="shared" si="104"/>
        <v>2015</v>
      </c>
      <c r="G108" s="1431">
        <f t="shared" si="104"/>
        <v>2016</v>
      </c>
      <c r="H108" s="1431">
        <f t="shared" si="104"/>
        <v>2017</v>
      </c>
      <c r="I108" s="1431">
        <f t="shared" si="104"/>
        <v>2018</v>
      </c>
      <c r="J108" s="1431">
        <f t="shared" si="104"/>
        <v>2019</v>
      </c>
      <c r="K108" s="1431">
        <f>K95</f>
        <v>2020</v>
      </c>
      <c r="L108" s="1431">
        <f t="shared" ref="L108:Q108" si="105">L95</f>
        <v>2021</v>
      </c>
      <c r="M108" s="1431">
        <f t="shared" si="105"/>
        <v>2022</v>
      </c>
      <c r="N108" s="1431">
        <f t="shared" si="105"/>
        <v>2023</v>
      </c>
      <c r="O108" s="1431">
        <f t="shared" si="105"/>
        <v>2024</v>
      </c>
      <c r="P108" s="1431">
        <f t="shared" si="105"/>
        <v>2025</v>
      </c>
      <c r="Q108" s="1431">
        <f t="shared" si="105"/>
        <v>2026</v>
      </c>
      <c r="R108" s="1431">
        <f t="shared" ref="R108:S108" si="106">R95</f>
        <v>2027</v>
      </c>
      <c r="S108" s="1431">
        <f t="shared" si="106"/>
        <v>2028</v>
      </c>
    </row>
    <row r="109" spans="1:19" s="1447" customFormat="1">
      <c r="A109" s="1459"/>
      <c r="B109" s="1460">
        <f>IRR(D109:Q109)</f>
        <v>-2.0740652185125774E-2</v>
      </c>
      <c r="C109" s="1408"/>
      <c r="D109" s="1408">
        <f>D103</f>
        <v>0</v>
      </c>
      <c r="E109" s="1408">
        <f t="shared" ref="E109:J109" si="107">E103</f>
        <v>0</v>
      </c>
      <c r="F109" s="1408">
        <f t="shared" si="107"/>
        <v>0</v>
      </c>
      <c r="G109" s="1408">
        <f t="shared" si="107"/>
        <v>0</v>
      </c>
      <c r="H109" s="1408">
        <f t="shared" si="107"/>
        <v>0</v>
      </c>
      <c r="I109" s="1408">
        <f t="shared" si="107"/>
        <v>0</v>
      </c>
      <c r="J109" s="1408">
        <f t="shared" si="107"/>
        <v>-1669.8000000000002</v>
      </c>
      <c r="K109" s="1408">
        <f>K103</f>
        <v>-1403.6324999999999</v>
      </c>
      <c r="L109" s="1408">
        <f t="shared" ref="L109:Q109" si="108">L103</f>
        <v>-373.94598787499967</v>
      </c>
      <c r="M109" s="1408">
        <f t="shared" si="108"/>
        <v>1253.6814072750001</v>
      </c>
      <c r="N109" s="1408">
        <f t="shared" si="108"/>
        <v>1526.9326048499997</v>
      </c>
      <c r="O109" s="1408">
        <f t="shared" si="108"/>
        <v>695.11130242499996</v>
      </c>
      <c r="P109" s="1408">
        <f t="shared" si="108"/>
        <v>-913.51479030000019</v>
      </c>
      <c r="Q109" s="1408">
        <f t="shared" si="108"/>
        <v>657.70301212500021</v>
      </c>
      <c r="R109" s="1408">
        <f t="shared" ref="R109:S109" si="109">R103</f>
        <v>2943.5430000000001</v>
      </c>
      <c r="S109" s="1408">
        <f t="shared" si="109"/>
        <v>2078.643</v>
      </c>
    </row>
    <row r="110" spans="1:19">
      <c r="B110" s="1407" t="s">
        <v>1789</v>
      </c>
      <c r="C110" s="1440"/>
      <c r="D110" s="1656">
        <f t="shared" ref="D110:Q110" si="110">D103+D116-D118</f>
        <v>0</v>
      </c>
      <c r="E110" s="1656">
        <f t="shared" si="110"/>
        <v>0</v>
      </c>
      <c r="F110" s="1656">
        <f t="shared" si="110"/>
        <v>0</v>
      </c>
      <c r="G110" s="1656">
        <f t="shared" si="110"/>
        <v>0</v>
      </c>
      <c r="H110" s="1656">
        <f t="shared" si="110"/>
        <v>0</v>
      </c>
      <c r="I110" s="1656">
        <f t="shared" si="110"/>
        <v>0</v>
      </c>
      <c r="J110" s="1656">
        <f t="shared" si="110"/>
        <v>3281.9692499999992</v>
      </c>
      <c r="K110" s="1656">
        <f t="shared" si="110"/>
        <v>-1403.6324999999999</v>
      </c>
      <c r="L110" s="1656">
        <f t="shared" si="110"/>
        <v>-373.94598787499967</v>
      </c>
      <c r="M110" s="1656">
        <f t="shared" si="110"/>
        <v>-396.90834272499978</v>
      </c>
      <c r="N110" s="1656">
        <f t="shared" si="110"/>
        <v>-123.65714515000013</v>
      </c>
      <c r="O110" s="1656">
        <f t="shared" si="110"/>
        <v>-955.4784475749999</v>
      </c>
      <c r="P110" s="1656">
        <f t="shared" si="110"/>
        <v>-913.51479030000019</v>
      </c>
      <c r="Q110" s="1656">
        <f t="shared" si="110"/>
        <v>657.70301212500021</v>
      </c>
      <c r="R110" s="1656">
        <f t="shared" ref="R110:S110" si="111">R103+R116-R118</f>
        <v>2943.5430000000001</v>
      </c>
      <c r="S110" s="1656">
        <f t="shared" si="111"/>
        <v>2078.643</v>
      </c>
    </row>
    <row r="111" spans="1:19">
      <c r="B111" s="1407"/>
      <c r="C111" s="1427"/>
      <c r="D111" s="1454"/>
      <c r="E111" s="1454"/>
      <c r="F111" s="1454"/>
      <c r="G111" s="1454"/>
      <c r="H111" s="1454"/>
      <c r="I111" s="1454"/>
      <c r="J111" s="1454"/>
      <c r="K111" s="1454"/>
      <c r="L111" s="1454"/>
      <c r="M111" s="1454"/>
      <c r="N111" s="1454"/>
      <c r="O111" s="1454"/>
      <c r="P111" s="1454"/>
      <c r="Q111" s="1454"/>
      <c r="R111" s="1454"/>
      <c r="S111" s="1454"/>
    </row>
    <row r="112" spans="1:19">
      <c r="B112" s="1407"/>
      <c r="C112" s="1427"/>
    </row>
    <row r="113" spans="1:19" s="1407" customFormat="1">
      <c r="A113" s="1406">
        <v>8</v>
      </c>
      <c r="B113" s="1407" t="s">
        <v>1592</v>
      </c>
      <c r="C113" s="1440"/>
      <c r="D113" s="1431">
        <f t="shared" ref="D113:I113" si="112">D95</f>
        <v>2013</v>
      </c>
      <c r="E113" s="1431">
        <f t="shared" si="112"/>
        <v>2014</v>
      </c>
      <c r="F113" s="1431">
        <f t="shared" si="112"/>
        <v>2015</v>
      </c>
      <c r="G113" s="1431">
        <f t="shared" si="112"/>
        <v>2016</v>
      </c>
      <c r="H113" s="1431">
        <f t="shared" si="112"/>
        <v>2017</v>
      </c>
      <c r="I113" s="1431">
        <f t="shared" si="112"/>
        <v>2018</v>
      </c>
      <c r="J113" s="1431">
        <f>I113+1</f>
        <v>2019</v>
      </c>
      <c r="K113" s="1431">
        <f>J113+1</f>
        <v>2020</v>
      </c>
      <c r="L113" s="1431">
        <f t="shared" ref="L113:S113" si="113">K113+1</f>
        <v>2021</v>
      </c>
      <c r="M113" s="1431">
        <f t="shared" si="113"/>
        <v>2022</v>
      </c>
      <c r="N113" s="1431">
        <f t="shared" si="113"/>
        <v>2023</v>
      </c>
      <c r="O113" s="1431">
        <f t="shared" si="113"/>
        <v>2024</v>
      </c>
      <c r="P113" s="1431">
        <f t="shared" si="113"/>
        <v>2025</v>
      </c>
      <c r="Q113" s="1431">
        <f t="shared" si="113"/>
        <v>2026</v>
      </c>
      <c r="R113" s="1431">
        <f t="shared" si="113"/>
        <v>2027</v>
      </c>
      <c r="S113" s="1431">
        <f t="shared" si="113"/>
        <v>2028</v>
      </c>
    </row>
    <row r="114" spans="1:19">
      <c r="B114" s="1432" t="s">
        <v>1571</v>
      </c>
      <c r="C114" s="1441">
        <f>D5*I6</f>
        <v>4951.7692499999994</v>
      </c>
      <c r="D114" s="1432"/>
      <c r="E114" s="1432"/>
      <c r="F114" s="1432"/>
      <c r="G114" s="1432"/>
      <c r="H114" s="1432"/>
      <c r="I114" s="1432"/>
      <c r="J114" s="1456"/>
      <c r="K114" s="1456"/>
      <c r="L114" s="1456"/>
      <c r="M114" s="1456"/>
      <c r="N114" s="1456"/>
      <c r="O114" s="1456"/>
      <c r="P114" s="1456"/>
      <c r="Q114" s="1456"/>
      <c r="R114" s="1456"/>
      <c r="S114" s="1456"/>
    </row>
    <row r="115" spans="1:19">
      <c r="B115" s="1431" t="s">
        <v>1572</v>
      </c>
      <c r="C115" s="1436">
        <f>SUM(D115:S115)</f>
        <v>1</v>
      </c>
      <c r="D115" s="1416">
        <v>0</v>
      </c>
      <c r="E115" s="1416">
        <v>0</v>
      </c>
      <c r="F115" s="1416">
        <v>0</v>
      </c>
      <c r="G115" s="1416">
        <v>0</v>
      </c>
      <c r="H115" s="1411">
        <v>0</v>
      </c>
      <c r="I115" s="1411">
        <v>0</v>
      </c>
      <c r="J115" s="1411">
        <v>1</v>
      </c>
      <c r="K115" s="1411">
        <v>0</v>
      </c>
      <c r="L115" s="1411">
        <v>0</v>
      </c>
      <c r="M115" s="1411">
        <v>0</v>
      </c>
      <c r="N115" s="1411">
        <v>0</v>
      </c>
      <c r="O115" s="1411">
        <v>0</v>
      </c>
      <c r="P115" s="1411">
        <v>0</v>
      </c>
      <c r="Q115" s="1411">
        <v>0</v>
      </c>
      <c r="R115" s="1411">
        <v>0</v>
      </c>
      <c r="S115" s="1411">
        <v>0</v>
      </c>
    </row>
    <row r="116" spans="1:19">
      <c r="B116" s="1431" t="s">
        <v>1573</v>
      </c>
      <c r="C116" s="1440">
        <f>SUM(D116:M116)</f>
        <v>4951.7692499999994</v>
      </c>
      <c r="D116" s="1410">
        <f t="shared" ref="D116:Q116" si="114">D115*$C$114</f>
        <v>0</v>
      </c>
      <c r="E116" s="1410">
        <f t="shared" si="114"/>
        <v>0</v>
      </c>
      <c r="F116" s="1410">
        <f t="shared" si="114"/>
        <v>0</v>
      </c>
      <c r="G116" s="1410">
        <f t="shared" si="114"/>
        <v>0</v>
      </c>
      <c r="H116" s="1410">
        <f t="shared" si="114"/>
        <v>0</v>
      </c>
      <c r="I116" s="1410">
        <f t="shared" si="114"/>
        <v>0</v>
      </c>
      <c r="J116" s="1410">
        <f t="shared" si="114"/>
        <v>4951.7692499999994</v>
      </c>
      <c r="K116" s="1410">
        <f t="shared" si="114"/>
        <v>0</v>
      </c>
      <c r="L116" s="1410">
        <f t="shared" si="114"/>
        <v>0</v>
      </c>
      <c r="M116" s="1410">
        <f t="shared" si="114"/>
        <v>0</v>
      </c>
      <c r="N116" s="1410">
        <f t="shared" si="114"/>
        <v>0</v>
      </c>
      <c r="O116" s="1410">
        <f t="shared" si="114"/>
        <v>0</v>
      </c>
      <c r="P116" s="1410">
        <f t="shared" si="114"/>
        <v>0</v>
      </c>
      <c r="Q116" s="1410">
        <f t="shared" si="114"/>
        <v>0</v>
      </c>
      <c r="R116" s="1410">
        <f t="shared" ref="R116:S116" si="115">R115*$C$114</f>
        <v>0</v>
      </c>
      <c r="S116" s="1410">
        <f t="shared" si="115"/>
        <v>0</v>
      </c>
    </row>
    <row r="117" spans="1:19">
      <c r="B117" s="1431" t="s">
        <v>868</v>
      </c>
      <c r="C117" s="1440"/>
      <c r="D117" s="1440">
        <f>D116</f>
        <v>0</v>
      </c>
      <c r="E117" s="1440">
        <f>E116</f>
        <v>0</v>
      </c>
      <c r="F117" s="1440">
        <f>F116</f>
        <v>0</v>
      </c>
      <c r="G117" s="1440">
        <f>F120+G116</f>
        <v>0</v>
      </c>
      <c r="H117" s="1440">
        <f>G120+H116</f>
        <v>0</v>
      </c>
      <c r="I117" s="1440">
        <f>H120+I116</f>
        <v>0</v>
      </c>
      <c r="J117" s="1440">
        <f>I120+J116</f>
        <v>4951.7692499999994</v>
      </c>
      <c r="K117" s="1440">
        <f>J120+K116</f>
        <v>4951.7692499999994</v>
      </c>
      <c r="L117" s="1440">
        <f t="shared" ref="L117:S117" si="116">K120+L116</f>
        <v>4951.7692499999994</v>
      </c>
      <c r="M117" s="1440">
        <f t="shared" si="116"/>
        <v>4951.7692499999994</v>
      </c>
      <c r="N117" s="1440">
        <f t="shared" si="116"/>
        <v>3301.1794999999993</v>
      </c>
      <c r="O117" s="1440">
        <f t="shared" si="116"/>
        <v>1650.5897499999994</v>
      </c>
      <c r="P117" s="1440">
        <f t="shared" si="116"/>
        <v>0</v>
      </c>
      <c r="Q117" s="1440">
        <f t="shared" si="116"/>
        <v>0</v>
      </c>
      <c r="R117" s="1440">
        <f t="shared" si="116"/>
        <v>0</v>
      </c>
      <c r="S117" s="1440">
        <f t="shared" si="116"/>
        <v>0</v>
      </c>
    </row>
    <row r="118" spans="1:19">
      <c r="B118" s="1431" t="s">
        <v>1574</v>
      </c>
      <c r="C118" s="1440">
        <f>SUM(D118:M118)</f>
        <v>1650.5897499999999</v>
      </c>
      <c r="D118" s="1423"/>
      <c r="E118" s="1423"/>
      <c r="F118" s="1423"/>
      <c r="G118" s="1423"/>
      <c r="H118" s="1423"/>
      <c r="I118" s="1410"/>
      <c r="J118" s="1423"/>
      <c r="K118" s="1643"/>
      <c r="L118" s="1423">
        <v>0</v>
      </c>
      <c r="M118" s="1410">
        <f>C114/3</f>
        <v>1650.5897499999999</v>
      </c>
      <c r="N118" s="1410">
        <f>M118</f>
        <v>1650.5897499999999</v>
      </c>
      <c r="O118" s="1410">
        <f>N118</f>
        <v>1650.5897499999999</v>
      </c>
      <c r="P118" s="1410"/>
      <c r="Q118" s="1410"/>
      <c r="R118" s="1410"/>
      <c r="S118" s="1410"/>
    </row>
    <row r="119" spans="1:19">
      <c r="B119" s="1431" t="s">
        <v>869</v>
      </c>
      <c r="C119" s="1440">
        <f>SUM(D119:Q119)</f>
        <v>3020.5792424999995</v>
      </c>
      <c r="D119" s="1440">
        <f t="shared" ref="D119:Q119" si="117">D117*D21</f>
        <v>0</v>
      </c>
      <c r="E119" s="1440">
        <f t="shared" si="117"/>
        <v>0</v>
      </c>
      <c r="F119" s="1440">
        <f t="shared" si="117"/>
        <v>0</v>
      </c>
      <c r="G119" s="1440">
        <f t="shared" si="117"/>
        <v>0</v>
      </c>
      <c r="H119" s="1440">
        <f t="shared" si="117"/>
        <v>0</v>
      </c>
      <c r="I119" s="1440">
        <f t="shared" si="117"/>
        <v>0</v>
      </c>
      <c r="J119" s="1440">
        <f t="shared" si="117"/>
        <v>594.21230999999989</v>
      </c>
      <c r="K119" s="1440">
        <f t="shared" si="117"/>
        <v>594.21230999999989</v>
      </c>
      <c r="L119" s="1440">
        <f t="shared" si="117"/>
        <v>594.21230999999989</v>
      </c>
      <c r="M119" s="1440">
        <f t="shared" si="117"/>
        <v>594.21230999999989</v>
      </c>
      <c r="N119" s="1440">
        <f t="shared" si="117"/>
        <v>429.15333499999991</v>
      </c>
      <c r="O119" s="1440">
        <f t="shared" si="117"/>
        <v>214.57666749999993</v>
      </c>
      <c r="P119" s="1440">
        <f t="shared" si="117"/>
        <v>0</v>
      </c>
      <c r="Q119" s="1440">
        <f t="shared" si="117"/>
        <v>0</v>
      </c>
      <c r="R119" s="1440">
        <f t="shared" ref="R119:S119" si="118">R117*R21</f>
        <v>0</v>
      </c>
      <c r="S119" s="1440">
        <f t="shared" si="118"/>
        <v>0</v>
      </c>
    </row>
    <row r="120" spans="1:19">
      <c r="B120" s="1431" t="s">
        <v>874</v>
      </c>
      <c r="C120" s="1440"/>
      <c r="D120" s="1440">
        <f t="shared" ref="D120:Q120" si="119">D117-D118</f>
        <v>0</v>
      </c>
      <c r="E120" s="1440">
        <f t="shared" si="119"/>
        <v>0</v>
      </c>
      <c r="F120" s="1440">
        <f t="shared" si="119"/>
        <v>0</v>
      </c>
      <c r="G120" s="1440">
        <f t="shared" si="119"/>
        <v>0</v>
      </c>
      <c r="H120" s="1440">
        <f t="shared" si="119"/>
        <v>0</v>
      </c>
      <c r="I120" s="1440">
        <f t="shared" si="119"/>
        <v>0</v>
      </c>
      <c r="J120" s="1440">
        <f t="shared" si="119"/>
        <v>4951.7692499999994</v>
      </c>
      <c r="K120" s="1440">
        <f t="shared" si="119"/>
        <v>4951.7692499999994</v>
      </c>
      <c r="L120" s="1440">
        <f t="shared" si="119"/>
        <v>4951.7692499999994</v>
      </c>
      <c r="M120" s="1440">
        <f t="shared" si="119"/>
        <v>3301.1794999999993</v>
      </c>
      <c r="N120" s="1440">
        <f t="shared" si="119"/>
        <v>1650.5897499999994</v>
      </c>
      <c r="O120" s="1440">
        <f t="shared" si="119"/>
        <v>0</v>
      </c>
      <c r="P120" s="1440">
        <f t="shared" si="119"/>
        <v>0</v>
      </c>
      <c r="Q120" s="1440">
        <f t="shared" si="119"/>
        <v>0</v>
      </c>
      <c r="R120" s="1440">
        <f t="shared" ref="R120:S120" si="120">R117-R118</f>
        <v>0</v>
      </c>
      <c r="S120" s="1440">
        <f t="shared" si="120"/>
        <v>0</v>
      </c>
    </row>
    <row r="121" spans="1:19">
      <c r="C121" s="1440"/>
      <c r="D121" s="1412"/>
      <c r="E121" s="1440"/>
      <c r="F121" s="1440"/>
      <c r="G121" s="1440"/>
      <c r="H121" s="1440"/>
    </row>
    <row r="122" spans="1:19">
      <c r="C122" s="1440"/>
    </row>
    <row r="123" spans="1:19" s="1407" customFormat="1">
      <c r="A123" s="1406">
        <v>9</v>
      </c>
      <c r="B123" s="1407" t="s">
        <v>350</v>
      </c>
      <c r="C123" s="1440"/>
      <c r="D123" s="1431">
        <f t="shared" ref="D123:J123" si="121">D95</f>
        <v>2013</v>
      </c>
      <c r="E123" s="1431">
        <f t="shared" si="121"/>
        <v>2014</v>
      </c>
      <c r="F123" s="1431">
        <f t="shared" si="121"/>
        <v>2015</v>
      </c>
      <c r="G123" s="1431">
        <f t="shared" si="121"/>
        <v>2016</v>
      </c>
      <c r="H123" s="1431">
        <f t="shared" si="121"/>
        <v>2017</v>
      </c>
      <c r="I123" s="1431">
        <f t="shared" si="121"/>
        <v>2018</v>
      </c>
      <c r="J123" s="1431">
        <f t="shared" si="121"/>
        <v>2019</v>
      </c>
      <c r="K123" s="1431">
        <f>K95</f>
        <v>2020</v>
      </c>
      <c r="L123" s="1431">
        <f t="shared" ref="L123:Q123" si="122">L95</f>
        <v>2021</v>
      </c>
      <c r="M123" s="1431">
        <f t="shared" si="122"/>
        <v>2022</v>
      </c>
      <c r="N123" s="1431">
        <f t="shared" si="122"/>
        <v>2023</v>
      </c>
      <c r="O123" s="1431">
        <f t="shared" si="122"/>
        <v>2024</v>
      </c>
      <c r="P123" s="1431">
        <f t="shared" si="122"/>
        <v>2025</v>
      </c>
      <c r="Q123" s="1431">
        <f t="shared" si="122"/>
        <v>2026</v>
      </c>
      <c r="R123" s="1431">
        <f t="shared" ref="R123:S123" si="123">R95</f>
        <v>2027</v>
      </c>
      <c r="S123" s="1431">
        <f t="shared" si="123"/>
        <v>2028</v>
      </c>
    </row>
    <row r="124" spans="1:19">
      <c r="B124" s="1432" t="s">
        <v>1575</v>
      </c>
      <c r="C124" s="1441"/>
      <c r="D124" s="1441">
        <f>D63</f>
        <v>0</v>
      </c>
      <c r="E124" s="1408">
        <f t="shared" ref="E124:S124" si="124">D124+E63</f>
        <v>0</v>
      </c>
      <c r="F124" s="1408">
        <f t="shared" si="124"/>
        <v>0</v>
      </c>
      <c r="G124" s="1408">
        <f t="shared" si="124"/>
        <v>0</v>
      </c>
      <c r="H124" s="1408">
        <f t="shared" si="124"/>
        <v>0</v>
      </c>
      <c r="I124" s="1408">
        <f t="shared" si="124"/>
        <v>0</v>
      </c>
      <c r="J124" s="1408">
        <f t="shared" si="124"/>
        <v>0</v>
      </c>
      <c r="K124" s="1408">
        <f t="shared" si="124"/>
        <v>311.31750000000005</v>
      </c>
      <c r="L124" s="1408">
        <f t="shared" si="124"/>
        <v>1532.6400000000003</v>
      </c>
      <c r="M124" s="1408">
        <f t="shared" si="124"/>
        <v>3999.2325000000005</v>
      </c>
      <c r="N124" s="1408">
        <f t="shared" si="124"/>
        <v>6489.7725000000009</v>
      </c>
      <c r="O124" s="1408">
        <f t="shared" si="124"/>
        <v>7782.9375000000009</v>
      </c>
      <c r="P124" s="1408">
        <f t="shared" si="124"/>
        <v>8215.3875000000007</v>
      </c>
      <c r="Q124" s="1408">
        <f t="shared" si="124"/>
        <v>10119.609</v>
      </c>
      <c r="R124" s="1408">
        <f t="shared" si="124"/>
        <v>13063.152</v>
      </c>
      <c r="S124" s="1408">
        <f t="shared" si="124"/>
        <v>15141.795</v>
      </c>
    </row>
    <row r="125" spans="1:19">
      <c r="B125" s="1431" t="s">
        <v>1576</v>
      </c>
      <c r="C125" s="1440"/>
      <c r="D125" s="1440">
        <f>D57</f>
        <v>0</v>
      </c>
      <c r="E125" s="1440">
        <f t="shared" ref="E125:S125" si="125">D125+E57</f>
        <v>0</v>
      </c>
      <c r="F125" s="1440">
        <f t="shared" si="125"/>
        <v>0</v>
      </c>
      <c r="G125" s="1440">
        <f t="shared" si="125"/>
        <v>0</v>
      </c>
      <c r="H125" s="1440">
        <f t="shared" si="125"/>
        <v>0</v>
      </c>
      <c r="I125" s="1440">
        <f t="shared" si="125"/>
        <v>0</v>
      </c>
      <c r="J125" s="1440">
        <f t="shared" si="125"/>
        <v>0</v>
      </c>
      <c r="K125" s="1440">
        <f t="shared" si="125"/>
        <v>0</v>
      </c>
      <c r="L125" s="1440">
        <f t="shared" si="125"/>
        <v>3785.44875</v>
      </c>
      <c r="M125" s="1440">
        <f t="shared" si="125"/>
        <v>6056.7179999999998</v>
      </c>
      <c r="N125" s="1440">
        <f t="shared" si="125"/>
        <v>7570.8975</v>
      </c>
      <c r="O125" s="1440">
        <f t="shared" si="125"/>
        <v>8327.9872500000001</v>
      </c>
      <c r="P125" s="1440">
        <f t="shared" si="125"/>
        <v>11356.346250000001</v>
      </c>
      <c r="Q125" s="1440">
        <f t="shared" si="125"/>
        <v>15141.795</v>
      </c>
      <c r="R125" s="1440">
        <f t="shared" si="125"/>
        <v>15141.795</v>
      </c>
      <c r="S125" s="1440">
        <f t="shared" si="125"/>
        <v>15141.795</v>
      </c>
    </row>
    <row r="126" spans="1:19">
      <c r="B126" s="1431" t="s">
        <v>1577</v>
      </c>
      <c r="C126" s="1440"/>
      <c r="D126" s="1440">
        <f>D50</f>
        <v>0</v>
      </c>
      <c r="E126" s="1440">
        <f t="shared" ref="E126:S126" si="126">D126+E50</f>
        <v>0</v>
      </c>
      <c r="F126" s="1440">
        <f t="shared" si="126"/>
        <v>0</v>
      </c>
      <c r="G126" s="1440">
        <f t="shared" si="126"/>
        <v>0</v>
      </c>
      <c r="H126" s="1440">
        <f t="shared" si="126"/>
        <v>0</v>
      </c>
      <c r="I126" s="1440">
        <f t="shared" si="126"/>
        <v>0</v>
      </c>
      <c r="J126" s="1440">
        <f t="shared" si="126"/>
        <v>0</v>
      </c>
      <c r="K126" s="1440">
        <f t="shared" si="126"/>
        <v>1556.5875000000001</v>
      </c>
      <c r="L126" s="1440">
        <f t="shared" si="126"/>
        <v>4550.0249999999996</v>
      </c>
      <c r="M126" s="1440">
        <f t="shared" si="126"/>
        <v>7782.9375</v>
      </c>
      <c r="N126" s="1440">
        <f t="shared" si="126"/>
        <v>7782.9375</v>
      </c>
      <c r="O126" s="1440">
        <f t="shared" si="126"/>
        <v>7782.9375</v>
      </c>
      <c r="P126" s="1440">
        <f t="shared" si="126"/>
        <v>9945.1875</v>
      </c>
      <c r="Q126" s="1440">
        <f t="shared" si="126"/>
        <v>15141.795</v>
      </c>
      <c r="R126" s="1440">
        <f t="shared" si="126"/>
        <v>15141.795</v>
      </c>
      <c r="S126" s="1440">
        <f t="shared" si="126"/>
        <v>15141.795</v>
      </c>
    </row>
    <row r="127" spans="1:19">
      <c r="B127" s="1431" t="s">
        <v>1578</v>
      </c>
      <c r="C127" s="1440"/>
      <c r="D127" s="1436" t="str">
        <f t="shared" ref="D127:J127" si="127">IF(D124&lt;&gt;0,D124/D126,"")</f>
        <v/>
      </c>
      <c r="E127" s="1436" t="str">
        <f t="shared" si="127"/>
        <v/>
      </c>
      <c r="F127" s="1436" t="str">
        <f t="shared" si="127"/>
        <v/>
      </c>
      <c r="G127" s="1436" t="str">
        <f t="shared" si="127"/>
        <v/>
      </c>
      <c r="H127" s="1436" t="str">
        <f t="shared" si="127"/>
        <v/>
      </c>
      <c r="I127" s="1436" t="str">
        <f t="shared" si="127"/>
        <v/>
      </c>
      <c r="J127" s="1436" t="str">
        <f t="shared" si="127"/>
        <v/>
      </c>
      <c r="K127" s="1436">
        <f>IF(K124&lt;&gt;0,K124/K126,"")</f>
        <v>0.2</v>
      </c>
      <c r="L127" s="1436">
        <f t="shared" ref="L127:Q127" si="128">IF(L124&lt;&gt;0,L124/L126,"")</f>
        <v>0.336842105263158</v>
      </c>
      <c r="M127" s="1436">
        <f t="shared" si="128"/>
        <v>0.51384615384615395</v>
      </c>
      <c r="N127" s="1436">
        <f t="shared" si="128"/>
        <v>0.83384615384615401</v>
      </c>
      <c r="O127" s="1436">
        <f t="shared" si="128"/>
        <v>1.0000000000000002</v>
      </c>
      <c r="P127" s="1436">
        <f t="shared" si="128"/>
        <v>0.82606662770309769</v>
      </c>
      <c r="Q127" s="1436">
        <f t="shared" si="128"/>
        <v>0.66832294321776253</v>
      </c>
      <c r="R127" s="1436">
        <f t="shared" ref="R127:S127" si="129">IF(R124&lt;&gt;0,R124/R126,"")</f>
        <v>0.86272149371986606</v>
      </c>
      <c r="S127" s="1436">
        <f t="shared" si="129"/>
        <v>1</v>
      </c>
    </row>
    <row r="128" spans="1:19">
      <c r="B128" s="1431" t="s">
        <v>1579</v>
      </c>
      <c r="C128" s="1440"/>
      <c r="D128" s="1410">
        <f t="shared" ref="D128:J128" si="130">IF(D124&gt;D125,D124-D125,0)</f>
        <v>0</v>
      </c>
      <c r="E128" s="1410">
        <f t="shared" si="130"/>
        <v>0</v>
      </c>
      <c r="F128" s="1410">
        <f t="shared" si="130"/>
        <v>0</v>
      </c>
      <c r="G128" s="1410">
        <f t="shared" si="130"/>
        <v>0</v>
      </c>
      <c r="H128" s="1410">
        <f t="shared" si="130"/>
        <v>0</v>
      </c>
      <c r="I128" s="1410">
        <f t="shared" si="130"/>
        <v>0</v>
      </c>
      <c r="J128" s="1410">
        <f t="shared" si="130"/>
        <v>0</v>
      </c>
      <c r="K128" s="1410">
        <f>IF(K124&gt;K125,K124-K125,0)</f>
        <v>311.31750000000005</v>
      </c>
      <c r="L128" s="1410">
        <f t="shared" ref="L128:Q128" si="131">IF(L124&gt;L125,L124-L125,0)</f>
        <v>0</v>
      </c>
      <c r="M128" s="1410">
        <f t="shared" si="131"/>
        <v>0</v>
      </c>
      <c r="N128" s="1410">
        <f t="shared" si="131"/>
        <v>0</v>
      </c>
      <c r="O128" s="1410">
        <f t="shared" si="131"/>
        <v>0</v>
      </c>
      <c r="P128" s="1410">
        <f t="shared" si="131"/>
        <v>0</v>
      </c>
      <c r="Q128" s="1410">
        <f t="shared" si="131"/>
        <v>0</v>
      </c>
      <c r="R128" s="1410">
        <f t="shared" ref="R128:S128" si="132">IF(R124&gt;R125,R124-R125,0)</f>
        <v>0</v>
      </c>
      <c r="S128" s="1410">
        <f t="shared" si="132"/>
        <v>0</v>
      </c>
    </row>
    <row r="129" spans="1:19" s="1407" customFormat="1">
      <c r="A129" s="1406"/>
      <c r="B129" s="1431" t="s">
        <v>1580</v>
      </c>
      <c r="C129" s="1440"/>
      <c r="D129" s="1410">
        <f t="shared" ref="D129:J129" si="133">IF(D125&gt;D124,D125-D124,0)</f>
        <v>0</v>
      </c>
      <c r="E129" s="1410">
        <f t="shared" si="133"/>
        <v>0</v>
      </c>
      <c r="F129" s="1410">
        <f t="shared" si="133"/>
        <v>0</v>
      </c>
      <c r="G129" s="1410">
        <f t="shared" si="133"/>
        <v>0</v>
      </c>
      <c r="H129" s="1410">
        <f t="shared" si="133"/>
        <v>0</v>
      </c>
      <c r="I129" s="1410">
        <f t="shared" si="133"/>
        <v>0</v>
      </c>
      <c r="J129" s="1410">
        <f t="shared" si="133"/>
        <v>0</v>
      </c>
      <c r="K129" s="1410">
        <f>IF(K125&gt;K124,K125-K124,0)</f>
        <v>0</v>
      </c>
      <c r="L129" s="1410">
        <f t="shared" ref="L129:Q129" si="134">IF(L125&gt;L124,L125-L124,0)</f>
        <v>2252.8087499999997</v>
      </c>
      <c r="M129" s="1410">
        <f t="shared" si="134"/>
        <v>2057.4854999999993</v>
      </c>
      <c r="N129" s="1410">
        <f t="shared" si="134"/>
        <v>1081.1249999999991</v>
      </c>
      <c r="O129" s="1410">
        <f t="shared" si="134"/>
        <v>545.04974999999922</v>
      </c>
      <c r="P129" s="1410">
        <f t="shared" si="134"/>
        <v>3140.9587499999998</v>
      </c>
      <c r="Q129" s="1410">
        <f t="shared" si="134"/>
        <v>5022.1859999999997</v>
      </c>
      <c r="R129" s="1410">
        <f t="shared" ref="R129:S129" si="135">IF(R125&gt;R124,R125-R124,0)</f>
        <v>2078.643</v>
      </c>
      <c r="S129" s="1410">
        <f t="shared" si="135"/>
        <v>0</v>
      </c>
    </row>
    <row r="130" spans="1:19">
      <c r="B130" s="1407"/>
      <c r="E130" s="1440"/>
      <c r="F130" s="1440"/>
      <c r="G130" s="1440"/>
      <c r="H130" s="1440"/>
      <c r="I130" s="1440"/>
      <c r="J130" s="1440"/>
      <c r="K130" s="1440"/>
      <c r="L130" s="1440"/>
      <c r="M130" s="1440"/>
      <c r="N130" s="1440"/>
      <c r="O130" s="1440"/>
      <c r="P130" s="1440"/>
      <c r="Q130" s="1440"/>
      <c r="R130" s="1440"/>
      <c r="S130" s="1440"/>
    </row>
    <row r="131" spans="1:19">
      <c r="B131" s="1407" t="s">
        <v>1492</v>
      </c>
      <c r="E131" s="1440"/>
      <c r="F131" s="1440"/>
      <c r="G131" s="1440"/>
      <c r="H131" s="1440"/>
      <c r="I131" s="1440"/>
      <c r="J131" s="1440"/>
      <c r="K131" s="1440"/>
      <c r="L131" s="1440"/>
      <c r="M131" s="1440"/>
      <c r="N131" s="1440"/>
      <c r="O131" s="1440"/>
      <c r="P131" s="1440"/>
      <c r="Q131" s="1440"/>
      <c r="R131" s="1440"/>
      <c r="S131" s="1440"/>
    </row>
    <row r="132" spans="1:19">
      <c r="B132" s="1431" t="s">
        <v>1581</v>
      </c>
      <c r="D132" s="1412">
        <v>0</v>
      </c>
      <c r="E132" s="1410">
        <f t="shared" ref="E132:J132" si="136">D136</f>
        <v>0</v>
      </c>
      <c r="F132" s="1440">
        <f t="shared" si="136"/>
        <v>0</v>
      </c>
      <c r="G132" s="1440">
        <f t="shared" si="136"/>
        <v>0</v>
      </c>
      <c r="H132" s="1440">
        <f t="shared" si="136"/>
        <v>0</v>
      </c>
      <c r="I132" s="1440">
        <f t="shared" si="136"/>
        <v>0</v>
      </c>
      <c r="J132" s="1440">
        <f t="shared" si="136"/>
        <v>0</v>
      </c>
      <c r="K132" s="1440">
        <f>J136</f>
        <v>1669.8000000000002</v>
      </c>
      <c r="L132" s="1440">
        <f t="shared" ref="L132:S132" si="137">K136</f>
        <v>3384.75</v>
      </c>
      <c r="M132" s="1440">
        <f t="shared" si="137"/>
        <v>2393.25</v>
      </c>
      <c r="N132" s="1440">
        <f t="shared" si="137"/>
        <v>2054.1</v>
      </c>
      <c r="O132" s="1440">
        <f t="shared" si="137"/>
        <v>1982.9999999999998</v>
      </c>
      <c r="P132" s="1440">
        <f t="shared" si="137"/>
        <v>2063.6999999999998</v>
      </c>
      <c r="Q132" s="1440">
        <f t="shared" si="137"/>
        <v>1340.25</v>
      </c>
      <c r="R132" s="1440">
        <f t="shared" si="137"/>
        <v>0</v>
      </c>
      <c r="S132" s="1440">
        <f t="shared" si="137"/>
        <v>0</v>
      </c>
    </row>
    <row r="133" spans="1:19">
      <c r="B133" s="1431" t="s">
        <v>994</v>
      </c>
      <c r="D133" s="1440">
        <f t="shared" ref="D133:M133" si="138">SUM(D99:D100)</f>
        <v>0</v>
      </c>
      <c r="E133" s="1440">
        <f t="shared" si="138"/>
        <v>0</v>
      </c>
      <c r="F133" s="1440">
        <f t="shared" si="138"/>
        <v>0</v>
      </c>
      <c r="G133" s="1440">
        <f t="shared" si="138"/>
        <v>0</v>
      </c>
      <c r="H133" s="1440">
        <f t="shared" si="138"/>
        <v>0</v>
      </c>
      <c r="I133" s="1440">
        <f t="shared" si="138"/>
        <v>0</v>
      </c>
      <c r="J133" s="1440">
        <f t="shared" si="138"/>
        <v>1669.8000000000002</v>
      </c>
      <c r="K133" s="1440">
        <f t="shared" si="138"/>
        <v>1714.95</v>
      </c>
      <c r="L133" s="1440">
        <f t="shared" si="138"/>
        <v>348.75</v>
      </c>
      <c r="M133" s="1440">
        <f t="shared" si="138"/>
        <v>465</v>
      </c>
      <c r="N133" s="1440">
        <f t="shared" ref="N133:S133" si="139">SUM(N99:N100)</f>
        <v>465</v>
      </c>
      <c r="O133" s="1440">
        <f t="shared" si="139"/>
        <v>348.75</v>
      </c>
      <c r="P133" s="1440">
        <f t="shared" si="139"/>
        <v>348.75</v>
      </c>
      <c r="Q133" s="1440">
        <f t="shared" si="139"/>
        <v>0</v>
      </c>
      <c r="R133" s="1440">
        <f t="shared" si="139"/>
        <v>0</v>
      </c>
      <c r="S133" s="1440">
        <f t="shared" si="139"/>
        <v>0</v>
      </c>
    </row>
    <row r="134" spans="1:19">
      <c r="B134" s="1431" t="s">
        <v>1582</v>
      </c>
      <c r="D134" s="1431">
        <f t="shared" ref="D134:J134" si="140">$C$77*D58</f>
        <v>0</v>
      </c>
      <c r="E134" s="1431">
        <f t="shared" si="140"/>
        <v>0</v>
      </c>
      <c r="F134" s="1440">
        <f t="shared" si="140"/>
        <v>0</v>
      </c>
      <c r="G134" s="1440">
        <f t="shared" si="140"/>
        <v>0</v>
      </c>
      <c r="H134" s="1440">
        <f t="shared" si="140"/>
        <v>0</v>
      </c>
      <c r="I134" s="1440">
        <f t="shared" si="140"/>
        <v>0</v>
      </c>
      <c r="J134" s="1440">
        <f t="shared" si="140"/>
        <v>0</v>
      </c>
      <c r="K134" s="1440">
        <f>$C$77*K58</f>
        <v>0</v>
      </c>
      <c r="L134" s="1440">
        <f t="shared" ref="L134:Q134" si="141">$C$77*L58</f>
        <v>755.14481062499988</v>
      </c>
      <c r="M134" s="1440">
        <f t="shared" si="141"/>
        <v>453.08688637499989</v>
      </c>
      <c r="N134" s="1440">
        <f t="shared" si="141"/>
        <v>302.05792424999999</v>
      </c>
      <c r="O134" s="1440">
        <f t="shared" si="141"/>
        <v>151.02896212499999</v>
      </c>
      <c r="P134" s="1440">
        <f t="shared" si="141"/>
        <v>604.11584849999997</v>
      </c>
      <c r="Q134" s="1440">
        <f t="shared" si="141"/>
        <v>755.14481062499988</v>
      </c>
      <c r="R134" s="1440">
        <f t="shared" ref="R134:S134" si="142">$C$77*R58</f>
        <v>0</v>
      </c>
      <c r="S134" s="1440">
        <f t="shared" si="142"/>
        <v>0</v>
      </c>
    </row>
    <row r="135" spans="1:19">
      <c r="B135" s="1431" t="s">
        <v>1583</v>
      </c>
      <c r="D135" s="1440">
        <f t="shared" ref="D135:J135" si="143">SUM(D75:D77)</f>
        <v>0</v>
      </c>
      <c r="E135" s="1440">
        <f t="shared" si="143"/>
        <v>0</v>
      </c>
      <c r="F135" s="1440">
        <f t="shared" si="143"/>
        <v>0</v>
      </c>
      <c r="G135" s="1440">
        <f t="shared" si="143"/>
        <v>0</v>
      </c>
      <c r="H135" s="1440">
        <f t="shared" si="143"/>
        <v>0</v>
      </c>
      <c r="I135" s="1440">
        <f t="shared" si="143"/>
        <v>0</v>
      </c>
      <c r="J135" s="1440">
        <f t="shared" si="143"/>
        <v>0</v>
      </c>
      <c r="K135" s="1440">
        <f>SUM(K75:K77)</f>
        <v>0</v>
      </c>
      <c r="L135" s="1440">
        <f t="shared" ref="L135:Q135" si="144">SUM(L75:L77)</f>
        <v>2095.394810625</v>
      </c>
      <c r="M135" s="1440">
        <f t="shared" si="144"/>
        <v>1257.2368863749998</v>
      </c>
      <c r="N135" s="1440">
        <f t="shared" si="144"/>
        <v>838.15792424999995</v>
      </c>
      <c r="O135" s="1440">
        <f t="shared" si="144"/>
        <v>419.07896212499998</v>
      </c>
      <c r="P135" s="1440">
        <f t="shared" si="144"/>
        <v>1676.3158484999999</v>
      </c>
      <c r="Q135" s="1440">
        <f t="shared" si="144"/>
        <v>2095.394810625</v>
      </c>
      <c r="R135" s="1440">
        <f t="shared" ref="R135:S135" si="145">SUM(R75:R77)</f>
        <v>0</v>
      </c>
      <c r="S135" s="1440">
        <f t="shared" si="145"/>
        <v>0</v>
      </c>
    </row>
    <row r="136" spans="1:19">
      <c r="B136" s="1431" t="s">
        <v>874</v>
      </c>
      <c r="D136" s="1440">
        <f t="shared" ref="D136:M136" si="146">SUM(D132:D134)-D135</f>
        <v>0</v>
      </c>
      <c r="E136" s="1440">
        <f t="shared" si="146"/>
        <v>0</v>
      </c>
      <c r="F136" s="1440">
        <f t="shared" si="146"/>
        <v>0</v>
      </c>
      <c r="G136" s="1440">
        <f t="shared" si="146"/>
        <v>0</v>
      </c>
      <c r="H136" s="1440">
        <f t="shared" si="146"/>
        <v>0</v>
      </c>
      <c r="I136" s="1440">
        <f t="shared" si="146"/>
        <v>0</v>
      </c>
      <c r="J136" s="1440">
        <f t="shared" si="146"/>
        <v>1669.8000000000002</v>
      </c>
      <c r="K136" s="1440">
        <f t="shared" si="146"/>
        <v>3384.75</v>
      </c>
      <c r="L136" s="1440">
        <f t="shared" si="146"/>
        <v>2393.25</v>
      </c>
      <c r="M136" s="1440">
        <f t="shared" si="146"/>
        <v>2054.1</v>
      </c>
      <c r="N136" s="1440">
        <f t="shared" ref="N136:S136" si="147">SUM(N132:N134)-N135</f>
        <v>1982.9999999999998</v>
      </c>
      <c r="O136" s="1440">
        <f t="shared" si="147"/>
        <v>2063.6999999999998</v>
      </c>
      <c r="P136" s="1440">
        <f t="shared" si="147"/>
        <v>1340.25</v>
      </c>
      <c r="Q136" s="1440">
        <f t="shared" si="147"/>
        <v>0</v>
      </c>
      <c r="R136" s="1440">
        <f t="shared" si="147"/>
        <v>0</v>
      </c>
      <c r="S136" s="1440">
        <f t="shared" si="147"/>
        <v>0</v>
      </c>
    </row>
    <row r="137" spans="1:19">
      <c r="A137" s="1430" t="s">
        <v>1584</v>
      </c>
      <c r="B137" s="1432"/>
      <c r="C137" s="1432"/>
      <c r="D137" s="1432"/>
      <c r="E137" s="1432"/>
      <c r="F137" s="1432"/>
      <c r="G137" s="1432"/>
      <c r="H137" s="1432"/>
      <c r="I137" s="1432"/>
      <c r="J137" s="1432"/>
      <c r="K137" s="1432"/>
      <c r="L137" s="1432"/>
      <c r="M137" s="1432"/>
      <c r="N137" s="1432"/>
      <c r="O137" s="1432"/>
      <c r="P137" s="1432"/>
      <c r="Q137" s="1432"/>
      <c r="R137" s="1432"/>
      <c r="S137" s="1432"/>
    </row>
  </sheetData>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S137"/>
  <sheetViews>
    <sheetView topLeftCell="A27" zoomScaleNormal="100" workbookViewId="0">
      <selection activeCell="G45" sqref="G45"/>
    </sheetView>
  </sheetViews>
  <sheetFormatPr defaultColWidth="9.140625" defaultRowHeight="12"/>
  <cols>
    <col min="1" max="1" width="5.85546875" style="1406" customWidth="1"/>
    <col min="2" max="2" width="27.140625" style="1431" customWidth="1"/>
    <col min="3" max="13" width="9.140625" style="1431" customWidth="1"/>
    <col min="14" max="14" width="9.140625" style="1431" bestFit="1" customWidth="1"/>
    <col min="15" max="16384" width="9.140625" style="1431"/>
  </cols>
  <sheetData>
    <row r="1" spans="1:19" ht="21">
      <c r="A1" s="1404" t="s">
        <v>2431</v>
      </c>
    </row>
    <row r="2" spans="1:19">
      <c r="A2" s="1405" t="s">
        <v>1776</v>
      </c>
    </row>
    <row r="4" spans="1:19">
      <c r="B4" s="1407" t="s">
        <v>1539</v>
      </c>
      <c r="F4" s="1407" t="s">
        <v>1540</v>
      </c>
      <c r="K4" s="1407" t="s">
        <v>1595</v>
      </c>
      <c r="P4" s="1407" t="s">
        <v>1783</v>
      </c>
    </row>
    <row r="5" spans="1:19">
      <c r="B5" s="1432" t="s">
        <v>748</v>
      </c>
      <c r="C5" s="1432"/>
      <c r="D5" s="1408">
        <f>SUM(D6:D8)</f>
        <v>4180.2192447999996</v>
      </c>
      <c r="F5" s="1432" t="s">
        <v>636</v>
      </c>
      <c r="G5" s="1432"/>
      <c r="H5" s="1432"/>
      <c r="I5" s="1409">
        <v>1</v>
      </c>
      <c r="K5" s="1432" t="s">
        <v>26</v>
      </c>
      <c r="L5" s="1432"/>
      <c r="M5" s="1432"/>
      <c r="N5" s="1441">
        <f>C83</f>
        <v>6002.1924479999998</v>
      </c>
      <c r="P5" s="1432" t="s">
        <v>1777</v>
      </c>
      <c r="Q5" s="1432"/>
      <c r="R5" s="1432"/>
      <c r="S5" s="1422">
        <v>3400</v>
      </c>
    </row>
    <row r="6" spans="1:19">
      <c r="B6" s="1431" t="s">
        <v>678</v>
      </c>
      <c r="D6" s="1410">
        <f>SUM(E31:E32)</f>
        <v>860</v>
      </c>
      <c r="F6" s="1431" t="s">
        <v>1542</v>
      </c>
      <c r="I6" s="1586">
        <v>0.5</v>
      </c>
      <c r="K6" s="1431" t="s">
        <v>197</v>
      </c>
      <c r="N6" s="1436">
        <f>C91</f>
        <v>0.27340242600431863</v>
      </c>
      <c r="P6" s="1431" t="s">
        <v>1778</v>
      </c>
      <c r="S6" s="1440">
        <f>D42/S5</f>
        <v>80</v>
      </c>
    </row>
    <row r="7" spans="1:19">
      <c r="B7" s="1431" t="s">
        <v>750</v>
      </c>
      <c r="D7" s="1410">
        <f>C70</f>
        <v>2720</v>
      </c>
      <c r="F7" s="1431" t="s">
        <v>759</v>
      </c>
      <c r="I7" s="1440">
        <f>C114</f>
        <v>2090.1096223999998</v>
      </c>
      <c r="K7" s="1431" t="s">
        <v>1779</v>
      </c>
      <c r="N7" s="1436">
        <f>C92</f>
        <v>0.13872194080345487</v>
      </c>
      <c r="P7" s="1431" t="s">
        <v>1792</v>
      </c>
      <c r="S7" s="1412">
        <v>30</v>
      </c>
    </row>
    <row r="8" spans="1:19">
      <c r="B8" s="1431" t="s">
        <v>656</v>
      </c>
      <c r="D8" s="1440">
        <f>C79</f>
        <v>600.21924479999996</v>
      </c>
      <c r="F8" s="1431" t="s">
        <v>1544</v>
      </c>
      <c r="I8" s="1433">
        <f>G23</f>
        <v>0.1105</v>
      </c>
      <c r="K8" s="1431" t="s">
        <v>1720</v>
      </c>
      <c r="N8" s="1440">
        <f>C105</f>
        <v>2003.8397084711557</v>
      </c>
      <c r="P8" s="1431" t="s">
        <v>1784</v>
      </c>
      <c r="S8" s="1423">
        <v>6</v>
      </c>
    </row>
    <row r="9" spans="1:19">
      <c r="B9" s="1431" t="s">
        <v>869</v>
      </c>
      <c r="D9" s="1440">
        <f>C119</f>
        <v>781.17847137199999</v>
      </c>
      <c r="F9" s="1431" t="s">
        <v>1588</v>
      </c>
      <c r="I9" s="1425">
        <f>B109</f>
        <v>0.38156107873919254</v>
      </c>
      <c r="K9" s="1431" t="s">
        <v>1601</v>
      </c>
      <c r="N9" s="1410">
        <f>C90</f>
        <v>832.63578546239989</v>
      </c>
      <c r="P9" s="1431" t="s">
        <v>1560</v>
      </c>
      <c r="S9" s="1416">
        <v>0.4</v>
      </c>
    </row>
    <row r="10" spans="1:19">
      <c r="B10" s="1431" t="s">
        <v>1543</v>
      </c>
      <c r="D10" s="1412">
        <v>2023</v>
      </c>
      <c r="F10" s="1431" t="s">
        <v>1781</v>
      </c>
      <c r="I10" s="1436">
        <f>C105/C90</f>
        <v>2.4066221311378468</v>
      </c>
      <c r="K10" s="1431" t="s">
        <v>1141</v>
      </c>
      <c r="N10" s="1423">
        <v>86000</v>
      </c>
      <c r="P10" s="1431" t="s">
        <v>1785</v>
      </c>
      <c r="S10" s="1423">
        <v>12</v>
      </c>
    </row>
    <row r="11" spans="1:19">
      <c r="B11" s="1431" t="s">
        <v>751</v>
      </c>
      <c r="D11" s="1412">
        <v>2026</v>
      </c>
      <c r="F11" s="1431" t="s">
        <v>1782</v>
      </c>
      <c r="I11" s="1436">
        <f>C70/C50</f>
        <v>0.45316774221498607</v>
      </c>
      <c r="K11" s="1431" t="s">
        <v>686</v>
      </c>
      <c r="N11" s="1643">
        <v>680000</v>
      </c>
      <c r="P11" s="1431" t="s">
        <v>1786</v>
      </c>
      <c r="S11" s="1596">
        <v>0.1</v>
      </c>
    </row>
    <row r="12" spans="1:19">
      <c r="B12" s="1431" t="s">
        <v>1545</v>
      </c>
      <c r="D12" s="1594">
        <v>2022</v>
      </c>
      <c r="F12" s="1431" t="s">
        <v>1780</v>
      </c>
      <c r="I12" s="1436">
        <f>E32/C50</f>
        <v>0.14328097731797354</v>
      </c>
      <c r="K12" s="1431" t="s">
        <v>1790</v>
      </c>
      <c r="N12" s="1599" t="s">
        <v>1501</v>
      </c>
      <c r="P12" s="1431" t="s">
        <v>1791</v>
      </c>
      <c r="S12" s="1423"/>
    </row>
    <row r="13" spans="1:19">
      <c r="E13" s="1412"/>
      <c r="J13" s="1413"/>
    </row>
    <row r="14" spans="1:19">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c r="R14" s="1447">
        <v>2027</v>
      </c>
      <c r="S14" s="1447">
        <v>2028</v>
      </c>
    </row>
    <row r="15" spans="1:19">
      <c r="B15" s="1432" t="s">
        <v>1547</v>
      </c>
      <c r="C15" s="1432"/>
      <c r="D15" s="1434">
        <f>1-I6</f>
        <v>0.5</v>
      </c>
      <c r="E15" s="1434">
        <f t="shared" ref="E15:S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c r="R15" s="1434">
        <f t="shared" si="0"/>
        <v>0.5</v>
      </c>
      <c r="S15" s="1434">
        <f t="shared" si="0"/>
        <v>0.5</v>
      </c>
    </row>
    <row r="16" spans="1:19">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v>1.3</v>
      </c>
      <c r="N16" s="1431">
        <v>1.3</v>
      </c>
      <c r="O16" s="1431">
        <v>1.3</v>
      </c>
      <c r="P16" s="1431">
        <v>1.3</v>
      </c>
      <c r="Q16" s="1431">
        <v>1.3</v>
      </c>
      <c r="R16" s="1431">
        <v>1.3</v>
      </c>
      <c r="S16" s="1431">
        <v>1.3</v>
      </c>
    </row>
    <row r="17" spans="1:19">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c r="R17" s="1435">
        <f t="shared" si="0"/>
        <v>5.5E-2</v>
      </c>
      <c r="S17" s="1435">
        <f t="shared" si="0"/>
        <v>5.5E-2</v>
      </c>
    </row>
    <row r="18" spans="1:19">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c r="R18" s="1435">
        <f t="shared" si="0"/>
        <v>7.0000000000000007E-2</v>
      </c>
      <c r="S18" s="1435">
        <f t="shared" si="0"/>
        <v>7.0000000000000007E-2</v>
      </c>
    </row>
    <row r="19" spans="1:19">
      <c r="B19" s="1431" t="s">
        <v>758</v>
      </c>
      <c r="D19" s="1433">
        <f t="shared" ref="D19:Q19" si="1">D17+D16*D18</f>
        <v>0.125</v>
      </c>
      <c r="E19" s="1433">
        <f t="shared" si="1"/>
        <v>0.125</v>
      </c>
      <c r="F19" s="1433">
        <f t="shared" si="1"/>
        <v>0.125</v>
      </c>
      <c r="G19" s="1433">
        <f t="shared" si="1"/>
        <v>0.125</v>
      </c>
      <c r="H19" s="1433">
        <f t="shared" si="1"/>
        <v>0.125</v>
      </c>
      <c r="I19" s="1433">
        <f t="shared" si="1"/>
        <v>0.125</v>
      </c>
      <c r="J19" s="1433">
        <f t="shared" si="1"/>
        <v>0.125</v>
      </c>
      <c r="K19" s="1433">
        <f t="shared" si="1"/>
        <v>0.125</v>
      </c>
      <c r="L19" s="1433">
        <f t="shared" si="1"/>
        <v>0.125</v>
      </c>
      <c r="M19" s="1433">
        <f t="shared" si="1"/>
        <v>0.14600000000000002</v>
      </c>
      <c r="N19" s="1433">
        <f t="shared" si="1"/>
        <v>0.14600000000000002</v>
      </c>
      <c r="O19" s="1433">
        <f t="shared" si="1"/>
        <v>0.14600000000000002</v>
      </c>
      <c r="P19" s="1433">
        <f t="shared" si="1"/>
        <v>0.14600000000000002</v>
      </c>
      <c r="Q19" s="1433">
        <f t="shared" si="1"/>
        <v>0.14600000000000002</v>
      </c>
      <c r="R19" s="1433">
        <f>R17+R16*R18</f>
        <v>0.14600000000000002</v>
      </c>
      <c r="S19" s="1433">
        <f>S17+S16*S18</f>
        <v>0.14600000000000002</v>
      </c>
    </row>
    <row r="20" spans="1:19">
      <c r="B20" s="1431" t="s">
        <v>1542</v>
      </c>
      <c r="D20" s="1436">
        <f t="shared" ref="D20:S20" si="2">$I$6</f>
        <v>0.5</v>
      </c>
      <c r="E20" s="1436">
        <f t="shared" si="2"/>
        <v>0.5</v>
      </c>
      <c r="F20" s="1436">
        <f t="shared" si="2"/>
        <v>0.5</v>
      </c>
      <c r="G20" s="1436">
        <f t="shared" si="2"/>
        <v>0.5</v>
      </c>
      <c r="H20" s="1436">
        <f t="shared" si="2"/>
        <v>0.5</v>
      </c>
      <c r="I20" s="1436">
        <f t="shared" si="2"/>
        <v>0.5</v>
      </c>
      <c r="J20" s="1436">
        <f t="shared" si="2"/>
        <v>0.5</v>
      </c>
      <c r="K20" s="1436">
        <f t="shared" si="2"/>
        <v>0.5</v>
      </c>
      <c r="L20" s="1436">
        <f t="shared" si="2"/>
        <v>0.5</v>
      </c>
      <c r="M20" s="1436">
        <f t="shared" si="2"/>
        <v>0.5</v>
      </c>
      <c r="N20" s="1436">
        <f t="shared" si="2"/>
        <v>0.5</v>
      </c>
      <c r="O20" s="1436">
        <f t="shared" si="2"/>
        <v>0.5</v>
      </c>
      <c r="P20" s="1436">
        <f t="shared" si="2"/>
        <v>0.5</v>
      </c>
      <c r="Q20" s="1436">
        <f t="shared" si="2"/>
        <v>0.5</v>
      </c>
      <c r="R20" s="1436">
        <f t="shared" si="2"/>
        <v>0.5</v>
      </c>
      <c r="S20" s="1436">
        <f t="shared" si="2"/>
        <v>0.5</v>
      </c>
    </row>
    <row r="21" spans="1:19">
      <c r="B21" s="1431" t="s">
        <v>760</v>
      </c>
      <c r="D21" s="1581">
        <f>'Opal Central Park'!D21</f>
        <v>0.14000000000000001</v>
      </c>
      <c r="E21" s="1581">
        <f>'Opal Central Park'!E21</f>
        <v>0.13</v>
      </c>
      <c r="F21" s="1581">
        <f>'Opal Central Park'!F21</f>
        <v>0.1</v>
      </c>
      <c r="G21" s="1581">
        <f>'Opal Central Park'!G21</f>
        <v>0.12</v>
      </c>
      <c r="H21" s="1425">
        <f>G21</f>
        <v>0.12</v>
      </c>
      <c r="I21" s="1418">
        <f t="shared" ref="H21:S22" si="3">H21</f>
        <v>0.12</v>
      </c>
      <c r="J21" s="1418">
        <f t="shared" si="3"/>
        <v>0.12</v>
      </c>
      <c r="K21" s="1418">
        <f t="shared" si="3"/>
        <v>0.12</v>
      </c>
      <c r="L21" s="1418">
        <f t="shared" si="3"/>
        <v>0.12</v>
      </c>
      <c r="M21" s="2182">
        <v>0.13</v>
      </c>
      <c r="N21" s="2182">
        <v>0.13</v>
      </c>
      <c r="O21" s="2182">
        <v>0.13</v>
      </c>
      <c r="P21" s="2182">
        <v>0.13</v>
      </c>
      <c r="Q21" s="2182">
        <v>0.13</v>
      </c>
      <c r="R21" s="2182">
        <v>0.13</v>
      </c>
      <c r="S21" s="2182">
        <v>0.13</v>
      </c>
    </row>
    <row r="22" spans="1:19">
      <c r="B22" s="1431" t="s">
        <v>846</v>
      </c>
      <c r="D22" s="1596">
        <f>'Opal Central Park'!D22</f>
        <v>0.22</v>
      </c>
      <c r="E22" s="1596">
        <f>'Opal Central Park'!E22</f>
        <v>0.22</v>
      </c>
      <c r="F22" s="1596">
        <f>'Opal Central Park'!F22</f>
        <v>0.22</v>
      </c>
      <c r="G22" s="1596">
        <f>'Opal Central Park'!G22</f>
        <v>0.2</v>
      </c>
      <c r="H22" s="1417">
        <f t="shared" si="3"/>
        <v>0.2</v>
      </c>
      <c r="I22" s="1417">
        <f t="shared" si="3"/>
        <v>0.2</v>
      </c>
      <c r="J22" s="1417">
        <f t="shared" si="3"/>
        <v>0.2</v>
      </c>
      <c r="K22" s="1417">
        <f t="shared" si="3"/>
        <v>0.2</v>
      </c>
      <c r="L22" s="1417">
        <f t="shared" si="3"/>
        <v>0.2</v>
      </c>
      <c r="M22" s="1417">
        <f t="shared" si="3"/>
        <v>0.2</v>
      </c>
      <c r="N22" s="1417">
        <f t="shared" si="3"/>
        <v>0.2</v>
      </c>
      <c r="O22" s="1417">
        <f t="shared" si="3"/>
        <v>0.2</v>
      </c>
      <c r="P22" s="1417">
        <f t="shared" si="3"/>
        <v>0.2</v>
      </c>
      <c r="Q22" s="1417">
        <f t="shared" si="3"/>
        <v>0.2</v>
      </c>
      <c r="R22" s="1417">
        <f t="shared" si="3"/>
        <v>0.2</v>
      </c>
      <c r="S22" s="1417">
        <f t="shared" si="3"/>
        <v>0.2</v>
      </c>
    </row>
    <row r="23" spans="1:19">
      <c r="B23" s="1419" t="s">
        <v>14</v>
      </c>
      <c r="C23" s="1432"/>
      <c r="D23" s="1437">
        <f>D19*D15+D21*D20*(1-D22)</f>
        <v>0.11710000000000001</v>
      </c>
      <c r="E23" s="1437">
        <f t="shared" ref="E23:Q23" si="4">E19*E15+E21*E20*(1-E22)</f>
        <v>0.1132</v>
      </c>
      <c r="F23" s="1437">
        <f>F19*F15+F21*F20*(1-F22)</f>
        <v>0.10150000000000001</v>
      </c>
      <c r="G23" s="1437">
        <f>G19*G15+G21*G20*(1-G22)</f>
        <v>0.1105</v>
      </c>
      <c r="H23" s="1437">
        <f>H19*H15+H21*H20*(1-H22)</f>
        <v>0.1105</v>
      </c>
      <c r="I23" s="1437">
        <f>I19*I15+I21*I20*(1-I22)</f>
        <v>0.1105</v>
      </c>
      <c r="J23" s="1437">
        <f t="shared" si="4"/>
        <v>0.1105</v>
      </c>
      <c r="K23" s="1437">
        <f t="shared" si="4"/>
        <v>0.1105</v>
      </c>
      <c r="L23" s="1437">
        <f t="shared" si="4"/>
        <v>0.1105</v>
      </c>
      <c r="M23" s="1437">
        <f t="shared" si="4"/>
        <v>0.125</v>
      </c>
      <c r="N23" s="1437">
        <f t="shared" si="4"/>
        <v>0.125</v>
      </c>
      <c r="O23" s="1437">
        <f t="shared" si="4"/>
        <v>0.125</v>
      </c>
      <c r="P23" s="1437">
        <f t="shared" si="4"/>
        <v>0.125</v>
      </c>
      <c r="Q23" s="1437">
        <f t="shared" si="4"/>
        <v>0.125</v>
      </c>
      <c r="R23" s="1437">
        <f>R19*R15+R21*R20*(1-R22)</f>
        <v>0.125</v>
      </c>
      <c r="S23" s="1437">
        <f>S19*S15+S21*S20*(1-S22)</f>
        <v>0.125</v>
      </c>
    </row>
    <row r="24" spans="1:19">
      <c r="E24" s="1412"/>
      <c r="J24" s="1413"/>
    </row>
    <row r="25" spans="1:19">
      <c r="E25" s="1412"/>
      <c r="J25" s="1413"/>
    </row>
    <row r="26" spans="1:19" ht="15.75">
      <c r="A26" s="1420" t="s">
        <v>1548</v>
      </c>
      <c r="B26" s="1438"/>
    </row>
    <row r="28" spans="1:19" s="1407" customFormat="1">
      <c r="A28" s="1406" t="s">
        <v>762</v>
      </c>
      <c r="B28" s="1407" t="s">
        <v>1459</v>
      </c>
      <c r="C28" s="1407" t="s">
        <v>764</v>
      </c>
      <c r="D28" s="1407" t="s">
        <v>1549</v>
      </c>
      <c r="E28" s="1407" t="s">
        <v>1550</v>
      </c>
    </row>
    <row r="29" spans="1:19">
      <c r="A29" s="1421"/>
      <c r="B29" s="1432" t="s">
        <v>1551</v>
      </c>
      <c r="C29" s="1432" t="s">
        <v>1552</v>
      </c>
      <c r="D29" s="1432"/>
      <c r="E29" s="1408">
        <f>N10</f>
        <v>86000</v>
      </c>
    </row>
    <row r="30" spans="1:19">
      <c r="B30" s="1431" t="s">
        <v>1553</v>
      </c>
      <c r="C30" s="1431" t="s">
        <v>1552</v>
      </c>
      <c r="E30" s="1410">
        <f>E29</f>
        <v>86000</v>
      </c>
    </row>
    <row r="31" spans="1:19">
      <c r="B31" s="1431" t="s">
        <v>1554</v>
      </c>
      <c r="C31" s="1431" t="s">
        <v>1555</v>
      </c>
      <c r="D31" s="1446"/>
      <c r="E31" s="1410">
        <f>E29*D31</f>
        <v>0</v>
      </c>
    </row>
    <row r="32" spans="1:19">
      <c r="B32" s="1431" t="s">
        <v>1556</v>
      </c>
      <c r="C32" s="1431" t="s">
        <v>1555</v>
      </c>
      <c r="D32" s="1654">
        <v>10</v>
      </c>
      <c r="E32" s="1440">
        <f>D32*E29/1000</f>
        <v>860</v>
      </c>
    </row>
    <row r="34" spans="1:19">
      <c r="B34" s="1407" t="s">
        <v>773</v>
      </c>
      <c r="C34" s="1431" t="s">
        <v>642</v>
      </c>
      <c r="D34" s="1447">
        <f t="shared" ref="D34:S34" si="5">D14</f>
        <v>2013</v>
      </c>
      <c r="E34" s="1447">
        <f t="shared" si="5"/>
        <v>2014</v>
      </c>
      <c r="F34" s="1447">
        <f t="shared" si="5"/>
        <v>2015</v>
      </c>
      <c r="G34" s="1447">
        <f t="shared" si="5"/>
        <v>2016</v>
      </c>
      <c r="H34" s="1447">
        <f t="shared" si="5"/>
        <v>2017</v>
      </c>
      <c r="I34" s="1447">
        <f t="shared" si="5"/>
        <v>2018</v>
      </c>
      <c r="J34" s="1447">
        <f t="shared" si="5"/>
        <v>2019</v>
      </c>
      <c r="K34" s="1447">
        <f t="shared" si="5"/>
        <v>2020</v>
      </c>
      <c r="L34" s="1447">
        <f t="shared" si="5"/>
        <v>2021</v>
      </c>
      <c r="M34" s="1447">
        <f t="shared" si="5"/>
        <v>2022</v>
      </c>
      <c r="N34" s="1447">
        <f t="shared" si="5"/>
        <v>2023</v>
      </c>
      <c r="O34" s="1447">
        <f t="shared" si="5"/>
        <v>2024</v>
      </c>
      <c r="P34" s="1447">
        <f t="shared" si="5"/>
        <v>2025</v>
      </c>
      <c r="Q34" s="1447">
        <f t="shared" si="5"/>
        <v>2026</v>
      </c>
      <c r="R34" s="1447">
        <f t="shared" si="5"/>
        <v>2027</v>
      </c>
      <c r="S34" s="1447">
        <f t="shared" si="5"/>
        <v>2028</v>
      </c>
    </row>
    <row r="35" spans="1:19">
      <c r="B35" s="1432"/>
      <c r="C35" s="1441">
        <f>E32</f>
        <v>860</v>
      </c>
      <c r="D35" s="1408">
        <f>$C$35*D36</f>
        <v>0</v>
      </c>
      <c r="E35" s="1408">
        <f>$C$35*E36</f>
        <v>0</v>
      </c>
      <c r="F35" s="1408">
        <f>$C$35*F36</f>
        <v>0</v>
      </c>
      <c r="G35" s="1408">
        <f>$C$35*G36</f>
        <v>0</v>
      </c>
      <c r="H35" s="1408">
        <f>$C$35*H36</f>
        <v>0</v>
      </c>
      <c r="I35" s="1408">
        <f t="shared" ref="I35:S35" si="6">$C$35*I36</f>
        <v>0</v>
      </c>
      <c r="J35" s="1408">
        <f t="shared" si="6"/>
        <v>0</v>
      </c>
      <c r="K35" s="1408">
        <f t="shared" si="6"/>
        <v>0</v>
      </c>
      <c r="L35" s="1408">
        <f t="shared" si="6"/>
        <v>0</v>
      </c>
      <c r="M35" s="1408">
        <f t="shared" si="6"/>
        <v>430</v>
      </c>
      <c r="N35" s="1408">
        <f t="shared" si="6"/>
        <v>430</v>
      </c>
      <c r="O35" s="1408">
        <f t="shared" si="6"/>
        <v>0</v>
      </c>
      <c r="P35" s="1408">
        <f t="shared" si="6"/>
        <v>0</v>
      </c>
      <c r="Q35" s="1408">
        <f t="shared" si="6"/>
        <v>0</v>
      </c>
      <c r="R35" s="1408">
        <f t="shared" si="6"/>
        <v>0</v>
      </c>
      <c r="S35" s="1408">
        <f t="shared" si="6"/>
        <v>0</v>
      </c>
    </row>
    <row r="36" spans="1:19">
      <c r="B36" s="1442" t="s">
        <v>1559</v>
      </c>
      <c r="C36" s="1436">
        <f>SUM(D36:Q36)</f>
        <v>1</v>
      </c>
      <c r="D36" s="1416">
        <v>0</v>
      </c>
      <c r="E36" s="1416">
        <v>0</v>
      </c>
      <c r="F36" s="1416">
        <v>0</v>
      </c>
      <c r="G36" s="1416">
        <v>0</v>
      </c>
      <c r="H36" s="1416">
        <v>0</v>
      </c>
      <c r="I36" s="1416">
        <v>0</v>
      </c>
      <c r="J36" s="1416">
        <v>0</v>
      </c>
      <c r="K36" s="1416">
        <v>0</v>
      </c>
      <c r="L36" s="1416">
        <v>0</v>
      </c>
      <c r="M36" s="1416">
        <v>0.5</v>
      </c>
      <c r="N36" s="1416">
        <v>0.5</v>
      </c>
      <c r="O36" s="1416">
        <v>0</v>
      </c>
      <c r="P36" s="1416">
        <v>0</v>
      </c>
      <c r="Q36" s="1416">
        <v>0</v>
      </c>
      <c r="R36" s="1416">
        <v>0</v>
      </c>
      <c r="S36" s="1416">
        <v>0</v>
      </c>
    </row>
    <row r="39" spans="1:19" s="1407" customFormat="1">
      <c r="A39" s="1406" t="s">
        <v>777</v>
      </c>
      <c r="B39" s="1407" t="s">
        <v>1585</v>
      </c>
      <c r="C39" s="1407" t="s">
        <v>764</v>
      </c>
      <c r="D39" s="1407" t="s">
        <v>1549</v>
      </c>
    </row>
    <row r="40" spans="1:19">
      <c r="A40" s="1421"/>
      <c r="B40" s="1432" t="s">
        <v>686</v>
      </c>
      <c r="C40" s="1432" t="s">
        <v>1552</v>
      </c>
      <c r="D40" s="1426">
        <f>N11</f>
        <v>680000</v>
      </c>
      <c r="F40" s="1440"/>
      <c r="G40" s="1410"/>
    </row>
    <row r="41" spans="1:19">
      <c r="B41" s="1431" t="s">
        <v>1560</v>
      </c>
      <c r="C41" s="1431" t="s">
        <v>780</v>
      </c>
      <c r="D41" s="1448">
        <f>S9</f>
        <v>0.4</v>
      </c>
      <c r="G41" s="1440"/>
    </row>
    <row r="42" spans="1:19">
      <c r="B42" s="1431" t="s">
        <v>781</v>
      </c>
      <c r="C42" s="1431" t="s">
        <v>1552</v>
      </c>
      <c r="D42" s="2178">
        <f>D40*D41</f>
        <v>272000</v>
      </c>
    </row>
    <row r="43" spans="1:19">
      <c r="B43" s="1431" t="s">
        <v>1787</v>
      </c>
      <c r="C43" s="1431" t="s">
        <v>1555</v>
      </c>
      <c r="D43" s="1654">
        <f>S7</f>
        <v>30</v>
      </c>
    </row>
    <row r="44" spans="1:19">
      <c r="B44" s="1431" t="s">
        <v>1587</v>
      </c>
      <c r="C44" s="1431" t="s">
        <v>1555</v>
      </c>
      <c r="D44" s="1655">
        <v>10</v>
      </c>
    </row>
    <row r="45" spans="1:19">
      <c r="B45" s="1431" t="s">
        <v>787</v>
      </c>
      <c r="C45" s="1431" t="s">
        <v>780</v>
      </c>
      <c r="D45" s="1411">
        <v>0</v>
      </c>
    </row>
    <row r="46" spans="1:19">
      <c r="B46" s="1431" t="s">
        <v>1562</v>
      </c>
      <c r="C46" s="1431" t="s">
        <v>780</v>
      </c>
      <c r="D46" s="1448">
        <f>S11</f>
        <v>0.1</v>
      </c>
    </row>
    <row r="47" spans="1:19">
      <c r="B47" s="1431" t="s">
        <v>1563</v>
      </c>
      <c r="C47" s="1431" t="s">
        <v>780</v>
      </c>
      <c r="D47" s="1411">
        <v>0.02</v>
      </c>
    </row>
    <row r="49" spans="1:19" s="1407" customFormat="1">
      <c r="A49" s="1406">
        <v>1</v>
      </c>
      <c r="B49" s="1407" t="s">
        <v>1564</v>
      </c>
      <c r="C49" s="1431" t="str">
        <f>C34</f>
        <v>Total</v>
      </c>
      <c r="D49" s="1431">
        <f>D34</f>
        <v>2013</v>
      </c>
      <c r="E49" s="1431">
        <f>E34</f>
        <v>2014</v>
      </c>
      <c r="F49" s="1431">
        <f>F34</f>
        <v>2015</v>
      </c>
      <c r="G49" s="1431">
        <f>F49+1</f>
        <v>2016</v>
      </c>
      <c r="H49" s="1431">
        <f>G49+1</f>
        <v>2017</v>
      </c>
      <c r="I49" s="1431">
        <f>H49+1</f>
        <v>2018</v>
      </c>
      <c r="J49" s="1431">
        <f>I49+1</f>
        <v>2019</v>
      </c>
      <c r="K49" s="1431">
        <f>J49+1</f>
        <v>2020</v>
      </c>
      <c r="L49" s="1431">
        <f t="shared" ref="L49:S49" si="7">K49+1</f>
        <v>2021</v>
      </c>
      <c r="M49" s="1431">
        <f t="shared" si="7"/>
        <v>2022</v>
      </c>
      <c r="N49" s="1431">
        <f t="shared" si="7"/>
        <v>2023</v>
      </c>
      <c r="O49" s="1431">
        <f t="shared" si="7"/>
        <v>2024</v>
      </c>
      <c r="P49" s="1431">
        <f t="shared" si="7"/>
        <v>2025</v>
      </c>
      <c r="Q49" s="1431">
        <f t="shared" si="7"/>
        <v>2026</v>
      </c>
      <c r="R49" s="1431">
        <f t="shared" si="7"/>
        <v>2027</v>
      </c>
      <c r="S49" s="1431">
        <f t="shared" si="7"/>
        <v>2028</v>
      </c>
    </row>
    <row r="50" spans="1:19">
      <c r="B50" s="1432" t="s">
        <v>791</v>
      </c>
      <c r="C50" s="1441">
        <f>SUM(D50:Q50)</f>
        <v>6002.1924479999998</v>
      </c>
      <c r="D50" s="1441">
        <f>$D$42*D52*D51/1000</f>
        <v>0</v>
      </c>
      <c r="E50" s="1441">
        <f t="shared" ref="E50:M50" si="8">$D$42*E52*E51/1000</f>
        <v>0</v>
      </c>
      <c r="F50" s="1441">
        <f t="shared" si="8"/>
        <v>0</v>
      </c>
      <c r="G50" s="1441">
        <f t="shared" si="8"/>
        <v>0</v>
      </c>
      <c r="H50" s="1441">
        <f t="shared" si="8"/>
        <v>0</v>
      </c>
      <c r="I50" s="1441">
        <f t="shared" si="8"/>
        <v>0</v>
      </c>
      <c r="J50" s="1441">
        <f t="shared" si="8"/>
        <v>0</v>
      </c>
      <c r="K50" s="1441">
        <f t="shared" si="8"/>
        <v>0</v>
      </c>
      <c r="L50" s="1441">
        <f t="shared" si="8"/>
        <v>0</v>
      </c>
      <c r="M50" s="1441">
        <f t="shared" si="8"/>
        <v>0</v>
      </c>
      <c r="N50" s="1441">
        <f t="shared" ref="N50:S50" si="9">$D$42*N52*N51/1000</f>
        <v>0</v>
      </c>
      <c r="O50" s="1441">
        <f t="shared" si="9"/>
        <v>0</v>
      </c>
      <c r="P50" s="1441">
        <f t="shared" si="9"/>
        <v>2971.3824</v>
      </c>
      <c r="Q50" s="1441">
        <f t="shared" si="9"/>
        <v>3030.8100480000003</v>
      </c>
      <c r="R50" s="1441">
        <f t="shared" si="9"/>
        <v>2649.7939276800003</v>
      </c>
      <c r="S50" s="1441">
        <f t="shared" si="9"/>
        <v>0</v>
      </c>
    </row>
    <row r="51" spans="1:19">
      <c r="B51" s="1444" t="s">
        <v>792</v>
      </c>
      <c r="C51" s="1436">
        <f>SUM(D51:S51)</f>
        <v>1</v>
      </c>
      <c r="D51" s="1416">
        <v>0</v>
      </c>
      <c r="E51" s="1416">
        <v>0</v>
      </c>
      <c r="F51" s="1416">
        <v>0</v>
      </c>
      <c r="G51" s="1416">
        <v>0</v>
      </c>
      <c r="H51" s="1416">
        <v>0</v>
      </c>
      <c r="I51" s="1416">
        <v>0</v>
      </c>
      <c r="J51" s="1416">
        <v>0</v>
      </c>
      <c r="K51" s="1416">
        <v>0</v>
      </c>
      <c r="L51" s="1416">
        <v>0</v>
      </c>
      <c r="M51" s="1416">
        <v>0</v>
      </c>
      <c r="N51" s="1416">
        <v>0</v>
      </c>
      <c r="O51" s="1416">
        <v>0</v>
      </c>
      <c r="P51" s="1416">
        <v>0.35</v>
      </c>
      <c r="Q51" s="1416">
        <v>0.35</v>
      </c>
      <c r="R51" s="1416">
        <v>0.3</v>
      </c>
      <c r="S51" s="1416">
        <v>0</v>
      </c>
    </row>
    <row r="52" spans="1:19">
      <c r="B52" s="1444" t="s">
        <v>1565</v>
      </c>
      <c r="D52" s="1439"/>
      <c r="E52" s="1439"/>
      <c r="F52" s="1439"/>
      <c r="G52" s="1439"/>
      <c r="H52" s="1439"/>
      <c r="I52" s="1439"/>
      <c r="J52" s="1439"/>
      <c r="K52" s="1439"/>
      <c r="L52" s="1439"/>
      <c r="M52" s="1439"/>
      <c r="N52" s="1439">
        <f>S7</f>
        <v>30</v>
      </c>
      <c r="O52" s="1439">
        <f t="shared" ref="O52:S52" si="10">N52*(1+O53)</f>
        <v>30.6</v>
      </c>
      <c r="P52" s="1439">
        <f t="shared" si="10"/>
        <v>31.212000000000003</v>
      </c>
      <c r="Q52" s="1439">
        <f t="shared" si="10"/>
        <v>31.836240000000004</v>
      </c>
      <c r="R52" s="1439">
        <f t="shared" si="10"/>
        <v>32.472964800000007</v>
      </c>
      <c r="S52" s="1439">
        <f t="shared" si="10"/>
        <v>33.12242409600001</v>
      </c>
    </row>
    <row r="53" spans="1:19">
      <c r="B53" s="1444" t="s">
        <v>1563</v>
      </c>
      <c r="E53" s="1443">
        <f>D47</f>
        <v>0.02</v>
      </c>
      <c r="F53" s="1443">
        <f>E53</f>
        <v>0.02</v>
      </c>
      <c r="G53" s="1443">
        <f t="shared" ref="G53:Q53" si="11">F53</f>
        <v>0.02</v>
      </c>
      <c r="H53" s="1443">
        <f t="shared" si="11"/>
        <v>0.02</v>
      </c>
      <c r="I53" s="1443">
        <f t="shared" si="11"/>
        <v>0.02</v>
      </c>
      <c r="J53" s="1443">
        <f t="shared" si="11"/>
        <v>0.02</v>
      </c>
      <c r="K53" s="1443">
        <f t="shared" si="11"/>
        <v>0.02</v>
      </c>
      <c r="L53" s="1443">
        <f t="shared" si="11"/>
        <v>0.02</v>
      </c>
      <c r="M53" s="1443">
        <f t="shared" si="11"/>
        <v>0.02</v>
      </c>
      <c r="N53" s="1443">
        <f t="shared" si="11"/>
        <v>0.02</v>
      </c>
      <c r="O53" s="1443">
        <f t="shared" si="11"/>
        <v>0.02</v>
      </c>
      <c r="P53" s="1443">
        <f t="shared" si="11"/>
        <v>0.02</v>
      </c>
      <c r="Q53" s="1443">
        <f t="shared" si="11"/>
        <v>0.02</v>
      </c>
      <c r="R53" s="1443">
        <f>Q53</f>
        <v>0.02</v>
      </c>
      <c r="S53" s="1443">
        <f>R53</f>
        <v>0.02</v>
      </c>
    </row>
    <row r="54" spans="1:19">
      <c r="B54" s="1444" t="s">
        <v>1788</v>
      </c>
      <c r="C54" s="1440">
        <f>S5</f>
        <v>3400</v>
      </c>
      <c r="D54" s="1440">
        <f>D51*$C$54</f>
        <v>0</v>
      </c>
      <c r="E54" s="1440">
        <f t="shared" ref="E54:M54" si="12">E51*$C$54</f>
        <v>0</v>
      </c>
      <c r="F54" s="1440">
        <f t="shared" si="12"/>
        <v>0</v>
      </c>
      <c r="G54" s="1440">
        <f t="shared" si="12"/>
        <v>0</v>
      </c>
      <c r="H54" s="1440">
        <f t="shared" si="12"/>
        <v>0</v>
      </c>
      <c r="I54" s="1440">
        <f t="shared" si="12"/>
        <v>0</v>
      </c>
      <c r="J54" s="1440">
        <f t="shared" si="12"/>
        <v>0</v>
      </c>
      <c r="K54" s="1440">
        <f t="shared" si="12"/>
        <v>0</v>
      </c>
      <c r="L54" s="1440">
        <f t="shared" si="12"/>
        <v>0</v>
      </c>
      <c r="M54" s="1440">
        <f t="shared" si="12"/>
        <v>0</v>
      </c>
      <c r="N54" s="1440">
        <f t="shared" ref="N54:S54" si="13">N51*$C$54</f>
        <v>0</v>
      </c>
      <c r="O54" s="1440">
        <f t="shared" si="13"/>
        <v>0</v>
      </c>
      <c r="P54" s="1440">
        <f t="shared" si="13"/>
        <v>1190</v>
      </c>
      <c r="Q54" s="1440">
        <f t="shared" si="13"/>
        <v>1190</v>
      </c>
      <c r="R54" s="1440">
        <f t="shared" si="13"/>
        <v>1020</v>
      </c>
      <c r="S54" s="1440">
        <f t="shared" si="13"/>
        <v>0</v>
      </c>
    </row>
    <row r="55" spans="1:19">
      <c r="B55" s="1444"/>
      <c r="F55" s="1443"/>
      <c r="G55" s="1443"/>
    </row>
    <row r="56" spans="1:19" s="1407" customFormat="1">
      <c r="A56" s="1406">
        <v>2</v>
      </c>
      <c r="B56" s="1407" t="s">
        <v>794</v>
      </c>
      <c r="C56" s="1431" t="str">
        <f>C49</f>
        <v>Total</v>
      </c>
      <c r="D56" s="1431">
        <f t="shared" ref="D56:J56" si="14">D49</f>
        <v>2013</v>
      </c>
      <c r="E56" s="1431">
        <f t="shared" si="14"/>
        <v>2014</v>
      </c>
      <c r="F56" s="1431">
        <f t="shared" si="14"/>
        <v>2015</v>
      </c>
      <c r="G56" s="1431">
        <f t="shared" si="14"/>
        <v>2016</v>
      </c>
      <c r="H56" s="1431">
        <f t="shared" si="14"/>
        <v>2017</v>
      </c>
      <c r="I56" s="1431">
        <f t="shared" si="14"/>
        <v>2018</v>
      </c>
      <c r="J56" s="1431">
        <f t="shared" si="14"/>
        <v>2019</v>
      </c>
      <c r="K56" s="1431">
        <f t="shared" ref="K56:S56" si="15">K49</f>
        <v>2020</v>
      </c>
      <c r="L56" s="1431">
        <f t="shared" si="15"/>
        <v>2021</v>
      </c>
      <c r="M56" s="1431">
        <f t="shared" si="15"/>
        <v>2022</v>
      </c>
      <c r="N56" s="1431">
        <f t="shared" si="15"/>
        <v>2023</v>
      </c>
      <c r="O56" s="1431">
        <f t="shared" si="15"/>
        <v>2024</v>
      </c>
      <c r="P56" s="1431">
        <f t="shared" si="15"/>
        <v>2025</v>
      </c>
      <c r="Q56" s="1431">
        <f t="shared" si="15"/>
        <v>2026</v>
      </c>
      <c r="R56" s="1431">
        <f t="shared" si="15"/>
        <v>2027</v>
      </c>
      <c r="S56" s="1431">
        <f t="shared" si="15"/>
        <v>2028</v>
      </c>
    </row>
    <row r="57" spans="1:19">
      <c r="B57" s="1432" t="s">
        <v>1586</v>
      </c>
      <c r="C57" s="1408">
        <f>C50</f>
        <v>6002.1924479999998</v>
      </c>
      <c r="D57" s="1441">
        <f>$C$57*D58</f>
        <v>0</v>
      </c>
      <c r="E57" s="1441">
        <f t="shared" ref="E57:S57" si="16">$C$57*E58</f>
        <v>0</v>
      </c>
      <c r="F57" s="1441">
        <f t="shared" si="16"/>
        <v>0</v>
      </c>
      <c r="G57" s="1441">
        <f t="shared" si="16"/>
        <v>0</v>
      </c>
      <c r="H57" s="1441">
        <f t="shared" si="16"/>
        <v>0</v>
      </c>
      <c r="I57" s="1441">
        <f t="shared" si="16"/>
        <v>0</v>
      </c>
      <c r="J57" s="1441">
        <f t="shared" si="16"/>
        <v>0</v>
      </c>
      <c r="K57" s="1441">
        <f t="shared" si="16"/>
        <v>0</v>
      </c>
      <c r="L57" s="1441">
        <f t="shared" si="16"/>
        <v>0</v>
      </c>
      <c r="M57" s="1441">
        <f t="shared" si="16"/>
        <v>0</v>
      </c>
      <c r="N57" s="1441">
        <f t="shared" si="16"/>
        <v>0</v>
      </c>
      <c r="O57" s="1441">
        <f t="shared" si="16"/>
        <v>0</v>
      </c>
      <c r="P57" s="1441">
        <f>$C$57*P58</f>
        <v>2700.9866016000001</v>
      </c>
      <c r="Q57" s="1441">
        <f t="shared" si="16"/>
        <v>1980.7235078399999</v>
      </c>
      <c r="R57" s="1441">
        <f t="shared" si="16"/>
        <v>1320.48233856</v>
      </c>
      <c r="S57" s="1441">
        <f t="shared" si="16"/>
        <v>0</v>
      </c>
    </row>
    <row r="58" spans="1:19">
      <c r="B58" s="1442" t="s">
        <v>794</v>
      </c>
      <c r="C58" s="1417">
        <f>SUM(D58:S58)</f>
        <v>1</v>
      </c>
      <c r="D58" s="1411">
        <v>0</v>
      </c>
      <c r="E58" s="1411">
        <v>0</v>
      </c>
      <c r="F58" s="1411">
        <v>0</v>
      </c>
      <c r="G58" s="1411">
        <v>0</v>
      </c>
      <c r="H58" s="1411">
        <v>0</v>
      </c>
      <c r="I58" s="1411">
        <v>0</v>
      </c>
      <c r="J58" s="1411">
        <v>0</v>
      </c>
      <c r="K58" s="1411">
        <v>0</v>
      </c>
      <c r="L58" s="1411">
        <v>0</v>
      </c>
      <c r="M58" s="1411">
        <v>0</v>
      </c>
      <c r="N58" s="1411">
        <v>0</v>
      </c>
      <c r="O58" s="1411">
        <v>0</v>
      </c>
      <c r="P58" s="1411">
        <v>0.45</v>
      </c>
      <c r="Q58" s="1411">
        <v>0.33</v>
      </c>
      <c r="R58" s="1411">
        <v>0.22</v>
      </c>
      <c r="S58" s="1411">
        <v>0</v>
      </c>
    </row>
    <row r="59" spans="1:19">
      <c r="B59" s="1442" t="s">
        <v>1777</v>
      </c>
      <c r="C59" s="1410">
        <f>C54</f>
        <v>3400</v>
      </c>
      <c r="D59" s="1410">
        <f>D58*$C$59</f>
        <v>0</v>
      </c>
      <c r="E59" s="1410">
        <f t="shared" ref="E59:M59" si="17">E58*$C$59</f>
        <v>0</v>
      </c>
      <c r="F59" s="1410">
        <f t="shared" si="17"/>
        <v>0</v>
      </c>
      <c r="G59" s="1410">
        <f t="shared" si="17"/>
        <v>0</v>
      </c>
      <c r="H59" s="1410">
        <f t="shared" si="17"/>
        <v>0</v>
      </c>
      <c r="I59" s="1410">
        <f t="shared" si="17"/>
        <v>0</v>
      </c>
      <c r="J59" s="1410">
        <f t="shared" si="17"/>
        <v>0</v>
      </c>
      <c r="K59" s="1410">
        <f t="shared" si="17"/>
        <v>0</v>
      </c>
      <c r="L59" s="1410">
        <f t="shared" si="17"/>
        <v>0</v>
      </c>
      <c r="M59" s="1410">
        <f t="shared" si="17"/>
        <v>0</v>
      </c>
      <c r="N59" s="1410">
        <f t="shared" ref="N59:S59" si="18">N58*$C$59</f>
        <v>0</v>
      </c>
      <c r="O59" s="1410">
        <f t="shared" si="18"/>
        <v>0</v>
      </c>
      <c r="P59" s="1410">
        <f t="shared" si="18"/>
        <v>1530</v>
      </c>
      <c r="Q59" s="1410">
        <f t="shared" si="18"/>
        <v>1122</v>
      </c>
      <c r="R59" s="1410">
        <f t="shared" si="18"/>
        <v>748</v>
      </c>
      <c r="S59" s="1410">
        <f t="shared" si="18"/>
        <v>0</v>
      </c>
    </row>
    <row r="60" spans="1:19">
      <c r="B60" s="1444"/>
      <c r="C60" s="1425"/>
      <c r="D60" s="1433"/>
      <c r="E60" s="1433"/>
      <c r="F60" s="1433"/>
      <c r="G60" s="1433"/>
    </row>
    <row r="61" spans="1:19">
      <c r="C61" s="1440"/>
      <c r="D61" s="1440"/>
      <c r="E61" s="1440"/>
      <c r="F61" s="1440"/>
      <c r="G61" s="1440"/>
    </row>
    <row r="62" spans="1:19" s="1407" customFormat="1">
      <c r="A62" s="1406">
        <v>3</v>
      </c>
      <c r="B62" s="1407" t="s">
        <v>1175</v>
      </c>
      <c r="C62" s="1431" t="str">
        <f>C56</f>
        <v>Total</v>
      </c>
      <c r="D62" s="1431">
        <f t="shared" ref="D62:J62" si="19">D56</f>
        <v>2013</v>
      </c>
      <c r="E62" s="1431">
        <f t="shared" si="19"/>
        <v>2014</v>
      </c>
      <c r="F62" s="1431">
        <f t="shared" si="19"/>
        <v>2015</v>
      </c>
      <c r="G62" s="1431">
        <f t="shared" si="19"/>
        <v>2016</v>
      </c>
      <c r="H62" s="1431">
        <f t="shared" si="19"/>
        <v>2017</v>
      </c>
      <c r="I62" s="1431">
        <f t="shared" si="19"/>
        <v>2018</v>
      </c>
      <c r="J62" s="1431">
        <f t="shared" si="19"/>
        <v>2019</v>
      </c>
      <c r="K62" s="1431">
        <f t="shared" ref="K62:S62" si="20">K56</f>
        <v>2020</v>
      </c>
      <c r="L62" s="1431">
        <f t="shared" si="20"/>
        <v>2021</v>
      </c>
      <c r="M62" s="1431">
        <f t="shared" si="20"/>
        <v>2022</v>
      </c>
      <c r="N62" s="1431">
        <f t="shared" si="20"/>
        <v>2023</v>
      </c>
      <c r="O62" s="1431">
        <f t="shared" si="20"/>
        <v>2024</v>
      </c>
      <c r="P62" s="1431">
        <f t="shared" si="20"/>
        <v>2025</v>
      </c>
      <c r="Q62" s="1431">
        <f t="shared" si="20"/>
        <v>2026</v>
      </c>
      <c r="R62" s="1431">
        <f t="shared" si="20"/>
        <v>2027</v>
      </c>
      <c r="S62" s="1431">
        <f t="shared" si="20"/>
        <v>2028</v>
      </c>
    </row>
    <row r="63" spans="1:19">
      <c r="B63" s="1432"/>
      <c r="C63" s="1441">
        <f>SUM(D63:S63)</f>
        <v>8122.027590144</v>
      </c>
      <c r="D63" s="1408"/>
      <c r="E63" s="1408"/>
      <c r="F63" s="1408">
        <f>D50*$D66+E50*$D65+F50*$D64</f>
        <v>0</v>
      </c>
      <c r="G63" s="1408">
        <f>E50*$D66+F50*$D65+G50*$D64</f>
        <v>0</v>
      </c>
      <c r="H63" s="1408">
        <f t="shared" ref="H63:S63" si="21">F50*$D66+G50*$D65+H50*$D64</f>
        <v>0</v>
      </c>
      <c r="I63" s="1408">
        <f t="shared" si="21"/>
        <v>0</v>
      </c>
      <c r="J63" s="1408">
        <f t="shared" si="21"/>
        <v>0</v>
      </c>
      <c r="K63" s="1408">
        <f t="shared" si="21"/>
        <v>0</v>
      </c>
      <c r="L63" s="1408">
        <f t="shared" si="21"/>
        <v>0</v>
      </c>
      <c r="M63" s="1408">
        <f t="shared" si="21"/>
        <v>0</v>
      </c>
      <c r="N63" s="1408">
        <f t="shared" si="21"/>
        <v>0</v>
      </c>
      <c r="O63" s="1408">
        <f t="shared" si="21"/>
        <v>0</v>
      </c>
      <c r="P63" s="1408">
        <f t="shared" si="21"/>
        <v>594.27647999999999</v>
      </c>
      <c r="Q63" s="1408">
        <f t="shared" si="21"/>
        <v>2388.9914496000001</v>
      </c>
      <c r="R63" s="1408">
        <f t="shared" si="21"/>
        <v>2942.721294336</v>
      </c>
      <c r="S63" s="1408">
        <f t="shared" si="21"/>
        <v>2196.0383662080003</v>
      </c>
    </row>
    <row r="64" spans="1:19">
      <c r="B64" s="1431" t="s">
        <v>797</v>
      </c>
      <c r="C64" s="1440" t="s">
        <v>798</v>
      </c>
      <c r="D64" s="1416">
        <v>0.2</v>
      </c>
      <c r="E64" s="1440"/>
      <c r="F64" s="1440"/>
      <c r="G64" s="1440"/>
    </row>
    <row r="65" spans="1:19">
      <c r="C65" s="1440" t="s">
        <v>799</v>
      </c>
      <c r="D65" s="1416">
        <v>0.6</v>
      </c>
      <c r="E65" s="1440"/>
      <c r="F65" s="1440"/>
      <c r="G65" s="1440"/>
    </row>
    <row r="66" spans="1:19">
      <c r="C66" s="1440" t="s">
        <v>800</v>
      </c>
      <c r="D66" s="1417">
        <f>1-SUM(D64:D65)</f>
        <v>0.19999999999999996</v>
      </c>
      <c r="E66" s="1440"/>
      <c r="F66" s="1440"/>
      <c r="G66" s="1440"/>
    </row>
    <row r="67" spans="1:19">
      <c r="C67" s="1440"/>
      <c r="D67" s="1416"/>
      <c r="E67" s="1440"/>
      <c r="F67" s="1440"/>
      <c r="G67" s="1440"/>
    </row>
    <row r="68" spans="1:19">
      <c r="C68" s="1440"/>
      <c r="D68" s="1416"/>
      <c r="E68" s="1440"/>
      <c r="F68" s="1440"/>
      <c r="G68" s="1440"/>
    </row>
    <row r="69" spans="1:19" s="1407" customFormat="1">
      <c r="A69" s="1406">
        <v>4</v>
      </c>
      <c r="B69" s="1407" t="s">
        <v>1462</v>
      </c>
      <c r="C69" s="1440" t="str">
        <f>C62</f>
        <v>Total</v>
      </c>
      <c r="D69" s="1431">
        <f t="shared" ref="D69:J69" si="22">D62</f>
        <v>2013</v>
      </c>
      <c r="E69" s="1431">
        <f t="shared" si="22"/>
        <v>2014</v>
      </c>
      <c r="F69" s="1431">
        <f t="shared" si="22"/>
        <v>2015</v>
      </c>
      <c r="G69" s="1431">
        <f t="shared" si="22"/>
        <v>2016</v>
      </c>
      <c r="H69" s="1431">
        <f t="shared" si="22"/>
        <v>2017</v>
      </c>
      <c r="I69" s="1431">
        <f t="shared" si="22"/>
        <v>2018</v>
      </c>
      <c r="J69" s="1431">
        <f t="shared" si="22"/>
        <v>2019</v>
      </c>
      <c r="K69" s="1431">
        <f t="shared" ref="K69:S69" si="23">K62</f>
        <v>2020</v>
      </c>
      <c r="L69" s="1431">
        <f t="shared" si="23"/>
        <v>2021</v>
      </c>
      <c r="M69" s="1431">
        <f t="shared" si="23"/>
        <v>2022</v>
      </c>
      <c r="N69" s="1431">
        <f t="shared" si="23"/>
        <v>2023</v>
      </c>
      <c r="O69" s="1431">
        <f t="shared" si="23"/>
        <v>2024</v>
      </c>
      <c r="P69" s="1431">
        <f t="shared" si="23"/>
        <v>2025</v>
      </c>
      <c r="Q69" s="1431">
        <f t="shared" si="23"/>
        <v>2026</v>
      </c>
      <c r="R69" s="1431">
        <f t="shared" si="23"/>
        <v>2027</v>
      </c>
      <c r="S69" s="1431">
        <f t="shared" si="23"/>
        <v>2028</v>
      </c>
    </row>
    <row r="70" spans="1:19">
      <c r="B70" s="1432" t="s">
        <v>1566</v>
      </c>
      <c r="C70" s="1441">
        <f>D42*D44/1000</f>
        <v>2720</v>
      </c>
      <c r="D70" s="1408">
        <f>$C$70*D71</f>
        <v>0</v>
      </c>
      <c r="E70" s="1408">
        <f t="shared" ref="E70:S70" si="24">$C$70*E71</f>
        <v>0</v>
      </c>
      <c r="F70" s="1408">
        <f t="shared" si="24"/>
        <v>0</v>
      </c>
      <c r="G70" s="1408">
        <f t="shared" si="24"/>
        <v>0</v>
      </c>
      <c r="H70" s="1408">
        <f t="shared" si="24"/>
        <v>0</v>
      </c>
      <c r="I70" s="1408">
        <f t="shared" si="24"/>
        <v>0</v>
      </c>
      <c r="J70" s="1408">
        <f t="shared" si="24"/>
        <v>0</v>
      </c>
      <c r="K70" s="1408">
        <f t="shared" si="24"/>
        <v>0</v>
      </c>
      <c r="L70" s="1408">
        <f t="shared" si="24"/>
        <v>0</v>
      </c>
      <c r="M70" s="1408">
        <f t="shared" si="24"/>
        <v>0</v>
      </c>
      <c r="N70" s="1408">
        <f t="shared" si="24"/>
        <v>0</v>
      </c>
      <c r="O70" s="1408">
        <f t="shared" si="24"/>
        <v>136</v>
      </c>
      <c r="P70" s="1408">
        <f t="shared" si="24"/>
        <v>816</v>
      </c>
      <c r="Q70" s="1408">
        <f t="shared" si="24"/>
        <v>816</v>
      </c>
      <c r="R70" s="1408">
        <f t="shared" si="24"/>
        <v>951.99999999999989</v>
      </c>
      <c r="S70" s="1408">
        <f t="shared" si="24"/>
        <v>0</v>
      </c>
    </row>
    <row r="71" spans="1:19">
      <c r="B71" s="1431" t="s">
        <v>1559</v>
      </c>
      <c r="C71" s="1436">
        <f>SUM(D71:S71)</f>
        <v>0.99999999999999989</v>
      </c>
      <c r="D71" s="1416">
        <v>0</v>
      </c>
      <c r="E71" s="1416">
        <v>0</v>
      </c>
      <c r="F71" s="1416">
        <v>0</v>
      </c>
      <c r="G71" s="1416">
        <v>0</v>
      </c>
      <c r="H71" s="1416">
        <v>0</v>
      </c>
      <c r="I71" s="1416">
        <v>0</v>
      </c>
      <c r="J71" s="1416">
        <v>0</v>
      </c>
      <c r="K71" s="1416">
        <v>0</v>
      </c>
      <c r="L71" s="1416">
        <v>0</v>
      </c>
      <c r="M71" s="1416">
        <v>0</v>
      </c>
      <c r="N71" s="1416">
        <v>0</v>
      </c>
      <c r="O71" s="1416">
        <v>0.05</v>
      </c>
      <c r="P71" s="1416">
        <v>0.3</v>
      </c>
      <c r="Q71" s="1416">
        <v>0.3</v>
      </c>
      <c r="R71" s="1416">
        <v>0.35</v>
      </c>
      <c r="S71" s="1416">
        <v>0</v>
      </c>
    </row>
    <row r="72" spans="1:19">
      <c r="C72" s="1433"/>
      <c r="D72" s="1425"/>
      <c r="E72" s="1425"/>
      <c r="F72" s="1424"/>
      <c r="G72" s="1424"/>
      <c r="H72" s="1435"/>
    </row>
    <row r="73" spans="1:19">
      <c r="C73" s="1433"/>
      <c r="D73" s="1424"/>
      <c r="E73" s="1424"/>
      <c r="F73" s="1424"/>
      <c r="G73" s="1424"/>
    </row>
    <row r="74" spans="1:19">
      <c r="A74" s="1406">
        <v>5</v>
      </c>
      <c r="B74" s="1407" t="s">
        <v>1466</v>
      </c>
      <c r="C74" s="1431" t="str">
        <f>C69</f>
        <v>Total</v>
      </c>
      <c r="D74" s="1431">
        <f t="shared" ref="D74:I74" si="25">D69</f>
        <v>2013</v>
      </c>
      <c r="E74" s="1431">
        <f t="shared" si="25"/>
        <v>2014</v>
      </c>
      <c r="F74" s="1431">
        <f t="shared" si="25"/>
        <v>2015</v>
      </c>
      <c r="G74" s="1431">
        <f t="shared" si="25"/>
        <v>2016</v>
      </c>
      <c r="H74" s="1431">
        <f t="shared" si="25"/>
        <v>2017</v>
      </c>
      <c r="I74" s="1431">
        <f t="shared" si="25"/>
        <v>2018</v>
      </c>
      <c r="J74" s="1431">
        <f>I74+1</f>
        <v>2019</v>
      </c>
      <c r="K74" s="1431">
        <f>J74+1</f>
        <v>2020</v>
      </c>
      <c r="L74" s="1431">
        <f t="shared" ref="L74:S74" si="26">K74+1</f>
        <v>2021</v>
      </c>
      <c r="M74" s="1431">
        <f t="shared" si="26"/>
        <v>2022</v>
      </c>
      <c r="N74" s="1431">
        <f t="shared" si="26"/>
        <v>2023</v>
      </c>
      <c r="O74" s="1431">
        <f t="shared" si="26"/>
        <v>2024</v>
      </c>
      <c r="P74" s="1431">
        <f t="shared" si="26"/>
        <v>2025</v>
      </c>
      <c r="Q74" s="1431">
        <f t="shared" si="26"/>
        <v>2026</v>
      </c>
      <c r="R74" s="1431">
        <f t="shared" si="26"/>
        <v>2027</v>
      </c>
      <c r="S74" s="1431">
        <f t="shared" si="26"/>
        <v>2028</v>
      </c>
    </row>
    <row r="75" spans="1:19">
      <c r="B75" s="1432" t="s">
        <v>1567</v>
      </c>
      <c r="C75" s="1441">
        <f>$C$70*C58</f>
        <v>2720</v>
      </c>
      <c r="D75" s="1441">
        <f t="shared" ref="D75:M75" si="27">$C$70*D58</f>
        <v>0</v>
      </c>
      <c r="E75" s="1441">
        <f t="shared" si="27"/>
        <v>0</v>
      </c>
      <c r="F75" s="1441">
        <f t="shared" si="27"/>
        <v>0</v>
      </c>
      <c r="G75" s="1441">
        <f t="shared" si="27"/>
        <v>0</v>
      </c>
      <c r="H75" s="1441">
        <f t="shared" si="27"/>
        <v>0</v>
      </c>
      <c r="I75" s="1441">
        <f t="shared" si="27"/>
        <v>0</v>
      </c>
      <c r="J75" s="1441">
        <f t="shared" si="27"/>
        <v>0</v>
      </c>
      <c r="K75" s="1441">
        <f t="shared" si="27"/>
        <v>0</v>
      </c>
      <c r="L75" s="1441">
        <f t="shared" si="27"/>
        <v>0</v>
      </c>
      <c r="M75" s="1441">
        <f t="shared" si="27"/>
        <v>0</v>
      </c>
      <c r="N75" s="1441">
        <f t="shared" ref="N75:S75" si="28">$C$70*N58</f>
        <v>0</v>
      </c>
      <c r="O75" s="1441">
        <f t="shared" si="28"/>
        <v>0</v>
      </c>
      <c r="P75" s="1441">
        <f t="shared" si="28"/>
        <v>1224</v>
      </c>
      <c r="Q75" s="1441">
        <f t="shared" si="28"/>
        <v>897.6</v>
      </c>
      <c r="R75" s="1441">
        <f t="shared" si="28"/>
        <v>598.4</v>
      </c>
      <c r="S75" s="1441">
        <f t="shared" si="28"/>
        <v>0</v>
      </c>
    </row>
    <row r="76" spans="1:19">
      <c r="B76" s="1431" t="s">
        <v>803</v>
      </c>
      <c r="C76" s="1440">
        <f>$E$32*C58</f>
        <v>860</v>
      </c>
      <c r="D76" s="1440">
        <f t="shared" ref="D76:M76" si="29">$E$32*D58</f>
        <v>0</v>
      </c>
      <c r="E76" s="1440">
        <f t="shared" si="29"/>
        <v>0</v>
      </c>
      <c r="F76" s="1440">
        <f t="shared" si="29"/>
        <v>0</v>
      </c>
      <c r="G76" s="1440">
        <f t="shared" si="29"/>
        <v>0</v>
      </c>
      <c r="H76" s="1440">
        <f t="shared" si="29"/>
        <v>0</v>
      </c>
      <c r="I76" s="1440">
        <f t="shared" si="29"/>
        <v>0</v>
      </c>
      <c r="J76" s="1440">
        <f t="shared" si="29"/>
        <v>0</v>
      </c>
      <c r="K76" s="1440">
        <f t="shared" si="29"/>
        <v>0</v>
      </c>
      <c r="L76" s="1440">
        <f t="shared" si="29"/>
        <v>0</v>
      </c>
      <c r="M76" s="1440">
        <f t="shared" si="29"/>
        <v>0</v>
      </c>
      <c r="N76" s="1440">
        <f t="shared" ref="N76:S76" si="30">$E$32*N58</f>
        <v>0</v>
      </c>
      <c r="O76" s="1440">
        <f t="shared" si="30"/>
        <v>0</v>
      </c>
      <c r="P76" s="1440">
        <f t="shared" si="30"/>
        <v>387</v>
      </c>
      <c r="Q76" s="1440">
        <f t="shared" si="30"/>
        <v>283.8</v>
      </c>
      <c r="R76" s="1440">
        <f t="shared" si="30"/>
        <v>189.2</v>
      </c>
      <c r="S76" s="1440">
        <f t="shared" si="30"/>
        <v>0</v>
      </c>
    </row>
    <row r="77" spans="1:19" s="1447" customFormat="1">
      <c r="A77" s="1459"/>
      <c r="B77" s="1447" t="s">
        <v>804</v>
      </c>
      <c r="C77" s="1458">
        <f>SUMIF(D113:S113,"&lt;="&amp;D11,D119:S119)</f>
        <v>781.17847137199999</v>
      </c>
      <c r="D77" s="1410">
        <f t="shared" ref="D77:J77" si="31">$C$77*D58</f>
        <v>0</v>
      </c>
      <c r="E77" s="1410">
        <f t="shared" si="31"/>
        <v>0</v>
      </c>
      <c r="F77" s="1410">
        <f t="shared" si="31"/>
        <v>0</v>
      </c>
      <c r="G77" s="1410">
        <f t="shared" si="31"/>
        <v>0</v>
      </c>
      <c r="H77" s="1410">
        <f t="shared" si="31"/>
        <v>0</v>
      </c>
      <c r="I77" s="1410">
        <f t="shared" si="31"/>
        <v>0</v>
      </c>
      <c r="J77" s="1410">
        <f t="shared" si="31"/>
        <v>0</v>
      </c>
      <c r="K77" s="1410">
        <f t="shared" ref="K77:S77" si="32">$C$77*K58</f>
        <v>0</v>
      </c>
      <c r="L77" s="1410">
        <f t="shared" si="32"/>
        <v>0</v>
      </c>
      <c r="M77" s="1410">
        <f t="shared" si="32"/>
        <v>0</v>
      </c>
      <c r="N77" s="1410">
        <f t="shared" si="32"/>
        <v>0</v>
      </c>
      <c r="O77" s="1410">
        <f t="shared" si="32"/>
        <v>0</v>
      </c>
      <c r="P77" s="1410">
        <f t="shared" si="32"/>
        <v>351.5303121174</v>
      </c>
      <c r="Q77" s="1410">
        <f t="shared" si="32"/>
        <v>257.78889555275998</v>
      </c>
      <c r="R77" s="1410">
        <f t="shared" si="32"/>
        <v>171.85926370184001</v>
      </c>
      <c r="S77" s="1410">
        <f t="shared" si="32"/>
        <v>0</v>
      </c>
    </row>
    <row r="78" spans="1:19" s="1447" customFormat="1">
      <c r="A78" s="1459"/>
      <c r="B78" s="1447" t="s">
        <v>805</v>
      </c>
      <c r="C78" s="1410">
        <f>SUM(D78:S78)</f>
        <v>0</v>
      </c>
      <c r="D78" s="1410">
        <f t="shared" ref="D78:M78" si="33">IF(D74&gt;$D$11,D119,0)</f>
        <v>0</v>
      </c>
      <c r="E78" s="1410">
        <f t="shared" si="33"/>
        <v>0</v>
      </c>
      <c r="F78" s="1410">
        <f t="shared" si="33"/>
        <v>0</v>
      </c>
      <c r="G78" s="1410">
        <f t="shared" si="33"/>
        <v>0</v>
      </c>
      <c r="H78" s="1410">
        <f t="shared" si="33"/>
        <v>0</v>
      </c>
      <c r="I78" s="1410">
        <f t="shared" si="33"/>
        <v>0</v>
      </c>
      <c r="J78" s="1410">
        <f t="shared" si="33"/>
        <v>0</v>
      </c>
      <c r="K78" s="1410">
        <f t="shared" si="33"/>
        <v>0</v>
      </c>
      <c r="L78" s="1410">
        <f t="shared" si="33"/>
        <v>0</v>
      </c>
      <c r="M78" s="1410">
        <f t="shared" si="33"/>
        <v>0</v>
      </c>
      <c r="N78" s="1410">
        <f t="shared" ref="N78:S78" si="34">IF(N74&gt;$D$11,N119,0)</f>
        <v>0</v>
      </c>
      <c r="O78" s="1410">
        <f t="shared" si="34"/>
        <v>0</v>
      </c>
      <c r="P78" s="1410">
        <f t="shared" si="34"/>
        <v>0</v>
      </c>
      <c r="Q78" s="1410">
        <f t="shared" si="34"/>
        <v>0</v>
      </c>
      <c r="R78" s="1410">
        <f t="shared" si="34"/>
        <v>0</v>
      </c>
      <c r="S78" s="1410">
        <f t="shared" si="34"/>
        <v>0</v>
      </c>
    </row>
    <row r="79" spans="1:19">
      <c r="B79" s="1431" t="s">
        <v>656</v>
      </c>
      <c r="C79" s="1440">
        <f>$D$46*C57</f>
        <v>600.21924479999996</v>
      </c>
      <c r="D79" s="1440">
        <f t="shared" ref="D79:J79" si="35">$D$46*D57</f>
        <v>0</v>
      </c>
      <c r="E79" s="1440">
        <f t="shared" si="35"/>
        <v>0</v>
      </c>
      <c r="F79" s="1440">
        <f t="shared" si="35"/>
        <v>0</v>
      </c>
      <c r="G79" s="1440">
        <f t="shared" si="35"/>
        <v>0</v>
      </c>
      <c r="H79" s="1440">
        <f t="shared" si="35"/>
        <v>0</v>
      </c>
      <c r="I79" s="1440">
        <f t="shared" si="35"/>
        <v>0</v>
      </c>
      <c r="J79" s="1440">
        <f t="shared" si="35"/>
        <v>0</v>
      </c>
      <c r="K79" s="1440">
        <f t="shared" ref="K79:S79" si="36">$D$46*K57</f>
        <v>0</v>
      </c>
      <c r="L79" s="1440">
        <f t="shared" si="36"/>
        <v>0</v>
      </c>
      <c r="M79" s="1440">
        <f t="shared" si="36"/>
        <v>0</v>
      </c>
      <c r="N79" s="1440">
        <f t="shared" si="36"/>
        <v>0</v>
      </c>
      <c r="O79" s="1440">
        <f t="shared" si="36"/>
        <v>0</v>
      </c>
      <c r="P79" s="1440">
        <f t="shared" si="36"/>
        <v>270.09866016000001</v>
      </c>
      <c r="Q79" s="1440">
        <f t="shared" si="36"/>
        <v>198.07235078400001</v>
      </c>
      <c r="R79" s="1440">
        <f t="shared" si="36"/>
        <v>132.048233856</v>
      </c>
      <c r="S79" s="1440">
        <f t="shared" si="36"/>
        <v>0</v>
      </c>
    </row>
    <row r="80" spans="1:19">
      <c r="C80" s="1440"/>
      <c r="D80" s="1440"/>
      <c r="E80" s="1440"/>
      <c r="F80" s="1440"/>
      <c r="G80" s="1440"/>
    </row>
    <row r="82" spans="1:19" s="1407" customFormat="1">
      <c r="A82" s="1406">
        <v>6</v>
      </c>
      <c r="B82" s="1407" t="s">
        <v>878</v>
      </c>
      <c r="C82" s="1431" t="str">
        <f>C74</f>
        <v>Total</v>
      </c>
      <c r="D82" s="1431">
        <f t="shared" ref="D82:J82" si="37">D74</f>
        <v>2013</v>
      </c>
      <c r="E82" s="1431">
        <f t="shared" si="37"/>
        <v>2014</v>
      </c>
      <c r="F82" s="1431">
        <f t="shared" si="37"/>
        <v>2015</v>
      </c>
      <c r="G82" s="1431">
        <f t="shared" si="37"/>
        <v>2016</v>
      </c>
      <c r="H82" s="1431">
        <f t="shared" si="37"/>
        <v>2017</v>
      </c>
      <c r="I82" s="1431">
        <f t="shared" si="37"/>
        <v>2018</v>
      </c>
      <c r="J82" s="1431">
        <f t="shared" si="37"/>
        <v>2019</v>
      </c>
      <c r="K82" s="1431">
        <f t="shared" ref="K82:S82" si="38">K74</f>
        <v>2020</v>
      </c>
      <c r="L82" s="1431">
        <f t="shared" si="38"/>
        <v>2021</v>
      </c>
      <c r="M82" s="1431">
        <f t="shared" si="38"/>
        <v>2022</v>
      </c>
      <c r="N82" s="1431">
        <f t="shared" si="38"/>
        <v>2023</v>
      </c>
      <c r="O82" s="1431">
        <f t="shared" si="38"/>
        <v>2024</v>
      </c>
      <c r="P82" s="1431">
        <f t="shared" si="38"/>
        <v>2025</v>
      </c>
      <c r="Q82" s="1431">
        <f t="shared" si="38"/>
        <v>2026</v>
      </c>
      <c r="R82" s="1431">
        <f t="shared" si="38"/>
        <v>2027</v>
      </c>
      <c r="S82" s="1431">
        <f t="shared" si="38"/>
        <v>2028</v>
      </c>
    </row>
    <row r="83" spans="1:19">
      <c r="B83" s="1432" t="s">
        <v>26</v>
      </c>
      <c r="C83" s="1441">
        <f t="shared" ref="C83:J83" si="39">C57</f>
        <v>6002.1924479999998</v>
      </c>
      <c r="D83" s="1441">
        <f t="shared" si="39"/>
        <v>0</v>
      </c>
      <c r="E83" s="1441">
        <f t="shared" si="39"/>
        <v>0</v>
      </c>
      <c r="F83" s="1441">
        <f t="shared" si="39"/>
        <v>0</v>
      </c>
      <c r="G83" s="1441">
        <f t="shared" si="39"/>
        <v>0</v>
      </c>
      <c r="H83" s="1441">
        <f t="shared" si="39"/>
        <v>0</v>
      </c>
      <c r="I83" s="1441">
        <f t="shared" si="39"/>
        <v>0</v>
      </c>
      <c r="J83" s="1441">
        <f t="shared" si="39"/>
        <v>0</v>
      </c>
      <c r="K83" s="1441">
        <f t="shared" ref="K83:S83" si="40">K57</f>
        <v>0</v>
      </c>
      <c r="L83" s="1441">
        <f t="shared" si="40"/>
        <v>0</v>
      </c>
      <c r="M83" s="1441">
        <f t="shared" si="40"/>
        <v>0</v>
      </c>
      <c r="N83" s="1441">
        <f t="shared" si="40"/>
        <v>0</v>
      </c>
      <c r="O83" s="1441">
        <f t="shared" si="40"/>
        <v>0</v>
      </c>
      <c r="P83" s="1441">
        <f>P57</f>
        <v>2700.9866016000001</v>
      </c>
      <c r="Q83" s="1441">
        <f t="shared" si="40"/>
        <v>1980.7235078399999</v>
      </c>
      <c r="R83" s="1441">
        <f t="shared" si="40"/>
        <v>1320.48233856</v>
      </c>
      <c r="S83" s="1441">
        <f t="shared" si="40"/>
        <v>0</v>
      </c>
    </row>
    <row r="84" spans="1:19">
      <c r="B84" s="1431" t="s">
        <v>432</v>
      </c>
      <c r="C84" s="1440">
        <f>SUM(C75:C77)</f>
        <v>4361.1784713719999</v>
      </c>
      <c r="D84" s="1440">
        <f>SUM(D75:D77)</f>
        <v>0</v>
      </c>
      <c r="E84" s="1440">
        <f t="shared" ref="E84:J84" si="41">SUM(E75:E77)</f>
        <v>0</v>
      </c>
      <c r="F84" s="1440">
        <f t="shared" si="41"/>
        <v>0</v>
      </c>
      <c r="G84" s="1440">
        <f t="shared" si="41"/>
        <v>0</v>
      </c>
      <c r="H84" s="1440">
        <f t="shared" si="41"/>
        <v>0</v>
      </c>
      <c r="I84" s="1440">
        <f t="shared" si="41"/>
        <v>0</v>
      </c>
      <c r="J84" s="1440">
        <f t="shared" si="41"/>
        <v>0</v>
      </c>
      <c r="K84" s="1440">
        <f t="shared" ref="K84:S84" si="42">SUM(K75:K77)</f>
        <v>0</v>
      </c>
      <c r="L84" s="1440">
        <f t="shared" si="42"/>
        <v>0</v>
      </c>
      <c r="M84" s="1440">
        <f t="shared" si="42"/>
        <v>0</v>
      </c>
      <c r="N84" s="1440">
        <f t="shared" si="42"/>
        <v>0</v>
      </c>
      <c r="O84" s="1440">
        <f t="shared" si="42"/>
        <v>0</v>
      </c>
      <c r="P84" s="1440">
        <f>SUM(P75:P77)</f>
        <v>1962.5303121173999</v>
      </c>
      <c r="Q84" s="1440">
        <f t="shared" si="42"/>
        <v>1439.1888955527602</v>
      </c>
      <c r="R84" s="1440">
        <f t="shared" si="42"/>
        <v>959.45926370183997</v>
      </c>
      <c r="S84" s="1440">
        <f t="shared" si="42"/>
        <v>0</v>
      </c>
    </row>
    <row r="85" spans="1:19">
      <c r="B85" s="1431" t="s">
        <v>28</v>
      </c>
      <c r="C85" s="1440">
        <f>C83-C84</f>
        <v>1641.0139766279999</v>
      </c>
      <c r="D85" s="1440">
        <f t="shared" ref="D85:M85" si="43">D83-D84</f>
        <v>0</v>
      </c>
      <c r="E85" s="1440">
        <f t="shared" si="43"/>
        <v>0</v>
      </c>
      <c r="F85" s="1440">
        <f t="shared" si="43"/>
        <v>0</v>
      </c>
      <c r="G85" s="1440">
        <f t="shared" si="43"/>
        <v>0</v>
      </c>
      <c r="H85" s="1440">
        <f t="shared" si="43"/>
        <v>0</v>
      </c>
      <c r="I85" s="1440">
        <f t="shared" si="43"/>
        <v>0</v>
      </c>
      <c r="J85" s="1440">
        <f t="shared" si="43"/>
        <v>0</v>
      </c>
      <c r="K85" s="1440">
        <f t="shared" si="43"/>
        <v>0</v>
      </c>
      <c r="L85" s="1440">
        <f t="shared" si="43"/>
        <v>0</v>
      </c>
      <c r="M85" s="1440">
        <f t="shared" si="43"/>
        <v>0</v>
      </c>
      <c r="N85" s="1440">
        <f t="shared" ref="N85:S85" si="44">N83-N84</f>
        <v>0</v>
      </c>
      <c r="O85" s="1440">
        <f t="shared" si="44"/>
        <v>0</v>
      </c>
      <c r="P85" s="1440">
        <f t="shared" si="44"/>
        <v>738.45628948260014</v>
      </c>
      <c r="Q85" s="1440">
        <f t="shared" si="44"/>
        <v>541.53461228723972</v>
      </c>
      <c r="R85" s="1440">
        <f t="shared" si="44"/>
        <v>361.02307485816004</v>
      </c>
      <c r="S85" s="1440">
        <f t="shared" si="44"/>
        <v>0</v>
      </c>
    </row>
    <row r="86" spans="1:19">
      <c r="B86" s="1431" t="s">
        <v>656</v>
      </c>
      <c r="C86" s="1440">
        <f>C79</f>
        <v>600.21924479999996</v>
      </c>
      <c r="D86" s="1440">
        <f>D79</f>
        <v>0</v>
      </c>
      <c r="E86" s="1440">
        <f t="shared" ref="E86:J86" si="45">E79</f>
        <v>0</v>
      </c>
      <c r="F86" s="1440">
        <f t="shared" si="45"/>
        <v>0</v>
      </c>
      <c r="G86" s="1440">
        <f t="shared" si="45"/>
        <v>0</v>
      </c>
      <c r="H86" s="1440">
        <f t="shared" si="45"/>
        <v>0</v>
      </c>
      <c r="I86" s="1440">
        <f t="shared" si="45"/>
        <v>0</v>
      </c>
      <c r="J86" s="1440">
        <f t="shared" si="45"/>
        <v>0</v>
      </c>
      <c r="K86" s="1440">
        <f t="shared" ref="K86:S86" si="46">K79</f>
        <v>0</v>
      </c>
      <c r="L86" s="1440">
        <f t="shared" si="46"/>
        <v>0</v>
      </c>
      <c r="M86" s="1440">
        <f t="shared" si="46"/>
        <v>0</v>
      </c>
      <c r="N86" s="1440">
        <f t="shared" si="46"/>
        <v>0</v>
      </c>
      <c r="O86" s="1440">
        <f t="shared" si="46"/>
        <v>0</v>
      </c>
      <c r="P86" s="1440">
        <f t="shared" si="46"/>
        <v>270.09866016000001</v>
      </c>
      <c r="Q86" s="1440">
        <f t="shared" si="46"/>
        <v>198.07235078400001</v>
      </c>
      <c r="R86" s="1440">
        <f t="shared" si="46"/>
        <v>132.048233856</v>
      </c>
      <c r="S86" s="1440">
        <f t="shared" si="46"/>
        <v>0</v>
      </c>
    </row>
    <row r="87" spans="1:19">
      <c r="B87" s="1431" t="s">
        <v>805</v>
      </c>
      <c r="C87" s="1410">
        <f>C78</f>
        <v>0</v>
      </c>
      <c r="D87" s="1440">
        <f>D78</f>
        <v>0</v>
      </c>
      <c r="E87" s="1440">
        <f t="shared" ref="E87:J87" si="47">E78</f>
        <v>0</v>
      </c>
      <c r="F87" s="1440">
        <f t="shared" si="47"/>
        <v>0</v>
      </c>
      <c r="G87" s="1440">
        <f t="shared" si="47"/>
        <v>0</v>
      </c>
      <c r="H87" s="1440">
        <f t="shared" si="47"/>
        <v>0</v>
      </c>
      <c r="I87" s="1440">
        <f t="shared" si="47"/>
        <v>0</v>
      </c>
      <c r="J87" s="1440">
        <f t="shared" si="47"/>
        <v>0</v>
      </c>
      <c r="K87" s="1440">
        <f t="shared" ref="K87:S87" si="48">K78</f>
        <v>0</v>
      </c>
      <c r="L87" s="1440">
        <f t="shared" si="48"/>
        <v>0</v>
      </c>
      <c r="M87" s="1440">
        <f t="shared" si="48"/>
        <v>0</v>
      </c>
      <c r="N87" s="1440">
        <f t="shared" si="48"/>
        <v>0</v>
      </c>
      <c r="O87" s="1440">
        <f t="shared" si="48"/>
        <v>0</v>
      </c>
      <c r="P87" s="1440">
        <f t="shared" si="48"/>
        <v>0</v>
      </c>
      <c r="Q87" s="1440">
        <f t="shared" si="48"/>
        <v>0</v>
      </c>
      <c r="R87" s="1440">
        <f t="shared" si="48"/>
        <v>0</v>
      </c>
      <c r="S87" s="1440">
        <f t="shared" si="48"/>
        <v>0</v>
      </c>
    </row>
    <row r="88" spans="1:19">
      <c r="B88" s="1431" t="s">
        <v>822</v>
      </c>
      <c r="C88" s="1440">
        <f>C85-C86-C87</f>
        <v>1040.7947318279998</v>
      </c>
      <c r="D88" s="1440">
        <f t="shared" ref="D88:M88" si="49">D85-D86-D87</f>
        <v>0</v>
      </c>
      <c r="E88" s="1440">
        <f t="shared" si="49"/>
        <v>0</v>
      </c>
      <c r="F88" s="1440">
        <f t="shared" si="49"/>
        <v>0</v>
      </c>
      <c r="G88" s="1440">
        <f t="shared" si="49"/>
        <v>0</v>
      </c>
      <c r="H88" s="1440">
        <f t="shared" si="49"/>
        <v>0</v>
      </c>
      <c r="I88" s="1440">
        <f t="shared" si="49"/>
        <v>0</v>
      </c>
      <c r="J88" s="1440">
        <f t="shared" si="49"/>
        <v>0</v>
      </c>
      <c r="K88" s="1440">
        <f t="shared" si="49"/>
        <v>0</v>
      </c>
      <c r="L88" s="1440">
        <f t="shared" si="49"/>
        <v>0</v>
      </c>
      <c r="M88" s="1440">
        <f t="shared" si="49"/>
        <v>0</v>
      </c>
      <c r="N88" s="1440">
        <f t="shared" ref="N88:S88" si="50">N85-N86-N87</f>
        <v>0</v>
      </c>
      <c r="O88" s="1440">
        <f t="shared" si="50"/>
        <v>0</v>
      </c>
      <c r="P88" s="1440">
        <f t="shared" si="50"/>
        <v>468.35762932260013</v>
      </c>
      <c r="Q88" s="1440">
        <f t="shared" si="50"/>
        <v>343.46226150323969</v>
      </c>
      <c r="R88" s="1440">
        <f t="shared" si="50"/>
        <v>228.97484100216005</v>
      </c>
      <c r="S88" s="1440">
        <f t="shared" si="50"/>
        <v>0</v>
      </c>
    </row>
    <row r="89" spans="1:19">
      <c r="B89" s="1431" t="s">
        <v>290</v>
      </c>
      <c r="C89" s="1440">
        <f>SUM(D89:S89)</f>
        <v>208.15894636559997</v>
      </c>
      <c r="D89" s="1410">
        <f t="shared" ref="D89:M89" si="51">D88*D22</f>
        <v>0</v>
      </c>
      <c r="E89" s="1410">
        <f t="shared" si="51"/>
        <v>0</v>
      </c>
      <c r="F89" s="1410">
        <f t="shared" si="51"/>
        <v>0</v>
      </c>
      <c r="G89" s="1410">
        <f t="shared" si="51"/>
        <v>0</v>
      </c>
      <c r="H89" s="1410">
        <f t="shared" si="51"/>
        <v>0</v>
      </c>
      <c r="I89" s="1410">
        <f t="shared" si="51"/>
        <v>0</v>
      </c>
      <c r="J89" s="1410">
        <f t="shared" si="51"/>
        <v>0</v>
      </c>
      <c r="K89" s="1410">
        <f t="shared" si="51"/>
        <v>0</v>
      </c>
      <c r="L89" s="1410">
        <f t="shared" si="51"/>
        <v>0</v>
      </c>
      <c r="M89" s="1410">
        <f t="shared" si="51"/>
        <v>0</v>
      </c>
      <c r="N89" s="1410">
        <f t="shared" ref="N89:S89" si="52">N88*N22</f>
        <v>0</v>
      </c>
      <c r="O89" s="1410">
        <f t="shared" si="52"/>
        <v>0</v>
      </c>
      <c r="P89" s="1410">
        <f t="shared" si="52"/>
        <v>93.671525864520035</v>
      </c>
      <c r="Q89" s="1410">
        <f t="shared" si="52"/>
        <v>68.692452300647943</v>
      </c>
      <c r="R89" s="1410">
        <f t="shared" si="52"/>
        <v>45.79496820043201</v>
      </c>
      <c r="S89" s="1410">
        <f t="shared" si="52"/>
        <v>0</v>
      </c>
    </row>
    <row r="90" spans="1:19">
      <c r="B90" s="1431" t="s">
        <v>661</v>
      </c>
      <c r="C90" s="1440">
        <f>SUM(D90:S90)</f>
        <v>832.63578546239989</v>
      </c>
      <c r="D90" s="1440">
        <f>D88-D89</f>
        <v>0</v>
      </c>
      <c r="E90" s="1440">
        <f t="shared" ref="E90:J90" si="53">E88-E89</f>
        <v>0</v>
      </c>
      <c r="F90" s="1440">
        <f t="shared" si="53"/>
        <v>0</v>
      </c>
      <c r="G90" s="1440">
        <f t="shared" si="53"/>
        <v>0</v>
      </c>
      <c r="H90" s="1440">
        <f t="shared" si="53"/>
        <v>0</v>
      </c>
      <c r="I90" s="1440">
        <f t="shared" si="53"/>
        <v>0</v>
      </c>
      <c r="J90" s="1440">
        <f t="shared" si="53"/>
        <v>0</v>
      </c>
      <c r="K90" s="1440">
        <f t="shared" ref="K90:S90" si="54">K88-K89</f>
        <v>0</v>
      </c>
      <c r="L90" s="1440">
        <f t="shared" si="54"/>
        <v>0</v>
      </c>
      <c r="M90" s="1440">
        <f t="shared" si="54"/>
        <v>0</v>
      </c>
      <c r="N90" s="1440">
        <f t="shared" si="54"/>
        <v>0</v>
      </c>
      <c r="O90" s="1440">
        <f t="shared" si="54"/>
        <v>0</v>
      </c>
      <c r="P90" s="1440">
        <f t="shared" si="54"/>
        <v>374.68610345808008</v>
      </c>
      <c r="Q90" s="1440">
        <f t="shared" si="54"/>
        <v>274.76980920259177</v>
      </c>
      <c r="R90" s="1440">
        <f t="shared" si="54"/>
        <v>183.17987280172804</v>
      </c>
      <c r="S90" s="1440">
        <f t="shared" si="54"/>
        <v>0</v>
      </c>
    </row>
    <row r="91" spans="1:19">
      <c r="B91" s="1428" t="s">
        <v>197</v>
      </c>
      <c r="C91" s="1429">
        <f>IF(C83&lt;&gt;0,1-C84/C83,"")</f>
        <v>0.27340242600431863</v>
      </c>
      <c r="D91" s="1429" t="str">
        <f t="shared" ref="D91:J91" si="55">IF(D83&lt;&gt;0,1-D84/D83,"")</f>
        <v/>
      </c>
      <c r="E91" s="1429" t="str">
        <f t="shared" si="55"/>
        <v/>
      </c>
      <c r="F91" s="1429" t="str">
        <f t="shared" si="55"/>
        <v/>
      </c>
      <c r="G91" s="1429" t="str">
        <f t="shared" si="55"/>
        <v/>
      </c>
      <c r="H91" s="1429" t="str">
        <f t="shared" si="55"/>
        <v/>
      </c>
      <c r="I91" s="1429" t="str">
        <f t="shared" si="55"/>
        <v/>
      </c>
      <c r="J91" s="1429" t="str">
        <f t="shared" si="55"/>
        <v/>
      </c>
      <c r="K91" s="1429" t="str">
        <f t="shared" ref="K91:S91" si="56">IF(K83&lt;&gt;0,1-K84/K83,"")</f>
        <v/>
      </c>
      <c r="L91" s="1429" t="str">
        <f t="shared" si="56"/>
        <v/>
      </c>
      <c r="M91" s="1429" t="str">
        <f t="shared" si="56"/>
        <v/>
      </c>
      <c r="N91" s="1429" t="str">
        <f t="shared" si="56"/>
        <v/>
      </c>
      <c r="O91" s="1429" t="str">
        <f t="shared" si="56"/>
        <v/>
      </c>
      <c r="P91" s="1429">
        <f t="shared" si="56"/>
        <v>0.27340242600431863</v>
      </c>
      <c r="Q91" s="1429">
        <f t="shared" si="56"/>
        <v>0.27340242600431852</v>
      </c>
      <c r="R91" s="1429">
        <f t="shared" si="56"/>
        <v>0.27340242600431863</v>
      </c>
      <c r="S91" s="1429" t="str">
        <f t="shared" si="56"/>
        <v/>
      </c>
    </row>
    <row r="92" spans="1:19">
      <c r="B92" s="1428" t="s">
        <v>1779</v>
      </c>
      <c r="C92" s="1429">
        <f>IF(C83&lt;&gt;0,C90/C83,"")</f>
        <v>0.13872194080345487</v>
      </c>
      <c r="D92" s="1429" t="str">
        <f t="shared" ref="D92:M92" si="57">IF(D83&lt;&gt;0,D90/D83,"")</f>
        <v/>
      </c>
      <c r="E92" s="1429" t="str">
        <f t="shared" si="57"/>
        <v/>
      </c>
      <c r="F92" s="1429" t="str">
        <f t="shared" si="57"/>
        <v/>
      </c>
      <c r="G92" s="1429" t="str">
        <f t="shared" si="57"/>
        <v/>
      </c>
      <c r="H92" s="1429" t="str">
        <f t="shared" si="57"/>
        <v/>
      </c>
      <c r="I92" s="1429" t="str">
        <f t="shared" si="57"/>
        <v/>
      </c>
      <c r="J92" s="1429" t="str">
        <f t="shared" si="57"/>
        <v/>
      </c>
      <c r="K92" s="1429" t="str">
        <f t="shared" si="57"/>
        <v/>
      </c>
      <c r="L92" s="1429" t="str">
        <f t="shared" si="57"/>
        <v/>
      </c>
      <c r="M92" s="1429" t="str">
        <f t="shared" si="57"/>
        <v/>
      </c>
      <c r="N92" s="1429" t="str">
        <f t="shared" ref="N92:S92" si="58">IF(N83&lt;&gt;0,N90/N83,"")</f>
        <v/>
      </c>
      <c r="O92" s="1429" t="str">
        <f t="shared" si="58"/>
        <v/>
      </c>
      <c r="P92" s="1429">
        <f t="shared" si="58"/>
        <v>0.13872194080345493</v>
      </c>
      <c r="Q92" s="1429">
        <f t="shared" si="58"/>
        <v>0.13872194080345479</v>
      </c>
      <c r="R92" s="1429">
        <f t="shared" si="58"/>
        <v>0.13872194080345493</v>
      </c>
      <c r="S92" s="1429" t="str">
        <f t="shared" si="58"/>
        <v/>
      </c>
    </row>
    <row r="93" spans="1:19">
      <c r="B93" s="1428"/>
      <c r="C93" s="1429"/>
      <c r="D93" s="1429"/>
      <c r="E93" s="1429"/>
      <c r="F93" s="1429"/>
      <c r="G93" s="1429"/>
      <c r="H93" s="1429"/>
    </row>
    <row r="94" spans="1:19">
      <c r="D94" s="1440"/>
      <c r="E94" s="1440"/>
      <c r="F94" s="1440"/>
      <c r="G94" s="1440"/>
    </row>
    <row r="95" spans="1:19" s="1407" customFormat="1">
      <c r="A95" s="1406">
        <v>7</v>
      </c>
      <c r="B95" s="1407" t="s">
        <v>1589</v>
      </c>
      <c r="C95" s="1440" t="s">
        <v>642</v>
      </c>
      <c r="D95" s="1431">
        <f t="shared" ref="D95:J95" si="59">D82</f>
        <v>2013</v>
      </c>
      <c r="E95" s="1431">
        <f t="shared" si="59"/>
        <v>2014</v>
      </c>
      <c r="F95" s="1431">
        <f t="shared" si="59"/>
        <v>2015</v>
      </c>
      <c r="G95" s="1431">
        <f t="shared" si="59"/>
        <v>2016</v>
      </c>
      <c r="H95" s="1431">
        <f t="shared" si="59"/>
        <v>2017</v>
      </c>
      <c r="I95" s="1431">
        <f t="shared" si="59"/>
        <v>2018</v>
      </c>
      <c r="J95" s="1431">
        <f t="shared" si="59"/>
        <v>2019</v>
      </c>
      <c r="K95" s="1431">
        <f t="shared" ref="K95:S95" si="60">K82</f>
        <v>2020</v>
      </c>
      <c r="L95" s="1431">
        <f t="shared" si="60"/>
        <v>2021</v>
      </c>
      <c r="M95" s="1431">
        <f t="shared" si="60"/>
        <v>2022</v>
      </c>
      <c r="N95" s="1431">
        <f t="shared" si="60"/>
        <v>2023</v>
      </c>
      <c r="O95" s="1431">
        <f t="shared" si="60"/>
        <v>2024</v>
      </c>
      <c r="P95" s="1431">
        <f t="shared" si="60"/>
        <v>2025</v>
      </c>
      <c r="Q95" s="1431">
        <f t="shared" si="60"/>
        <v>2026</v>
      </c>
      <c r="R95" s="1431">
        <f t="shared" si="60"/>
        <v>2027</v>
      </c>
      <c r="S95" s="1431">
        <f t="shared" si="60"/>
        <v>2028</v>
      </c>
    </row>
    <row r="96" spans="1:19">
      <c r="B96" s="1419" t="s">
        <v>850</v>
      </c>
      <c r="C96" s="1441">
        <f>C63</f>
        <v>8122.027590144</v>
      </c>
      <c r="D96" s="1441">
        <f t="shared" ref="D96:J96" si="61">D63</f>
        <v>0</v>
      </c>
      <c r="E96" s="1441">
        <f t="shared" si="61"/>
        <v>0</v>
      </c>
      <c r="F96" s="1441">
        <f t="shared" si="61"/>
        <v>0</v>
      </c>
      <c r="G96" s="1441">
        <f t="shared" si="61"/>
        <v>0</v>
      </c>
      <c r="H96" s="1441">
        <f t="shared" si="61"/>
        <v>0</v>
      </c>
      <c r="I96" s="1441">
        <f t="shared" si="61"/>
        <v>0</v>
      </c>
      <c r="J96" s="1441">
        <f t="shared" si="61"/>
        <v>0</v>
      </c>
      <c r="K96" s="1441">
        <f t="shared" ref="K96:S96" si="62">K63</f>
        <v>0</v>
      </c>
      <c r="L96" s="1441">
        <f t="shared" si="62"/>
        <v>0</v>
      </c>
      <c r="M96" s="1441">
        <f t="shared" si="62"/>
        <v>0</v>
      </c>
      <c r="N96" s="1441">
        <f t="shared" si="62"/>
        <v>0</v>
      </c>
      <c r="O96" s="1441">
        <f t="shared" si="62"/>
        <v>0</v>
      </c>
      <c r="P96" s="1441">
        <f t="shared" si="62"/>
        <v>594.27647999999999</v>
      </c>
      <c r="Q96" s="1441">
        <f t="shared" si="62"/>
        <v>2388.9914496000001</v>
      </c>
      <c r="R96" s="1441">
        <f t="shared" si="62"/>
        <v>2942.721294336</v>
      </c>
      <c r="S96" s="1441">
        <f t="shared" si="62"/>
        <v>2196.0383662080003</v>
      </c>
    </row>
    <row r="97" spans="1:19">
      <c r="B97" s="1407"/>
      <c r="C97" s="1440"/>
      <c r="D97" s="1440"/>
      <c r="E97" s="1440"/>
      <c r="F97" s="1440"/>
      <c r="G97" s="1440"/>
      <c r="H97" s="1440"/>
      <c r="I97" s="1440"/>
      <c r="J97" s="1440"/>
      <c r="K97" s="1440"/>
      <c r="L97" s="1440"/>
      <c r="M97" s="1440"/>
      <c r="N97" s="1440"/>
      <c r="O97" s="1440"/>
      <c r="P97" s="1440"/>
      <c r="Q97" s="1440"/>
      <c r="R97" s="1440"/>
      <c r="S97" s="1440"/>
    </row>
    <row r="98" spans="1:19">
      <c r="B98" s="1407" t="s">
        <v>851</v>
      </c>
      <c r="C98" s="1440">
        <f t="shared" ref="C98:J98" si="63">SUM(C99:C102)</f>
        <v>4388.3781911655997</v>
      </c>
      <c r="D98" s="1440">
        <f t="shared" si="63"/>
        <v>0</v>
      </c>
      <c r="E98" s="1440">
        <f t="shared" si="63"/>
        <v>0</v>
      </c>
      <c r="F98" s="1440">
        <f t="shared" si="63"/>
        <v>0</v>
      </c>
      <c r="G98" s="1440">
        <f t="shared" si="63"/>
        <v>0</v>
      </c>
      <c r="H98" s="1440">
        <f t="shared" si="63"/>
        <v>0</v>
      </c>
      <c r="I98" s="1440">
        <f t="shared" si="63"/>
        <v>0</v>
      </c>
      <c r="J98" s="1440">
        <f t="shared" si="63"/>
        <v>0</v>
      </c>
      <c r="K98" s="1440">
        <f t="shared" ref="K98:S98" si="64">SUM(K99:K102)</f>
        <v>0</v>
      </c>
      <c r="L98" s="1440">
        <f t="shared" si="64"/>
        <v>0</v>
      </c>
      <c r="M98" s="1440">
        <f t="shared" si="64"/>
        <v>430</v>
      </c>
      <c r="N98" s="1440">
        <f t="shared" si="64"/>
        <v>430</v>
      </c>
      <c r="O98" s="1440">
        <f t="shared" si="64"/>
        <v>136</v>
      </c>
      <c r="P98" s="1440">
        <f t="shared" si="64"/>
        <v>1179.7701860245199</v>
      </c>
      <c r="Q98" s="1440">
        <f t="shared" si="64"/>
        <v>1082.7648030846481</v>
      </c>
      <c r="R98" s="1440">
        <f t="shared" si="64"/>
        <v>1129.8432020564319</v>
      </c>
      <c r="S98" s="1440">
        <f t="shared" si="64"/>
        <v>0</v>
      </c>
    </row>
    <row r="99" spans="1:19">
      <c r="B99" s="1431" t="s">
        <v>852</v>
      </c>
      <c r="C99" s="1440">
        <f t="shared" ref="C99:J99" si="65">C35</f>
        <v>860</v>
      </c>
      <c r="D99" s="1440">
        <f t="shared" si="65"/>
        <v>0</v>
      </c>
      <c r="E99" s="1440">
        <f t="shared" si="65"/>
        <v>0</v>
      </c>
      <c r="F99" s="1440">
        <f t="shared" si="65"/>
        <v>0</v>
      </c>
      <c r="G99" s="1440">
        <f t="shared" si="65"/>
        <v>0</v>
      </c>
      <c r="H99" s="1440">
        <f t="shared" si="65"/>
        <v>0</v>
      </c>
      <c r="I99" s="1440">
        <f t="shared" si="65"/>
        <v>0</v>
      </c>
      <c r="J99" s="1440">
        <f t="shared" si="65"/>
        <v>0</v>
      </c>
      <c r="K99" s="1440">
        <f t="shared" ref="K99:S99" si="66">K35</f>
        <v>0</v>
      </c>
      <c r="L99" s="1440">
        <f t="shared" si="66"/>
        <v>0</v>
      </c>
      <c r="M99" s="1440">
        <f t="shared" si="66"/>
        <v>430</v>
      </c>
      <c r="N99" s="1440">
        <f t="shared" si="66"/>
        <v>430</v>
      </c>
      <c r="O99" s="1440">
        <f t="shared" si="66"/>
        <v>0</v>
      </c>
      <c r="P99" s="1440">
        <f t="shared" si="66"/>
        <v>0</v>
      </c>
      <c r="Q99" s="1440">
        <f t="shared" si="66"/>
        <v>0</v>
      </c>
      <c r="R99" s="1440">
        <f t="shared" si="66"/>
        <v>0</v>
      </c>
      <c r="S99" s="1440">
        <f t="shared" si="66"/>
        <v>0</v>
      </c>
    </row>
    <row r="100" spans="1:19">
      <c r="B100" s="1431" t="s">
        <v>788</v>
      </c>
      <c r="C100" s="1440">
        <f t="shared" ref="C100:J100" si="67">C70</f>
        <v>2720</v>
      </c>
      <c r="D100" s="1440">
        <f t="shared" si="67"/>
        <v>0</v>
      </c>
      <c r="E100" s="1440">
        <f t="shared" si="67"/>
        <v>0</v>
      </c>
      <c r="F100" s="1440">
        <f t="shared" si="67"/>
        <v>0</v>
      </c>
      <c r="G100" s="1440">
        <f t="shared" si="67"/>
        <v>0</v>
      </c>
      <c r="H100" s="1440">
        <f t="shared" si="67"/>
        <v>0</v>
      </c>
      <c r="I100" s="1440">
        <f t="shared" si="67"/>
        <v>0</v>
      </c>
      <c r="J100" s="1440">
        <f t="shared" si="67"/>
        <v>0</v>
      </c>
      <c r="K100" s="1440">
        <f t="shared" ref="K100:S100" si="68">K70</f>
        <v>0</v>
      </c>
      <c r="L100" s="1440">
        <f t="shared" si="68"/>
        <v>0</v>
      </c>
      <c r="M100" s="1440">
        <f t="shared" si="68"/>
        <v>0</v>
      </c>
      <c r="N100" s="1440">
        <f t="shared" si="68"/>
        <v>0</v>
      </c>
      <c r="O100" s="1440">
        <f t="shared" si="68"/>
        <v>136</v>
      </c>
      <c r="P100" s="1440">
        <f t="shared" si="68"/>
        <v>816</v>
      </c>
      <c r="Q100" s="1440">
        <f t="shared" si="68"/>
        <v>816</v>
      </c>
      <c r="R100" s="1440">
        <f t="shared" si="68"/>
        <v>951.99999999999989</v>
      </c>
      <c r="S100" s="1440">
        <f t="shared" si="68"/>
        <v>0</v>
      </c>
    </row>
    <row r="101" spans="1:19">
      <c r="B101" s="1431" t="s">
        <v>656</v>
      </c>
      <c r="C101" s="1440">
        <f t="shared" ref="C101:J101" si="69">C79</f>
        <v>600.21924479999996</v>
      </c>
      <c r="D101" s="1440">
        <f t="shared" si="69"/>
        <v>0</v>
      </c>
      <c r="E101" s="1440">
        <f t="shared" si="69"/>
        <v>0</v>
      </c>
      <c r="F101" s="1440">
        <f t="shared" si="69"/>
        <v>0</v>
      </c>
      <c r="G101" s="1440">
        <f t="shared" si="69"/>
        <v>0</v>
      </c>
      <c r="H101" s="1440">
        <f t="shared" si="69"/>
        <v>0</v>
      </c>
      <c r="I101" s="1440">
        <f t="shared" si="69"/>
        <v>0</v>
      </c>
      <c r="J101" s="1440">
        <f t="shared" si="69"/>
        <v>0</v>
      </c>
      <c r="K101" s="1440">
        <f t="shared" ref="K101:S101" si="70">K79</f>
        <v>0</v>
      </c>
      <c r="L101" s="1440">
        <f t="shared" si="70"/>
        <v>0</v>
      </c>
      <c r="M101" s="1440">
        <f t="shared" si="70"/>
        <v>0</v>
      </c>
      <c r="N101" s="1440">
        <f t="shared" si="70"/>
        <v>0</v>
      </c>
      <c r="O101" s="1440">
        <f t="shared" si="70"/>
        <v>0</v>
      </c>
      <c r="P101" s="1440">
        <f t="shared" si="70"/>
        <v>270.09866016000001</v>
      </c>
      <c r="Q101" s="1440">
        <f t="shared" si="70"/>
        <v>198.07235078400001</v>
      </c>
      <c r="R101" s="1440">
        <f t="shared" si="70"/>
        <v>132.048233856</v>
      </c>
      <c r="S101" s="1440">
        <f t="shared" si="70"/>
        <v>0</v>
      </c>
    </row>
    <row r="102" spans="1:19">
      <c r="B102" s="1431" t="s">
        <v>854</v>
      </c>
      <c r="C102" s="1440">
        <f t="shared" ref="C102:J102" si="71">C89</f>
        <v>208.15894636559997</v>
      </c>
      <c r="D102" s="1440">
        <f t="shared" si="71"/>
        <v>0</v>
      </c>
      <c r="E102" s="1440">
        <f t="shared" si="71"/>
        <v>0</v>
      </c>
      <c r="F102" s="1440">
        <f t="shared" si="71"/>
        <v>0</v>
      </c>
      <c r="G102" s="1440">
        <f t="shared" si="71"/>
        <v>0</v>
      </c>
      <c r="H102" s="1440">
        <f t="shared" si="71"/>
        <v>0</v>
      </c>
      <c r="I102" s="1440">
        <f t="shared" si="71"/>
        <v>0</v>
      </c>
      <c r="J102" s="1440">
        <f t="shared" si="71"/>
        <v>0</v>
      </c>
      <c r="K102" s="1440">
        <f t="shared" ref="K102:S102" si="72">K89</f>
        <v>0</v>
      </c>
      <c r="L102" s="1440">
        <f t="shared" si="72"/>
        <v>0</v>
      </c>
      <c r="M102" s="1440">
        <f t="shared" si="72"/>
        <v>0</v>
      </c>
      <c r="N102" s="1440">
        <f t="shared" si="72"/>
        <v>0</v>
      </c>
      <c r="O102" s="1440">
        <f t="shared" si="72"/>
        <v>0</v>
      </c>
      <c r="P102" s="1440">
        <f t="shared" si="72"/>
        <v>93.671525864520035</v>
      </c>
      <c r="Q102" s="1440">
        <f t="shared" si="72"/>
        <v>68.692452300647943</v>
      </c>
      <c r="R102" s="1440">
        <f t="shared" si="72"/>
        <v>45.79496820043201</v>
      </c>
      <c r="S102" s="1440">
        <f t="shared" si="72"/>
        <v>0</v>
      </c>
    </row>
    <row r="103" spans="1:19">
      <c r="A103" s="1444"/>
      <c r="B103" s="1431" t="s">
        <v>855</v>
      </c>
      <c r="C103" s="1440">
        <f t="shared" ref="C103:J103" si="73">C96-C98</f>
        <v>3733.6493989784003</v>
      </c>
      <c r="D103" s="1656">
        <f t="shared" si="73"/>
        <v>0</v>
      </c>
      <c r="E103" s="1440">
        <f t="shared" si="73"/>
        <v>0</v>
      </c>
      <c r="F103" s="1440">
        <f t="shared" si="73"/>
        <v>0</v>
      </c>
      <c r="G103" s="1440">
        <f t="shared" si="73"/>
        <v>0</v>
      </c>
      <c r="H103" s="1440">
        <f t="shared" si="73"/>
        <v>0</v>
      </c>
      <c r="I103" s="1440">
        <f t="shared" si="73"/>
        <v>0</v>
      </c>
      <c r="J103" s="1440">
        <f t="shared" si="73"/>
        <v>0</v>
      </c>
      <c r="K103" s="1440">
        <f t="shared" ref="K103:O103" si="74">K96-K98</f>
        <v>0</v>
      </c>
      <c r="L103" s="1440">
        <f t="shared" si="74"/>
        <v>0</v>
      </c>
      <c r="M103" s="1440">
        <f t="shared" si="74"/>
        <v>-430</v>
      </c>
      <c r="N103" s="1440">
        <f t="shared" si="74"/>
        <v>-430</v>
      </c>
      <c r="O103" s="1440">
        <f t="shared" si="74"/>
        <v>-136</v>
      </c>
      <c r="P103" s="1440">
        <f>P96-P98</f>
        <v>-585.49370602451995</v>
      </c>
      <c r="Q103" s="1440">
        <f>Q96-Q98</f>
        <v>1306.2266465153521</v>
      </c>
      <c r="R103" s="1440">
        <f>R96-R98</f>
        <v>1812.8780922795681</v>
      </c>
      <c r="S103" s="1440">
        <f>S96-S98</f>
        <v>2196.0383662080003</v>
      </c>
    </row>
    <row r="104" spans="1:19">
      <c r="B104" s="1431" t="s">
        <v>1570</v>
      </c>
      <c r="D104" s="1452">
        <f t="shared" ref="D104:M104" si="75">IF(D95&gt;$D$12,(1+D23)^(D95-$D$12),0)</f>
        <v>0</v>
      </c>
      <c r="E104" s="1452">
        <f t="shared" si="75"/>
        <v>0</v>
      </c>
      <c r="F104" s="1452">
        <f t="shared" si="75"/>
        <v>0</v>
      </c>
      <c r="G104" s="1452">
        <f t="shared" si="75"/>
        <v>0</v>
      </c>
      <c r="H104" s="1452">
        <f t="shared" si="75"/>
        <v>0</v>
      </c>
      <c r="I104" s="1452">
        <f t="shared" si="75"/>
        <v>0</v>
      </c>
      <c r="J104" s="1452">
        <f t="shared" si="75"/>
        <v>0</v>
      </c>
      <c r="K104" s="1452">
        <f t="shared" si="75"/>
        <v>0</v>
      </c>
      <c r="L104" s="1452">
        <f t="shared" si="75"/>
        <v>0</v>
      </c>
      <c r="M104" s="1452">
        <f t="shared" si="75"/>
        <v>0</v>
      </c>
      <c r="N104" s="1452">
        <f t="shared" ref="N104:S104" si="76">IF(N95&gt;$D$12,(1+N23)^(N95-$D$12),0)</f>
        <v>1.125</v>
      </c>
      <c r="O104" s="1452">
        <f t="shared" si="76"/>
        <v>1.265625</v>
      </c>
      <c r="P104" s="1452">
        <f t="shared" si="76"/>
        <v>1.423828125</v>
      </c>
      <c r="Q104" s="1452">
        <f t="shared" si="76"/>
        <v>1.601806640625</v>
      </c>
      <c r="R104" s="1452">
        <f t="shared" si="76"/>
        <v>1.802032470703125</v>
      </c>
      <c r="S104" s="1452">
        <f t="shared" si="76"/>
        <v>2.0272865295410156</v>
      </c>
    </row>
    <row r="105" spans="1:19">
      <c r="B105" s="1431" t="s">
        <v>1452</v>
      </c>
      <c r="C105" s="1440">
        <f>SUMIF(D95:S95,"&gt;"&amp;D12,D105:S105)</f>
        <v>2003.8397084711557</v>
      </c>
      <c r="D105" s="1440" t="str">
        <f t="shared" ref="D105:M105" si="77">IF(D104&lt;&gt;0,D103/D104,"")</f>
        <v/>
      </c>
      <c r="E105" s="1440" t="str">
        <f t="shared" si="77"/>
        <v/>
      </c>
      <c r="F105" s="1440" t="str">
        <f t="shared" si="77"/>
        <v/>
      </c>
      <c r="G105" s="1440" t="str">
        <f t="shared" si="77"/>
        <v/>
      </c>
      <c r="H105" s="1440" t="str">
        <f t="shared" si="77"/>
        <v/>
      </c>
      <c r="I105" s="1440" t="str">
        <f t="shared" si="77"/>
        <v/>
      </c>
      <c r="J105" s="1440" t="str">
        <f t="shared" si="77"/>
        <v/>
      </c>
      <c r="K105" s="1440" t="str">
        <f t="shared" si="77"/>
        <v/>
      </c>
      <c r="L105" s="1440" t="str">
        <f t="shared" si="77"/>
        <v/>
      </c>
      <c r="M105" s="1440" t="str">
        <f t="shared" si="77"/>
        <v/>
      </c>
      <c r="N105" s="1440">
        <f t="shared" ref="N105:S105" si="78">IF(N104&lt;&gt;0,N103/N104,"")</f>
        <v>-382.22222222222223</v>
      </c>
      <c r="O105" s="1440">
        <f t="shared" si="78"/>
        <v>-107.45679012345678</v>
      </c>
      <c r="P105" s="1440">
        <f t="shared" si="78"/>
        <v>-411.21094305151468</v>
      </c>
      <c r="Q105" s="1440">
        <f t="shared" si="78"/>
        <v>815.47086482653287</v>
      </c>
      <c r="R105" s="1440">
        <f t="shared" si="78"/>
        <v>1006.0185494727581</v>
      </c>
      <c r="S105" s="1440">
        <f t="shared" si="78"/>
        <v>1083.2402495690585</v>
      </c>
    </row>
    <row r="106" spans="1:19">
      <c r="B106" s="1407" t="s">
        <v>1590</v>
      </c>
      <c r="C106" s="1427">
        <f>C105*I5</f>
        <v>2003.8397084711557</v>
      </c>
    </row>
    <row r="107" spans="1:19">
      <c r="B107" s="1407"/>
      <c r="C107" s="1427"/>
    </row>
    <row r="108" spans="1:19">
      <c r="B108" s="1407" t="s">
        <v>1588</v>
      </c>
      <c r="C108" s="1440"/>
      <c r="D108" s="1431">
        <f t="shared" ref="D108:J108" si="79">D95</f>
        <v>2013</v>
      </c>
      <c r="E108" s="1431">
        <f t="shared" si="79"/>
        <v>2014</v>
      </c>
      <c r="F108" s="1431">
        <f t="shared" si="79"/>
        <v>2015</v>
      </c>
      <c r="G108" s="1431">
        <f t="shared" si="79"/>
        <v>2016</v>
      </c>
      <c r="H108" s="1431">
        <f t="shared" si="79"/>
        <v>2017</v>
      </c>
      <c r="I108" s="1431">
        <f t="shared" si="79"/>
        <v>2018</v>
      </c>
      <c r="J108" s="1431">
        <f t="shared" si="79"/>
        <v>2019</v>
      </c>
      <c r="K108" s="1431">
        <f t="shared" ref="K108:S108" si="80">K95</f>
        <v>2020</v>
      </c>
      <c r="L108" s="1431">
        <f t="shared" si="80"/>
        <v>2021</v>
      </c>
      <c r="M108" s="1431">
        <f t="shared" si="80"/>
        <v>2022</v>
      </c>
      <c r="N108" s="1431">
        <f t="shared" si="80"/>
        <v>2023</v>
      </c>
      <c r="O108" s="1431">
        <f t="shared" si="80"/>
        <v>2024</v>
      </c>
      <c r="P108" s="1431">
        <f t="shared" si="80"/>
        <v>2025</v>
      </c>
      <c r="Q108" s="1431">
        <f t="shared" si="80"/>
        <v>2026</v>
      </c>
      <c r="R108" s="1431">
        <f t="shared" si="80"/>
        <v>2027</v>
      </c>
      <c r="S108" s="1431">
        <f t="shared" si="80"/>
        <v>2028</v>
      </c>
    </row>
    <row r="109" spans="1:19" s="1447" customFormat="1">
      <c r="A109" s="1459"/>
      <c r="B109" s="1460">
        <f>IRR(D109:S109)</f>
        <v>0.38156107873919254</v>
      </c>
      <c r="C109" s="1408"/>
      <c r="D109" s="1408">
        <f>D103</f>
        <v>0</v>
      </c>
      <c r="E109" s="1408">
        <f t="shared" ref="E109:J109" si="81">E103</f>
        <v>0</v>
      </c>
      <c r="F109" s="1408">
        <f t="shared" si="81"/>
        <v>0</v>
      </c>
      <c r="G109" s="1408">
        <f t="shared" si="81"/>
        <v>0</v>
      </c>
      <c r="H109" s="1408">
        <f t="shared" si="81"/>
        <v>0</v>
      </c>
      <c r="I109" s="1408">
        <f t="shared" si="81"/>
        <v>0</v>
      </c>
      <c r="J109" s="1408">
        <f t="shared" si="81"/>
        <v>0</v>
      </c>
      <c r="K109" s="1408">
        <f t="shared" ref="K109:S109" si="82">K103</f>
        <v>0</v>
      </c>
      <c r="L109" s="1408">
        <f t="shared" si="82"/>
        <v>0</v>
      </c>
      <c r="M109" s="1408">
        <f t="shared" si="82"/>
        <v>-430</v>
      </c>
      <c r="N109" s="1408">
        <f t="shared" si="82"/>
        <v>-430</v>
      </c>
      <c r="O109" s="1408">
        <f t="shared" si="82"/>
        <v>-136</v>
      </c>
      <c r="P109" s="1408">
        <f t="shared" si="82"/>
        <v>-585.49370602451995</v>
      </c>
      <c r="Q109" s="1408">
        <f t="shared" si="82"/>
        <v>1306.2266465153521</v>
      </c>
      <c r="R109" s="1408">
        <f t="shared" si="82"/>
        <v>1812.8780922795681</v>
      </c>
      <c r="S109" s="1408">
        <f t="shared" si="82"/>
        <v>2196.0383662080003</v>
      </c>
    </row>
    <row r="110" spans="1:19">
      <c r="B110" s="1407" t="s">
        <v>1789</v>
      </c>
      <c r="C110" s="1440"/>
      <c r="D110" s="1656">
        <f t="shared" ref="D110:M110" si="83">D103+D116-D118</f>
        <v>0</v>
      </c>
      <c r="E110" s="1656">
        <f t="shared" si="83"/>
        <v>0</v>
      </c>
      <c r="F110" s="1656">
        <f t="shared" si="83"/>
        <v>0</v>
      </c>
      <c r="G110" s="1656">
        <f t="shared" si="83"/>
        <v>0</v>
      </c>
      <c r="H110" s="1656">
        <f t="shared" si="83"/>
        <v>0</v>
      </c>
      <c r="I110" s="1656">
        <f t="shared" si="83"/>
        <v>0</v>
      </c>
      <c r="J110" s="1656">
        <f t="shared" si="83"/>
        <v>0</v>
      </c>
      <c r="K110" s="1656">
        <f t="shared" si="83"/>
        <v>0</v>
      </c>
      <c r="L110" s="1656">
        <f t="shared" si="83"/>
        <v>0</v>
      </c>
      <c r="M110" s="1656">
        <f t="shared" si="83"/>
        <v>-116.48355664000002</v>
      </c>
      <c r="N110" s="1656">
        <f t="shared" ref="N110:S110" si="84">N103+N116-N118</f>
        <v>510.54933007999989</v>
      </c>
      <c r="O110" s="1656">
        <f t="shared" si="84"/>
        <v>177.51644336000004</v>
      </c>
      <c r="P110" s="1656">
        <f t="shared" si="84"/>
        <v>-1369.2848144245199</v>
      </c>
      <c r="Q110" s="1656">
        <f t="shared" si="84"/>
        <v>522.43553811535207</v>
      </c>
      <c r="R110" s="1656">
        <f t="shared" si="84"/>
        <v>1812.8780922795681</v>
      </c>
      <c r="S110" s="1656">
        <f t="shared" si="84"/>
        <v>2196.0383662080003</v>
      </c>
    </row>
    <row r="111" spans="1:19">
      <c r="B111" s="1407"/>
      <c r="C111" s="1427"/>
      <c r="D111" s="1454"/>
      <c r="E111" s="1454"/>
      <c r="F111" s="1454"/>
      <c r="G111" s="1454"/>
      <c r="H111" s="1454"/>
      <c r="I111" s="1454"/>
      <c r="J111" s="1454"/>
      <c r="K111" s="1454"/>
      <c r="L111" s="1454"/>
      <c r="M111" s="1454"/>
      <c r="N111" s="1454"/>
      <c r="O111" s="1454"/>
      <c r="P111" s="1454"/>
      <c r="Q111" s="1454"/>
      <c r="R111" s="1454"/>
      <c r="S111" s="1454"/>
    </row>
    <row r="112" spans="1:19">
      <c r="B112" s="1407"/>
      <c r="C112" s="1427"/>
    </row>
    <row r="113" spans="1:19" s="1407" customFormat="1">
      <c r="A113" s="1406">
        <v>8</v>
      </c>
      <c r="B113" s="1407" t="s">
        <v>1592</v>
      </c>
      <c r="C113" s="1440"/>
      <c r="D113" s="1431">
        <f t="shared" ref="D113:I113" si="85">D95</f>
        <v>2013</v>
      </c>
      <c r="E113" s="1431">
        <f t="shared" si="85"/>
        <v>2014</v>
      </c>
      <c r="F113" s="1431">
        <f t="shared" si="85"/>
        <v>2015</v>
      </c>
      <c r="G113" s="1431">
        <f t="shared" si="85"/>
        <v>2016</v>
      </c>
      <c r="H113" s="1431">
        <f t="shared" si="85"/>
        <v>2017</v>
      </c>
      <c r="I113" s="1431">
        <f t="shared" si="85"/>
        <v>2018</v>
      </c>
      <c r="J113" s="1431">
        <f>I113+1</f>
        <v>2019</v>
      </c>
      <c r="K113" s="1431">
        <f>J113+1</f>
        <v>2020</v>
      </c>
      <c r="L113" s="1431">
        <f t="shared" ref="L113:S113" si="86">K113+1</f>
        <v>2021</v>
      </c>
      <c r="M113" s="1431">
        <f t="shared" si="86"/>
        <v>2022</v>
      </c>
      <c r="N113" s="1431">
        <f t="shared" si="86"/>
        <v>2023</v>
      </c>
      <c r="O113" s="1431">
        <f t="shared" si="86"/>
        <v>2024</v>
      </c>
      <c r="P113" s="1431">
        <f t="shared" si="86"/>
        <v>2025</v>
      </c>
      <c r="Q113" s="1431">
        <f t="shared" si="86"/>
        <v>2026</v>
      </c>
      <c r="R113" s="1431">
        <f t="shared" si="86"/>
        <v>2027</v>
      </c>
      <c r="S113" s="1431">
        <f t="shared" si="86"/>
        <v>2028</v>
      </c>
    </row>
    <row r="114" spans="1:19">
      <c r="B114" s="1432" t="s">
        <v>1571</v>
      </c>
      <c r="C114" s="1441">
        <f>D5*I6</f>
        <v>2090.1096223999998</v>
      </c>
      <c r="D114" s="1432"/>
      <c r="E114" s="1432"/>
      <c r="F114" s="1432"/>
      <c r="G114" s="1432"/>
      <c r="H114" s="1432"/>
      <c r="I114" s="1432"/>
      <c r="J114" s="1456"/>
      <c r="K114" s="1456"/>
      <c r="L114" s="1456"/>
      <c r="M114" s="1456"/>
      <c r="N114" s="1456"/>
      <c r="O114" s="1456"/>
      <c r="P114" s="1456"/>
      <c r="Q114" s="1456"/>
      <c r="R114" s="1456"/>
      <c r="S114" s="1456"/>
    </row>
    <row r="115" spans="1:19">
      <c r="B115" s="1431" t="s">
        <v>1572</v>
      </c>
      <c r="C115" s="1436">
        <f>SUM(D115:S115)</f>
        <v>1</v>
      </c>
      <c r="D115" s="1416">
        <v>0</v>
      </c>
      <c r="E115" s="1416">
        <v>0</v>
      </c>
      <c r="F115" s="1416">
        <v>0</v>
      </c>
      <c r="G115" s="1416">
        <v>0</v>
      </c>
      <c r="H115" s="1411">
        <v>0</v>
      </c>
      <c r="I115" s="1411">
        <v>0</v>
      </c>
      <c r="J115" s="1411">
        <v>0</v>
      </c>
      <c r="K115" s="1411">
        <v>0</v>
      </c>
      <c r="L115" s="1411">
        <v>0</v>
      </c>
      <c r="M115" s="1411">
        <v>0.15</v>
      </c>
      <c r="N115" s="1411">
        <v>0.45</v>
      </c>
      <c r="O115" s="1411">
        <v>0.4</v>
      </c>
      <c r="P115" s="1411">
        <v>0</v>
      </c>
      <c r="Q115" s="1411">
        <v>0</v>
      </c>
      <c r="R115" s="1411">
        <v>0</v>
      </c>
      <c r="S115" s="1411">
        <v>0</v>
      </c>
    </row>
    <row r="116" spans="1:19">
      <c r="B116" s="1431" t="s">
        <v>1573</v>
      </c>
      <c r="C116" s="1440">
        <f>SUM(D116:M116)</f>
        <v>313.51644335999998</v>
      </c>
      <c r="D116" s="1410">
        <f t="shared" ref="D116:M116" si="87">D115*$C$114</f>
        <v>0</v>
      </c>
      <c r="E116" s="1410">
        <f t="shared" si="87"/>
        <v>0</v>
      </c>
      <c r="F116" s="1410">
        <f t="shared" si="87"/>
        <v>0</v>
      </c>
      <c r="G116" s="1410">
        <f t="shared" si="87"/>
        <v>0</v>
      </c>
      <c r="H116" s="1410">
        <f t="shared" si="87"/>
        <v>0</v>
      </c>
      <c r="I116" s="1410">
        <f t="shared" si="87"/>
        <v>0</v>
      </c>
      <c r="J116" s="1410">
        <f t="shared" si="87"/>
        <v>0</v>
      </c>
      <c r="K116" s="1410">
        <f t="shared" si="87"/>
        <v>0</v>
      </c>
      <c r="L116" s="1410">
        <f t="shared" si="87"/>
        <v>0</v>
      </c>
      <c r="M116" s="1410">
        <f t="shared" si="87"/>
        <v>313.51644335999998</v>
      </c>
      <c r="N116" s="1410">
        <f t="shared" ref="N116:S116" si="88">N115*$C$114</f>
        <v>940.54933007999989</v>
      </c>
      <c r="O116" s="1410">
        <f t="shared" si="88"/>
        <v>836.04384895999999</v>
      </c>
      <c r="P116" s="1410">
        <f t="shared" si="88"/>
        <v>0</v>
      </c>
      <c r="Q116" s="1410">
        <f t="shared" si="88"/>
        <v>0</v>
      </c>
      <c r="R116" s="1410">
        <f t="shared" si="88"/>
        <v>0</v>
      </c>
      <c r="S116" s="1410">
        <f t="shared" si="88"/>
        <v>0</v>
      </c>
    </row>
    <row r="117" spans="1:19">
      <c r="B117" s="1431" t="s">
        <v>868</v>
      </c>
      <c r="C117" s="1440"/>
      <c r="D117" s="1440">
        <f>D116</f>
        <v>0</v>
      </c>
      <c r="E117" s="1440">
        <f>E116</f>
        <v>0</v>
      </c>
      <c r="F117" s="1440">
        <f>F116</f>
        <v>0</v>
      </c>
      <c r="G117" s="1440">
        <f>F120+G116</f>
        <v>0</v>
      </c>
      <c r="H117" s="1440">
        <f>G120+H116</f>
        <v>0</v>
      </c>
      <c r="I117" s="1440">
        <f>H120+I116</f>
        <v>0</v>
      </c>
      <c r="J117" s="1440">
        <f>I120+J116</f>
        <v>0</v>
      </c>
      <c r="K117" s="1440">
        <f>J120+K116</f>
        <v>0</v>
      </c>
      <c r="L117" s="1440">
        <f t="shared" ref="L117:S117" si="89">K120+L116</f>
        <v>0</v>
      </c>
      <c r="M117" s="1440">
        <f t="shared" si="89"/>
        <v>313.51644335999998</v>
      </c>
      <c r="N117" s="1440">
        <f t="shared" si="89"/>
        <v>1254.0657734399999</v>
      </c>
      <c r="O117" s="1440">
        <f t="shared" si="89"/>
        <v>2090.1096223999998</v>
      </c>
      <c r="P117" s="1440">
        <f t="shared" si="89"/>
        <v>1567.5822168</v>
      </c>
      <c r="Q117" s="1440">
        <f t="shared" si="89"/>
        <v>783.79110839999998</v>
      </c>
      <c r="R117" s="1440">
        <f t="shared" si="89"/>
        <v>0</v>
      </c>
      <c r="S117" s="1440">
        <f t="shared" si="89"/>
        <v>0</v>
      </c>
    </row>
    <row r="118" spans="1:19">
      <c r="B118" s="1431" t="s">
        <v>1574</v>
      </c>
      <c r="C118" s="1440">
        <f>SUM(D118:S118)</f>
        <v>2090.1096224000003</v>
      </c>
      <c r="D118" s="1423"/>
      <c r="E118" s="1423"/>
      <c r="F118" s="1423"/>
      <c r="G118" s="1423"/>
      <c r="H118" s="1423"/>
      <c r="I118" s="1423"/>
      <c r="J118" s="1423"/>
      <c r="K118" s="1423">
        <v>0</v>
      </c>
      <c r="L118" s="1410">
        <f>K118</f>
        <v>0</v>
      </c>
      <c r="M118" s="1440"/>
      <c r="N118" s="1440"/>
      <c r="O118" s="1440">
        <f>C114/4</f>
        <v>522.52740559999995</v>
      </c>
      <c r="P118" s="1440">
        <f>(C114-O118)/2</f>
        <v>783.79110839999998</v>
      </c>
      <c r="Q118" s="1440">
        <f>P118</f>
        <v>783.79110839999998</v>
      </c>
      <c r="R118" s="1440"/>
      <c r="S118" s="1440"/>
    </row>
    <row r="119" spans="1:19">
      <c r="B119" s="1431" t="s">
        <v>869</v>
      </c>
      <c r="C119" s="1440">
        <f>SUM(D119:S119)</f>
        <v>781.17847137199999</v>
      </c>
      <c r="D119" s="1440">
        <f t="shared" ref="D119:L119" si="90">D117*D21</f>
        <v>0</v>
      </c>
      <c r="E119" s="1440">
        <f t="shared" si="90"/>
        <v>0</v>
      </c>
      <c r="F119" s="1440">
        <f t="shared" si="90"/>
        <v>0</v>
      </c>
      <c r="G119" s="1440">
        <f t="shared" si="90"/>
        <v>0</v>
      </c>
      <c r="H119" s="1440">
        <f t="shared" si="90"/>
        <v>0</v>
      </c>
      <c r="I119" s="1440">
        <f t="shared" si="90"/>
        <v>0</v>
      </c>
      <c r="J119" s="1440">
        <f t="shared" si="90"/>
        <v>0</v>
      </c>
      <c r="K119" s="1440">
        <f t="shared" si="90"/>
        <v>0</v>
      </c>
      <c r="L119" s="1440">
        <f t="shared" si="90"/>
        <v>0</v>
      </c>
      <c r="M119" s="1440">
        <f t="shared" ref="M119:S119" si="91">M117*M21</f>
        <v>40.757137636799996</v>
      </c>
      <c r="N119" s="1440">
        <f t="shared" si="91"/>
        <v>163.02855054719998</v>
      </c>
      <c r="O119" s="1440">
        <f t="shared" si="91"/>
        <v>271.71425091200001</v>
      </c>
      <c r="P119" s="1440">
        <f t="shared" si="91"/>
        <v>203.78568818400001</v>
      </c>
      <c r="Q119" s="1440">
        <f t="shared" si="91"/>
        <v>101.892844092</v>
      </c>
      <c r="R119" s="1440">
        <f t="shared" si="91"/>
        <v>0</v>
      </c>
      <c r="S119" s="1440">
        <f t="shared" si="91"/>
        <v>0</v>
      </c>
    </row>
    <row r="120" spans="1:19">
      <c r="B120" s="1431" t="s">
        <v>874</v>
      </c>
      <c r="C120" s="1440"/>
      <c r="D120" s="1440">
        <f t="shared" ref="D120:M120" si="92">D117-D118</f>
        <v>0</v>
      </c>
      <c r="E120" s="1440">
        <f t="shared" si="92"/>
        <v>0</v>
      </c>
      <c r="F120" s="1440">
        <f t="shared" si="92"/>
        <v>0</v>
      </c>
      <c r="G120" s="1440">
        <f t="shared" si="92"/>
        <v>0</v>
      </c>
      <c r="H120" s="1440">
        <f t="shared" si="92"/>
        <v>0</v>
      </c>
      <c r="I120" s="1440">
        <f t="shared" si="92"/>
        <v>0</v>
      </c>
      <c r="J120" s="1440">
        <f t="shared" si="92"/>
        <v>0</v>
      </c>
      <c r="K120" s="1440">
        <f t="shared" si="92"/>
        <v>0</v>
      </c>
      <c r="L120" s="1440">
        <f t="shared" si="92"/>
        <v>0</v>
      </c>
      <c r="M120" s="1440">
        <f t="shared" si="92"/>
        <v>313.51644335999998</v>
      </c>
      <c r="N120" s="1440">
        <f t="shared" ref="N120:S120" si="93">N117-N118</f>
        <v>1254.0657734399999</v>
      </c>
      <c r="O120" s="1440">
        <f t="shared" si="93"/>
        <v>1567.5822168</v>
      </c>
      <c r="P120" s="1440">
        <f t="shared" si="93"/>
        <v>783.79110839999998</v>
      </c>
      <c r="Q120" s="1440">
        <f t="shared" si="93"/>
        <v>0</v>
      </c>
      <c r="R120" s="1440">
        <f t="shared" si="93"/>
        <v>0</v>
      </c>
      <c r="S120" s="1440">
        <f t="shared" si="93"/>
        <v>0</v>
      </c>
    </row>
    <row r="121" spans="1:19">
      <c r="C121" s="1440"/>
      <c r="D121" s="1412"/>
      <c r="E121" s="1440"/>
      <c r="F121" s="1440"/>
      <c r="G121" s="1440"/>
      <c r="H121" s="1440"/>
    </row>
    <row r="122" spans="1:19">
      <c r="C122" s="1440"/>
    </row>
    <row r="123" spans="1:19" s="1407" customFormat="1">
      <c r="A123" s="1406">
        <v>9</v>
      </c>
      <c r="B123" s="1407" t="s">
        <v>350</v>
      </c>
      <c r="C123" s="1440"/>
      <c r="D123" s="1431">
        <f t="shared" ref="D123:J123" si="94">D95</f>
        <v>2013</v>
      </c>
      <c r="E123" s="1431">
        <f t="shared" si="94"/>
        <v>2014</v>
      </c>
      <c r="F123" s="1431">
        <f t="shared" si="94"/>
        <v>2015</v>
      </c>
      <c r="G123" s="1431">
        <f t="shared" si="94"/>
        <v>2016</v>
      </c>
      <c r="H123" s="1431">
        <f t="shared" si="94"/>
        <v>2017</v>
      </c>
      <c r="I123" s="1431">
        <f t="shared" si="94"/>
        <v>2018</v>
      </c>
      <c r="J123" s="1431">
        <f t="shared" si="94"/>
        <v>2019</v>
      </c>
      <c r="K123" s="1431">
        <f t="shared" ref="K123:S123" si="95">K95</f>
        <v>2020</v>
      </c>
      <c r="L123" s="1431">
        <f t="shared" si="95"/>
        <v>2021</v>
      </c>
      <c r="M123" s="1431">
        <f t="shared" si="95"/>
        <v>2022</v>
      </c>
      <c r="N123" s="1431">
        <f t="shared" si="95"/>
        <v>2023</v>
      </c>
      <c r="O123" s="1431">
        <f t="shared" si="95"/>
        <v>2024</v>
      </c>
      <c r="P123" s="1431">
        <f t="shared" si="95"/>
        <v>2025</v>
      </c>
      <c r="Q123" s="1431">
        <f t="shared" si="95"/>
        <v>2026</v>
      </c>
      <c r="R123" s="1431">
        <f t="shared" si="95"/>
        <v>2027</v>
      </c>
      <c r="S123" s="1431">
        <f t="shared" si="95"/>
        <v>2028</v>
      </c>
    </row>
    <row r="124" spans="1:19">
      <c r="B124" s="1432" t="s">
        <v>1575</v>
      </c>
      <c r="C124" s="1441"/>
      <c r="D124" s="1441">
        <f>D63</f>
        <v>0</v>
      </c>
      <c r="E124" s="1408">
        <f t="shared" ref="E124:S124" si="96">D124+E63</f>
        <v>0</v>
      </c>
      <c r="F124" s="1408">
        <f t="shared" si="96"/>
        <v>0</v>
      </c>
      <c r="G124" s="1408">
        <f t="shared" si="96"/>
        <v>0</v>
      </c>
      <c r="H124" s="1408">
        <f t="shared" si="96"/>
        <v>0</v>
      </c>
      <c r="I124" s="1408">
        <f t="shared" si="96"/>
        <v>0</v>
      </c>
      <c r="J124" s="1408">
        <f t="shared" si="96"/>
        <v>0</v>
      </c>
      <c r="K124" s="1408">
        <f t="shared" si="96"/>
        <v>0</v>
      </c>
      <c r="L124" s="1408">
        <f t="shared" si="96"/>
        <v>0</v>
      </c>
      <c r="M124" s="1408">
        <f t="shared" si="96"/>
        <v>0</v>
      </c>
      <c r="N124" s="1408">
        <f t="shared" si="96"/>
        <v>0</v>
      </c>
      <c r="O124" s="1408">
        <f t="shared" si="96"/>
        <v>0</v>
      </c>
      <c r="P124" s="1408">
        <f t="shared" si="96"/>
        <v>594.27647999999999</v>
      </c>
      <c r="Q124" s="1408">
        <f t="shared" si="96"/>
        <v>2983.2679296000001</v>
      </c>
      <c r="R124" s="1408">
        <f t="shared" si="96"/>
        <v>5925.9892239359997</v>
      </c>
      <c r="S124" s="1408">
        <f t="shared" si="96"/>
        <v>8122.027590144</v>
      </c>
    </row>
    <row r="125" spans="1:19">
      <c r="B125" s="1431" t="s">
        <v>1576</v>
      </c>
      <c r="C125" s="1440"/>
      <c r="D125" s="1440">
        <f>D57</f>
        <v>0</v>
      </c>
      <c r="E125" s="1440">
        <f t="shared" ref="E125:S125" si="97">D125+E57</f>
        <v>0</v>
      </c>
      <c r="F125" s="1440">
        <f t="shared" si="97"/>
        <v>0</v>
      </c>
      <c r="G125" s="1440">
        <f t="shared" si="97"/>
        <v>0</v>
      </c>
      <c r="H125" s="1440">
        <f t="shared" si="97"/>
        <v>0</v>
      </c>
      <c r="I125" s="1440">
        <f t="shared" si="97"/>
        <v>0</v>
      </c>
      <c r="J125" s="1440">
        <f t="shared" si="97"/>
        <v>0</v>
      </c>
      <c r="K125" s="1440">
        <f t="shared" si="97"/>
        <v>0</v>
      </c>
      <c r="L125" s="1440">
        <f t="shared" si="97"/>
        <v>0</v>
      </c>
      <c r="M125" s="1440">
        <f t="shared" si="97"/>
        <v>0</v>
      </c>
      <c r="N125" s="1440">
        <f t="shared" si="97"/>
        <v>0</v>
      </c>
      <c r="O125" s="1440">
        <f t="shared" si="97"/>
        <v>0</v>
      </c>
      <c r="P125" s="1440">
        <f t="shared" si="97"/>
        <v>2700.9866016000001</v>
      </c>
      <c r="Q125" s="1440">
        <f t="shared" si="97"/>
        <v>4681.7101094400005</v>
      </c>
      <c r="R125" s="1440">
        <f t="shared" si="97"/>
        <v>6002.1924480000007</v>
      </c>
      <c r="S125" s="1440">
        <f t="shared" si="97"/>
        <v>6002.1924480000007</v>
      </c>
    </row>
    <row r="126" spans="1:19">
      <c r="B126" s="1431" t="s">
        <v>1577</v>
      </c>
      <c r="C126" s="1440"/>
      <c r="D126" s="1440">
        <f>D50</f>
        <v>0</v>
      </c>
      <c r="E126" s="1440">
        <f t="shared" ref="E126:S126" si="98">D126+E50</f>
        <v>0</v>
      </c>
      <c r="F126" s="1440">
        <f t="shared" si="98"/>
        <v>0</v>
      </c>
      <c r="G126" s="1440">
        <f t="shared" si="98"/>
        <v>0</v>
      </c>
      <c r="H126" s="1440">
        <f t="shared" si="98"/>
        <v>0</v>
      </c>
      <c r="I126" s="1440">
        <f t="shared" si="98"/>
        <v>0</v>
      </c>
      <c r="J126" s="1440">
        <f t="shared" si="98"/>
        <v>0</v>
      </c>
      <c r="K126" s="1440">
        <f t="shared" si="98"/>
        <v>0</v>
      </c>
      <c r="L126" s="1440">
        <f t="shared" si="98"/>
        <v>0</v>
      </c>
      <c r="M126" s="1440">
        <f t="shared" si="98"/>
        <v>0</v>
      </c>
      <c r="N126" s="1440">
        <f t="shared" si="98"/>
        <v>0</v>
      </c>
      <c r="O126" s="1440">
        <f t="shared" si="98"/>
        <v>0</v>
      </c>
      <c r="P126" s="1440">
        <f t="shared" si="98"/>
        <v>2971.3824</v>
      </c>
      <c r="Q126" s="1440">
        <f t="shared" si="98"/>
        <v>6002.1924479999998</v>
      </c>
      <c r="R126" s="1440">
        <f t="shared" si="98"/>
        <v>8651.9863756800005</v>
      </c>
      <c r="S126" s="1440">
        <f t="shared" si="98"/>
        <v>8651.9863756800005</v>
      </c>
    </row>
    <row r="127" spans="1:19">
      <c r="B127" s="1431" t="s">
        <v>1578</v>
      </c>
      <c r="C127" s="1440"/>
      <c r="D127" s="1436" t="str">
        <f t="shared" ref="D127:J127" si="99">IF(D124&lt;&gt;0,D124/D126,"")</f>
        <v/>
      </c>
      <c r="E127" s="1436" t="str">
        <f t="shared" si="99"/>
        <v/>
      </c>
      <c r="F127" s="1436" t="str">
        <f t="shared" si="99"/>
        <v/>
      </c>
      <c r="G127" s="1436" t="str">
        <f t="shared" si="99"/>
        <v/>
      </c>
      <c r="H127" s="1436" t="str">
        <f t="shared" si="99"/>
        <v/>
      </c>
      <c r="I127" s="1436" t="str">
        <f t="shared" si="99"/>
        <v/>
      </c>
      <c r="J127" s="1436" t="str">
        <f t="shared" si="99"/>
        <v/>
      </c>
      <c r="K127" s="1436" t="str">
        <f t="shared" ref="K127:S127" si="100">IF(K124&lt;&gt;0,K124/K126,"")</f>
        <v/>
      </c>
      <c r="L127" s="1436" t="str">
        <f t="shared" si="100"/>
        <v/>
      </c>
      <c r="M127" s="1436" t="str">
        <f t="shared" si="100"/>
        <v/>
      </c>
      <c r="N127" s="1436" t="str">
        <f t="shared" si="100"/>
        <v/>
      </c>
      <c r="O127" s="1436" t="str">
        <f t="shared" si="100"/>
        <v/>
      </c>
      <c r="P127" s="1436">
        <f t="shared" si="100"/>
        <v>0.2</v>
      </c>
      <c r="Q127" s="1436">
        <f t="shared" si="100"/>
        <v>0.49702970297029708</v>
      </c>
      <c r="R127" s="1436">
        <f t="shared" si="100"/>
        <v>0.68492817332600664</v>
      </c>
      <c r="S127" s="1436">
        <f t="shared" si="100"/>
        <v>0.93874715440772427</v>
      </c>
    </row>
    <row r="128" spans="1:19">
      <c r="B128" s="1431" t="s">
        <v>1579</v>
      </c>
      <c r="C128" s="1440"/>
      <c r="D128" s="1410">
        <f t="shared" ref="D128:J128" si="101">IF(D124&gt;D125,D124-D125,0)</f>
        <v>0</v>
      </c>
      <c r="E128" s="1410">
        <f t="shared" si="101"/>
        <v>0</v>
      </c>
      <c r="F128" s="1410">
        <f t="shared" si="101"/>
        <v>0</v>
      </c>
      <c r="G128" s="1410">
        <f t="shared" si="101"/>
        <v>0</v>
      </c>
      <c r="H128" s="1410">
        <f t="shared" si="101"/>
        <v>0</v>
      </c>
      <c r="I128" s="1410">
        <f t="shared" si="101"/>
        <v>0</v>
      </c>
      <c r="J128" s="1410">
        <f t="shared" si="101"/>
        <v>0</v>
      </c>
      <c r="K128" s="1410">
        <f t="shared" ref="K128:S128" si="102">IF(K124&gt;K125,K124-K125,0)</f>
        <v>0</v>
      </c>
      <c r="L128" s="1410">
        <f t="shared" si="102"/>
        <v>0</v>
      </c>
      <c r="M128" s="1410">
        <f t="shared" si="102"/>
        <v>0</v>
      </c>
      <c r="N128" s="1410">
        <f t="shared" si="102"/>
        <v>0</v>
      </c>
      <c r="O128" s="1410">
        <f t="shared" si="102"/>
        <v>0</v>
      </c>
      <c r="P128" s="1410">
        <f t="shared" si="102"/>
        <v>0</v>
      </c>
      <c r="Q128" s="1410">
        <f t="shared" si="102"/>
        <v>0</v>
      </c>
      <c r="R128" s="1410">
        <f t="shared" si="102"/>
        <v>0</v>
      </c>
      <c r="S128" s="1410">
        <f t="shared" si="102"/>
        <v>2119.8351421439993</v>
      </c>
    </row>
    <row r="129" spans="1:19" s="1407" customFormat="1">
      <c r="A129" s="1406"/>
      <c r="B129" s="1431" t="s">
        <v>1580</v>
      </c>
      <c r="C129" s="1440"/>
      <c r="D129" s="1410">
        <f t="shared" ref="D129:J129" si="103">IF(D125&gt;D124,D125-D124,0)</f>
        <v>0</v>
      </c>
      <c r="E129" s="1410">
        <f t="shared" si="103"/>
        <v>0</v>
      </c>
      <c r="F129" s="1410">
        <f t="shared" si="103"/>
        <v>0</v>
      </c>
      <c r="G129" s="1410">
        <f t="shared" si="103"/>
        <v>0</v>
      </c>
      <c r="H129" s="1410">
        <f t="shared" si="103"/>
        <v>0</v>
      </c>
      <c r="I129" s="1410">
        <f t="shared" si="103"/>
        <v>0</v>
      </c>
      <c r="J129" s="1410">
        <f t="shared" si="103"/>
        <v>0</v>
      </c>
      <c r="K129" s="1410">
        <f t="shared" ref="K129:S129" si="104">IF(K125&gt;K124,K125-K124,0)</f>
        <v>0</v>
      </c>
      <c r="L129" s="1410">
        <f t="shared" si="104"/>
        <v>0</v>
      </c>
      <c r="M129" s="1410">
        <f t="shared" si="104"/>
        <v>0</v>
      </c>
      <c r="N129" s="1410">
        <f t="shared" si="104"/>
        <v>0</v>
      </c>
      <c r="O129" s="1410">
        <f t="shared" si="104"/>
        <v>0</v>
      </c>
      <c r="P129" s="1410">
        <f t="shared" si="104"/>
        <v>2106.7101216000001</v>
      </c>
      <c r="Q129" s="1410">
        <f t="shared" si="104"/>
        <v>1698.4421798400003</v>
      </c>
      <c r="R129" s="1410">
        <f t="shared" si="104"/>
        <v>76.203224064001006</v>
      </c>
      <c r="S129" s="1410">
        <f t="shared" si="104"/>
        <v>0</v>
      </c>
    </row>
    <row r="130" spans="1:19">
      <c r="B130" s="1407"/>
      <c r="E130" s="1440"/>
      <c r="F130" s="1440"/>
      <c r="G130" s="1440"/>
      <c r="H130" s="1440"/>
      <c r="I130" s="1440"/>
      <c r="J130" s="1440"/>
      <c r="K130" s="1440"/>
      <c r="L130" s="1440"/>
      <c r="M130" s="1440"/>
      <c r="N130" s="1440"/>
      <c r="O130" s="1440"/>
      <c r="P130" s="1440"/>
      <c r="Q130" s="1440"/>
      <c r="R130" s="1440"/>
      <c r="S130" s="1440"/>
    </row>
    <row r="131" spans="1:19">
      <c r="B131" s="1407" t="s">
        <v>1492</v>
      </c>
      <c r="E131" s="1440"/>
      <c r="F131" s="1440"/>
      <c r="G131" s="1440"/>
      <c r="H131" s="1440"/>
      <c r="I131" s="1440"/>
      <c r="J131" s="1440"/>
      <c r="K131" s="1440"/>
      <c r="L131" s="1440"/>
      <c r="M131" s="1440"/>
      <c r="N131" s="1440"/>
      <c r="O131" s="1440"/>
      <c r="P131" s="1440"/>
      <c r="Q131" s="1440"/>
      <c r="R131" s="1440"/>
      <c r="S131" s="1440"/>
    </row>
    <row r="132" spans="1:19">
      <c r="B132" s="1431" t="s">
        <v>1581</v>
      </c>
      <c r="D132" s="1412">
        <v>0</v>
      </c>
      <c r="E132" s="1410">
        <f t="shared" ref="E132:J132" si="105">D136</f>
        <v>0</v>
      </c>
      <c r="F132" s="1440">
        <f t="shared" si="105"/>
        <v>0</v>
      </c>
      <c r="G132" s="1440">
        <f t="shared" si="105"/>
        <v>0</v>
      </c>
      <c r="H132" s="1440">
        <f t="shared" si="105"/>
        <v>0</v>
      </c>
      <c r="I132" s="1440">
        <f t="shared" si="105"/>
        <v>0</v>
      </c>
      <c r="J132" s="1440">
        <f t="shared" si="105"/>
        <v>0</v>
      </c>
      <c r="K132" s="1440">
        <f>J136</f>
        <v>0</v>
      </c>
      <c r="L132" s="1440">
        <f t="shared" ref="L132:S132" si="106">K136</f>
        <v>0</v>
      </c>
      <c r="M132" s="1440">
        <f t="shared" si="106"/>
        <v>0</v>
      </c>
      <c r="N132" s="1440">
        <f t="shared" si="106"/>
        <v>430</v>
      </c>
      <c r="O132" s="1440">
        <f t="shared" si="106"/>
        <v>860</v>
      </c>
      <c r="P132" s="1440">
        <f t="shared" si="106"/>
        <v>996</v>
      </c>
      <c r="Q132" s="1440">
        <f t="shared" si="106"/>
        <v>201.00000000000023</v>
      </c>
      <c r="R132" s="1440">
        <f t="shared" si="106"/>
        <v>-164.40000000000009</v>
      </c>
      <c r="S132" s="1440">
        <f t="shared" si="106"/>
        <v>0</v>
      </c>
    </row>
    <row r="133" spans="1:19">
      <c r="B133" s="1431" t="s">
        <v>994</v>
      </c>
      <c r="D133" s="1440">
        <f t="shared" ref="D133:M133" si="107">SUM(D99:D100)</f>
        <v>0</v>
      </c>
      <c r="E133" s="1440">
        <f t="shared" si="107"/>
        <v>0</v>
      </c>
      <c r="F133" s="1440">
        <f t="shared" si="107"/>
        <v>0</v>
      </c>
      <c r="G133" s="1440">
        <f t="shared" si="107"/>
        <v>0</v>
      </c>
      <c r="H133" s="1440">
        <f t="shared" si="107"/>
        <v>0</v>
      </c>
      <c r="I133" s="1440">
        <f t="shared" si="107"/>
        <v>0</v>
      </c>
      <c r="J133" s="1440">
        <f t="shared" si="107"/>
        <v>0</v>
      </c>
      <c r="K133" s="1440">
        <f t="shared" si="107"/>
        <v>0</v>
      </c>
      <c r="L133" s="1440">
        <f t="shared" si="107"/>
        <v>0</v>
      </c>
      <c r="M133" s="1440">
        <f t="shared" si="107"/>
        <v>430</v>
      </c>
      <c r="N133" s="1440">
        <f t="shared" ref="N133:S133" si="108">SUM(N99:N100)</f>
        <v>430</v>
      </c>
      <c r="O133" s="1440">
        <f t="shared" si="108"/>
        <v>136</v>
      </c>
      <c r="P133" s="1440">
        <f t="shared" si="108"/>
        <v>816</v>
      </c>
      <c r="Q133" s="1440">
        <f t="shared" si="108"/>
        <v>816</v>
      </c>
      <c r="R133" s="1440">
        <f t="shared" si="108"/>
        <v>951.99999999999989</v>
      </c>
      <c r="S133" s="1440">
        <f t="shared" si="108"/>
        <v>0</v>
      </c>
    </row>
    <row r="134" spans="1:19">
      <c r="B134" s="1431" t="s">
        <v>1582</v>
      </c>
      <c r="D134" s="1431">
        <f t="shared" ref="D134:J134" si="109">$C$77*D58</f>
        <v>0</v>
      </c>
      <c r="E134" s="1431">
        <f t="shared" si="109"/>
        <v>0</v>
      </c>
      <c r="F134" s="1440">
        <f t="shared" si="109"/>
        <v>0</v>
      </c>
      <c r="G134" s="1440">
        <f t="shared" si="109"/>
        <v>0</v>
      </c>
      <c r="H134" s="1440">
        <f t="shared" si="109"/>
        <v>0</v>
      </c>
      <c r="I134" s="1440">
        <f t="shared" si="109"/>
        <v>0</v>
      </c>
      <c r="J134" s="1440">
        <f t="shared" si="109"/>
        <v>0</v>
      </c>
      <c r="K134" s="1440">
        <f t="shared" ref="K134:S134" si="110">$C$77*K58</f>
        <v>0</v>
      </c>
      <c r="L134" s="1440">
        <f t="shared" si="110"/>
        <v>0</v>
      </c>
      <c r="M134" s="1440">
        <f t="shared" si="110"/>
        <v>0</v>
      </c>
      <c r="N134" s="1440">
        <f t="shared" si="110"/>
        <v>0</v>
      </c>
      <c r="O134" s="1440">
        <f t="shared" si="110"/>
        <v>0</v>
      </c>
      <c r="P134" s="1440">
        <f t="shared" si="110"/>
        <v>351.5303121174</v>
      </c>
      <c r="Q134" s="1440">
        <f t="shared" si="110"/>
        <v>257.78889555275998</v>
      </c>
      <c r="R134" s="1440">
        <f t="shared" si="110"/>
        <v>171.85926370184001</v>
      </c>
      <c r="S134" s="1440">
        <f t="shared" si="110"/>
        <v>0</v>
      </c>
    </row>
    <row r="135" spans="1:19">
      <c r="B135" s="1431" t="s">
        <v>1583</v>
      </c>
      <c r="D135" s="1440">
        <f t="shared" ref="D135:J135" si="111">SUM(D75:D77)</f>
        <v>0</v>
      </c>
      <c r="E135" s="1440">
        <f t="shared" si="111"/>
        <v>0</v>
      </c>
      <c r="F135" s="1440">
        <f t="shared" si="111"/>
        <v>0</v>
      </c>
      <c r="G135" s="1440">
        <f t="shared" si="111"/>
        <v>0</v>
      </c>
      <c r="H135" s="1440">
        <f t="shared" si="111"/>
        <v>0</v>
      </c>
      <c r="I135" s="1440">
        <f t="shared" si="111"/>
        <v>0</v>
      </c>
      <c r="J135" s="1440">
        <f t="shared" si="111"/>
        <v>0</v>
      </c>
      <c r="K135" s="1440">
        <f t="shared" ref="K135:S135" si="112">SUM(K75:K77)</f>
        <v>0</v>
      </c>
      <c r="L135" s="1440">
        <f t="shared" si="112"/>
        <v>0</v>
      </c>
      <c r="M135" s="1440">
        <f t="shared" si="112"/>
        <v>0</v>
      </c>
      <c r="N135" s="1440">
        <f t="shared" si="112"/>
        <v>0</v>
      </c>
      <c r="O135" s="1440">
        <f t="shared" si="112"/>
        <v>0</v>
      </c>
      <c r="P135" s="1440">
        <f t="shared" si="112"/>
        <v>1962.5303121173999</v>
      </c>
      <c r="Q135" s="1440">
        <f t="shared" si="112"/>
        <v>1439.1888955527602</v>
      </c>
      <c r="R135" s="1440">
        <f t="shared" si="112"/>
        <v>959.45926370183997</v>
      </c>
      <c r="S135" s="1440">
        <f t="shared" si="112"/>
        <v>0</v>
      </c>
    </row>
    <row r="136" spans="1:19">
      <c r="B136" s="1431" t="s">
        <v>874</v>
      </c>
      <c r="D136" s="1440">
        <f t="shared" ref="D136:M136" si="113">SUM(D132:D134)-D135</f>
        <v>0</v>
      </c>
      <c r="E136" s="1440">
        <f t="shared" si="113"/>
        <v>0</v>
      </c>
      <c r="F136" s="1440">
        <f t="shared" si="113"/>
        <v>0</v>
      </c>
      <c r="G136" s="1440">
        <f t="shared" si="113"/>
        <v>0</v>
      </c>
      <c r="H136" s="1440">
        <f t="shared" si="113"/>
        <v>0</v>
      </c>
      <c r="I136" s="1440">
        <f t="shared" si="113"/>
        <v>0</v>
      </c>
      <c r="J136" s="1440">
        <f t="shared" si="113"/>
        <v>0</v>
      </c>
      <c r="K136" s="1440">
        <f t="shared" si="113"/>
        <v>0</v>
      </c>
      <c r="L136" s="1440">
        <f t="shared" si="113"/>
        <v>0</v>
      </c>
      <c r="M136" s="1440">
        <f t="shared" si="113"/>
        <v>430</v>
      </c>
      <c r="N136" s="1440">
        <f t="shared" ref="N136:S136" si="114">SUM(N132:N134)-N135</f>
        <v>860</v>
      </c>
      <c r="O136" s="1440">
        <f t="shared" si="114"/>
        <v>996</v>
      </c>
      <c r="P136" s="1440">
        <f t="shared" si="114"/>
        <v>201.00000000000023</v>
      </c>
      <c r="Q136" s="1440">
        <f t="shared" si="114"/>
        <v>-164.40000000000009</v>
      </c>
      <c r="R136" s="1440">
        <f t="shared" si="114"/>
        <v>0</v>
      </c>
      <c r="S136" s="1440">
        <f t="shared" si="114"/>
        <v>0</v>
      </c>
    </row>
    <row r="137" spans="1:19">
      <c r="A137" s="1430" t="s">
        <v>1584</v>
      </c>
      <c r="B137" s="1432"/>
      <c r="C137" s="1432"/>
      <c r="D137" s="1432"/>
      <c r="E137" s="1432"/>
      <c r="F137" s="1432"/>
      <c r="G137" s="1432"/>
      <c r="H137" s="1432"/>
      <c r="I137" s="1432"/>
      <c r="J137" s="1432"/>
      <c r="K137" s="1432"/>
      <c r="L137" s="1432"/>
      <c r="M137" s="1432"/>
      <c r="N137" s="1432"/>
      <c r="O137" s="1432"/>
      <c r="P137" s="1432"/>
      <c r="Q137" s="1432"/>
      <c r="R137" s="1432"/>
      <c r="S137" s="1432"/>
    </row>
  </sheetData>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137"/>
  <sheetViews>
    <sheetView zoomScaleNormal="100" workbookViewId="0">
      <selection activeCell="T106" sqref="T106"/>
    </sheetView>
  </sheetViews>
  <sheetFormatPr defaultColWidth="9.140625" defaultRowHeight="12"/>
  <cols>
    <col min="1" max="1" width="5.85546875" style="1406" customWidth="1"/>
    <col min="2" max="2" width="27.140625" style="1431" customWidth="1"/>
    <col min="3" max="13" width="9.140625" style="1431" customWidth="1"/>
    <col min="14" max="14" width="9.140625" style="1431" bestFit="1" customWidth="1"/>
    <col min="15" max="16384" width="9.140625" style="1431"/>
  </cols>
  <sheetData>
    <row r="1" spans="1:21" ht="21">
      <c r="A1" s="1404" t="s">
        <v>1922</v>
      </c>
    </row>
    <row r="2" spans="1:21">
      <c r="A2" s="1405" t="s">
        <v>1776</v>
      </c>
    </row>
    <row r="4" spans="1:21">
      <c r="B4" s="1407" t="s">
        <v>1539</v>
      </c>
      <c r="F4" s="1407" t="s">
        <v>1540</v>
      </c>
      <c r="K4" s="1407" t="s">
        <v>1595</v>
      </c>
      <c r="P4" s="1407" t="s">
        <v>1783</v>
      </c>
    </row>
    <row r="5" spans="1:21">
      <c r="B5" s="1432" t="s">
        <v>748</v>
      </c>
      <c r="C5" s="1432"/>
      <c r="D5" s="1408">
        <f>SUM(D6:D8)</f>
        <v>2112.8346618</v>
      </c>
      <c r="F5" s="1432" t="s">
        <v>636</v>
      </c>
      <c r="G5" s="1432"/>
      <c r="H5" s="1432"/>
      <c r="I5" s="1409">
        <v>1</v>
      </c>
      <c r="K5" s="1432" t="s">
        <v>26</v>
      </c>
      <c r="L5" s="1432"/>
      <c r="M5" s="1432"/>
      <c r="N5" s="1441">
        <f>C83</f>
        <v>3380.9618700000005</v>
      </c>
      <c r="P5" s="1432" t="s">
        <v>1777</v>
      </c>
      <c r="Q5" s="1432"/>
      <c r="R5" s="1432"/>
      <c r="S5" s="1422">
        <v>1500</v>
      </c>
    </row>
    <row r="6" spans="1:21">
      <c r="B6" s="1431" t="s">
        <v>678</v>
      </c>
      <c r="D6" s="1410">
        <f>SUM(E31:E32)</f>
        <v>339.5</v>
      </c>
      <c r="F6" s="1431" t="s">
        <v>1542</v>
      </c>
      <c r="I6" s="1586">
        <v>0.5</v>
      </c>
      <c r="K6" s="1431" t="s">
        <v>197</v>
      </c>
      <c r="N6" s="1436">
        <f>C91</f>
        <v>0.43383907312920988</v>
      </c>
      <c r="P6" s="1431" t="s">
        <v>1778</v>
      </c>
      <c r="S6" s="1440">
        <f>D42/S5</f>
        <v>65</v>
      </c>
    </row>
    <row r="7" spans="1:21">
      <c r="B7" s="1431" t="s">
        <v>750</v>
      </c>
      <c r="D7" s="1410">
        <f>C70</f>
        <v>1300</v>
      </c>
      <c r="F7" s="1431" t="s">
        <v>759</v>
      </c>
      <c r="I7" s="1440">
        <f>C114</f>
        <v>1056.4173309</v>
      </c>
      <c r="K7" s="1431" t="s">
        <v>1779</v>
      </c>
      <c r="N7" s="1436">
        <f>C92</f>
        <v>0.21882330797359753</v>
      </c>
      <c r="P7" s="1431" t="s">
        <v>1792</v>
      </c>
      <c r="S7" s="1412">
        <v>33</v>
      </c>
    </row>
    <row r="8" spans="1:21">
      <c r="B8" s="1431" t="s">
        <v>656</v>
      </c>
      <c r="D8" s="1440">
        <f>C79</f>
        <v>473.33466180000011</v>
      </c>
      <c r="F8" s="1431" t="s">
        <v>1544</v>
      </c>
      <c r="I8" s="1433">
        <f>G23</f>
        <v>0.1105</v>
      </c>
      <c r="K8" s="1431" t="s">
        <v>1720</v>
      </c>
      <c r="N8" s="1440">
        <f>C105</f>
        <v>737.46146332860508</v>
      </c>
      <c r="P8" s="1431" t="s">
        <v>1784</v>
      </c>
      <c r="S8" s="1423">
        <v>35</v>
      </c>
    </row>
    <row r="9" spans="1:21">
      <c r="B9" s="1431" t="s">
        <v>869</v>
      </c>
      <c r="D9" s="1440">
        <f>C119</f>
        <v>343.33563254250004</v>
      </c>
      <c r="F9" s="1431" t="s">
        <v>1588</v>
      </c>
      <c r="I9" s="1425" t="e">
        <f>B109</f>
        <v>#NUM!</v>
      </c>
      <c r="K9" s="1431" t="s">
        <v>1601</v>
      </c>
      <c r="N9" s="1410">
        <f>C90</f>
        <v>739.83326052600034</v>
      </c>
      <c r="P9" s="1431" t="s">
        <v>1560</v>
      </c>
      <c r="S9" s="1416">
        <v>0.75</v>
      </c>
    </row>
    <row r="10" spans="1:21">
      <c r="B10" s="1431" t="s">
        <v>1543</v>
      </c>
      <c r="D10" s="1412">
        <v>2023</v>
      </c>
      <c r="F10" s="1431" t="s">
        <v>1781</v>
      </c>
      <c r="I10" s="1436">
        <f>C105/C90</f>
        <v>0.99679414629762797</v>
      </c>
      <c r="K10" s="1431" t="s">
        <v>1141</v>
      </c>
      <c r="N10" s="1423">
        <v>9700</v>
      </c>
      <c r="P10" s="1431" t="s">
        <v>1785</v>
      </c>
      <c r="S10" s="1423">
        <v>10</v>
      </c>
    </row>
    <row r="11" spans="1:21">
      <c r="B11" s="1431" t="s">
        <v>751</v>
      </c>
      <c r="D11" s="1412">
        <v>2025</v>
      </c>
      <c r="F11" s="1431" t="s">
        <v>1782</v>
      </c>
      <c r="I11" s="1436">
        <f>C70/C50</f>
        <v>0.38450596309150326</v>
      </c>
      <c r="K11" s="1431" t="s">
        <v>686</v>
      </c>
      <c r="N11" s="1643">
        <v>130000</v>
      </c>
      <c r="P11" s="1431" t="s">
        <v>1786</v>
      </c>
      <c r="S11" s="1596">
        <f>'Opal Central Park'!$S$11</f>
        <v>0.14000000000000001</v>
      </c>
    </row>
    <row r="12" spans="1:21">
      <c r="B12" s="1431" t="s">
        <v>1545</v>
      </c>
      <c r="D12" s="2183">
        <v>2022</v>
      </c>
      <c r="F12" s="1431" t="s">
        <v>1780</v>
      </c>
      <c r="I12" s="1436">
        <f>E32/C50</f>
        <v>0.10041521113043489</v>
      </c>
      <c r="K12" s="1431" t="s">
        <v>1790</v>
      </c>
      <c r="N12" s="1599" t="s">
        <v>1923</v>
      </c>
      <c r="P12" s="1431" t="s">
        <v>1791</v>
      </c>
      <c r="S12" s="1423"/>
    </row>
    <row r="13" spans="1:21">
      <c r="E13" s="1412"/>
      <c r="J13" s="1413"/>
    </row>
    <row r="14" spans="1:21">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c r="R14" s="1447">
        <f>'Opal Riverside'!R14</f>
        <v>2027</v>
      </c>
      <c r="S14" s="1447">
        <f>'Opal Riverside'!S14</f>
        <v>2028</v>
      </c>
      <c r="T14" s="1447">
        <f>'Opal Riverside'!T14</f>
        <v>2029</v>
      </c>
      <c r="U14" s="1447">
        <f>'Opal Riverside'!U14</f>
        <v>2030</v>
      </c>
    </row>
    <row r="15" spans="1:21">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c r="R15" s="1434">
        <f t="shared" ref="R15" si="1">Q15</f>
        <v>0.5</v>
      </c>
      <c r="S15" s="1434">
        <f t="shared" ref="S15" si="2">R15</f>
        <v>0.5</v>
      </c>
      <c r="T15" s="1434">
        <f t="shared" ref="T15" si="3">S15</f>
        <v>0.5</v>
      </c>
      <c r="U15" s="1434">
        <f t="shared" ref="U15" si="4">T15</f>
        <v>0.5</v>
      </c>
    </row>
    <row r="16" spans="1:21">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v>1.5</v>
      </c>
      <c r="N16" s="1431">
        <v>1.3</v>
      </c>
      <c r="O16" s="1431">
        <v>1.3</v>
      </c>
      <c r="P16" s="1431">
        <v>1.3</v>
      </c>
      <c r="Q16" s="1431">
        <v>1.3</v>
      </c>
      <c r="R16" s="1431">
        <v>1.3</v>
      </c>
      <c r="S16" s="1431">
        <v>1.3</v>
      </c>
      <c r="T16" s="1431">
        <v>1.3</v>
      </c>
      <c r="U16" s="1431">
        <v>1.3</v>
      </c>
    </row>
    <row r="17" spans="1:21">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c r="R17" s="1435">
        <f t="shared" ref="R17:R18" si="5">Q17</f>
        <v>5.5E-2</v>
      </c>
      <c r="S17" s="1435">
        <f t="shared" ref="S17:S18" si="6">R17</f>
        <v>5.5E-2</v>
      </c>
      <c r="T17" s="1435">
        <f t="shared" ref="T17:T18" si="7">S17</f>
        <v>5.5E-2</v>
      </c>
      <c r="U17" s="1435">
        <f t="shared" ref="U17:U18" si="8">T17</f>
        <v>5.5E-2</v>
      </c>
    </row>
    <row r="18" spans="1:21">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c r="R18" s="1435">
        <f t="shared" si="5"/>
        <v>7.0000000000000007E-2</v>
      </c>
      <c r="S18" s="1435">
        <f t="shared" si="6"/>
        <v>7.0000000000000007E-2</v>
      </c>
      <c r="T18" s="1435">
        <f t="shared" si="7"/>
        <v>7.0000000000000007E-2</v>
      </c>
      <c r="U18" s="1435">
        <f t="shared" si="8"/>
        <v>7.0000000000000007E-2</v>
      </c>
    </row>
    <row r="19" spans="1:21">
      <c r="B19" s="1431" t="s">
        <v>758</v>
      </c>
      <c r="D19" s="1433">
        <f t="shared" ref="D19:Q19" si="9">D17+D16*D18</f>
        <v>0.125</v>
      </c>
      <c r="E19" s="1433">
        <f t="shared" si="9"/>
        <v>0.125</v>
      </c>
      <c r="F19" s="1433">
        <f t="shared" si="9"/>
        <v>0.125</v>
      </c>
      <c r="G19" s="1433">
        <f t="shared" si="9"/>
        <v>0.125</v>
      </c>
      <c r="H19" s="1433">
        <f t="shared" si="9"/>
        <v>0.125</v>
      </c>
      <c r="I19" s="1433">
        <f t="shared" si="9"/>
        <v>0.125</v>
      </c>
      <c r="J19" s="1433">
        <f t="shared" si="9"/>
        <v>0.125</v>
      </c>
      <c r="K19" s="1433">
        <f t="shared" si="9"/>
        <v>0.125</v>
      </c>
      <c r="L19" s="1433">
        <f t="shared" si="9"/>
        <v>0.125</v>
      </c>
      <c r="M19" s="1433">
        <f t="shared" si="9"/>
        <v>0.16</v>
      </c>
      <c r="N19" s="1433">
        <f t="shared" si="9"/>
        <v>0.14600000000000002</v>
      </c>
      <c r="O19" s="1433">
        <f t="shared" si="9"/>
        <v>0.14600000000000002</v>
      </c>
      <c r="P19" s="1433">
        <f t="shared" si="9"/>
        <v>0.14600000000000002</v>
      </c>
      <c r="Q19" s="1433">
        <f t="shared" si="9"/>
        <v>0.14600000000000002</v>
      </c>
      <c r="R19" s="1433">
        <f t="shared" ref="R19:U19" si="10">R17+R16*R18</f>
        <v>0.14600000000000002</v>
      </c>
      <c r="S19" s="1433">
        <f t="shared" si="10"/>
        <v>0.14600000000000002</v>
      </c>
      <c r="T19" s="1433">
        <f t="shared" si="10"/>
        <v>0.14600000000000002</v>
      </c>
      <c r="U19" s="1433">
        <f t="shared" si="10"/>
        <v>0.14600000000000002</v>
      </c>
    </row>
    <row r="20" spans="1:21">
      <c r="B20" s="1431" t="s">
        <v>1542</v>
      </c>
      <c r="D20" s="1436">
        <f t="shared" ref="D20:U20" si="11">$I$6</f>
        <v>0.5</v>
      </c>
      <c r="E20" s="1436">
        <f t="shared" si="11"/>
        <v>0.5</v>
      </c>
      <c r="F20" s="1436">
        <f t="shared" si="11"/>
        <v>0.5</v>
      </c>
      <c r="G20" s="1436">
        <f t="shared" si="11"/>
        <v>0.5</v>
      </c>
      <c r="H20" s="1436">
        <f t="shared" si="11"/>
        <v>0.5</v>
      </c>
      <c r="I20" s="1436">
        <f t="shared" si="11"/>
        <v>0.5</v>
      </c>
      <c r="J20" s="1436">
        <f t="shared" si="11"/>
        <v>0.5</v>
      </c>
      <c r="K20" s="1436">
        <f t="shared" si="11"/>
        <v>0.5</v>
      </c>
      <c r="L20" s="1436">
        <f t="shared" si="11"/>
        <v>0.5</v>
      </c>
      <c r="M20" s="1436">
        <f t="shared" si="11"/>
        <v>0.5</v>
      </c>
      <c r="N20" s="1436">
        <f t="shared" si="11"/>
        <v>0.5</v>
      </c>
      <c r="O20" s="1436">
        <f t="shared" si="11"/>
        <v>0.5</v>
      </c>
      <c r="P20" s="1436">
        <f t="shared" si="11"/>
        <v>0.5</v>
      </c>
      <c r="Q20" s="1436">
        <f t="shared" si="11"/>
        <v>0.5</v>
      </c>
      <c r="R20" s="1436">
        <f t="shared" si="11"/>
        <v>0.5</v>
      </c>
      <c r="S20" s="1436">
        <f t="shared" si="11"/>
        <v>0.5</v>
      </c>
      <c r="T20" s="1436">
        <f t="shared" si="11"/>
        <v>0.5</v>
      </c>
      <c r="U20" s="1436">
        <f t="shared" si="11"/>
        <v>0.5</v>
      </c>
    </row>
    <row r="21" spans="1:21">
      <c r="B21" s="1431" t="s">
        <v>760</v>
      </c>
      <c r="D21" s="1581">
        <f>'Opal Central Park'!D21</f>
        <v>0.14000000000000001</v>
      </c>
      <c r="E21" s="1581">
        <f>'Opal Central Park'!E21</f>
        <v>0.13</v>
      </c>
      <c r="F21" s="1581">
        <f>'Opal Central Park'!F21</f>
        <v>0.1</v>
      </c>
      <c r="G21" s="1581">
        <f>'Opal Central Park'!G21</f>
        <v>0.12</v>
      </c>
      <c r="H21" s="1425">
        <f>G21</f>
        <v>0.12</v>
      </c>
      <c r="I21" s="1418">
        <f t="shared" ref="H21:Q22" si="12">H21</f>
        <v>0.12</v>
      </c>
      <c r="J21" s="1418">
        <f t="shared" si="12"/>
        <v>0.12</v>
      </c>
      <c r="K21" s="1418">
        <f t="shared" si="12"/>
        <v>0.12</v>
      </c>
      <c r="L21" s="1418">
        <f t="shared" si="12"/>
        <v>0.12</v>
      </c>
      <c r="M21" s="1418">
        <f t="shared" si="12"/>
        <v>0.12</v>
      </c>
      <c r="N21" s="2182">
        <v>0.13</v>
      </c>
      <c r="O21" s="2182">
        <v>0.13</v>
      </c>
      <c r="P21" s="2182">
        <v>0.13</v>
      </c>
      <c r="Q21" s="2182">
        <v>0.13</v>
      </c>
      <c r="R21" s="2182">
        <v>0.13</v>
      </c>
      <c r="S21" s="2182">
        <v>0.13</v>
      </c>
      <c r="T21" s="2182">
        <v>0.13</v>
      </c>
      <c r="U21" s="2182">
        <v>0.13</v>
      </c>
    </row>
    <row r="22" spans="1:21">
      <c r="B22" s="1431" t="s">
        <v>846</v>
      </c>
      <c r="D22" s="1596">
        <f>'Opal Central Park'!D22</f>
        <v>0.22</v>
      </c>
      <c r="E22" s="1596">
        <f>'Opal Central Park'!E22</f>
        <v>0.22</v>
      </c>
      <c r="F22" s="1596">
        <f>'Opal Central Park'!F22</f>
        <v>0.22</v>
      </c>
      <c r="G22" s="1596">
        <f>'Opal Central Park'!G22</f>
        <v>0.2</v>
      </c>
      <c r="H22" s="1417">
        <f t="shared" si="12"/>
        <v>0.2</v>
      </c>
      <c r="I22" s="1417">
        <f t="shared" si="12"/>
        <v>0.2</v>
      </c>
      <c r="J22" s="1417">
        <f t="shared" si="12"/>
        <v>0.2</v>
      </c>
      <c r="K22" s="1417">
        <f t="shared" si="12"/>
        <v>0.2</v>
      </c>
      <c r="L22" s="1417">
        <f t="shared" si="12"/>
        <v>0.2</v>
      </c>
      <c r="M22" s="1417">
        <f t="shared" si="12"/>
        <v>0.2</v>
      </c>
      <c r="N22" s="1417">
        <f t="shared" si="12"/>
        <v>0.2</v>
      </c>
      <c r="O22" s="1417">
        <f t="shared" si="12"/>
        <v>0.2</v>
      </c>
      <c r="P22" s="1417">
        <f t="shared" si="12"/>
        <v>0.2</v>
      </c>
      <c r="Q22" s="1417">
        <f t="shared" si="12"/>
        <v>0.2</v>
      </c>
      <c r="R22" s="1417">
        <f t="shared" ref="R22" si="13">Q22</f>
        <v>0.2</v>
      </c>
      <c r="S22" s="1417">
        <f t="shared" ref="S22" si="14">R22</f>
        <v>0.2</v>
      </c>
      <c r="T22" s="1417">
        <f t="shared" ref="T22" si="15">S22</f>
        <v>0.2</v>
      </c>
      <c r="U22" s="1417">
        <f t="shared" ref="U22" si="16">T22</f>
        <v>0.2</v>
      </c>
    </row>
    <row r="23" spans="1:21">
      <c r="B23" s="1419" t="s">
        <v>14</v>
      </c>
      <c r="C23" s="1432"/>
      <c r="D23" s="1437">
        <f>D19*D15+D21*D20*(1-D22)</f>
        <v>0.11710000000000001</v>
      </c>
      <c r="E23" s="1437">
        <f t="shared" ref="E23:Q23" si="17">E19*E15+E21*E20*(1-E22)</f>
        <v>0.1132</v>
      </c>
      <c r="F23" s="1437">
        <f>F19*F15+F21*F20*(1-F22)</f>
        <v>0.10150000000000001</v>
      </c>
      <c r="G23" s="1437">
        <f>G19*G15+G21*G20*(1-G22)</f>
        <v>0.1105</v>
      </c>
      <c r="H23" s="1437">
        <f>H19*H15+H21*H20*(1-H22)</f>
        <v>0.1105</v>
      </c>
      <c r="I23" s="1437">
        <f>I19*I15+I21*I20*(1-I22)</f>
        <v>0.1105</v>
      </c>
      <c r="J23" s="1437">
        <f t="shared" si="17"/>
        <v>0.1105</v>
      </c>
      <c r="K23" s="1437">
        <f t="shared" si="17"/>
        <v>0.1105</v>
      </c>
      <c r="L23" s="1437">
        <f t="shared" si="17"/>
        <v>0.1105</v>
      </c>
      <c r="M23" s="1437">
        <f t="shared" si="17"/>
        <v>0.128</v>
      </c>
      <c r="N23" s="1437">
        <f t="shared" si="17"/>
        <v>0.125</v>
      </c>
      <c r="O23" s="1437">
        <f t="shared" si="17"/>
        <v>0.125</v>
      </c>
      <c r="P23" s="1437">
        <f t="shared" si="17"/>
        <v>0.125</v>
      </c>
      <c r="Q23" s="1437">
        <f t="shared" si="17"/>
        <v>0.125</v>
      </c>
      <c r="R23" s="1437">
        <f t="shared" ref="R23:U23" si="18">R19*R15+R21*R20*(1-R22)</f>
        <v>0.125</v>
      </c>
      <c r="S23" s="1437">
        <f t="shared" si="18"/>
        <v>0.125</v>
      </c>
      <c r="T23" s="1437">
        <f t="shared" si="18"/>
        <v>0.125</v>
      </c>
      <c r="U23" s="1437">
        <f t="shared" si="18"/>
        <v>0.125</v>
      </c>
    </row>
    <row r="24" spans="1:21">
      <c r="E24" s="1412"/>
      <c r="J24" s="1413"/>
    </row>
    <row r="25" spans="1:21">
      <c r="E25" s="1412"/>
      <c r="J25" s="1413"/>
    </row>
    <row r="26" spans="1:21" ht="15.75">
      <c r="A26" s="1420" t="s">
        <v>1548</v>
      </c>
      <c r="B26" s="1438"/>
    </row>
    <row r="28" spans="1:21" s="1407" customFormat="1">
      <c r="A28" s="1406" t="s">
        <v>762</v>
      </c>
      <c r="B28" s="1407" t="s">
        <v>1459</v>
      </c>
      <c r="C28" s="1407" t="s">
        <v>764</v>
      </c>
      <c r="D28" s="1407" t="s">
        <v>1549</v>
      </c>
      <c r="E28" s="1407" t="s">
        <v>1550</v>
      </c>
    </row>
    <row r="29" spans="1:21">
      <c r="A29" s="1421"/>
      <c r="B29" s="1432" t="s">
        <v>1551</v>
      </c>
      <c r="C29" s="1432" t="s">
        <v>1552</v>
      </c>
      <c r="D29" s="1432"/>
      <c r="E29" s="1408">
        <f>N10</f>
        <v>9700</v>
      </c>
    </row>
    <row r="30" spans="1:21">
      <c r="B30" s="1431" t="s">
        <v>1553</v>
      </c>
      <c r="C30" s="1431" t="s">
        <v>1552</v>
      </c>
      <c r="E30" s="1410">
        <f>E29</f>
        <v>9700</v>
      </c>
    </row>
    <row r="31" spans="1:21">
      <c r="B31" s="1431" t="s">
        <v>1554</v>
      </c>
      <c r="C31" s="1431" t="s">
        <v>1555</v>
      </c>
      <c r="D31" s="1446"/>
      <c r="E31" s="1410">
        <f>E29*D31</f>
        <v>0</v>
      </c>
    </row>
    <row r="32" spans="1:21">
      <c r="B32" s="1431" t="s">
        <v>1556</v>
      </c>
      <c r="C32" s="1431" t="s">
        <v>1555</v>
      </c>
      <c r="D32" s="1654">
        <f>S8</f>
        <v>35</v>
      </c>
      <c r="E32" s="1440">
        <f>D32*E29/1000</f>
        <v>339.5</v>
      </c>
    </row>
    <row r="34" spans="1:18">
      <c r="B34" s="1407" t="s">
        <v>773</v>
      </c>
      <c r="C34" s="1431" t="s">
        <v>642</v>
      </c>
      <c r="D34" s="1447">
        <f t="shared" ref="D34:R34" si="19">D14</f>
        <v>2013</v>
      </c>
      <c r="E34" s="1447">
        <f t="shared" si="19"/>
        <v>2014</v>
      </c>
      <c r="F34" s="1447">
        <f t="shared" si="19"/>
        <v>2015</v>
      </c>
      <c r="G34" s="1447">
        <f t="shared" si="19"/>
        <v>2016</v>
      </c>
      <c r="H34" s="1447">
        <f t="shared" si="19"/>
        <v>2017</v>
      </c>
      <c r="I34" s="1447">
        <f t="shared" si="19"/>
        <v>2018</v>
      </c>
      <c r="J34" s="1447">
        <f t="shared" si="19"/>
        <v>2019</v>
      </c>
      <c r="K34" s="1447">
        <f t="shared" si="19"/>
        <v>2020</v>
      </c>
      <c r="L34" s="1447">
        <f t="shared" si="19"/>
        <v>2021</v>
      </c>
      <c r="M34" s="1447">
        <f t="shared" si="19"/>
        <v>2022</v>
      </c>
      <c r="N34" s="1447">
        <f t="shared" si="19"/>
        <v>2023</v>
      </c>
      <c r="O34" s="1447">
        <f t="shared" si="19"/>
        <v>2024</v>
      </c>
      <c r="P34" s="1447">
        <f t="shared" si="19"/>
        <v>2025</v>
      </c>
      <c r="Q34" s="1447">
        <f t="shared" si="19"/>
        <v>2026</v>
      </c>
      <c r="R34" s="1447">
        <f t="shared" si="19"/>
        <v>2027</v>
      </c>
    </row>
    <row r="35" spans="1:18">
      <c r="B35" s="1432"/>
      <c r="C35" s="1441">
        <f>E32</f>
        <v>339.5</v>
      </c>
      <c r="D35" s="1408">
        <f>$C$35*D36</f>
        <v>0</v>
      </c>
      <c r="E35" s="1408">
        <f>$C$35*E36</f>
        <v>0</v>
      </c>
      <c r="F35" s="1408">
        <f>$C$35*F36</f>
        <v>0</v>
      </c>
      <c r="G35" s="1408">
        <f>$C$35*G36</f>
        <v>0</v>
      </c>
      <c r="H35" s="1408">
        <f>$C$35*H36</f>
        <v>0</v>
      </c>
      <c r="I35" s="1408">
        <f t="shared" ref="I35:R35" si="20">$C$35*I36</f>
        <v>0</v>
      </c>
      <c r="J35" s="1408">
        <f t="shared" si="20"/>
        <v>0</v>
      </c>
      <c r="K35" s="1408">
        <f t="shared" si="20"/>
        <v>0</v>
      </c>
      <c r="L35" s="1408">
        <f t="shared" si="20"/>
        <v>0</v>
      </c>
      <c r="M35" s="1408">
        <f t="shared" si="20"/>
        <v>0</v>
      </c>
      <c r="N35" s="1408">
        <f t="shared" si="20"/>
        <v>0</v>
      </c>
      <c r="O35" s="1408">
        <f t="shared" si="20"/>
        <v>0</v>
      </c>
      <c r="P35" s="1408">
        <f t="shared" si="20"/>
        <v>169.75</v>
      </c>
      <c r="Q35" s="1408">
        <f t="shared" si="20"/>
        <v>169.75</v>
      </c>
      <c r="R35" s="1408">
        <f t="shared" si="20"/>
        <v>0</v>
      </c>
    </row>
    <row r="36" spans="1:18">
      <c r="B36" s="1442" t="s">
        <v>1559</v>
      </c>
      <c r="C36" s="1436">
        <f>SUM(D36:R36)</f>
        <v>1</v>
      </c>
      <c r="D36" s="1416">
        <v>0</v>
      </c>
      <c r="E36" s="1416">
        <v>0</v>
      </c>
      <c r="F36" s="1416">
        <v>0</v>
      </c>
      <c r="G36" s="1416">
        <v>0</v>
      </c>
      <c r="H36" s="1416">
        <v>0</v>
      </c>
      <c r="I36" s="1416">
        <v>0</v>
      </c>
      <c r="J36" s="1416">
        <v>0</v>
      </c>
      <c r="K36" s="1416">
        <v>0</v>
      </c>
      <c r="L36" s="1416">
        <v>0</v>
      </c>
      <c r="M36" s="1416">
        <v>0</v>
      </c>
      <c r="N36" s="1416">
        <v>0</v>
      </c>
      <c r="O36" s="1416">
        <v>0</v>
      </c>
      <c r="P36" s="1416">
        <v>0.5</v>
      </c>
      <c r="Q36" s="1416">
        <v>0.5</v>
      </c>
      <c r="R36" s="1416">
        <v>0</v>
      </c>
    </row>
    <row r="39" spans="1:18" s="1407" customFormat="1">
      <c r="A39" s="1406" t="s">
        <v>777</v>
      </c>
      <c r="B39" s="1407" t="s">
        <v>1585</v>
      </c>
      <c r="C39" s="1407" t="s">
        <v>764</v>
      </c>
      <c r="D39" s="1407" t="s">
        <v>1549</v>
      </c>
    </row>
    <row r="40" spans="1:18">
      <c r="A40" s="1421"/>
      <c r="B40" s="1432" t="s">
        <v>686</v>
      </c>
      <c r="C40" s="1432" t="s">
        <v>1552</v>
      </c>
      <c r="D40" s="1426">
        <f>N11</f>
        <v>130000</v>
      </c>
      <c r="F40" s="1440"/>
      <c r="G40" s="1410"/>
    </row>
    <row r="41" spans="1:18">
      <c r="B41" s="1431" t="s">
        <v>1560</v>
      </c>
      <c r="C41" s="1431" t="s">
        <v>780</v>
      </c>
      <c r="D41" s="1448">
        <f>S9</f>
        <v>0.75</v>
      </c>
      <c r="G41" s="1440"/>
    </row>
    <row r="42" spans="1:18">
      <c r="B42" s="1431" t="s">
        <v>781</v>
      </c>
      <c r="C42" s="1431" t="s">
        <v>1552</v>
      </c>
      <c r="D42" s="1410">
        <f>D40*D41</f>
        <v>97500</v>
      </c>
    </row>
    <row r="43" spans="1:18">
      <c r="B43" s="1431" t="s">
        <v>1787</v>
      </c>
      <c r="C43" s="1431" t="s">
        <v>1555</v>
      </c>
      <c r="D43" s="1654">
        <f>S7</f>
        <v>33</v>
      </c>
    </row>
    <row r="44" spans="1:18">
      <c r="B44" s="1431" t="s">
        <v>1587</v>
      </c>
      <c r="C44" s="1431" t="s">
        <v>1555</v>
      </c>
      <c r="D44" s="1655">
        <f>S10</f>
        <v>10</v>
      </c>
    </row>
    <row r="45" spans="1:18">
      <c r="B45" s="1431" t="s">
        <v>787</v>
      </c>
      <c r="C45" s="1431" t="s">
        <v>780</v>
      </c>
      <c r="D45" s="1411">
        <v>0</v>
      </c>
    </row>
    <row r="46" spans="1:18">
      <c r="B46" s="1431" t="s">
        <v>1562</v>
      </c>
      <c r="C46" s="1431" t="s">
        <v>780</v>
      </c>
      <c r="D46" s="1448">
        <f>S11</f>
        <v>0.14000000000000001</v>
      </c>
    </row>
    <row r="47" spans="1:18">
      <c r="B47" s="1431" t="s">
        <v>1563</v>
      </c>
      <c r="C47" s="1431" t="s">
        <v>780</v>
      </c>
      <c r="D47" s="1411">
        <v>0.02</v>
      </c>
    </row>
    <row r="49" spans="1:18" s="1407" customFormat="1">
      <c r="A49" s="1406">
        <v>1</v>
      </c>
      <c r="B49" s="1407" t="s">
        <v>1564</v>
      </c>
      <c r="C49" s="1431" t="str">
        <f>C34</f>
        <v>Total</v>
      </c>
      <c r="D49" s="1431">
        <f>D34</f>
        <v>2013</v>
      </c>
      <c r="E49" s="1431">
        <f>E34</f>
        <v>2014</v>
      </c>
      <c r="F49" s="1431">
        <f>F34</f>
        <v>2015</v>
      </c>
      <c r="G49" s="1431">
        <f t="shared" ref="G49:R49" si="21">F49+1</f>
        <v>2016</v>
      </c>
      <c r="H49" s="1431">
        <f t="shared" si="21"/>
        <v>2017</v>
      </c>
      <c r="I49" s="1431">
        <f t="shared" si="21"/>
        <v>2018</v>
      </c>
      <c r="J49" s="1431">
        <f t="shared" si="21"/>
        <v>2019</v>
      </c>
      <c r="K49" s="1431">
        <f t="shared" si="21"/>
        <v>2020</v>
      </c>
      <c r="L49" s="1431">
        <f t="shared" si="21"/>
        <v>2021</v>
      </c>
      <c r="M49" s="1431">
        <f t="shared" si="21"/>
        <v>2022</v>
      </c>
      <c r="N49" s="1431">
        <f t="shared" si="21"/>
        <v>2023</v>
      </c>
      <c r="O49" s="1431">
        <f t="shared" si="21"/>
        <v>2024</v>
      </c>
      <c r="P49" s="1431">
        <f t="shared" si="21"/>
        <v>2025</v>
      </c>
      <c r="Q49" s="1431">
        <f t="shared" si="21"/>
        <v>2026</v>
      </c>
      <c r="R49" s="1431">
        <f t="shared" si="21"/>
        <v>2027</v>
      </c>
    </row>
    <row r="50" spans="1:18">
      <c r="B50" s="1432" t="s">
        <v>791</v>
      </c>
      <c r="C50" s="1441">
        <f>SUM(D50:R50)</f>
        <v>3380.9618700000005</v>
      </c>
      <c r="D50" s="1441">
        <f>$D$42*D52*D51/1000</f>
        <v>0</v>
      </c>
      <c r="E50" s="1441">
        <f t="shared" ref="E50:M50" si="22">$D$42*E52*E51/1000</f>
        <v>0</v>
      </c>
      <c r="F50" s="1441">
        <f t="shared" si="22"/>
        <v>0</v>
      </c>
      <c r="G50" s="1441">
        <f t="shared" si="22"/>
        <v>0</v>
      </c>
      <c r="H50" s="1441">
        <f t="shared" si="22"/>
        <v>0</v>
      </c>
      <c r="I50" s="1441">
        <f t="shared" si="22"/>
        <v>0</v>
      </c>
      <c r="J50" s="1441">
        <f t="shared" si="22"/>
        <v>0</v>
      </c>
      <c r="K50" s="1441">
        <f t="shared" si="22"/>
        <v>0</v>
      </c>
      <c r="L50" s="1441">
        <f t="shared" si="22"/>
        <v>0</v>
      </c>
      <c r="M50" s="1441">
        <f t="shared" si="22"/>
        <v>0</v>
      </c>
      <c r="N50" s="1441">
        <f>$D$42*N52*N51/1000</f>
        <v>0</v>
      </c>
      <c r="O50" s="1441">
        <f>$D$42*O52*O51/1000</f>
        <v>0</v>
      </c>
      <c r="P50" s="1441">
        <f>$D$42*P52*P51/1000</f>
        <v>1673.7435000000003</v>
      </c>
      <c r="Q50" s="1441">
        <f>$D$42*Q52*Q51/1000</f>
        <v>1707.2183700000003</v>
      </c>
      <c r="R50" s="1441">
        <f>$D$42*R52*R51/1000</f>
        <v>0</v>
      </c>
    </row>
    <row r="51" spans="1:18">
      <c r="B51" s="1444" t="s">
        <v>792</v>
      </c>
      <c r="C51" s="1436">
        <f>SUM(D51:R51)</f>
        <v>1</v>
      </c>
      <c r="D51" s="1416">
        <v>0</v>
      </c>
      <c r="E51" s="1416">
        <v>0</v>
      </c>
      <c r="F51" s="1416">
        <v>0</v>
      </c>
      <c r="G51" s="1416">
        <v>0</v>
      </c>
      <c r="H51" s="1416">
        <v>0</v>
      </c>
      <c r="I51" s="1416">
        <v>0</v>
      </c>
      <c r="J51" s="1416">
        <v>0</v>
      </c>
      <c r="K51" s="1416">
        <v>0</v>
      </c>
      <c r="L51" s="1416">
        <v>0</v>
      </c>
      <c r="M51" s="1416">
        <v>0</v>
      </c>
      <c r="N51" s="1416">
        <v>0</v>
      </c>
      <c r="O51" s="1416">
        <v>0</v>
      </c>
      <c r="P51" s="1416">
        <v>0.5</v>
      </c>
      <c r="Q51" s="1416">
        <v>0.5</v>
      </c>
      <c r="R51" s="1416">
        <v>0</v>
      </c>
    </row>
    <row r="52" spans="1:18">
      <c r="B52" s="1444" t="s">
        <v>1565</v>
      </c>
      <c r="D52" s="1439"/>
      <c r="E52" s="1439"/>
      <c r="F52" s="1439"/>
      <c r="G52" s="1439"/>
      <c r="H52" s="1439"/>
      <c r="I52" s="1439"/>
      <c r="J52" s="1439"/>
      <c r="K52" s="1439"/>
      <c r="L52" s="1439"/>
      <c r="M52" s="1439"/>
      <c r="N52" s="1439">
        <f>D43</f>
        <v>33</v>
      </c>
      <c r="O52" s="1439">
        <f>N52*(1+O53)</f>
        <v>33.660000000000004</v>
      </c>
      <c r="P52" s="1439">
        <f>O52*(1+P53)</f>
        <v>34.333200000000005</v>
      </c>
      <c r="Q52" s="1439">
        <f>P52*(1+Q53)</f>
        <v>35.019864000000005</v>
      </c>
      <c r="R52" s="1439">
        <f>Q52*(1+R53)</f>
        <v>35.72026128000001</v>
      </c>
    </row>
    <row r="53" spans="1:18">
      <c r="B53" s="1444" t="s">
        <v>1563</v>
      </c>
      <c r="E53" s="1443">
        <f>D47</f>
        <v>0.02</v>
      </c>
      <c r="F53" s="1443">
        <f>E53</f>
        <v>0.02</v>
      </c>
      <c r="G53" s="1443">
        <f t="shared" ref="G53:R53" si="23">F53</f>
        <v>0.02</v>
      </c>
      <c r="H53" s="1443">
        <f t="shared" si="23"/>
        <v>0.02</v>
      </c>
      <c r="I53" s="1443">
        <f t="shared" si="23"/>
        <v>0.02</v>
      </c>
      <c r="J53" s="1443">
        <f t="shared" si="23"/>
        <v>0.02</v>
      </c>
      <c r="K53" s="1443">
        <f t="shared" si="23"/>
        <v>0.02</v>
      </c>
      <c r="L53" s="1443">
        <f t="shared" si="23"/>
        <v>0.02</v>
      </c>
      <c r="M53" s="1443">
        <f t="shared" si="23"/>
        <v>0.02</v>
      </c>
      <c r="N53" s="1443">
        <f t="shared" si="23"/>
        <v>0.02</v>
      </c>
      <c r="O53" s="1443">
        <f t="shared" si="23"/>
        <v>0.02</v>
      </c>
      <c r="P53" s="1443">
        <f t="shared" si="23"/>
        <v>0.02</v>
      </c>
      <c r="Q53" s="1443">
        <f t="shared" si="23"/>
        <v>0.02</v>
      </c>
      <c r="R53" s="1443">
        <f t="shared" si="23"/>
        <v>0.02</v>
      </c>
    </row>
    <row r="54" spans="1:18">
      <c r="B54" s="1444" t="s">
        <v>1788</v>
      </c>
      <c r="C54" s="1440">
        <f>S5</f>
        <v>1500</v>
      </c>
      <c r="D54" s="1440">
        <f>D51*$C$54</f>
        <v>0</v>
      </c>
      <c r="E54" s="1440">
        <f t="shared" ref="E54:M54" si="24">E51*$C$54</f>
        <v>0</v>
      </c>
      <c r="F54" s="1440">
        <f t="shared" si="24"/>
        <v>0</v>
      </c>
      <c r="G54" s="1440">
        <f t="shared" si="24"/>
        <v>0</v>
      </c>
      <c r="H54" s="1440">
        <f t="shared" si="24"/>
        <v>0</v>
      </c>
      <c r="I54" s="1440">
        <f t="shared" si="24"/>
        <v>0</v>
      </c>
      <c r="J54" s="1440">
        <f t="shared" si="24"/>
        <v>0</v>
      </c>
      <c r="K54" s="1440">
        <f t="shared" si="24"/>
        <v>0</v>
      </c>
      <c r="L54" s="1440">
        <f t="shared" si="24"/>
        <v>0</v>
      </c>
      <c r="M54" s="1440">
        <f t="shared" si="24"/>
        <v>0</v>
      </c>
      <c r="N54" s="1440">
        <f>N51*$C$54</f>
        <v>0</v>
      </c>
      <c r="O54" s="1440">
        <f>O51*$C$54</f>
        <v>0</v>
      </c>
      <c r="P54" s="1440">
        <f>P51*$C$54</f>
        <v>750</v>
      </c>
      <c r="Q54" s="1440">
        <f>Q51*$C$54</f>
        <v>750</v>
      </c>
      <c r="R54" s="1440">
        <f>R51*$C$54</f>
        <v>0</v>
      </c>
    </row>
    <row r="55" spans="1:18">
      <c r="B55" s="1444"/>
      <c r="F55" s="1443"/>
      <c r="G55" s="1443"/>
    </row>
    <row r="56" spans="1:18" s="1407" customFormat="1">
      <c r="A56" s="1406">
        <v>2</v>
      </c>
      <c r="B56" s="1407" t="s">
        <v>794</v>
      </c>
      <c r="C56" s="1431" t="str">
        <f>C49</f>
        <v>Total</v>
      </c>
      <c r="D56" s="1431">
        <f t="shared" ref="D56:J56" si="25">D49</f>
        <v>2013</v>
      </c>
      <c r="E56" s="1431">
        <f t="shared" si="25"/>
        <v>2014</v>
      </c>
      <c r="F56" s="1431">
        <f t="shared" si="25"/>
        <v>2015</v>
      </c>
      <c r="G56" s="1431">
        <f t="shared" si="25"/>
        <v>2016</v>
      </c>
      <c r="H56" s="1431">
        <f t="shared" si="25"/>
        <v>2017</v>
      </c>
      <c r="I56" s="1431">
        <f t="shared" si="25"/>
        <v>2018</v>
      </c>
      <c r="J56" s="1431">
        <f t="shared" si="25"/>
        <v>2019</v>
      </c>
      <c r="K56" s="1431">
        <f t="shared" ref="K56:R56" si="26">K49</f>
        <v>2020</v>
      </c>
      <c r="L56" s="1431">
        <f t="shared" si="26"/>
        <v>2021</v>
      </c>
      <c r="M56" s="1431">
        <f t="shared" si="26"/>
        <v>2022</v>
      </c>
      <c r="N56" s="1431">
        <f t="shared" si="26"/>
        <v>2023</v>
      </c>
      <c r="O56" s="1431">
        <f t="shared" si="26"/>
        <v>2024</v>
      </c>
      <c r="P56" s="1431">
        <f t="shared" si="26"/>
        <v>2025</v>
      </c>
      <c r="Q56" s="1431">
        <f t="shared" si="26"/>
        <v>2026</v>
      </c>
      <c r="R56" s="1431">
        <f t="shared" si="26"/>
        <v>2027</v>
      </c>
    </row>
    <row r="57" spans="1:18">
      <c r="B57" s="1432" t="s">
        <v>1586</v>
      </c>
      <c r="C57" s="1408">
        <f>C50</f>
        <v>3380.9618700000005</v>
      </c>
      <c r="D57" s="1441">
        <f>$C$57*D58</f>
        <v>0</v>
      </c>
      <c r="E57" s="1441">
        <f t="shared" ref="E57:P57" si="27">$C$57*E58</f>
        <v>0</v>
      </c>
      <c r="F57" s="1441">
        <f t="shared" si="27"/>
        <v>0</v>
      </c>
      <c r="G57" s="1441">
        <f t="shared" si="27"/>
        <v>0</v>
      </c>
      <c r="H57" s="1441">
        <f t="shared" si="27"/>
        <v>0</v>
      </c>
      <c r="I57" s="1441">
        <f t="shared" si="27"/>
        <v>0</v>
      </c>
      <c r="J57" s="1441">
        <f t="shared" si="27"/>
        <v>0</v>
      </c>
      <c r="K57" s="1441">
        <f t="shared" si="27"/>
        <v>0</v>
      </c>
      <c r="L57" s="1441">
        <f t="shared" si="27"/>
        <v>0</v>
      </c>
      <c r="M57" s="1441">
        <f t="shared" si="27"/>
        <v>0</v>
      </c>
      <c r="N57" s="1441">
        <f t="shared" si="27"/>
        <v>0</v>
      </c>
      <c r="O57" s="1441">
        <f t="shared" si="27"/>
        <v>0</v>
      </c>
      <c r="P57" s="1441">
        <f t="shared" si="27"/>
        <v>0</v>
      </c>
      <c r="Q57" s="1441">
        <f>$C$57*Q58</f>
        <v>1690.4809350000003</v>
      </c>
      <c r="R57" s="1441">
        <f>$C$57*R58</f>
        <v>1690.4809350000003</v>
      </c>
    </row>
    <row r="58" spans="1:18">
      <c r="B58" s="1442" t="s">
        <v>794</v>
      </c>
      <c r="C58" s="1417">
        <f>SUM(D58:R58)</f>
        <v>1</v>
      </c>
      <c r="D58" s="1411">
        <v>0</v>
      </c>
      <c r="E58" s="1411">
        <v>0</v>
      </c>
      <c r="F58" s="1411">
        <v>0</v>
      </c>
      <c r="G58" s="1411">
        <v>0</v>
      </c>
      <c r="H58" s="1411">
        <v>0</v>
      </c>
      <c r="I58" s="1411">
        <v>0</v>
      </c>
      <c r="J58" s="1411">
        <v>0</v>
      </c>
      <c r="K58" s="1411">
        <v>0</v>
      </c>
      <c r="L58" s="1411">
        <v>0</v>
      </c>
      <c r="M58" s="1411">
        <v>0</v>
      </c>
      <c r="N58" s="1411">
        <v>0</v>
      </c>
      <c r="O58" s="1411">
        <v>0</v>
      </c>
      <c r="P58" s="1411">
        <v>0</v>
      </c>
      <c r="Q58" s="1411">
        <v>0.5</v>
      </c>
      <c r="R58" s="1411">
        <v>0.5</v>
      </c>
    </row>
    <row r="59" spans="1:18">
      <c r="B59" s="1442" t="s">
        <v>1777</v>
      </c>
      <c r="C59" s="1410">
        <f>C54</f>
        <v>1500</v>
      </c>
      <c r="D59" s="1410">
        <f>D58*$C$59</f>
        <v>0</v>
      </c>
      <c r="E59" s="1410">
        <f t="shared" ref="E59:M59" si="28">E58*$C$59</f>
        <v>0</v>
      </c>
      <c r="F59" s="1410">
        <f t="shared" si="28"/>
        <v>0</v>
      </c>
      <c r="G59" s="1410">
        <f t="shared" si="28"/>
        <v>0</v>
      </c>
      <c r="H59" s="1410">
        <f t="shared" si="28"/>
        <v>0</v>
      </c>
      <c r="I59" s="1410">
        <f t="shared" si="28"/>
        <v>0</v>
      </c>
      <c r="J59" s="1410">
        <f t="shared" si="28"/>
        <v>0</v>
      </c>
      <c r="K59" s="1410">
        <f t="shared" si="28"/>
        <v>0</v>
      </c>
      <c r="L59" s="1410">
        <f t="shared" si="28"/>
        <v>0</v>
      </c>
      <c r="M59" s="1410">
        <f t="shared" si="28"/>
        <v>0</v>
      </c>
      <c r="N59" s="1410">
        <f>N58*$C$59</f>
        <v>0</v>
      </c>
      <c r="O59" s="1410">
        <f>O58*$C$59</f>
        <v>0</v>
      </c>
      <c r="P59" s="1410">
        <f>P58*$C$59</f>
        <v>0</v>
      </c>
      <c r="Q59" s="1410">
        <f>Q58*$C$59</f>
        <v>750</v>
      </c>
      <c r="R59" s="1410">
        <f>R58*$C$59</f>
        <v>750</v>
      </c>
    </row>
    <row r="60" spans="1:18">
      <c r="B60" s="1444"/>
      <c r="C60" s="1425"/>
      <c r="D60" s="1433"/>
      <c r="E60" s="1433"/>
      <c r="F60" s="1433"/>
      <c r="G60" s="1433"/>
    </row>
    <row r="61" spans="1:18">
      <c r="C61" s="1440"/>
      <c r="D61" s="1440"/>
      <c r="E61" s="1440"/>
      <c r="F61" s="1440"/>
      <c r="G61" s="1440"/>
    </row>
    <row r="62" spans="1:18" s="1407" customFormat="1">
      <c r="A62" s="1406">
        <v>3</v>
      </c>
      <c r="B62" s="1407" t="s">
        <v>1175</v>
      </c>
      <c r="C62" s="1431" t="str">
        <f>C56</f>
        <v>Total</v>
      </c>
      <c r="D62" s="1431">
        <f t="shared" ref="D62:J62" si="29">D56</f>
        <v>2013</v>
      </c>
      <c r="E62" s="1431">
        <f t="shared" si="29"/>
        <v>2014</v>
      </c>
      <c r="F62" s="1431">
        <f t="shared" si="29"/>
        <v>2015</v>
      </c>
      <c r="G62" s="1431">
        <f t="shared" si="29"/>
        <v>2016</v>
      </c>
      <c r="H62" s="1431">
        <f t="shared" si="29"/>
        <v>2017</v>
      </c>
      <c r="I62" s="1431">
        <f t="shared" si="29"/>
        <v>2018</v>
      </c>
      <c r="J62" s="1431">
        <f t="shared" si="29"/>
        <v>2019</v>
      </c>
      <c r="K62" s="1431">
        <f t="shared" ref="K62:R62" si="30">K56</f>
        <v>2020</v>
      </c>
      <c r="L62" s="1431">
        <f t="shared" si="30"/>
        <v>2021</v>
      </c>
      <c r="M62" s="1431">
        <f t="shared" si="30"/>
        <v>2022</v>
      </c>
      <c r="N62" s="1431">
        <f t="shared" si="30"/>
        <v>2023</v>
      </c>
      <c r="O62" s="1431">
        <f t="shared" si="30"/>
        <v>2024</v>
      </c>
      <c r="P62" s="1431">
        <f t="shared" si="30"/>
        <v>2025</v>
      </c>
      <c r="Q62" s="1431">
        <f t="shared" si="30"/>
        <v>2026</v>
      </c>
      <c r="R62" s="1431">
        <f t="shared" si="30"/>
        <v>2027</v>
      </c>
    </row>
    <row r="63" spans="1:18">
      <c r="B63" s="1432"/>
      <c r="C63" s="1441">
        <f>SUM(D63:R63)</f>
        <v>3380.9618700000005</v>
      </c>
      <c r="D63" s="1408"/>
      <c r="E63" s="1408"/>
      <c r="F63" s="1408">
        <f>D50*$D66+E50*$D65+F50*$D64</f>
        <v>0</v>
      </c>
      <c r="G63" s="1408">
        <f>E50*$D66+F50*$D65+G50*$D64</f>
        <v>0</v>
      </c>
      <c r="H63" s="1408">
        <f t="shared" ref="H63:M63" si="31">F50*$D66+G50*$D65+H50*$D64</f>
        <v>0</v>
      </c>
      <c r="I63" s="1408">
        <f t="shared" si="31"/>
        <v>0</v>
      </c>
      <c r="J63" s="1408">
        <f t="shared" si="31"/>
        <v>0</v>
      </c>
      <c r="K63" s="1408">
        <f t="shared" si="31"/>
        <v>0</v>
      </c>
      <c r="L63" s="1408">
        <f t="shared" si="31"/>
        <v>0</v>
      </c>
      <c r="M63" s="1408">
        <f t="shared" si="31"/>
        <v>0</v>
      </c>
      <c r="N63" s="1408">
        <f>L50*$D66+M50*$D65+N50*$D64</f>
        <v>0</v>
      </c>
      <c r="O63" s="1408">
        <f>M50*$D66+N50*$D65+O50*$D64</f>
        <v>0</v>
      </c>
      <c r="P63" s="1408">
        <f>N50*$D66+O50*$D65+P50*$D64</f>
        <v>836.87175000000013</v>
      </c>
      <c r="Q63" s="1408">
        <f>O50*$D66+P50*$D65+Q50*$D64</f>
        <v>1690.4809350000003</v>
      </c>
      <c r="R63" s="1408">
        <f>P50*$D66+Q50*$D65+R50*$D64</f>
        <v>853.60918500000014</v>
      </c>
    </row>
    <row r="64" spans="1:18">
      <c r="B64" s="1431" t="s">
        <v>797</v>
      </c>
      <c r="C64" s="1440" t="s">
        <v>798</v>
      </c>
      <c r="D64" s="1416">
        <v>0.5</v>
      </c>
      <c r="E64" s="1440"/>
      <c r="F64" s="1440"/>
      <c r="G64" s="1440"/>
    </row>
    <row r="65" spans="1:18">
      <c r="C65" s="1440" t="s">
        <v>799</v>
      </c>
      <c r="D65" s="1416">
        <v>0.5</v>
      </c>
      <c r="E65" s="1440"/>
      <c r="F65" s="1440"/>
      <c r="G65" s="1440"/>
    </row>
    <row r="66" spans="1:18">
      <c r="C66" s="1440" t="s">
        <v>800</v>
      </c>
      <c r="D66" s="1417">
        <f>1-SUM(D64:D65)</f>
        <v>0</v>
      </c>
      <c r="E66" s="1440"/>
      <c r="F66" s="1440"/>
      <c r="G66" s="1440"/>
    </row>
    <row r="67" spans="1:18">
      <c r="C67" s="1440"/>
      <c r="D67" s="1416"/>
      <c r="E67" s="1440"/>
      <c r="F67" s="1440"/>
      <c r="G67" s="1440"/>
    </row>
    <row r="68" spans="1:18">
      <c r="C68" s="1440"/>
      <c r="D68" s="1416"/>
      <c r="E68" s="1440"/>
      <c r="F68" s="1440"/>
      <c r="G68" s="1440"/>
    </row>
    <row r="69" spans="1:18" s="1407" customFormat="1">
      <c r="A69" s="1406">
        <v>4</v>
      </c>
      <c r="B69" s="1407" t="s">
        <v>1462</v>
      </c>
      <c r="C69" s="1440" t="str">
        <f>C62</f>
        <v>Total</v>
      </c>
      <c r="D69" s="1431">
        <f t="shared" ref="D69:J69" si="32">D62</f>
        <v>2013</v>
      </c>
      <c r="E69" s="1431">
        <f t="shared" si="32"/>
        <v>2014</v>
      </c>
      <c r="F69" s="1431">
        <f t="shared" si="32"/>
        <v>2015</v>
      </c>
      <c r="G69" s="1431">
        <f t="shared" si="32"/>
        <v>2016</v>
      </c>
      <c r="H69" s="1431">
        <f t="shared" si="32"/>
        <v>2017</v>
      </c>
      <c r="I69" s="1431">
        <f t="shared" si="32"/>
        <v>2018</v>
      </c>
      <c r="J69" s="1431">
        <f t="shared" si="32"/>
        <v>2019</v>
      </c>
      <c r="K69" s="1431">
        <f t="shared" ref="K69:R69" si="33">K62</f>
        <v>2020</v>
      </c>
      <c r="L69" s="1431">
        <f t="shared" si="33"/>
        <v>2021</v>
      </c>
      <c r="M69" s="1431">
        <f t="shared" si="33"/>
        <v>2022</v>
      </c>
      <c r="N69" s="1431">
        <f t="shared" si="33"/>
        <v>2023</v>
      </c>
      <c r="O69" s="1431">
        <f t="shared" si="33"/>
        <v>2024</v>
      </c>
      <c r="P69" s="1431">
        <f t="shared" si="33"/>
        <v>2025</v>
      </c>
      <c r="Q69" s="1431">
        <f t="shared" si="33"/>
        <v>2026</v>
      </c>
      <c r="R69" s="1431">
        <f t="shared" si="33"/>
        <v>2027</v>
      </c>
    </row>
    <row r="70" spans="1:18">
      <c r="B70" s="1432" t="s">
        <v>1566</v>
      </c>
      <c r="C70" s="1441">
        <f>D40*D44/1000</f>
        <v>1300</v>
      </c>
      <c r="D70" s="1408">
        <f>$C$70*D71</f>
        <v>0</v>
      </c>
      <c r="E70" s="1408">
        <f t="shared" ref="E70:R70" si="34">$C$70*E71</f>
        <v>0</v>
      </c>
      <c r="F70" s="1408">
        <f t="shared" si="34"/>
        <v>0</v>
      </c>
      <c r="G70" s="1408">
        <f t="shared" si="34"/>
        <v>0</v>
      </c>
      <c r="H70" s="1408">
        <f t="shared" si="34"/>
        <v>0</v>
      </c>
      <c r="I70" s="1408">
        <f t="shared" si="34"/>
        <v>0</v>
      </c>
      <c r="J70" s="1408">
        <f t="shared" si="34"/>
        <v>0</v>
      </c>
      <c r="K70" s="1408">
        <f t="shared" si="34"/>
        <v>0</v>
      </c>
      <c r="L70" s="1408">
        <f t="shared" si="34"/>
        <v>0</v>
      </c>
      <c r="M70" s="1408">
        <f t="shared" si="34"/>
        <v>0</v>
      </c>
      <c r="N70" s="1408">
        <f t="shared" si="34"/>
        <v>0</v>
      </c>
      <c r="O70" s="1408">
        <f t="shared" si="34"/>
        <v>0</v>
      </c>
      <c r="P70" s="1408">
        <f t="shared" si="34"/>
        <v>0</v>
      </c>
      <c r="Q70" s="1408">
        <f t="shared" si="34"/>
        <v>650</v>
      </c>
      <c r="R70" s="1408">
        <f t="shared" si="34"/>
        <v>650</v>
      </c>
    </row>
    <row r="71" spans="1:18">
      <c r="B71" s="1431" t="s">
        <v>1559</v>
      </c>
      <c r="C71" s="1436">
        <f>SUM(D71:R71)</f>
        <v>1</v>
      </c>
      <c r="D71" s="1416">
        <v>0</v>
      </c>
      <c r="E71" s="1416">
        <v>0</v>
      </c>
      <c r="F71" s="1416">
        <v>0</v>
      </c>
      <c r="G71" s="1416">
        <v>0</v>
      </c>
      <c r="H71" s="1416">
        <v>0</v>
      </c>
      <c r="I71" s="1416">
        <v>0</v>
      </c>
      <c r="J71" s="1416">
        <v>0</v>
      </c>
      <c r="K71" s="1416">
        <v>0</v>
      </c>
      <c r="L71" s="1416">
        <v>0</v>
      </c>
      <c r="M71" s="1416">
        <v>0</v>
      </c>
      <c r="N71" s="1416">
        <v>0</v>
      </c>
      <c r="O71" s="1416">
        <v>0</v>
      </c>
      <c r="P71" s="1416">
        <v>0</v>
      </c>
      <c r="Q71" s="1416">
        <v>0.5</v>
      </c>
      <c r="R71" s="1416">
        <v>0.5</v>
      </c>
    </row>
    <row r="72" spans="1:18">
      <c r="C72" s="1433"/>
      <c r="D72" s="1425"/>
      <c r="E72" s="1425"/>
      <c r="F72" s="1424"/>
      <c r="G72" s="1424"/>
      <c r="H72" s="1435"/>
    </row>
    <row r="73" spans="1:18">
      <c r="C73" s="1433"/>
      <c r="D73" s="1424"/>
      <c r="E73" s="1424"/>
      <c r="F73" s="1424"/>
      <c r="G73" s="1424"/>
    </row>
    <row r="74" spans="1:18">
      <c r="A74" s="1406">
        <v>5</v>
      </c>
      <c r="B74" s="1407" t="s">
        <v>1466</v>
      </c>
      <c r="C74" s="1431" t="str">
        <f>C69</f>
        <v>Total</v>
      </c>
      <c r="D74" s="1431">
        <f t="shared" ref="D74:I74" si="35">D69</f>
        <v>2013</v>
      </c>
      <c r="E74" s="1431">
        <f t="shared" si="35"/>
        <v>2014</v>
      </c>
      <c r="F74" s="1431">
        <f t="shared" si="35"/>
        <v>2015</v>
      </c>
      <c r="G74" s="1431">
        <f t="shared" si="35"/>
        <v>2016</v>
      </c>
      <c r="H74" s="1431">
        <f t="shared" si="35"/>
        <v>2017</v>
      </c>
      <c r="I74" s="1431">
        <f t="shared" si="35"/>
        <v>2018</v>
      </c>
      <c r="J74" s="1431">
        <f t="shared" ref="J74:R74" si="36">I74+1</f>
        <v>2019</v>
      </c>
      <c r="K74" s="1431">
        <f t="shared" si="36"/>
        <v>2020</v>
      </c>
      <c r="L74" s="1431">
        <f t="shared" si="36"/>
        <v>2021</v>
      </c>
      <c r="M74" s="1431">
        <f t="shared" si="36"/>
        <v>2022</v>
      </c>
      <c r="N74" s="1431">
        <f t="shared" si="36"/>
        <v>2023</v>
      </c>
      <c r="O74" s="1431">
        <f t="shared" si="36"/>
        <v>2024</v>
      </c>
      <c r="P74" s="1431">
        <f t="shared" si="36"/>
        <v>2025</v>
      </c>
      <c r="Q74" s="1431">
        <f t="shared" si="36"/>
        <v>2026</v>
      </c>
      <c r="R74" s="1431">
        <f t="shared" si="36"/>
        <v>2027</v>
      </c>
    </row>
    <row r="75" spans="1:18">
      <c r="B75" s="1432" t="s">
        <v>1567</v>
      </c>
      <c r="C75" s="1441">
        <f>$C$70*C58</f>
        <v>1300</v>
      </c>
      <c r="D75" s="1441">
        <f t="shared" ref="D75:M75" si="37">$C$70*D58</f>
        <v>0</v>
      </c>
      <c r="E75" s="1441">
        <f t="shared" si="37"/>
        <v>0</v>
      </c>
      <c r="F75" s="1441">
        <f t="shared" si="37"/>
        <v>0</v>
      </c>
      <c r="G75" s="1441">
        <f t="shared" si="37"/>
        <v>0</v>
      </c>
      <c r="H75" s="1441">
        <f t="shared" si="37"/>
        <v>0</v>
      </c>
      <c r="I75" s="1441">
        <f t="shared" si="37"/>
        <v>0</v>
      </c>
      <c r="J75" s="1441">
        <f t="shared" si="37"/>
        <v>0</v>
      </c>
      <c r="K75" s="1441">
        <f t="shared" si="37"/>
        <v>0</v>
      </c>
      <c r="L75" s="1441">
        <f t="shared" si="37"/>
        <v>0</v>
      </c>
      <c r="M75" s="1441">
        <f t="shared" si="37"/>
        <v>0</v>
      </c>
      <c r="N75" s="1441">
        <f>$C$70*N58</f>
        <v>0</v>
      </c>
      <c r="O75" s="1441">
        <f>$C$70*O58</f>
        <v>0</v>
      </c>
      <c r="P75" s="1441">
        <f>$C$70*P58</f>
        <v>0</v>
      </c>
      <c r="Q75" s="1441">
        <f>$C$70*Q58</f>
        <v>650</v>
      </c>
      <c r="R75" s="1441">
        <f>$C$70*R58</f>
        <v>650</v>
      </c>
    </row>
    <row r="76" spans="1:18">
      <c r="B76" s="1431" t="s">
        <v>803</v>
      </c>
      <c r="C76" s="1440">
        <f>$E$32*C58</f>
        <v>339.5</v>
      </c>
      <c r="D76" s="1440">
        <f t="shared" ref="D76:M76" si="38">$E$32*D58</f>
        <v>0</v>
      </c>
      <c r="E76" s="1440">
        <f t="shared" si="38"/>
        <v>0</v>
      </c>
      <c r="F76" s="1440">
        <f t="shared" si="38"/>
        <v>0</v>
      </c>
      <c r="G76" s="1440">
        <f t="shared" si="38"/>
        <v>0</v>
      </c>
      <c r="H76" s="1440">
        <f t="shared" si="38"/>
        <v>0</v>
      </c>
      <c r="I76" s="1440">
        <f t="shared" si="38"/>
        <v>0</v>
      </c>
      <c r="J76" s="1440">
        <f t="shared" si="38"/>
        <v>0</v>
      </c>
      <c r="K76" s="1440">
        <f t="shared" si="38"/>
        <v>0</v>
      </c>
      <c r="L76" s="1440">
        <f t="shared" si="38"/>
        <v>0</v>
      </c>
      <c r="M76" s="1440">
        <f t="shared" si="38"/>
        <v>0</v>
      </c>
      <c r="N76" s="1440">
        <f>$E$32*N58</f>
        <v>0</v>
      </c>
      <c r="O76" s="1440">
        <f>$E$32*O58</f>
        <v>0</v>
      </c>
      <c r="P76" s="1440">
        <f>$E$32*P58</f>
        <v>0</v>
      </c>
      <c r="Q76" s="1440">
        <f>$E$32*Q58</f>
        <v>169.75</v>
      </c>
      <c r="R76" s="1440">
        <f>$E$32*R58</f>
        <v>169.75</v>
      </c>
    </row>
    <row r="77" spans="1:18" s="1447" customFormat="1">
      <c r="A77" s="1459"/>
      <c r="B77" s="1447" t="s">
        <v>804</v>
      </c>
      <c r="C77" s="1458">
        <f>SUMIF(D113:R113,"&lt;="&amp;D11,D119:R119)</f>
        <v>274.66850603400002</v>
      </c>
      <c r="D77" s="1410">
        <f t="shared" ref="D77:J77" si="39">$C$77*D58</f>
        <v>0</v>
      </c>
      <c r="E77" s="1410">
        <f t="shared" si="39"/>
        <v>0</v>
      </c>
      <c r="F77" s="1410">
        <f t="shared" si="39"/>
        <v>0</v>
      </c>
      <c r="G77" s="1410">
        <f t="shared" si="39"/>
        <v>0</v>
      </c>
      <c r="H77" s="1410">
        <f t="shared" si="39"/>
        <v>0</v>
      </c>
      <c r="I77" s="1410">
        <f t="shared" si="39"/>
        <v>0</v>
      </c>
      <c r="J77" s="1410">
        <f t="shared" si="39"/>
        <v>0</v>
      </c>
      <c r="K77" s="1410">
        <f t="shared" ref="K77:R77" si="40">$C$77*K58</f>
        <v>0</v>
      </c>
      <c r="L77" s="1410">
        <f t="shared" si="40"/>
        <v>0</v>
      </c>
      <c r="M77" s="1410">
        <f t="shared" si="40"/>
        <v>0</v>
      </c>
      <c r="N77" s="1410">
        <f t="shared" si="40"/>
        <v>0</v>
      </c>
      <c r="O77" s="1410">
        <f t="shared" si="40"/>
        <v>0</v>
      </c>
      <c r="P77" s="1410">
        <f t="shared" si="40"/>
        <v>0</v>
      </c>
      <c r="Q77" s="1410">
        <f t="shared" si="40"/>
        <v>137.33425301700001</v>
      </c>
      <c r="R77" s="1410">
        <f t="shared" si="40"/>
        <v>137.33425301700001</v>
      </c>
    </row>
    <row r="78" spans="1:18" s="1447" customFormat="1">
      <c r="A78" s="1459"/>
      <c r="B78" s="1447" t="s">
        <v>805</v>
      </c>
      <c r="C78" s="1410">
        <f>SUM(D78:R78)</f>
        <v>68.667126508500004</v>
      </c>
      <c r="D78" s="1410">
        <f t="shared" ref="D78:M78" si="41">IF(D74&gt;$D$11,D119,0)</f>
        <v>0</v>
      </c>
      <c r="E78" s="1410">
        <f t="shared" si="41"/>
        <v>0</v>
      </c>
      <c r="F78" s="1410">
        <f t="shared" si="41"/>
        <v>0</v>
      </c>
      <c r="G78" s="1410">
        <f t="shared" si="41"/>
        <v>0</v>
      </c>
      <c r="H78" s="1410">
        <f t="shared" si="41"/>
        <v>0</v>
      </c>
      <c r="I78" s="1410">
        <f t="shared" si="41"/>
        <v>0</v>
      </c>
      <c r="J78" s="1410">
        <f t="shared" si="41"/>
        <v>0</v>
      </c>
      <c r="K78" s="1410">
        <f t="shared" si="41"/>
        <v>0</v>
      </c>
      <c r="L78" s="1410">
        <f t="shared" si="41"/>
        <v>0</v>
      </c>
      <c r="M78" s="1410">
        <f t="shared" si="41"/>
        <v>0</v>
      </c>
      <c r="N78" s="1410">
        <f>IF(N74&gt;$D$11,N119,0)</f>
        <v>0</v>
      </c>
      <c r="O78" s="1410">
        <f>IF(O74&gt;$D$11,O119,0)</f>
        <v>0</v>
      </c>
      <c r="P78" s="1410">
        <f>IF(P74&gt;$D$11,P119,0)</f>
        <v>0</v>
      </c>
      <c r="Q78" s="1410">
        <f>IF(Q74&gt;$D$11,Q119,0)</f>
        <v>68.667126508500004</v>
      </c>
      <c r="R78" s="1410">
        <f>IF(R74&gt;$D$11,R119,0)</f>
        <v>0</v>
      </c>
    </row>
    <row r="79" spans="1:18">
      <c r="B79" s="1431" t="s">
        <v>656</v>
      </c>
      <c r="C79" s="1440">
        <f>$D$46*C57</f>
        <v>473.33466180000011</v>
      </c>
      <c r="D79" s="1440">
        <f t="shared" ref="D79:J79" si="42">$D$46*D57</f>
        <v>0</v>
      </c>
      <c r="E79" s="1440">
        <f t="shared" si="42"/>
        <v>0</v>
      </c>
      <c r="F79" s="1440">
        <f t="shared" si="42"/>
        <v>0</v>
      </c>
      <c r="G79" s="1440">
        <f t="shared" si="42"/>
        <v>0</v>
      </c>
      <c r="H79" s="1440">
        <f t="shared" si="42"/>
        <v>0</v>
      </c>
      <c r="I79" s="1440">
        <f t="shared" si="42"/>
        <v>0</v>
      </c>
      <c r="J79" s="1440">
        <f t="shared" si="42"/>
        <v>0</v>
      </c>
      <c r="K79" s="1440">
        <f t="shared" ref="K79:R79" si="43">$D$46*K57</f>
        <v>0</v>
      </c>
      <c r="L79" s="1440">
        <f t="shared" si="43"/>
        <v>0</v>
      </c>
      <c r="M79" s="1440">
        <f t="shared" si="43"/>
        <v>0</v>
      </c>
      <c r="N79" s="1440">
        <f t="shared" si="43"/>
        <v>0</v>
      </c>
      <c r="O79" s="1440">
        <f t="shared" si="43"/>
        <v>0</v>
      </c>
      <c r="P79" s="1440">
        <f t="shared" si="43"/>
        <v>0</v>
      </c>
      <c r="Q79" s="1440">
        <f t="shared" si="43"/>
        <v>236.66733090000005</v>
      </c>
      <c r="R79" s="1440">
        <f t="shared" si="43"/>
        <v>236.66733090000005</v>
      </c>
    </row>
    <row r="80" spans="1:18">
      <c r="C80" s="1440"/>
      <c r="D80" s="1440"/>
      <c r="E80" s="1440"/>
      <c r="F80" s="1440"/>
      <c r="G80" s="1440"/>
    </row>
    <row r="82" spans="1:18" s="1407" customFormat="1">
      <c r="A82" s="1406">
        <v>6</v>
      </c>
      <c r="B82" s="1407" t="s">
        <v>878</v>
      </c>
      <c r="C82" s="1431" t="str">
        <f>C74</f>
        <v>Total</v>
      </c>
      <c r="D82" s="1431">
        <f t="shared" ref="D82:J82" si="44">D74</f>
        <v>2013</v>
      </c>
      <c r="E82" s="1431">
        <f t="shared" si="44"/>
        <v>2014</v>
      </c>
      <c r="F82" s="1431">
        <f t="shared" si="44"/>
        <v>2015</v>
      </c>
      <c r="G82" s="1431">
        <f t="shared" si="44"/>
        <v>2016</v>
      </c>
      <c r="H82" s="1431">
        <f t="shared" si="44"/>
        <v>2017</v>
      </c>
      <c r="I82" s="1431">
        <f t="shared" si="44"/>
        <v>2018</v>
      </c>
      <c r="J82" s="1431">
        <f t="shared" si="44"/>
        <v>2019</v>
      </c>
      <c r="K82" s="1431">
        <f t="shared" ref="K82:R82" si="45">K74</f>
        <v>2020</v>
      </c>
      <c r="L82" s="1431">
        <f t="shared" si="45"/>
        <v>2021</v>
      </c>
      <c r="M82" s="1431">
        <f t="shared" si="45"/>
        <v>2022</v>
      </c>
      <c r="N82" s="1431">
        <f t="shared" si="45"/>
        <v>2023</v>
      </c>
      <c r="O82" s="1431">
        <f t="shared" si="45"/>
        <v>2024</v>
      </c>
      <c r="P82" s="1431">
        <f t="shared" si="45"/>
        <v>2025</v>
      </c>
      <c r="Q82" s="1431">
        <f t="shared" si="45"/>
        <v>2026</v>
      </c>
      <c r="R82" s="1431">
        <f t="shared" si="45"/>
        <v>2027</v>
      </c>
    </row>
    <row r="83" spans="1:18">
      <c r="B83" s="1432" t="s">
        <v>26</v>
      </c>
      <c r="C83" s="1441">
        <f t="shared" ref="C83:J83" si="46">C57</f>
        <v>3380.9618700000005</v>
      </c>
      <c r="D83" s="1441">
        <f t="shared" si="46"/>
        <v>0</v>
      </c>
      <c r="E83" s="1441">
        <f t="shared" si="46"/>
        <v>0</v>
      </c>
      <c r="F83" s="1441">
        <f t="shared" si="46"/>
        <v>0</v>
      </c>
      <c r="G83" s="1441">
        <f t="shared" si="46"/>
        <v>0</v>
      </c>
      <c r="H83" s="1441">
        <f t="shared" si="46"/>
        <v>0</v>
      </c>
      <c r="I83" s="1441">
        <f t="shared" si="46"/>
        <v>0</v>
      </c>
      <c r="J83" s="1441">
        <f t="shared" si="46"/>
        <v>0</v>
      </c>
      <c r="K83" s="1441">
        <f t="shared" ref="K83:R83" si="47">K57</f>
        <v>0</v>
      </c>
      <c r="L83" s="1441">
        <f t="shared" si="47"/>
        <v>0</v>
      </c>
      <c r="M83" s="1441">
        <f t="shared" si="47"/>
        <v>0</v>
      </c>
      <c r="N83" s="1441">
        <f t="shared" si="47"/>
        <v>0</v>
      </c>
      <c r="O83" s="1441">
        <f t="shared" si="47"/>
        <v>0</v>
      </c>
      <c r="P83" s="1441">
        <f t="shared" si="47"/>
        <v>0</v>
      </c>
      <c r="Q83" s="1441">
        <f t="shared" si="47"/>
        <v>1690.4809350000003</v>
      </c>
      <c r="R83" s="1441">
        <f t="shared" si="47"/>
        <v>1690.4809350000003</v>
      </c>
    </row>
    <row r="84" spans="1:18">
      <c r="B84" s="1431" t="s">
        <v>432</v>
      </c>
      <c r="C84" s="1440">
        <f>SUM(C75:C77)</f>
        <v>1914.1685060340001</v>
      </c>
      <c r="D84" s="1440">
        <f>SUM(D75:D77)</f>
        <v>0</v>
      </c>
      <c r="E84" s="1440">
        <f t="shared" ref="E84:J84" si="48">SUM(E75:E77)</f>
        <v>0</v>
      </c>
      <c r="F84" s="1440">
        <f t="shared" si="48"/>
        <v>0</v>
      </c>
      <c r="G84" s="1440">
        <f t="shared" si="48"/>
        <v>0</v>
      </c>
      <c r="H84" s="1440">
        <f t="shared" si="48"/>
        <v>0</v>
      </c>
      <c r="I84" s="1440">
        <f t="shared" si="48"/>
        <v>0</v>
      </c>
      <c r="J84" s="1440">
        <f t="shared" si="48"/>
        <v>0</v>
      </c>
      <c r="K84" s="1440">
        <f t="shared" ref="K84:R84" si="49">SUM(K75:K77)</f>
        <v>0</v>
      </c>
      <c r="L84" s="1440">
        <f t="shared" si="49"/>
        <v>0</v>
      </c>
      <c r="M84" s="1440">
        <f t="shared" si="49"/>
        <v>0</v>
      </c>
      <c r="N84" s="1440">
        <f t="shared" si="49"/>
        <v>0</v>
      </c>
      <c r="O84" s="1440">
        <f t="shared" si="49"/>
        <v>0</v>
      </c>
      <c r="P84" s="1440">
        <f t="shared" si="49"/>
        <v>0</v>
      </c>
      <c r="Q84" s="1440">
        <f t="shared" si="49"/>
        <v>957.08425301700004</v>
      </c>
      <c r="R84" s="1440">
        <f t="shared" si="49"/>
        <v>957.08425301700004</v>
      </c>
    </row>
    <row r="85" spans="1:18">
      <c r="B85" s="1431" t="s">
        <v>28</v>
      </c>
      <c r="C85" s="1440">
        <f>C83-C84</f>
        <v>1466.7933639660005</v>
      </c>
      <c r="D85" s="1440">
        <f t="shared" ref="D85:M85" si="50">D83-D84</f>
        <v>0</v>
      </c>
      <c r="E85" s="1440">
        <f t="shared" si="50"/>
        <v>0</v>
      </c>
      <c r="F85" s="1440">
        <f t="shared" si="50"/>
        <v>0</v>
      </c>
      <c r="G85" s="1440">
        <f t="shared" si="50"/>
        <v>0</v>
      </c>
      <c r="H85" s="1440">
        <f t="shared" si="50"/>
        <v>0</v>
      </c>
      <c r="I85" s="1440">
        <f t="shared" si="50"/>
        <v>0</v>
      </c>
      <c r="J85" s="1440">
        <f t="shared" si="50"/>
        <v>0</v>
      </c>
      <c r="K85" s="1440">
        <f t="shared" si="50"/>
        <v>0</v>
      </c>
      <c r="L85" s="1440">
        <f t="shared" si="50"/>
        <v>0</v>
      </c>
      <c r="M85" s="1440">
        <f t="shared" si="50"/>
        <v>0</v>
      </c>
      <c r="N85" s="1440">
        <f>N83-N84</f>
        <v>0</v>
      </c>
      <c r="O85" s="1440">
        <f>O83-O84</f>
        <v>0</v>
      </c>
      <c r="P85" s="1440">
        <f>P83-P84</f>
        <v>0</v>
      </c>
      <c r="Q85" s="1440">
        <f>Q83-Q84</f>
        <v>733.39668198300024</v>
      </c>
      <c r="R85" s="1440">
        <f>R83-R84</f>
        <v>733.39668198300024</v>
      </c>
    </row>
    <row r="86" spans="1:18">
      <c r="B86" s="1431" t="s">
        <v>656</v>
      </c>
      <c r="C86" s="1440">
        <f>C79</f>
        <v>473.33466180000011</v>
      </c>
      <c r="D86" s="1440">
        <f>D79</f>
        <v>0</v>
      </c>
      <c r="E86" s="1440">
        <f t="shared" ref="E86:J86" si="51">E79</f>
        <v>0</v>
      </c>
      <c r="F86" s="1440">
        <f t="shared" si="51"/>
        <v>0</v>
      </c>
      <c r="G86" s="1440">
        <f t="shared" si="51"/>
        <v>0</v>
      </c>
      <c r="H86" s="1440">
        <f t="shared" si="51"/>
        <v>0</v>
      </c>
      <c r="I86" s="1440">
        <f t="shared" si="51"/>
        <v>0</v>
      </c>
      <c r="J86" s="1440">
        <f t="shared" si="51"/>
        <v>0</v>
      </c>
      <c r="K86" s="1440">
        <f t="shared" ref="K86:R86" si="52">K79</f>
        <v>0</v>
      </c>
      <c r="L86" s="1440">
        <f t="shared" si="52"/>
        <v>0</v>
      </c>
      <c r="M86" s="1440">
        <f t="shared" si="52"/>
        <v>0</v>
      </c>
      <c r="N86" s="1440">
        <f t="shared" si="52"/>
        <v>0</v>
      </c>
      <c r="O86" s="1440">
        <f t="shared" si="52"/>
        <v>0</v>
      </c>
      <c r="P86" s="1440">
        <f t="shared" si="52"/>
        <v>0</v>
      </c>
      <c r="Q86" s="1440">
        <f t="shared" si="52"/>
        <v>236.66733090000005</v>
      </c>
      <c r="R86" s="1440">
        <f t="shared" si="52"/>
        <v>236.66733090000005</v>
      </c>
    </row>
    <row r="87" spans="1:18">
      <c r="B87" s="1431" t="s">
        <v>805</v>
      </c>
      <c r="C87" s="1410">
        <f>C78</f>
        <v>68.667126508500004</v>
      </c>
      <c r="D87" s="1440">
        <f>D78</f>
        <v>0</v>
      </c>
      <c r="E87" s="1440">
        <f t="shared" ref="E87:J87" si="53">E78</f>
        <v>0</v>
      </c>
      <c r="F87" s="1440">
        <f t="shared" si="53"/>
        <v>0</v>
      </c>
      <c r="G87" s="1440">
        <f t="shared" si="53"/>
        <v>0</v>
      </c>
      <c r="H87" s="1440">
        <f t="shared" si="53"/>
        <v>0</v>
      </c>
      <c r="I87" s="1440">
        <f t="shared" si="53"/>
        <v>0</v>
      </c>
      <c r="J87" s="1440">
        <f t="shared" si="53"/>
        <v>0</v>
      </c>
      <c r="K87" s="1440">
        <f t="shared" ref="K87:R87" si="54">K78</f>
        <v>0</v>
      </c>
      <c r="L87" s="1440">
        <f t="shared" si="54"/>
        <v>0</v>
      </c>
      <c r="M87" s="1440">
        <f t="shared" si="54"/>
        <v>0</v>
      </c>
      <c r="N87" s="1440">
        <f t="shared" si="54"/>
        <v>0</v>
      </c>
      <c r="O87" s="1440">
        <f t="shared" si="54"/>
        <v>0</v>
      </c>
      <c r="P87" s="1440">
        <f t="shared" si="54"/>
        <v>0</v>
      </c>
      <c r="Q87" s="1440">
        <f t="shared" si="54"/>
        <v>68.667126508500004</v>
      </c>
      <c r="R87" s="1440">
        <f t="shared" si="54"/>
        <v>0</v>
      </c>
    </row>
    <row r="88" spans="1:18">
      <c r="B88" s="1431" t="s">
        <v>822</v>
      </c>
      <c r="C88" s="1440">
        <f>C85-C86-C87</f>
        <v>924.7915756575004</v>
      </c>
      <c r="D88" s="1440">
        <f t="shared" ref="D88:M88" si="55">D85-D86-D87</f>
        <v>0</v>
      </c>
      <c r="E88" s="1440">
        <f t="shared" si="55"/>
        <v>0</v>
      </c>
      <c r="F88" s="1440">
        <f t="shared" si="55"/>
        <v>0</v>
      </c>
      <c r="G88" s="1440">
        <f t="shared" si="55"/>
        <v>0</v>
      </c>
      <c r="H88" s="1440">
        <f t="shared" si="55"/>
        <v>0</v>
      </c>
      <c r="I88" s="1440">
        <f t="shared" si="55"/>
        <v>0</v>
      </c>
      <c r="J88" s="1440">
        <f t="shared" si="55"/>
        <v>0</v>
      </c>
      <c r="K88" s="1440">
        <f t="shared" si="55"/>
        <v>0</v>
      </c>
      <c r="L88" s="1440">
        <f t="shared" si="55"/>
        <v>0</v>
      </c>
      <c r="M88" s="1440">
        <f t="shared" si="55"/>
        <v>0</v>
      </c>
      <c r="N88" s="1440">
        <f>N85-N86-N87</f>
        <v>0</v>
      </c>
      <c r="O88" s="1440">
        <f>O85-O86-O87</f>
        <v>0</v>
      </c>
      <c r="P88" s="1440">
        <f>P85-P86-P87</f>
        <v>0</v>
      </c>
      <c r="Q88" s="1440">
        <f>Q85-Q86-Q87</f>
        <v>428.06222457450019</v>
      </c>
      <c r="R88" s="1440">
        <f>R85-R86-R87</f>
        <v>496.72935108300021</v>
      </c>
    </row>
    <row r="89" spans="1:18">
      <c r="B89" s="1431" t="s">
        <v>290</v>
      </c>
      <c r="C89" s="1440">
        <f>SUM(D89:R89)</f>
        <v>184.95831513150009</v>
      </c>
      <c r="D89" s="1410">
        <f t="shared" ref="D89:M89" si="56">D88*D22</f>
        <v>0</v>
      </c>
      <c r="E89" s="1410">
        <f t="shared" si="56"/>
        <v>0</v>
      </c>
      <c r="F89" s="1410">
        <f t="shared" si="56"/>
        <v>0</v>
      </c>
      <c r="G89" s="1410">
        <f t="shared" si="56"/>
        <v>0</v>
      </c>
      <c r="H89" s="1410">
        <f t="shared" si="56"/>
        <v>0</v>
      </c>
      <c r="I89" s="1410">
        <f t="shared" si="56"/>
        <v>0</v>
      </c>
      <c r="J89" s="1410">
        <f t="shared" si="56"/>
        <v>0</v>
      </c>
      <c r="K89" s="1410">
        <f t="shared" si="56"/>
        <v>0</v>
      </c>
      <c r="L89" s="1410">
        <f t="shared" si="56"/>
        <v>0</v>
      </c>
      <c r="M89" s="1410">
        <f t="shared" si="56"/>
        <v>0</v>
      </c>
      <c r="N89" s="1410">
        <f>N88*N22</f>
        <v>0</v>
      </c>
      <c r="O89" s="1410">
        <f>O88*O22</f>
        <v>0</v>
      </c>
      <c r="P89" s="1410">
        <f>P88*P22</f>
        <v>0</v>
      </c>
      <c r="Q89" s="1410">
        <f>Q88*Q22</f>
        <v>85.612444914900038</v>
      </c>
      <c r="R89" s="1410">
        <f>R88*R22</f>
        <v>99.345870216600048</v>
      </c>
    </row>
    <row r="90" spans="1:18">
      <c r="B90" s="1431" t="s">
        <v>661</v>
      </c>
      <c r="C90" s="1440">
        <f>SUM(D90:R90)</f>
        <v>739.83326052600034</v>
      </c>
      <c r="D90" s="1440">
        <f>D88-D89</f>
        <v>0</v>
      </c>
      <c r="E90" s="1440">
        <f t="shared" ref="E90:J90" si="57">E88-E89</f>
        <v>0</v>
      </c>
      <c r="F90" s="1440">
        <f t="shared" si="57"/>
        <v>0</v>
      </c>
      <c r="G90" s="1440">
        <f t="shared" si="57"/>
        <v>0</v>
      </c>
      <c r="H90" s="1440">
        <f t="shared" si="57"/>
        <v>0</v>
      </c>
      <c r="I90" s="1440">
        <f t="shared" si="57"/>
        <v>0</v>
      </c>
      <c r="J90" s="1440">
        <f t="shared" si="57"/>
        <v>0</v>
      </c>
      <c r="K90" s="1440">
        <f t="shared" ref="K90:R90" si="58">K88-K89</f>
        <v>0</v>
      </c>
      <c r="L90" s="1440">
        <f t="shared" si="58"/>
        <v>0</v>
      </c>
      <c r="M90" s="1440">
        <f t="shared" si="58"/>
        <v>0</v>
      </c>
      <c r="N90" s="1440">
        <f t="shared" si="58"/>
        <v>0</v>
      </c>
      <c r="O90" s="1440">
        <f t="shared" si="58"/>
        <v>0</v>
      </c>
      <c r="P90" s="1440">
        <f t="shared" si="58"/>
        <v>0</v>
      </c>
      <c r="Q90" s="1440">
        <f t="shared" si="58"/>
        <v>342.44977965960015</v>
      </c>
      <c r="R90" s="1440">
        <f t="shared" si="58"/>
        <v>397.38348086640019</v>
      </c>
    </row>
    <row r="91" spans="1:18">
      <c r="B91" s="1428" t="s">
        <v>197</v>
      </c>
      <c r="C91" s="1429">
        <f>IF(C83&lt;&gt;0,1-C84/C83,"")</f>
        <v>0.43383907312920988</v>
      </c>
      <c r="D91" s="1429" t="str">
        <f t="shared" ref="D91:J91" si="59">IF(D83&lt;&gt;0,1-D84/D83,"")</f>
        <v/>
      </c>
      <c r="E91" s="1429" t="str">
        <f t="shared" si="59"/>
        <v/>
      </c>
      <c r="F91" s="1429" t="str">
        <f t="shared" si="59"/>
        <v/>
      </c>
      <c r="G91" s="1429" t="str">
        <f t="shared" si="59"/>
        <v/>
      </c>
      <c r="H91" s="1429" t="str">
        <f t="shared" si="59"/>
        <v/>
      </c>
      <c r="I91" s="1429" t="str">
        <f t="shared" si="59"/>
        <v/>
      </c>
      <c r="J91" s="1429" t="str">
        <f t="shared" si="59"/>
        <v/>
      </c>
      <c r="K91" s="1429" t="str">
        <f t="shared" ref="K91:R91" si="60">IF(K83&lt;&gt;0,1-K84/K83,"")</f>
        <v/>
      </c>
      <c r="L91" s="1429" t="str">
        <f t="shared" si="60"/>
        <v/>
      </c>
      <c r="M91" s="1429" t="str">
        <f t="shared" si="60"/>
        <v/>
      </c>
      <c r="N91" s="1429" t="str">
        <f t="shared" si="60"/>
        <v/>
      </c>
      <c r="O91" s="1429" t="str">
        <f t="shared" si="60"/>
        <v/>
      </c>
      <c r="P91" s="1429" t="str">
        <f t="shared" si="60"/>
        <v/>
      </c>
      <c r="Q91" s="1429">
        <f t="shared" si="60"/>
        <v>0.43383907312920988</v>
      </c>
      <c r="R91" s="1429">
        <f t="shared" si="60"/>
        <v>0.43383907312920988</v>
      </c>
    </row>
    <row r="92" spans="1:18">
      <c r="B92" s="1428" t="s">
        <v>1779</v>
      </c>
      <c r="C92" s="1429">
        <f>IF(C83&lt;&gt;0,C90/C83,"")</f>
        <v>0.21882330797359753</v>
      </c>
      <c r="D92" s="1429" t="str">
        <f t="shared" ref="D92:M92" si="61">IF(D83&lt;&gt;0,D90/D83,"")</f>
        <v/>
      </c>
      <c r="E92" s="1429" t="str">
        <f t="shared" si="61"/>
        <v/>
      </c>
      <c r="F92" s="1429" t="str">
        <f t="shared" si="61"/>
        <v/>
      </c>
      <c r="G92" s="1429" t="str">
        <f t="shared" si="61"/>
        <v/>
      </c>
      <c r="H92" s="1429" t="str">
        <f t="shared" si="61"/>
        <v/>
      </c>
      <c r="I92" s="1429" t="str">
        <f t="shared" si="61"/>
        <v/>
      </c>
      <c r="J92" s="1429" t="str">
        <f t="shared" si="61"/>
        <v/>
      </c>
      <c r="K92" s="1429" t="str">
        <f t="shared" si="61"/>
        <v/>
      </c>
      <c r="L92" s="1429" t="str">
        <f t="shared" si="61"/>
        <v/>
      </c>
      <c r="M92" s="1429" t="str">
        <f t="shared" si="61"/>
        <v/>
      </c>
      <c r="N92" s="1429" t="str">
        <f>IF(N83&lt;&gt;0,N90/N83,"")</f>
        <v/>
      </c>
      <c r="O92" s="1429" t="str">
        <f>IF(O83&lt;&gt;0,O90/O83,"")</f>
        <v/>
      </c>
      <c r="P92" s="1429" t="str">
        <f>IF(P83&lt;&gt;0,P90/P83,"")</f>
        <v/>
      </c>
      <c r="Q92" s="1429">
        <f>IF(Q83&lt;&gt;0,Q90/Q83,"")</f>
        <v>0.20257535744382713</v>
      </c>
      <c r="R92" s="1429">
        <f>IF(R83&lt;&gt;0,R90/R83,"")</f>
        <v>0.23507125850336794</v>
      </c>
    </row>
    <row r="93" spans="1:18">
      <c r="B93" s="1428"/>
      <c r="C93" s="1429"/>
      <c r="D93" s="1429"/>
      <c r="E93" s="1429"/>
      <c r="F93" s="1429"/>
      <c r="G93" s="1429"/>
      <c r="H93" s="1429"/>
    </row>
    <row r="94" spans="1:18">
      <c r="D94" s="1440"/>
      <c r="E94" s="1440"/>
      <c r="F94" s="1440"/>
      <c r="G94" s="1440"/>
    </row>
    <row r="95" spans="1:18" s="1407" customFormat="1">
      <c r="A95" s="1406">
        <v>7</v>
      </c>
      <c r="B95" s="1407" t="s">
        <v>1589</v>
      </c>
      <c r="C95" s="1440" t="s">
        <v>642</v>
      </c>
      <c r="D95" s="1431">
        <f t="shared" ref="D95:J95" si="62">D82</f>
        <v>2013</v>
      </c>
      <c r="E95" s="1431">
        <f t="shared" si="62"/>
        <v>2014</v>
      </c>
      <c r="F95" s="1431">
        <f t="shared" si="62"/>
        <v>2015</v>
      </c>
      <c r="G95" s="1431">
        <f t="shared" si="62"/>
        <v>2016</v>
      </c>
      <c r="H95" s="1431">
        <f t="shared" si="62"/>
        <v>2017</v>
      </c>
      <c r="I95" s="1431">
        <f t="shared" si="62"/>
        <v>2018</v>
      </c>
      <c r="J95" s="1431">
        <f t="shared" si="62"/>
        <v>2019</v>
      </c>
      <c r="K95" s="1431">
        <f t="shared" ref="K95:R95" si="63">K82</f>
        <v>2020</v>
      </c>
      <c r="L95" s="1431">
        <f t="shared" si="63"/>
        <v>2021</v>
      </c>
      <c r="M95" s="1431">
        <f t="shared" si="63"/>
        <v>2022</v>
      </c>
      <c r="N95" s="1431">
        <f t="shared" si="63"/>
        <v>2023</v>
      </c>
      <c r="O95" s="1431">
        <f t="shared" si="63"/>
        <v>2024</v>
      </c>
      <c r="P95" s="1431">
        <f t="shared" si="63"/>
        <v>2025</v>
      </c>
      <c r="Q95" s="1431">
        <f t="shared" si="63"/>
        <v>2026</v>
      </c>
      <c r="R95" s="1431">
        <f t="shared" si="63"/>
        <v>2027</v>
      </c>
    </row>
    <row r="96" spans="1:18">
      <c r="B96" s="1419" t="s">
        <v>850</v>
      </c>
      <c r="C96" s="1441">
        <f>C63</f>
        <v>3380.9618700000005</v>
      </c>
      <c r="D96" s="1441">
        <f t="shared" ref="D96:J96" si="64">D63</f>
        <v>0</v>
      </c>
      <c r="E96" s="1441">
        <f t="shared" si="64"/>
        <v>0</v>
      </c>
      <c r="F96" s="1441">
        <f t="shared" si="64"/>
        <v>0</v>
      </c>
      <c r="G96" s="1441">
        <f t="shared" si="64"/>
        <v>0</v>
      </c>
      <c r="H96" s="1441">
        <f t="shared" si="64"/>
        <v>0</v>
      </c>
      <c r="I96" s="1441">
        <f t="shared" si="64"/>
        <v>0</v>
      </c>
      <c r="J96" s="1441">
        <f t="shared" si="64"/>
        <v>0</v>
      </c>
      <c r="K96" s="1441">
        <f t="shared" ref="K96:R96" si="65">K63</f>
        <v>0</v>
      </c>
      <c r="L96" s="1441">
        <f t="shared" si="65"/>
        <v>0</v>
      </c>
      <c r="M96" s="1441">
        <f t="shared" si="65"/>
        <v>0</v>
      </c>
      <c r="N96" s="1441">
        <f t="shared" si="65"/>
        <v>0</v>
      </c>
      <c r="O96" s="1441">
        <f t="shared" si="65"/>
        <v>0</v>
      </c>
      <c r="P96" s="1441">
        <f>P63</f>
        <v>836.87175000000013</v>
      </c>
      <c r="Q96" s="1441">
        <f t="shared" si="65"/>
        <v>1690.4809350000003</v>
      </c>
      <c r="R96" s="1441">
        <f t="shared" si="65"/>
        <v>853.60918500000014</v>
      </c>
    </row>
    <row r="97" spans="1:18">
      <c r="B97" s="1407"/>
      <c r="C97" s="1440"/>
      <c r="D97" s="1440"/>
      <c r="E97" s="1440"/>
      <c r="F97" s="1440"/>
      <c r="G97" s="1440"/>
      <c r="H97" s="1440"/>
      <c r="I97" s="1440"/>
      <c r="J97" s="1440"/>
      <c r="K97" s="1440"/>
      <c r="L97" s="1440"/>
      <c r="M97" s="1440"/>
      <c r="N97" s="1440"/>
      <c r="O97" s="1440"/>
      <c r="P97" s="1440"/>
      <c r="Q97" s="1440"/>
      <c r="R97" s="1440"/>
    </row>
    <row r="98" spans="1:18">
      <c r="B98" s="1407" t="s">
        <v>851</v>
      </c>
      <c r="C98" s="1440">
        <f t="shared" ref="C98:J98" si="66">SUM(C99:C102)</f>
        <v>2297.7929769315001</v>
      </c>
      <c r="D98" s="1440">
        <f t="shared" si="66"/>
        <v>0</v>
      </c>
      <c r="E98" s="1440">
        <f t="shared" si="66"/>
        <v>0</v>
      </c>
      <c r="F98" s="1440">
        <f t="shared" si="66"/>
        <v>0</v>
      </c>
      <c r="G98" s="1440">
        <f t="shared" si="66"/>
        <v>0</v>
      </c>
      <c r="H98" s="1440">
        <f t="shared" si="66"/>
        <v>0</v>
      </c>
      <c r="I98" s="1440">
        <f t="shared" si="66"/>
        <v>0</v>
      </c>
      <c r="J98" s="1440">
        <f t="shared" si="66"/>
        <v>0</v>
      </c>
      <c r="K98" s="1440">
        <f t="shared" ref="K98:P98" si="67">SUM(K99:K102)</f>
        <v>0</v>
      </c>
      <c r="L98" s="1440">
        <f t="shared" si="67"/>
        <v>0</v>
      </c>
      <c r="M98" s="1440">
        <f t="shared" si="67"/>
        <v>0</v>
      </c>
      <c r="N98" s="1440">
        <f t="shared" si="67"/>
        <v>0</v>
      </c>
      <c r="O98" s="1440">
        <f t="shared" si="67"/>
        <v>0</v>
      </c>
      <c r="P98" s="1440">
        <f t="shared" si="67"/>
        <v>169.75</v>
      </c>
      <c r="Q98" s="1440">
        <f>SUM(Q99:Q102)</f>
        <v>1142.0297758148999</v>
      </c>
      <c r="R98" s="1440">
        <f>SUM(R99:R102)</f>
        <v>986.01320111660004</v>
      </c>
    </row>
    <row r="99" spans="1:18">
      <c r="B99" s="1431" t="s">
        <v>852</v>
      </c>
      <c r="C99" s="1440">
        <f t="shared" ref="C99:J99" si="68">C35</f>
        <v>339.5</v>
      </c>
      <c r="D99" s="1440">
        <f t="shared" si="68"/>
        <v>0</v>
      </c>
      <c r="E99" s="1440">
        <f t="shared" si="68"/>
        <v>0</v>
      </c>
      <c r="F99" s="1440">
        <f t="shared" si="68"/>
        <v>0</v>
      </c>
      <c r="G99" s="1440">
        <f t="shared" si="68"/>
        <v>0</v>
      </c>
      <c r="H99" s="1440">
        <f t="shared" si="68"/>
        <v>0</v>
      </c>
      <c r="I99" s="1440">
        <f t="shared" si="68"/>
        <v>0</v>
      </c>
      <c r="J99" s="1440">
        <f t="shared" si="68"/>
        <v>0</v>
      </c>
      <c r="K99" s="1440">
        <f t="shared" ref="K99:R99" si="69">K35</f>
        <v>0</v>
      </c>
      <c r="L99" s="1440">
        <f t="shared" si="69"/>
        <v>0</v>
      </c>
      <c r="M99" s="1440">
        <f t="shared" si="69"/>
        <v>0</v>
      </c>
      <c r="N99" s="1440">
        <f t="shared" si="69"/>
        <v>0</v>
      </c>
      <c r="O99" s="1440">
        <f t="shared" si="69"/>
        <v>0</v>
      </c>
      <c r="P99" s="1440">
        <f t="shared" si="69"/>
        <v>169.75</v>
      </c>
      <c r="Q99" s="1440">
        <f t="shared" si="69"/>
        <v>169.75</v>
      </c>
      <c r="R99" s="1440">
        <f t="shared" si="69"/>
        <v>0</v>
      </c>
    </row>
    <row r="100" spans="1:18">
      <c r="B100" s="1431" t="s">
        <v>788</v>
      </c>
      <c r="C100" s="1440">
        <f t="shared" ref="C100:J100" si="70">C70</f>
        <v>1300</v>
      </c>
      <c r="D100" s="1440">
        <f t="shared" si="70"/>
        <v>0</v>
      </c>
      <c r="E100" s="1440">
        <f t="shared" si="70"/>
        <v>0</v>
      </c>
      <c r="F100" s="1440">
        <f t="shared" si="70"/>
        <v>0</v>
      </c>
      <c r="G100" s="1440">
        <f t="shared" si="70"/>
        <v>0</v>
      </c>
      <c r="H100" s="1440">
        <f t="shared" si="70"/>
        <v>0</v>
      </c>
      <c r="I100" s="1440">
        <f t="shared" si="70"/>
        <v>0</v>
      </c>
      <c r="J100" s="1440">
        <f t="shared" si="70"/>
        <v>0</v>
      </c>
      <c r="K100" s="1440">
        <f t="shared" ref="K100:R100" si="71">K70</f>
        <v>0</v>
      </c>
      <c r="L100" s="1440">
        <f t="shared" si="71"/>
        <v>0</v>
      </c>
      <c r="M100" s="1440">
        <f t="shared" si="71"/>
        <v>0</v>
      </c>
      <c r="N100" s="1440">
        <f t="shared" si="71"/>
        <v>0</v>
      </c>
      <c r="O100" s="1440">
        <f>O70</f>
        <v>0</v>
      </c>
      <c r="P100" s="1440">
        <f t="shared" si="71"/>
        <v>0</v>
      </c>
      <c r="Q100" s="1440">
        <f t="shared" si="71"/>
        <v>650</v>
      </c>
      <c r="R100" s="1440">
        <f t="shared" si="71"/>
        <v>650</v>
      </c>
    </row>
    <row r="101" spans="1:18">
      <c r="B101" s="1431" t="s">
        <v>656</v>
      </c>
      <c r="C101" s="1440">
        <f t="shared" ref="C101:J101" si="72">C79</f>
        <v>473.33466180000011</v>
      </c>
      <c r="D101" s="1440">
        <f t="shared" si="72"/>
        <v>0</v>
      </c>
      <c r="E101" s="1440">
        <f t="shared" si="72"/>
        <v>0</v>
      </c>
      <c r="F101" s="1440">
        <f t="shared" si="72"/>
        <v>0</v>
      </c>
      <c r="G101" s="1440">
        <f t="shared" si="72"/>
        <v>0</v>
      </c>
      <c r="H101" s="1440">
        <f t="shared" si="72"/>
        <v>0</v>
      </c>
      <c r="I101" s="1440">
        <f t="shared" si="72"/>
        <v>0</v>
      </c>
      <c r="J101" s="1440">
        <f t="shared" si="72"/>
        <v>0</v>
      </c>
      <c r="K101" s="1440">
        <f t="shared" ref="K101:R101" si="73">K79</f>
        <v>0</v>
      </c>
      <c r="L101" s="1440">
        <f t="shared" si="73"/>
        <v>0</v>
      </c>
      <c r="M101" s="1440">
        <f t="shared" si="73"/>
        <v>0</v>
      </c>
      <c r="N101" s="1440">
        <f t="shared" si="73"/>
        <v>0</v>
      </c>
      <c r="O101" s="1440">
        <f t="shared" si="73"/>
        <v>0</v>
      </c>
      <c r="P101" s="1440">
        <f t="shared" si="73"/>
        <v>0</v>
      </c>
      <c r="Q101" s="1440">
        <f t="shared" si="73"/>
        <v>236.66733090000005</v>
      </c>
      <c r="R101" s="1440">
        <f t="shared" si="73"/>
        <v>236.66733090000005</v>
      </c>
    </row>
    <row r="102" spans="1:18">
      <c r="B102" s="1431" t="s">
        <v>854</v>
      </c>
      <c r="C102" s="1440">
        <f t="shared" ref="C102:J102" si="74">C89</f>
        <v>184.95831513150009</v>
      </c>
      <c r="D102" s="1440">
        <f t="shared" si="74"/>
        <v>0</v>
      </c>
      <c r="E102" s="1440">
        <f t="shared" si="74"/>
        <v>0</v>
      </c>
      <c r="F102" s="1440">
        <f t="shared" si="74"/>
        <v>0</v>
      </c>
      <c r="G102" s="1440">
        <f t="shared" si="74"/>
        <v>0</v>
      </c>
      <c r="H102" s="1440">
        <f t="shared" si="74"/>
        <v>0</v>
      </c>
      <c r="I102" s="1440">
        <f t="shared" si="74"/>
        <v>0</v>
      </c>
      <c r="J102" s="1440">
        <f t="shared" si="74"/>
        <v>0</v>
      </c>
      <c r="K102" s="1440">
        <f t="shared" ref="K102:R102" si="75">K89</f>
        <v>0</v>
      </c>
      <c r="L102" s="1440">
        <f t="shared" si="75"/>
        <v>0</v>
      </c>
      <c r="M102" s="1440">
        <f t="shared" si="75"/>
        <v>0</v>
      </c>
      <c r="N102" s="1440">
        <f t="shared" si="75"/>
        <v>0</v>
      </c>
      <c r="O102" s="1440">
        <f t="shared" si="75"/>
        <v>0</v>
      </c>
      <c r="P102" s="1440">
        <f t="shared" si="75"/>
        <v>0</v>
      </c>
      <c r="Q102" s="1440">
        <f t="shared" si="75"/>
        <v>85.612444914900038</v>
      </c>
      <c r="R102" s="1440">
        <f t="shared" si="75"/>
        <v>99.345870216600048</v>
      </c>
    </row>
    <row r="103" spans="1:18">
      <c r="A103" s="1444"/>
      <c r="B103" s="1431" t="s">
        <v>855</v>
      </c>
      <c r="C103" s="1440">
        <f t="shared" ref="C103:J103" si="76">C96-C98</f>
        <v>1083.1688930685004</v>
      </c>
      <c r="D103" s="1656">
        <f t="shared" si="76"/>
        <v>0</v>
      </c>
      <c r="E103" s="1440">
        <f t="shared" si="76"/>
        <v>0</v>
      </c>
      <c r="F103" s="1440">
        <f t="shared" si="76"/>
        <v>0</v>
      </c>
      <c r="G103" s="1440">
        <f t="shared" si="76"/>
        <v>0</v>
      </c>
      <c r="H103" s="1440">
        <f t="shared" si="76"/>
        <v>0</v>
      </c>
      <c r="I103" s="1440">
        <f t="shared" si="76"/>
        <v>0</v>
      </c>
      <c r="J103" s="1440">
        <f t="shared" si="76"/>
        <v>0</v>
      </c>
      <c r="K103" s="1440">
        <f t="shared" ref="K103:R103" si="77">K96-K98</f>
        <v>0</v>
      </c>
      <c r="L103" s="1440">
        <f t="shared" si="77"/>
        <v>0</v>
      </c>
      <c r="M103" s="1440">
        <f t="shared" si="77"/>
        <v>0</v>
      </c>
      <c r="N103" s="1440">
        <f t="shared" si="77"/>
        <v>0</v>
      </c>
      <c r="O103" s="1440">
        <f t="shared" si="77"/>
        <v>0</v>
      </c>
      <c r="P103" s="1440">
        <f t="shared" si="77"/>
        <v>667.12175000000013</v>
      </c>
      <c r="Q103" s="1440">
        <f>Q96-Q98</f>
        <v>548.45115918510032</v>
      </c>
      <c r="R103" s="1440">
        <f t="shared" si="77"/>
        <v>-132.40401611659991</v>
      </c>
    </row>
    <row r="104" spans="1:18">
      <c r="B104" s="1431" t="s">
        <v>1570</v>
      </c>
      <c r="D104" s="1452">
        <f t="shared" ref="D104:M104" si="78">IF(D95&gt;$D$12,(1+D23)^(D95-$D$12),0)</f>
        <v>0</v>
      </c>
      <c r="E104" s="1452">
        <f t="shared" si="78"/>
        <v>0</v>
      </c>
      <c r="F104" s="1452">
        <f t="shared" si="78"/>
        <v>0</v>
      </c>
      <c r="G104" s="1452">
        <f t="shared" si="78"/>
        <v>0</v>
      </c>
      <c r="H104" s="1452">
        <f t="shared" si="78"/>
        <v>0</v>
      </c>
      <c r="I104" s="1452">
        <f t="shared" si="78"/>
        <v>0</v>
      </c>
      <c r="J104" s="1452">
        <f t="shared" si="78"/>
        <v>0</v>
      </c>
      <c r="K104" s="1452">
        <f t="shared" si="78"/>
        <v>0</v>
      </c>
      <c r="L104" s="1452">
        <f t="shared" si="78"/>
        <v>0</v>
      </c>
      <c r="M104" s="1452">
        <f t="shared" si="78"/>
        <v>0</v>
      </c>
      <c r="N104" s="1452">
        <f>IF(N95&gt;$D$12,(1+N23)^(N95-$D$12),0)</f>
        <v>1.125</v>
      </c>
      <c r="O104" s="1452">
        <f>IF(O95&gt;$D$12,(1+O23)^(O95-$D$12),0)</f>
        <v>1.265625</v>
      </c>
      <c r="P104" s="1452">
        <f>IF(P95&gt;$D$12,(1+P23)^(P95-$D$12),0)</f>
        <v>1.423828125</v>
      </c>
      <c r="Q104" s="1452">
        <f>IF(Q95&gt;$D$12,(1+Q23)^(Q95-$D$12),0)</f>
        <v>1.601806640625</v>
      </c>
      <c r="R104" s="1452">
        <f>IF(R95&gt;$D$12,(1+R23)^(R95-$D$12),0)</f>
        <v>1.802032470703125</v>
      </c>
    </row>
    <row r="105" spans="1:18">
      <c r="B105" s="1431" t="s">
        <v>1452</v>
      </c>
      <c r="C105" s="1440">
        <f>SUMIF(D95:R95,"&gt;"&amp;D12,D105:R105)</f>
        <v>737.46146332860508</v>
      </c>
      <c r="D105" s="1440" t="str">
        <f t="shared" ref="D105:M105" si="79">IF(D104&lt;&gt;0,D103/D104,"")</f>
        <v/>
      </c>
      <c r="E105" s="1440" t="str">
        <f t="shared" si="79"/>
        <v/>
      </c>
      <c r="F105" s="1440" t="str">
        <f t="shared" si="79"/>
        <v/>
      </c>
      <c r="G105" s="1440" t="str">
        <f t="shared" si="79"/>
        <v/>
      </c>
      <c r="H105" s="1440" t="str">
        <f t="shared" si="79"/>
        <v/>
      </c>
      <c r="I105" s="1440" t="str">
        <f t="shared" si="79"/>
        <v/>
      </c>
      <c r="J105" s="1440" t="str">
        <f t="shared" si="79"/>
        <v/>
      </c>
      <c r="K105" s="1440" t="str">
        <f t="shared" si="79"/>
        <v/>
      </c>
      <c r="L105" s="1440" t="str">
        <f t="shared" si="79"/>
        <v/>
      </c>
      <c r="M105" s="1440" t="str">
        <f t="shared" si="79"/>
        <v/>
      </c>
      <c r="N105" s="1440">
        <f>IF(N104&lt;&gt;0,N103/N104,"")</f>
        <v>0</v>
      </c>
      <c r="O105" s="1440">
        <f>IF(O104&lt;&gt;0,O103/O104,"")</f>
        <v>0</v>
      </c>
      <c r="P105" s="1440">
        <f>IF(P104&lt;&gt;0,P103/P104,"")</f>
        <v>468.54092729766813</v>
      </c>
      <c r="Q105" s="1440">
        <f>IF(Q104&lt;&gt;0,Q103/Q104,"")</f>
        <v>342.39535863773369</v>
      </c>
      <c r="R105" s="1440">
        <f>IF(R104&lt;&gt;0,R103/R104,"")</f>
        <v>-73.47482260679682</v>
      </c>
    </row>
    <row r="106" spans="1:18">
      <c r="B106" s="1407" t="s">
        <v>1590</v>
      </c>
      <c r="C106" s="1427">
        <f>C105*I5</f>
        <v>737.46146332860508</v>
      </c>
    </row>
    <row r="107" spans="1:18">
      <c r="B107" s="1407"/>
      <c r="C107" s="1427"/>
    </row>
    <row r="108" spans="1:18">
      <c r="B108" s="1407" t="s">
        <v>1588</v>
      </c>
      <c r="C108" s="1440"/>
      <c r="D108" s="1431">
        <f t="shared" ref="D108:J108" si="80">D95</f>
        <v>2013</v>
      </c>
      <c r="E108" s="1431">
        <f t="shared" si="80"/>
        <v>2014</v>
      </c>
      <c r="F108" s="1431">
        <f t="shared" si="80"/>
        <v>2015</v>
      </c>
      <c r="G108" s="1431">
        <f t="shared" si="80"/>
        <v>2016</v>
      </c>
      <c r="H108" s="1431">
        <f t="shared" si="80"/>
        <v>2017</v>
      </c>
      <c r="I108" s="1431">
        <f t="shared" si="80"/>
        <v>2018</v>
      </c>
      <c r="J108" s="1431">
        <f t="shared" si="80"/>
        <v>2019</v>
      </c>
      <c r="K108" s="1431">
        <f t="shared" ref="K108:R108" si="81">K95</f>
        <v>2020</v>
      </c>
      <c r="L108" s="1431">
        <f t="shared" si="81"/>
        <v>2021</v>
      </c>
      <c r="M108" s="1431">
        <f t="shared" si="81"/>
        <v>2022</v>
      </c>
      <c r="N108" s="1431">
        <f t="shared" si="81"/>
        <v>2023</v>
      </c>
      <c r="O108" s="1431">
        <f t="shared" si="81"/>
        <v>2024</v>
      </c>
      <c r="P108" s="1431">
        <f t="shared" si="81"/>
        <v>2025</v>
      </c>
      <c r="Q108" s="1431">
        <f t="shared" si="81"/>
        <v>2026</v>
      </c>
      <c r="R108" s="1431">
        <f t="shared" si="81"/>
        <v>2027</v>
      </c>
    </row>
    <row r="109" spans="1:18" s="1447" customFormat="1">
      <c r="A109" s="1459"/>
      <c r="B109" s="1460" t="e">
        <f>IRR(D109:R109)</f>
        <v>#NUM!</v>
      </c>
      <c r="C109" s="1408"/>
      <c r="D109" s="1408">
        <f>D103</f>
        <v>0</v>
      </c>
      <c r="E109" s="1408">
        <f t="shared" ref="E109:J109" si="82">E103</f>
        <v>0</v>
      </c>
      <c r="F109" s="1408">
        <f t="shared" si="82"/>
        <v>0</v>
      </c>
      <c r="G109" s="1408">
        <f t="shared" si="82"/>
        <v>0</v>
      </c>
      <c r="H109" s="1408">
        <f t="shared" si="82"/>
        <v>0</v>
      </c>
      <c r="I109" s="1408">
        <f t="shared" si="82"/>
        <v>0</v>
      </c>
      <c r="J109" s="1408">
        <f t="shared" si="82"/>
        <v>0</v>
      </c>
      <c r="K109" s="1408">
        <f t="shared" ref="K109:R109" si="83">K103</f>
        <v>0</v>
      </c>
      <c r="L109" s="1408">
        <f t="shared" si="83"/>
        <v>0</v>
      </c>
      <c r="M109" s="1408">
        <f t="shared" si="83"/>
        <v>0</v>
      </c>
      <c r="N109" s="1408">
        <f t="shared" si="83"/>
        <v>0</v>
      </c>
      <c r="O109" s="1408">
        <f t="shared" si="83"/>
        <v>0</v>
      </c>
      <c r="P109" s="1408">
        <f t="shared" si="83"/>
        <v>667.12175000000013</v>
      </c>
      <c r="Q109" s="1408">
        <f t="shared" si="83"/>
        <v>548.45115918510032</v>
      </c>
      <c r="R109" s="1408">
        <f t="shared" si="83"/>
        <v>-132.40401611659991</v>
      </c>
    </row>
    <row r="110" spans="1:18">
      <c r="B110" s="1407" t="s">
        <v>1789</v>
      </c>
      <c r="C110" s="1440"/>
      <c r="D110" s="1656">
        <f t="shared" ref="D110:M110" si="84">D103+D116-D118</f>
        <v>0</v>
      </c>
      <c r="E110" s="1656">
        <f t="shared" si="84"/>
        <v>0</v>
      </c>
      <c r="F110" s="1656">
        <f t="shared" si="84"/>
        <v>0</v>
      </c>
      <c r="G110" s="1656">
        <f t="shared" si="84"/>
        <v>0</v>
      </c>
      <c r="H110" s="1656">
        <f t="shared" si="84"/>
        <v>0</v>
      </c>
      <c r="I110" s="1656">
        <f t="shared" si="84"/>
        <v>0</v>
      </c>
      <c r="J110" s="1656">
        <f t="shared" si="84"/>
        <v>0</v>
      </c>
      <c r="K110" s="1656">
        <f t="shared" si="84"/>
        <v>0</v>
      </c>
      <c r="L110" s="1656">
        <f t="shared" si="84"/>
        <v>0</v>
      </c>
      <c r="M110" s="1656">
        <f t="shared" si="84"/>
        <v>0</v>
      </c>
      <c r="N110" s="1656">
        <f>N103+N116-N118</f>
        <v>0</v>
      </c>
      <c r="O110" s="1656">
        <f>O103+O116-O118</f>
        <v>1056.4173309</v>
      </c>
      <c r="P110" s="1656">
        <f>P103+P116-P118</f>
        <v>138.91308455000012</v>
      </c>
      <c r="Q110" s="1656">
        <f>Q103+Q116-Q118</f>
        <v>20.242493735100311</v>
      </c>
      <c r="R110" s="1656">
        <f>R103+R116-R118</f>
        <v>-132.40401611659991</v>
      </c>
    </row>
    <row r="111" spans="1:18">
      <c r="B111" s="1407"/>
      <c r="C111" s="1427"/>
      <c r="D111" s="1454"/>
      <c r="E111" s="1454"/>
      <c r="F111" s="1454"/>
      <c r="G111" s="1454"/>
      <c r="H111" s="1454"/>
      <c r="I111" s="1454"/>
      <c r="J111" s="1454"/>
      <c r="K111" s="1454"/>
      <c r="L111" s="1454"/>
      <c r="M111" s="1454"/>
      <c r="N111" s="1454"/>
      <c r="O111" s="1454"/>
      <c r="P111" s="1454"/>
      <c r="Q111" s="1454"/>
      <c r="R111" s="1454"/>
    </row>
    <row r="112" spans="1:18">
      <c r="B112" s="1407"/>
      <c r="C112" s="1427"/>
    </row>
    <row r="113" spans="1:18" s="1407" customFormat="1">
      <c r="A113" s="1406">
        <v>8</v>
      </c>
      <c r="B113" s="1407" t="s">
        <v>1592</v>
      </c>
      <c r="C113" s="1440"/>
      <c r="D113" s="1431">
        <f t="shared" ref="D113:I113" si="85">D95</f>
        <v>2013</v>
      </c>
      <c r="E113" s="1431">
        <f t="shared" si="85"/>
        <v>2014</v>
      </c>
      <c r="F113" s="1431">
        <f t="shared" si="85"/>
        <v>2015</v>
      </c>
      <c r="G113" s="1431">
        <f t="shared" si="85"/>
        <v>2016</v>
      </c>
      <c r="H113" s="1431">
        <f t="shared" si="85"/>
        <v>2017</v>
      </c>
      <c r="I113" s="1431">
        <f t="shared" si="85"/>
        <v>2018</v>
      </c>
      <c r="J113" s="1431">
        <f t="shared" ref="J113:R113" si="86">I113+1</f>
        <v>2019</v>
      </c>
      <c r="K113" s="1431">
        <f t="shared" si="86"/>
        <v>2020</v>
      </c>
      <c r="L113" s="1431">
        <f t="shared" si="86"/>
        <v>2021</v>
      </c>
      <c r="M113" s="1431">
        <f t="shared" si="86"/>
        <v>2022</v>
      </c>
      <c r="N113" s="1431">
        <f t="shared" si="86"/>
        <v>2023</v>
      </c>
      <c r="O113" s="1431">
        <f t="shared" si="86"/>
        <v>2024</v>
      </c>
      <c r="P113" s="1431">
        <f t="shared" si="86"/>
        <v>2025</v>
      </c>
      <c r="Q113" s="1431">
        <f t="shared" si="86"/>
        <v>2026</v>
      </c>
      <c r="R113" s="1431">
        <f t="shared" si="86"/>
        <v>2027</v>
      </c>
    </row>
    <row r="114" spans="1:18">
      <c r="B114" s="1432" t="s">
        <v>1571</v>
      </c>
      <c r="C114" s="1441">
        <f>D5*I6</f>
        <v>1056.4173309</v>
      </c>
      <c r="D114" s="1432"/>
      <c r="E114" s="1432"/>
      <c r="F114" s="1432"/>
      <c r="G114" s="1432"/>
      <c r="H114" s="1432"/>
      <c r="I114" s="1432"/>
      <c r="J114" s="1456"/>
      <c r="K114" s="1456"/>
      <c r="L114" s="1456"/>
      <c r="M114" s="1456"/>
      <c r="N114" s="1456"/>
      <c r="O114" s="1456"/>
      <c r="P114" s="1456"/>
      <c r="Q114" s="1456"/>
      <c r="R114" s="1456"/>
    </row>
    <row r="115" spans="1:18">
      <c r="B115" s="1431" t="s">
        <v>1572</v>
      </c>
      <c r="C115" s="1436">
        <f>SUM(D115:R115)</f>
        <v>1</v>
      </c>
      <c r="D115" s="1416">
        <v>0</v>
      </c>
      <c r="E115" s="1416">
        <v>0</v>
      </c>
      <c r="F115" s="1416">
        <v>0</v>
      </c>
      <c r="G115" s="1416">
        <v>0</v>
      </c>
      <c r="H115" s="1411">
        <v>0</v>
      </c>
      <c r="I115" s="1411">
        <v>0</v>
      </c>
      <c r="J115" s="1411">
        <v>0</v>
      </c>
      <c r="K115" s="1411">
        <v>0</v>
      </c>
      <c r="L115" s="1411">
        <v>0</v>
      </c>
      <c r="M115" s="1411">
        <v>0</v>
      </c>
      <c r="N115" s="1411">
        <v>0</v>
      </c>
      <c r="O115" s="1411">
        <v>1</v>
      </c>
      <c r="P115" s="1411">
        <v>0</v>
      </c>
      <c r="Q115" s="1411">
        <v>0</v>
      </c>
      <c r="R115" s="1411">
        <v>0</v>
      </c>
    </row>
    <row r="116" spans="1:18">
      <c r="B116" s="1431" t="s">
        <v>1573</v>
      </c>
      <c r="C116" s="1440">
        <f>SUM(D116:R116)</f>
        <v>1056.4173309</v>
      </c>
      <c r="D116" s="1410">
        <f t="shared" ref="D116:M116" si="87">D115*$C$114</f>
        <v>0</v>
      </c>
      <c r="E116" s="1410">
        <f t="shared" si="87"/>
        <v>0</v>
      </c>
      <c r="F116" s="1410">
        <f t="shared" si="87"/>
        <v>0</v>
      </c>
      <c r="G116" s="1410">
        <f t="shared" si="87"/>
        <v>0</v>
      </c>
      <c r="H116" s="1410">
        <f t="shared" si="87"/>
        <v>0</v>
      </c>
      <c r="I116" s="1410">
        <f t="shared" si="87"/>
        <v>0</v>
      </c>
      <c r="J116" s="1410">
        <f t="shared" si="87"/>
        <v>0</v>
      </c>
      <c r="K116" s="1410">
        <f t="shared" si="87"/>
        <v>0</v>
      </c>
      <c r="L116" s="1410">
        <f t="shared" si="87"/>
        <v>0</v>
      </c>
      <c r="M116" s="1410">
        <f t="shared" si="87"/>
        <v>0</v>
      </c>
      <c r="N116" s="1410">
        <f>N115*$C$114</f>
        <v>0</v>
      </c>
      <c r="O116" s="1410">
        <f>O115*$C$114</f>
        <v>1056.4173309</v>
      </c>
      <c r="P116" s="1410">
        <f>P115*$C$114</f>
        <v>0</v>
      </c>
      <c r="Q116" s="1410">
        <f>Q115*$C$114</f>
        <v>0</v>
      </c>
      <c r="R116" s="1410">
        <f>R115*$C$114</f>
        <v>0</v>
      </c>
    </row>
    <row r="117" spans="1:18">
      <c r="B117" s="1431" t="s">
        <v>868</v>
      </c>
      <c r="C117" s="1440"/>
      <c r="D117" s="1440">
        <f>D116</f>
        <v>0</v>
      </c>
      <c r="E117" s="1440">
        <f>E116</f>
        <v>0</v>
      </c>
      <c r="F117" s="1440">
        <f>F116</f>
        <v>0</v>
      </c>
      <c r="G117" s="1440">
        <f t="shared" ref="G117:R117" si="88">F120+G116</f>
        <v>0</v>
      </c>
      <c r="H117" s="1440">
        <f t="shared" si="88"/>
        <v>0</v>
      </c>
      <c r="I117" s="1440">
        <f t="shared" si="88"/>
        <v>0</v>
      </c>
      <c r="J117" s="1440">
        <f t="shared" si="88"/>
        <v>0</v>
      </c>
      <c r="K117" s="1440">
        <f t="shared" si="88"/>
        <v>0</v>
      </c>
      <c r="L117" s="1440">
        <f t="shared" si="88"/>
        <v>0</v>
      </c>
      <c r="M117" s="1440">
        <f t="shared" si="88"/>
        <v>0</v>
      </c>
      <c r="N117" s="1440">
        <f t="shared" si="88"/>
        <v>0</v>
      </c>
      <c r="O117" s="1440">
        <f t="shared" si="88"/>
        <v>1056.4173309</v>
      </c>
      <c r="P117" s="1440">
        <f t="shared" si="88"/>
        <v>1056.4173309</v>
      </c>
      <c r="Q117" s="1440">
        <f t="shared" si="88"/>
        <v>528.20866545000001</v>
      </c>
      <c r="R117" s="1440">
        <f t="shared" si="88"/>
        <v>0</v>
      </c>
    </row>
    <row r="118" spans="1:18">
      <c r="B118" s="1431" t="s">
        <v>1574</v>
      </c>
      <c r="C118" s="1440">
        <f>SUM(D118:R118)</f>
        <v>1056.4173309</v>
      </c>
      <c r="D118" s="1423"/>
      <c r="E118" s="1423"/>
      <c r="F118" s="1423"/>
      <c r="G118" s="1423"/>
      <c r="H118" s="1423"/>
      <c r="I118" s="1410"/>
      <c r="J118" s="1423"/>
      <c r="K118" s="1423"/>
      <c r="L118" s="1423"/>
      <c r="M118" s="1423"/>
      <c r="N118" s="1423">
        <v>0</v>
      </c>
      <c r="O118" s="1440"/>
      <c r="P118" s="1440">
        <f>O117/2</f>
        <v>528.20866545000001</v>
      </c>
      <c r="Q118" s="1440">
        <f>P118</f>
        <v>528.20866545000001</v>
      </c>
      <c r="R118" s="1440"/>
    </row>
    <row r="119" spans="1:18">
      <c r="B119" s="1431" t="s">
        <v>869</v>
      </c>
      <c r="C119" s="1440">
        <f>SUM(D119:R119)</f>
        <v>343.33563254250004</v>
      </c>
      <c r="D119" s="1440">
        <f t="shared" ref="D119:M119" si="89">D117*D21</f>
        <v>0</v>
      </c>
      <c r="E119" s="1440">
        <f t="shared" si="89"/>
        <v>0</v>
      </c>
      <c r="F119" s="1440">
        <f t="shared" si="89"/>
        <v>0</v>
      </c>
      <c r="G119" s="1440">
        <f t="shared" si="89"/>
        <v>0</v>
      </c>
      <c r="H119" s="1440">
        <f t="shared" si="89"/>
        <v>0</v>
      </c>
      <c r="I119" s="1440">
        <f t="shared" si="89"/>
        <v>0</v>
      </c>
      <c r="J119" s="1440">
        <f t="shared" si="89"/>
        <v>0</v>
      </c>
      <c r="K119" s="1440">
        <f t="shared" si="89"/>
        <v>0</v>
      </c>
      <c r="L119" s="1440">
        <f t="shared" si="89"/>
        <v>0</v>
      </c>
      <c r="M119" s="1440">
        <f t="shared" si="89"/>
        <v>0</v>
      </c>
      <c r="N119" s="1440">
        <f>N117*N21</f>
        <v>0</v>
      </c>
      <c r="O119" s="1440">
        <f>O117*O21</f>
        <v>137.33425301700001</v>
      </c>
      <c r="P119" s="1440">
        <f>P117*P21</f>
        <v>137.33425301700001</v>
      </c>
      <c r="Q119" s="1440">
        <f>Q117*Q21</f>
        <v>68.667126508500004</v>
      </c>
      <c r="R119" s="1440">
        <f>R117*R21</f>
        <v>0</v>
      </c>
    </row>
    <row r="120" spans="1:18">
      <c r="B120" s="1431" t="s">
        <v>874</v>
      </c>
      <c r="C120" s="1440"/>
      <c r="D120" s="1440">
        <f t="shared" ref="D120:M120" si="90">D117-D118</f>
        <v>0</v>
      </c>
      <c r="E120" s="1440">
        <f t="shared" si="90"/>
        <v>0</v>
      </c>
      <c r="F120" s="1440">
        <f t="shared" si="90"/>
        <v>0</v>
      </c>
      <c r="G120" s="1440">
        <f t="shared" si="90"/>
        <v>0</v>
      </c>
      <c r="H120" s="1440">
        <f t="shared" si="90"/>
        <v>0</v>
      </c>
      <c r="I120" s="1440">
        <f t="shared" si="90"/>
        <v>0</v>
      </c>
      <c r="J120" s="1440">
        <f t="shared" si="90"/>
        <v>0</v>
      </c>
      <c r="K120" s="1440">
        <f t="shared" si="90"/>
        <v>0</v>
      </c>
      <c r="L120" s="1440">
        <f t="shared" si="90"/>
        <v>0</v>
      </c>
      <c r="M120" s="1440">
        <f t="shared" si="90"/>
        <v>0</v>
      </c>
      <c r="N120" s="1440">
        <f>N117-N118</f>
        <v>0</v>
      </c>
      <c r="O120" s="1440">
        <f>O117-O118</f>
        <v>1056.4173309</v>
      </c>
      <c r="P120" s="1440">
        <f>P117-P118</f>
        <v>528.20866545000001</v>
      </c>
      <c r="Q120" s="1440">
        <f>Q117-Q118</f>
        <v>0</v>
      </c>
      <c r="R120" s="1440">
        <f>R117-R118</f>
        <v>0</v>
      </c>
    </row>
    <row r="121" spans="1:18">
      <c r="C121" s="1440"/>
      <c r="D121" s="1412"/>
      <c r="E121" s="1440"/>
      <c r="F121" s="1440"/>
      <c r="G121" s="1440"/>
      <c r="H121" s="1440"/>
    </row>
    <row r="122" spans="1:18">
      <c r="C122" s="1440"/>
    </row>
    <row r="123" spans="1:18" s="1407" customFormat="1">
      <c r="A123" s="1406">
        <v>9</v>
      </c>
      <c r="B123" s="1407" t="s">
        <v>350</v>
      </c>
      <c r="C123" s="1440"/>
      <c r="D123" s="1431">
        <f t="shared" ref="D123:J123" si="91">D95</f>
        <v>2013</v>
      </c>
      <c r="E123" s="1431">
        <f t="shared" si="91"/>
        <v>2014</v>
      </c>
      <c r="F123" s="1431">
        <f t="shared" si="91"/>
        <v>2015</v>
      </c>
      <c r="G123" s="1431">
        <f t="shared" si="91"/>
        <v>2016</v>
      </c>
      <c r="H123" s="1431">
        <f t="shared" si="91"/>
        <v>2017</v>
      </c>
      <c r="I123" s="1431">
        <f t="shared" si="91"/>
        <v>2018</v>
      </c>
      <c r="J123" s="1431">
        <f t="shared" si="91"/>
        <v>2019</v>
      </c>
      <c r="K123" s="1431">
        <f t="shared" ref="K123:R123" si="92">K95</f>
        <v>2020</v>
      </c>
      <c r="L123" s="1431">
        <f t="shared" si="92"/>
        <v>2021</v>
      </c>
      <c r="M123" s="1431">
        <f t="shared" si="92"/>
        <v>2022</v>
      </c>
      <c r="N123" s="1431">
        <f t="shared" si="92"/>
        <v>2023</v>
      </c>
      <c r="O123" s="1431">
        <f t="shared" si="92"/>
        <v>2024</v>
      </c>
      <c r="P123" s="1431">
        <f t="shared" si="92"/>
        <v>2025</v>
      </c>
      <c r="Q123" s="1431">
        <f t="shared" si="92"/>
        <v>2026</v>
      </c>
      <c r="R123" s="1431">
        <f t="shared" si="92"/>
        <v>2027</v>
      </c>
    </row>
    <row r="124" spans="1:18">
      <c r="B124" s="1432" t="s">
        <v>1575</v>
      </c>
      <c r="C124" s="1441"/>
      <c r="D124" s="1441">
        <f>D63</f>
        <v>0</v>
      </c>
      <c r="E124" s="1408">
        <f t="shared" ref="E124:M124" si="93">D124+E63</f>
        <v>0</v>
      </c>
      <c r="F124" s="1408">
        <f t="shared" si="93"/>
        <v>0</v>
      </c>
      <c r="G124" s="1408">
        <f t="shared" si="93"/>
        <v>0</v>
      </c>
      <c r="H124" s="1408">
        <f t="shared" si="93"/>
        <v>0</v>
      </c>
      <c r="I124" s="1408">
        <f t="shared" si="93"/>
        <v>0</v>
      </c>
      <c r="J124" s="1408">
        <f t="shared" si="93"/>
        <v>0</v>
      </c>
      <c r="K124" s="1408">
        <f t="shared" si="93"/>
        <v>0</v>
      </c>
      <c r="L124" s="1408">
        <f t="shared" si="93"/>
        <v>0</v>
      </c>
      <c r="M124" s="1408">
        <f t="shared" si="93"/>
        <v>0</v>
      </c>
      <c r="N124" s="1408">
        <f>M124+N63</f>
        <v>0</v>
      </c>
      <c r="O124" s="1408">
        <f>N124+O63</f>
        <v>0</v>
      </c>
      <c r="P124" s="1408">
        <f>O124+P63</f>
        <v>836.87175000000013</v>
      </c>
      <c r="Q124" s="1408">
        <f>P124+Q63</f>
        <v>2527.3526850000003</v>
      </c>
      <c r="R124" s="1408">
        <f>Q124+R63</f>
        <v>3380.9618700000005</v>
      </c>
    </row>
    <row r="125" spans="1:18">
      <c r="B125" s="1431" t="s">
        <v>1576</v>
      </c>
      <c r="C125" s="1440"/>
      <c r="D125" s="1440">
        <f>D57</f>
        <v>0</v>
      </c>
      <c r="E125" s="1440">
        <f t="shared" ref="E125:M125" si="94">D125+E57</f>
        <v>0</v>
      </c>
      <c r="F125" s="1440">
        <f t="shared" si="94"/>
        <v>0</v>
      </c>
      <c r="G125" s="1440">
        <f t="shared" si="94"/>
        <v>0</v>
      </c>
      <c r="H125" s="1440">
        <f t="shared" si="94"/>
        <v>0</v>
      </c>
      <c r="I125" s="1440">
        <f t="shared" si="94"/>
        <v>0</v>
      </c>
      <c r="J125" s="1440">
        <f t="shared" si="94"/>
        <v>0</v>
      </c>
      <c r="K125" s="1440">
        <f t="shared" si="94"/>
        <v>0</v>
      </c>
      <c r="L125" s="1440">
        <f t="shared" si="94"/>
        <v>0</v>
      </c>
      <c r="M125" s="1440">
        <f t="shared" si="94"/>
        <v>0</v>
      </c>
      <c r="N125" s="1440">
        <f>M125+N57</f>
        <v>0</v>
      </c>
      <c r="O125" s="1440">
        <f>N125+O57</f>
        <v>0</v>
      </c>
      <c r="P125" s="1440">
        <f>O125+P57</f>
        <v>0</v>
      </c>
      <c r="Q125" s="1440">
        <f>P125+Q57</f>
        <v>1690.4809350000003</v>
      </c>
      <c r="R125" s="1440">
        <f>Q125+R57</f>
        <v>3380.9618700000005</v>
      </c>
    </row>
    <row r="126" spans="1:18">
      <c r="B126" s="1431" t="s">
        <v>1577</v>
      </c>
      <c r="C126" s="1440"/>
      <c r="D126" s="1440">
        <f>D50</f>
        <v>0</v>
      </c>
      <c r="E126" s="1440">
        <f t="shared" ref="E126:M126" si="95">D126+E50</f>
        <v>0</v>
      </c>
      <c r="F126" s="1440">
        <f t="shared" si="95"/>
        <v>0</v>
      </c>
      <c r="G126" s="1440">
        <f t="shared" si="95"/>
        <v>0</v>
      </c>
      <c r="H126" s="1440">
        <f t="shared" si="95"/>
        <v>0</v>
      </c>
      <c r="I126" s="1440">
        <f t="shared" si="95"/>
        <v>0</v>
      </c>
      <c r="J126" s="1440">
        <f t="shared" si="95"/>
        <v>0</v>
      </c>
      <c r="K126" s="1440">
        <f t="shared" si="95"/>
        <v>0</v>
      </c>
      <c r="L126" s="1440">
        <f t="shared" si="95"/>
        <v>0</v>
      </c>
      <c r="M126" s="1440">
        <f t="shared" si="95"/>
        <v>0</v>
      </c>
      <c r="N126" s="1440">
        <f>M126+N50</f>
        <v>0</v>
      </c>
      <c r="O126" s="1440">
        <f>N126+O50</f>
        <v>0</v>
      </c>
      <c r="P126" s="1440">
        <f>O126+P50</f>
        <v>1673.7435000000003</v>
      </c>
      <c r="Q126" s="1440">
        <f>P126+Q50</f>
        <v>3380.9618700000005</v>
      </c>
      <c r="R126" s="1440">
        <f>Q126+R50</f>
        <v>3380.9618700000005</v>
      </c>
    </row>
    <row r="127" spans="1:18">
      <c r="B127" s="1431" t="s">
        <v>1578</v>
      </c>
      <c r="C127" s="1440"/>
      <c r="D127" s="1436" t="str">
        <f t="shared" ref="D127:J127" si="96">IF(D124&lt;&gt;0,D124/D126,"")</f>
        <v/>
      </c>
      <c r="E127" s="1436" t="str">
        <f t="shared" si="96"/>
        <v/>
      </c>
      <c r="F127" s="1436" t="str">
        <f t="shared" si="96"/>
        <v/>
      </c>
      <c r="G127" s="1436" t="str">
        <f t="shared" si="96"/>
        <v/>
      </c>
      <c r="H127" s="1436" t="str">
        <f t="shared" si="96"/>
        <v/>
      </c>
      <c r="I127" s="1436" t="str">
        <f t="shared" si="96"/>
        <v/>
      </c>
      <c r="J127" s="1436" t="str">
        <f t="shared" si="96"/>
        <v/>
      </c>
      <c r="K127" s="1436" t="str">
        <f t="shared" ref="K127:R127" si="97">IF(K124&lt;&gt;0,K124/K126,"")</f>
        <v/>
      </c>
      <c r="L127" s="1436" t="str">
        <f t="shared" si="97"/>
        <v/>
      </c>
      <c r="M127" s="1436" t="str">
        <f t="shared" si="97"/>
        <v/>
      </c>
      <c r="N127" s="1436" t="str">
        <f t="shared" si="97"/>
        <v/>
      </c>
      <c r="O127" s="1436" t="str">
        <f t="shared" si="97"/>
        <v/>
      </c>
      <c r="P127" s="1436">
        <f t="shared" si="97"/>
        <v>0.5</v>
      </c>
      <c r="Q127" s="1436">
        <f t="shared" si="97"/>
        <v>0.74752475247524752</v>
      </c>
      <c r="R127" s="1436">
        <f t="shared" si="97"/>
        <v>1</v>
      </c>
    </row>
    <row r="128" spans="1:18">
      <c r="B128" s="1431" t="s">
        <v>1579</v>
      </c>
      <c r="C128" s="1440"/>
      <c r="D128" s="1410">
        <f t="shared" ref="D128:J128" si="98">IF(D124&gt;D125,D124-D125,0)</f>
        <v>0</v>
      </c>
      <c r="E128" s="1410">
        <f t="shared" si="98"/>
        <v>0</v>
      </c>
      <c r="F128" s="1410">
        <f t="shared" si="98"/>
        <v>0</v>
      </c>
      <c r="G128" s="1410">
        <f t="shared" si="98"/>
        <v>0</v>
      </c>
      <c r="H128" s="1410">
        <f t="shared" si="98"/>
        <v>0</v>
      </c>
      <c r="I128" s="1410">
        <f t="shared" si="98"/>
        <v>0</v>
      </c>
      <c r="J128" s="1410">
        <f t="shared" si="98"/>
        <v>0</v>
      </c>
      <c r="K128" s="1410">
        <f t="shared" ref="K128:R128" si="99">IF(K124&gt;K125,K124-K125,0)</f>
        <v>0</v>
      </c>
      <c r="L128" s="1410">
        <f t="shared" si="99"/>
        <v>0</v>
      </c>
      <c r="M128" s="1410">
        <f t="shared" si="99"/>
        <v>0</v>
      </c>
      <c r="N128" s="1410">
        <f t="shared" si="99"/>
        <v>0</v>
      </c>
      <c r="O128" s="1410">
        <f t="shared" si="99"/>
        <v>0</v>
      </c>
      <c r="P128" s="1410">
        <f t="shared" si="99"/>
        <v>836.87175000000013</v>
      </c>
      <c r="Q128" s="1410">
        <f t="shared" si="99"/>
        <v>836.87175000000002</v>
      </c>
      <c r="R128" s="1410">
        <f t="shared" si="99"/>
        <v>0</v>
      </c>
    </row>
    <row r="129" spans="1:18" s="1407" customFormat="1">
      <c r="A129" s="1406"/>
      <c r="B129" s="1431" t="s">
        <v>1580</v>
      </c>
      <c r="C129" s="1440"/>
      <c r="D129" s="1410">
        <f t="shared" ref="D129:J129" si="100">IF(D125&gt;D124,D125-D124,0)</f>
        <v>0</v>
      </c>
      <c r="E129" s="1410">
        <f t="shared" si="100"/>
        <v>0</v>
      </c>
      <c r="F129" s="1410">
        <f t="shared" si="100"/>
        <v>0</v>
      </c>
      <c r="G129" s="1410">
        <f t="shared" si="100"/>
        <v>0</v>
      </c>
      <c r="H129" s="1410">
        <f t="shared" si="100"/>
        <v>0</v>
      </c>
      <c r="I129" s="1410">
        <f t="shared" si="100"/>
        <v>0</v>
      </c>
      <c r="J129" s="1410">
        <f t="shared" si="100"/>
        <v>0</v>
      </c>
      <c r="K129" s="1410">
        <f t="shared" ref="K129:R129" si="101">IF(K125&gt;K124,K125-K124,0)</f>
        <v>0</v>
      </c>
      <c r="L129" s="1410">
        <f t="shared" si="101"/>
        <v>0</v>
      </c>
      <c r="M129" s="1410">
        <f t="shared" si="101"/>
        <v>0</v>
      </c>
      <c r="N129" s="1410">
        <f t="shared" si="101"/>
        <v>0</v>
      </c>
      <c r="O129" s="1410">
        <f t="shared" si="101"/>
        <v>0</v>
      </c>
      <c r="P129" s="1410">
        <f t="shared" si="101"/>
        <v>0</v>
      </c>
      <c r="Q129" s="1410">
        <f t="shared" si="101"/>
        <v>0</v>
      </c>
      <c r="R129" s="1410">
        <f t="shared" si="101"/>
        <v>0</v>
      </c>
    </row>
    <row r="130" spans="1:18">
      <c r="B130" s="1407"/>
      <c r="E130" s="1440"/>
      <c r="F130" s="1440"/>
      <c r="G130" s="1440"/>
      <c r="H130" s="1440"/>
      <c r="I130" s="1440"/>
      <c r="J130" s="1440"/>
      <c r="K130" s="1440"/>
      <c r="L130" s="1440"/>
      <c r="M130" s="1440"/>
      <c r="N130" s="1440"/>
      <c r="O130" s="1440"/>
      <c r="P130" s="1440"/>
      <c r="Q130" s="1440"/>
      <c r="R130" s="1440"/>
    </row>
    <row r="131" spans="1:18">
      <c r="B131" s="1407" t="s">
        <v>1492</v>
      </c>
      <c r="E131" s="1440"/>
      <c r="F131" s="1440"/>
      <c r="G131" s="1440"/>
      <c r="H131" s="1440"/>
      <c r="I131" s="1440"/>
      <c r="J131" s="1440"/>
      <c r="K131" s="1440"/>
      <c r="L131" s="1440"/>
      <c r="M131" s="1440"/>
      <c r="N131" s="1440"/>
      <c r="O131" s="1440"/>
      <c r="P131" s="1440"/>
      <c r="Q131" s="1440"/>
      <c r="R131" s="1440"/>
    </row>
    <row r="132" spans="1:18">
      <c r="B132" s="1431" t="s">
        <v>1581</v>
      </c>
      <c r="D132" s="1412">
        <v>0</v>
      </c>
      <c r="E132" s="1410">
        <f t="shared" ref="E132:J132" si="102">D136</f>
        <v>0</v>
      </c>
      <c r="F132" s="1440">
        <f t="shared" si="102"/>
        <v>0</v>
      </c>
      <c r="G132" s="1440">
        <f t="shared" si="102"/>
        <v>0</v>
      </c>
      <c r="H132" s="1440">
        <f t="shared" si="102"/>
        <v>0</v>
      </c>
      <c r="I132" s="1440">
        <f t="shared" si="102"/>
        <v>0</v>
      </c>
      <c r="J132" s="1440">
        <f t="shared" si="102"/>
        <v>0</v>
      </c>
      <c r="K132" s="1440">
        <f t="shared" ref="K132:R132" si="103">J136</f>
        <v>0</v>
      </c>
      <c r="L132" s="1440">
        <f t="shared" si="103"/>
        <v>0</v>
      </c>
      <c r="M132" s="1440">
        <f t="shared" si="103"/>
        <v>0</v>
      </c>
      <c r="N132" s="1440">
        <f t="shared" si="103"/>
        <v>0</v>
      </c>
      <c r="O132" s="1440">
        <f t="shared" si="103"/>
        <v>0</v>
      </c>
      <c r="P132" s="1440">
        <f t="shared" si="103"/>
        <v>0</v>
      </c>
      <c r="Q132" s="1440">
        <f t="shared" si="103"/>
        <v>169.75</v>
      </c>
      <c r="R132" s="1440">
        <f t="shared" si="103"/>
        <v>169.75</v>
      </c>
    </row>
    <row r="133" spans="1:18">
      <c r="B133" s="1431" t="s">
        <v>994</v>
      </c>
      <c r="D133" s="1440">
        <f t="shared" ref="D133:M133" si="104">SUM(D99:D100)</f>
        <v>0</v>
      </c>
      <c r="E133" s="1440">
        <f t="shared" si="104"/>
        <v>0</v>
      </c>
      <c r="F133" s="1440">
        <f t="shared" si="104"/>
        <v>0</v>
      </c>
      <c r="G133" s="1440">
        <f t="shared" si="104"/>
        <v>0</v>
      </c>
      <c r="H133" s="1440">
        <f t="shared" si="104"/>
        <v>0</v>
      </c>
      <c r="I133" s="1440">
        <f t="shared" si="104"/>
        <v>0</v>
      </c>
      <c r="J133" s="1440">
        <f t="shared" si="104"/>
        <v>0</v>
      </c>
      <c r="K133" s="1440">
        <f t="shared" si="104"/>
        <v>0</v>
      </c>
      <c r="L133" s="1440">
        <f t="shared" si="104"/>
        <v>0</v>
      </c>
      <c r="M133" s="1440">
        <f t="shared" si="104"/>
        <v>0</v>
      </c>
      <c r="N133" s="1440">
        <f>SUM(N99:N100)</f>
        <v>0</v>
      </c>
      <c r="O133" s="1440">
        <f>SUM(O99:O100)</f>
        <v>0</v>
      </c>
      <c r="P133" s="1440">
        <f>SUM(P99:P100)</f>
        <v>169.75</v>
      </c>
      <c r="Q133" s="1440">
        <f>SUM(Q99:Q100)</f>
        <v>819.75</v>
      </c>
      <c r="R133" s="1440">
        <f>SUM(R99:R100)</f>
        <v>650</v>
      </c>
    </row>
    <row r="134" spans="1:18">
      <c r="B134" s="1431" t="s">
        <v>1582</v>
      </c>
      <c r="D134" s="1431">
        <f t="shared" ref="D134:J134" si="105">$C$77*D58</f>
        <v>0</v>
      </c>
      <c r="E134" s="1431">
        <f t="shared" si="105"/>
        <v>0</v>
      </c>
      <c r="F134" s="1440">
        <f t="shared" si="105"/>
        <v>0</v>
      </c>
      <c r="G134" s="1440">
        <f t="shared" si="105"/>
        <v>0</v>
      </c>
      <c r="H134" s="1440">
        <f t="shared" si="105"/>
        <v>0</v>
      </c>
      <c r="I134" s="1440">
        <f t="shared" si="105"/>
        <v>0</v>
      </c>
      <c r="J134" s="1440">
        <f t="shared" si="105"/>
        <v>0</v>
      </c>
      <c r="K134" s="1440">
        <f t="shared" ref="K134:R134" si="106">$C$77*K58</f>
        <v>0</v>
      </c>
      <c r="L134" s="1440">
        <f t="shared" si="106"/>
        <v>0</v>
      </c>
      <c r="M134" s="1440">
        <f t="shared" si="106"/>
        <v>0</v>
      </c>
      <c r="N134" s="1440">
        <f t="shared" si="106"/>
        <v>0</v>
      </c>
      <c r="O134" s="1440">
        <f t="shared" si="106"/>
        <v>0</v>
      </c>
      <c r="P134" s="1440">
        <f t="shared" si="106"/>
        <v>0</v>
      </c>
      <c r="Q134" s="1440">
        <f t="shared" si="106"/>
        <v>137.33425301700001</v>
      </c>
      <c r="R134" s="1440">
        <f t="shared" si="106"/>
        <v>137.33425301700001</v>
      </c>
    </row>
    <row r="135" spans="1:18">
      <c r="B135" s="1431" t="s">
        <v>1583</v>
      </c>
      <c r="D135" s="1440">
        <f t="shared" ref="D135:J135" si="107">SUM(D75:D77)</f>
        <v>0</v>
      </c>
      <c r="E135" s="1440">
        <f t="shared" si="107"/>
        <v>0</v>
      </c>
      <c r="F135" s="1440">
        <f t="shared" si="107"/>
        <v>0</v>
      </c>
      <c r="G135" s="1440">
        <f t="shared" si="107"/>
        <v>0</v>
      </c>
      <c r="H135" s="1440">
        <f t="shared" si="107"/>
        <v>0</v>
      </c>
      <c r="I135" s="1440">
        <f t="shared" si="107"/>
        <v>0</v>
      </c>
      <c r="J135" s="1440">
        <f t="shared" si="107"/>
        <v>0</v>
      </c>
      <c r="K135" s="1440">
        <f t="shared" ref="K135:R135" si="108">SUM(K75:K77)</f>
        <v>0</v>
      </c>
      <c r="L135" s="1440">
        <f t="shared" si="108"/>
        <v>0</v>
      </c>
      <c r="M135" s="1440">
        <f t="shared" si="108"/>
        <v>0</v>
      </c>
      <c r="N135" s="1440">
        <f t="shared" si="108"/>
        <v>0</v>
      </c>
      <c r="O135" s="1440">
        <f t="shared" si="108"/>
        <v>0</v>
      </c>
      <c r="P135" s="1440">
        <f t="shared" si="108"/>
        <v>0</v>
      </c>
      <c r="Q135" s="1440">
        <f t="shared" si="108"/>
        <v>957.08425301700004</v>
      </c>
      <c r="R135" s="1440">
        <f t="shared" si="108"/>
        <v>957.08425301700004</v>
      </c>
    </row>
    <row r="136" spans="1:18">
      <c r="B136" s="1431" t="s">
        <v>874</v>
      </c>
      <c r="D136" s="1440">
        <f t="shared" ref="D136:M136" si="109">SUM(D132:D134)-D135</f>
        <v>0</v>
      </c>
      <c r="E136" s="1440">
        <f t="shared" si="109"/>
        <v>0</v>
      </c>
      <c r="F136" s="1440">
        <f t="shared" si="109"/>
        <v>0</v>
      </c>
      <c r="G136" s="1440">
        <f t="shared" si="109"/>
        <v>0</v>
      </c>
      <c r="H136" s="1440">
        <f t="shared" si="109"/>
        <v>0</v>
      </c>
      <c r="I136" s="1440">
        <f t="shared" si="109"/>
        <v>0</v>
      </c>
      <c r="J136" s="1440">
        <f t="shared" si="109"/>
        <v>0</v>
      </c>
      <c r="K136" s="1440">
        <f t="shared" si="109"/>
        <v>0</v>
      </c>
      <c r="L136" s="1440">
        <f t="shared" si="109"/>
        <v>0</v>
      </c>
      <c r="M136" s="1440">
        <f t="shared" si="109"/>
        <v>0</v>
      </c>
      <c r="N136" s="1440">
        <f>SUM(N132:N134)-N135</f>
        <v>0</v>
      </c>
      <c r="O136" s="1440">
        <f>SUM(O132:O134)-O135</f>
        <v>0</v>
      </c>
      <c r="P136" s="1440">
        <f>SUM(P132:P134)-P135</f>
        <v>169.75</v>
      </c>
      <c r="Q136" s="1440">
        <f>SUM(Q132:Q134)-Q135</f>
        <v>169.75</v>
      </c>
      <c r="R136" s="1440">
        <f>SUM(R132:R134)-R135</f>
        <v>0</v>
      </c>
    </row>
    <row r="137" spans="1:18">
      <c r="A137" s="1430" t="s">
        <v>1584</v>
      </c>
      <c r="B137" s="1432"/>
      <c r="C137" s="1432"/>
      <c r="D137" s="1432"/>
      <c r="E137" s="1432"/>
      <c r="F137" s="1432"/>
      <c r="G137" s="1432"/>
      <c r="H137" s="1432"/>
      <c r="I137" s="1432"/>
      <c r="J137" s="1432"/>
      <c r="K137" s="1432"/>
      <c r="L137" s="1432"/>
      <c r="M137" s="1432"/>
      <c r="N137" s="1432"/>
      <c r="O137" s="1432"/>
      <c r="P137" s="1432"/>
      <c r="Q137" s="1432"/>
      <c r="R137" s="1432"/>
    </row>
  </sheetData>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T137"/>
  <sheetViews>
    <sheetView zoomScaleNormal="100" workbookViewId="0">
      <selection activeCell="V38" sqref="V38"/>
    </sheetView>
  </sheetViews>
  <sheetFormatPr defaultColWidth="9.140625" defaultRowHeight="12"/>
  <cols>
    <col min="1" max="1" width="5.85546875" style="1406" customWidth="1"/>
    <col min="2" max="2" width="27.140625" style="1431" customWidth="1"/>
    <col min="3" max="13" width="9.140625" style="1431" customWidth="1"/>
    <col min="14" max="16384" width="9.140625" style="1431"/>
  </cols>
  <sheetData>
    <row r="1" spans="1:20" ht="21">
      <c r="A1" s="1404" t="s">
        <v>2390</v>
      </c>
    </row>
    <row r="2" spans="1:20">
      <c r="A2" s="1405" t="s">
        <v>1776</v>
      </c>
    </row>
    <row r="4" spans="1:20">
      <c r="B4" s="1407" t="s">
        <v>1539</v>
      </c>
      <c r="F4" s="1407" t="s">
        <v>1540</v>
      </c>
      <c r="K4" s="1407" t="s">
        <v>1595</v>
      </c>
      <c r="P4" s="1407" t="s">
        <v>1783</v>
      </c>
    </row>
    <row r="5" spans="1:20">
      <c r="B5" s="1432" t="s">
        <v>748</v>
      </c>
      <c r="C5" s="1432"/>
      <c r="D5" s="1408">
        <f>SUM(D6:D8)</f>
        <v>316.64999999999998</v>
      </c>
      <c r="F5" s="1432" t="s">
        <v>636</v>
      </c>
      <c r="G5" s="1432"/>
      <c r="H5" s="1432"/>
      <c r="I5" s="1409">
        <v>1</v>
      </c>
      <c r="K5" s="1432" t="s">
        <v>26</v>
      </c>
      <c r="L5" s="1432"/>
      <c r="M5" s="1432"/>
      <c r="N5" s="1441">
        <f>C83</f>
        <v>526.5</v>
      </c>
      <c r="P5" s="1432" t="s">
        <v>1777</v>
      </c>
      <c r="Q5" s="1432"/>
      <c r="R5" s="1432"/>
      <c r="S5" s="1422">
        <v>170</v>
      </c>
    </row>
    <row r="6" spans="1:20">
      <c r="B6" s="1431" t="s">
        <v>678</v>
      </c>
      <c r="D6" s="1410">
        <f>SUM(E31:E32)</f>
        <v>120</v>
      </c>
      <c r="F6" s="1431" t="s">
        <v>1542</v>
      </c>
      <c r="I6" s="1586">
        <v>0.5</v>
      </c>
      <c r="K6" s="1431" t="s">
        <v>197</v>
      </c>
      <c r="N6" s="1436">
        <f>C91</f>
        <v>0.39031908831908835</v>
      </c>
      <c r="P6" s="1431" t="s">
        <v>1778</v>
      </c>
      <c r="S6" s="1440">
        <f>D42/S5</f>
        <v>68.82352941176471</v>
      </c>
    </row>
    <row r="7" spans="1:20">
      <c r="B7" s="1431" t="s">
        <v>750</v>
      </c>
      <c r="D7" s="1410">
        <f>C70</f>
        <v>144</v>
      </c>
      <c r="F7" s="1431" t="s">
        <v>759</v>
      </c>
      <c r="I7" s="1440">
        <f>C114</f>
        <v>158.32499999999999</v>
      </c>
      <c r="K7" s="1431" t="s">
        <v>1779</v>
      </c>
      <c r="N7" s="1436">
        <f>C92</f>
        <v>0.23225527065527063</v>
      </c>
      <c r="P7" s="1431" t="s">
        <v>1792</v>
      </c>
      <c r="S7" s="1412">
        <v>45</v>
      </c>
      <c r="T7" s="1412"/>
    </row>
    <row r="8" spans="1:20">
      <c r="B8" s="1431" t="s">
        <v>656</v>
      </c>
      <c r="D8" s="1440">
        <f>C79</f>
        <v>52.650000000000006</v>
      </c>
      <c r="F8" s="1431" t="s">
        <v>1544</v>
      </c>
      <c r="I8" s="1433">
        <f>G23</f>
        <v>0.1105</v>
      </c>
      <c r="K8" s="1431" t="s">
        <v>1720</v>
      </c>
      <c r="N8" s="1440">
        <f>C105</f>
        <v>0</v>
      </c>
      <c r="P8" s="1431" t="s">
        <v>1784</v>
      </c>
      <c r="S8" s="1423">
        <v>50</v>
      </c>
      <c r="T8" s="1423"/>
    </row>
    <row r="9" spans="1:20">
      <c r="B9" s="1431" t="s">
        <v>869</v>
      </c>
      <c r="D9" s="1440">
        <f>C119</f>
        <v>56.997</v>
      </c>
      <c r="F9" s="1431" t="s">
        <v>1588</v>
      </c>
      <c r="I9" s="1425">
        <f>B109</f>
        <v>0.38118507340904584</v>
      </c>
      <c r="K9" s="1431" t="s">
        <v>1601</v>
      </c>
      <c r="N9" s="1410">
        <f>C90</f>
        <v>122.28239999999998</v>
      </c>
      <c r="P9" s="1431" t="s">
        <v>1560</v>
      </c>
      <c r="S9" s="1416">
        <v>0.65</v>
      </c>
      <c r="T9" s="1416"/>
    </row>
    <row r="10" spans="1:20">
      <c r="B10" s="1431" t="s">
        <v>1543</v>
      </c>
      <c r="D10" s="1412">
        <v>2017</v>
      </c>
      <c r="F10" s="1431" t="s">
        <v>1781</v>
      </c>
      <c r="I10" s="1436">
        <f>C105/C90</f>
        <v>0</v>
      </c>
      <c r="K10" s="1431" t="s">
        <v>1141</v>
      </c>
      <c r="N10" s="1423">
        <v>2400</v>
      </c>
      <c r="P10" s="1431" t="s">
        <v>1785</v>
      </c>
      <c r="S10" s="1423">
        <v>8</v>
      </c>
      <c r="T10" s="1423"/>
    </row>
    <row r="11" spans="1:20">
      <c r="B11" s="1431" t="s">
        <v>751</v>
      </c>
      <c r="D11" s="1412">
        <v>2021</v>
      </c>
      <c r="F11" s="1431" t="s">
        <v>1782</v>
      </c>
      <c r="I11" s="1436">
        <f>C70/C50</f>
        <v>0.27350427350427353</v>
      </c>
      <c r="K11" s="1431" t="s">
        <v>686</v>
      </c>
      <c r="N11" s="1643">
        <v>18000</v>
      </c>
      <c r="P11" s="1431" t="s">
        <v>1786</v>
      </c>
      <c r="S11" s="1657">
        <v>0.1</v>
      </c>
    </row>
    <row r="12" spans="1:20">
      <c r="B12" s="1431" t="s">
        <v>1545</v>
      </c>
      <c r="D12" s="1594">
        <f>'Opal Garden'!D12</f>
        <v>2022</v>
      </c>
      <c r="F12" s="1431" t="s">
        <v>1780</v>
      </c>
      <c r="I12" s="1436">
        <f>E32/C50</f>
        <v>0.22792022792022792</v>
      </c>
      <c r="K12" s="1431" t="s">
        <v>1790</v>
      </c>
      <c r="N12" s="1599" t="s">
        <v>1501</v>
      </c>
      <c r="P12" s="1431" t="s">
        <v>1791</v>
      </c>
      <c r="S12" s="1423"/>
    </row>
    <row r="13" spans="1:20">
      <c r="E13" s="1412"/>
      <c r="J13" s="1413"/>
    </row>
    <row r="14" spans="1:20">
      <c r="B14" s="1407" t="s">
        <v>1546</v>
      </c>
      <c r="D14" s="1447">
        <f>'Opal Central Park'!D14</f>
        <v>2013</v>
      </c>
      <c r="E14" s="1447">
        <f>'Opal Central Park'!E14</f>
        <v>2014</v>
      </c>
      <c r="F14" s="1447">
        <f>'Opal Central Park'!F14</f>
        <v>2015</v>
      </c>
      <c r="G14" s="1447">
        <f>'Opal Central Park'!G14</f>
        <v>2016</v>
      </c>
      <c r="H14" s="1447">
        <f>'Opal Central Park'!H14</f>
        <v>2017</v>
      </c>
      <c r="I14" s="1447">
        <f>'Opal Central Park'!I14</f>
        <v>2018</v>
      </c>
      <c r="J14" s="1447">
        <f>'Opal Central Park'!J14</f>
        <v>2019</v>
      </c>
      <c r="K14" s="1447">
        <f>'Opal Central Park'!K14</f>
        <v>2020</v>
      </c>
      <c r="L14" s="1447">
        <f>'Opal Central Park'!L14</f>
        <v>2021</v>
      </c>
      <c r="M14" s="1447">
        <f>'Opal Central Park'!M14</f>
        <v>2022</v>
      </c>
      <c r="N14" s="1447">
        <f>'Opal Central Park'!N14</f>
        <v>2023</v>
      </c>
      <c r="O14" s="1447">
        <f>'Opal Central Park'!O14</f>
        <v>2024</v>
      </c>
      <c r="P14" s="1447">
        <f>'Opal Central Park'!P14</f>
        <v>2025</v>
      </c>
      <c r="Q14" s="1447">
        <f>'Opal Central Park'!Q14</f>
        <v>2026</v>
      </c>
    </row>
    <row r="15" spans="1:20">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row>
    <row r="16" spans="1:20">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row>
    <row r="17" spans="1:17">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row>
    <row r="18" spans="1:17">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row>
    <row r="19" spans="1:17">
      <c r="B19" s="1431" t="s">
        <v>758</v>
      </c>
      <c r="D19" s="1433">
        <f t="shared" ref="D19:Q19" si="1">D17+D16*D18</f>
        <v>0.125</v>
      </c>
      <c r="E19" s="1433">
        <f t="shared" si="1"/>
        <v>0.125</v>
      </c>
      <c r="F19" s="1433">
        <f t="shared" si="1"/>
        <v>0.125</v>
      </c>
      <c r="G19" s="1433">
        <f t="shared" si="1"/>
        <v>0.125</v>
      </c>
      <c r="H19" s="1433">
        <f t="shared" si="1"/>
        <v>0.125</v>
      </c>
      <c r="I19" s="1433">
        <f t="shared" si="1"/>
        <v>0.125</v>
      </c>
      <c r="J19" s="1433">
        <f t="shared" si="1"/>
        <v>0.125</v>
      </c>
      <c r="K19" s="1433">
        <f t="shared" si="1"/>
        <v>0.125</v>
      </c>
      <c r="L19" s="1433">
        <f t="shared" si="1"/>
        <v>0.125</v>
      </c>
      <c r="M19" s="1433">
        <f t="shared" si="1"/>
        <v>0.125</v>
      </c>
      <c r="N19" s="1433">
        <f t="shared" si="1"/>
        <v>0.14600000000000002</v>
      </c>
      <c r="O19" s="1433">
        <f t="shared" si="1"/>
        <v>0.14600000000000002</v>
      </c>
      <c r="P19" s="1433">
        <f t="shared" si="1"/>
        <v>0.14600000000000002</v>
      </c>
      <c r="Q19" s="1433">
        <f t="shared" si="1"/>
        <v>0.14600000000000002</v>
      </c>
    </row>
    <row r="20" spans="1:17">
      <c r="B20" s="1431" t="s">
        <v>1542</v>
      </c>
      <c r="D20" s="1436">
        <f t="shared" ref="D20:Q20" si="2">$I$6</f>
        <v>0.5</v>
      </c>
      <c r="E20" s="1436">
        <f t="shared" si="2"/>
        <v>0.5</v>
      </c>
      <c r="F20" s="1436">
        <f t="shared" si="2"/>
        <v>0.5</v>
      </c>
      <c r="G20" s="1436">
        <f t="shared" si="2"/>
        <v>0.5</v>
      </c>
      <c r="H20" s="1436">
        <f t="shared" si="2"/>
        <v>0.5</v>
      </c>
      <c r="I20" s="1436">
        <f t="shared" si="2"/>
        <v>0.5</v>
      </c>
      <c r="J20" s="1436">
        <f t="shared" si="2"/>
        <v>0.5</v>
      </c>
      <c r="K20" s="1436">
        <f t="shared" si="2"/>
        <v>0.5</v>
      </c>
      <c r="L20" s="1436">
        <f t="shared" si="2"/>
        <v>0.5</v>
      </c>
      <c r="M20" s="1436">
        <f t="shared" si="2"/>
        <v>0.5</v>
      </c>
      <c r="N20" s="1436">
        <f t="shared" si="2"/>
        <v>0.5</v>
      </c>
      <c r="O20" s="1436">
        <f t="shared" si="2"/>
        <v>0.5</v>
      </c>
      <c r="P20" s="1436">
        <f t="shared" si="2"/>
        <v>0.5</v>
      </c>
      <c r="Q20" s="1436">
        <f t="shared" si="2"/>
        <v>0.5</v>
      </c>
    </row>
    <row r="21" spans="1:17">
      <c r="B21" s="1431" t="s">
        <v>760</v>
      </c>
      <c r="D21" s="1581">
        <f>'Opal Central Park'!D21</f>
        <v>0.14000000000000001</v>
      </c>
      <c r="E21" s="1581">
        <f>'Opal Central Park'!E21</f>
        <v>0.13</v>
      </c>
      <c r="F21" s="1581">
        <f>'Opal Central Park'!F21</f>
        <v>0.1</v>
      </c>
      <c r="G21" s="1581">
        <f>'Opal Central Park'!G21</f>
        <v>0.12</v>
      </c>
      <c r="H21" s="1425">
        <f>G21</f>
        <v>0.12</v>
      </c>
      <c r="I21" s="1418">
        <f t="shared" ref="H21:Q22" si="3">H21</f>
        <v>0.12</v>
      </c>
      <c r="J21" s="1418">
        <f t="shared" si="3"/>
        <v>0.12</v>
      </c>
      <c r="K21" s="1418">
        <f t="shared" si="3"/>
        <v>0.12</v>
      </c>
      <c r="L21" s="1418">
        <f t="shared" si="3"/>
        <v>0.12</v>
      </c>
      <c r="M21" s="1418">
        <f t="shared" si="3"/>
        <v>0.12</v>
      </c>
      <c r="N21" s="2182">
        <v>0.13</v>
      </c>
      <c r="O21" s="2182">
        <v>0.13</v>
      </c>
      <c r="P21" s="2182">
        <v>0.13</v>
      </c>
      <c r="Q21" s="2182">
        <v>0.13</v>
      </c>
    </row>
    <row r="22" spans="1:17">
      <c r="B22" s="1431" t="s">
        <v>846</v>
      </c>
      <c r="D22" s="1596">
        <f>'Opal Central Park'!D22</f>
        <v>0.22</v>
      </c>
      <c r="E22" s="1596">
        <f>'Opal Central Park'!E22</f>
        <v>0.22</v>
      </c>
      <c r="F22" s="1596">
        <f>'Opal Central Park'!F22</f>
        <v>0.22</v>
      </c>
      <c r="G22" s="1596">
        <f>'Opal Central Park'!G22</f>
        <v>0.2</v>
      </c>
      <c r="H22" s="1417">
        <f t="shared" si="3"/>
        <v>0.2</v>
      </c>
      <c r="I22" s="1417">
        <f t="shared" si="3"/>
        <v>0.2</v>
      </c>
      <c r="J22" s="1417">
        <f t="shared" si="3"/>
        <v>0.2</v>
      </c>
      <c r="K22" s="1417">
        <f t="shared" si="3"/>
        <v>0.2</v>
      </c>
      <c r="L22" s="1417">
        <f t="shared" si="3"/>
        <v>0.2</v>
      </c>
      <c r="M22" s="1417">
        <f t="shared" si="3"/>
        <v>0.2</v>
      </c>
      <c r="N22" s="1417">
        <f t="shared" si="3"/>
        <v>0.2</v>
      </c>
      <c r="O22" s="1417">
        <f t="shared" si="3"/>
        <v>0.2</v>
      </c>
      <c r="P22" s="1417">
        <f t="shared" si="3"/>
        <v>0.2</v>
      </c>
      <c r="Q22" s="1417">
        <f t="shared" si="3"/>
        <v>0.2</v>
      </c>
    </row>
    <row r="23" spans="1:17">
      <c r="B23" s="1419" t="s">
        <v>14</v>
      </c>
      <c r="C23" s="1432"/>
      <c r="D23" s="1437">
        <f>D19*D15+D21*D20*(1-D22)</f>
        <v>0.11710000000000001</v>
      </c>
      <c r="E23" s="1437">
        <f t="shared" ref="E23:Q23" si="4">E19*E15+E21*E20*(1-E22)</f>
        <v>0.1132</v>
      </c>
      <c r="F23" s="1437">
        <f>F19*F15+F21*F20*(1-F22)</f>
        <v>0.10150000000000001</v>
      </c>
      <c r="G23" s="1437">
        <f>G19*G15+G21*G20*(1-G22)</f>
        <v>0.1105</v>
      </c>
      <c r="H23" s="1437">
        <f>H19*H15+H21*H20*(1-H22)</f>
        <v>0.1105</v>
      </c>
      <c r="I23" s="1437">
        <f>I19*I15+I21*I20*(1-I22)</f>
        <v>0.1105</v>
      </c>
      <c r="J23" s="1437">
        <f t="shared" si="4"/>
        <v>0.1105</v>
      </c>
      <c r="K23" s="1437">
        <f t="shared" si="4"/>
        <v>0.1105</v>
      </c>
      <c r="L23" s="1437">
        <f t="shared" si="4"/>
        <v>0.1105</v>
      </c>
      <c r="M23" s="1437">
        <f t="shared" si="4"/>
        <v>0.1105</v>
      </c>
      <c r="N23" s="1437">
        <f t="shared" si="4"/>
        <v>0.125</v>
      </c>
      <c r="O23" s="1437">
        <f t="shared" si="4"/>
        <v>0.125</v>
      </c>
      <c r="P23" s="1437">
        <f t="shared" si="4"/>
        <v>0.125</v>
      </c>
      <c r="Q23" s="1437">
        <f t="shared" si="4"/>
        <v>0.125</v>
      </c>
    </row>
    <row r="24" spans="1:17">
      <c r="E24" s="1412"/>
      <c r="J24" s="1413"/>
    </row>
    <row r="25" spans="1:17">
      <c r="E25" s="1412"/>
      <c r="J25" s="1413"/>
    </row>
    <row r="26" spans="1:17" ht="15.75">
      <c r="A26" s="1420" t="s">
        <v>1548</v>
      </c>
      <c r="B26" s="1438"/>
    </row>
    <row r="28" spans="1:17" s="1407" customFormat="1">
      <c r="A28" s="1406" t="s">
        <v>762</v>
      </c>
      <c r="B28" s="1407" t="s">
        <v>1459</v>
      </c>
      <c r="C28" s="1407" t="s">
        <v>764</v>
      </c>
      <c r="D28" s="1407" t="s">
        <v>1549</v>
      </c>
      <c r="E28" s="1407" t="s">
        <v>1550</v>
      </c>
    </row>
    <row r="29" spans="1:17">
      <c r="A29" s="1421"/>
      <c r="B29" s="1432" t="s">
        <v>1551</v>
      </c>
      <c r="C29" s="1432" t="s">
        <v>1552</v>
      </c>
      <c r="D29" s="1432"/>
      <c r="E29" s="1408">
        <f>N10</f>
        <v>2400</v>
      </c>
    </row>
    <row r="30" spans="1:17">
      <c r="B30" s="1431" t="s">
        <v>1553</v>
      </c>
      <c r="C30" s="1431" t="s">
        <v>1552</v>
      </c>
      <c r="E30" s="1410">
        <f>E29</f>
        <v>2400</v>
      </c>
    </row>
    <row r="31" spans="1:17">
      <c r="B31" s="1431" t="s">
        <v>1554</v>
      </c>
      <c r="C31" s="1431" t="s">
        <v>1555</v>
      </c>
      <c r="D31" s="1446"/>
      <c r="E31" s="1410">
        <f>E29*D31</f>
        <v>0</v>
      </c>
    </row>
    <row r="32" spans="1:17">
      <c r="B32" s="1431" t="s">
        <v>1556</v>
      </c>
      <c r="C32" s="1431" t="s">
        <v>1555</v>
      </c>
      <c r="D32" s="1654">
        <f>S8</f>
        <v>50</v>
      </c>
      <c r="E32" s="1440">
        <f>D32*E29/1000</f>
        <v>120</v>
      </c>
    </row>
    <row r="34" spans="1:13">
      <c r="B34" s="1407" t="s">
        <v>773</v>
      </c>
      <c r="C34" s="1431" t="s">
        <v>642</v>
      </c>
      <c r="D34" s="1447">
        <f t="shared" ref="D34:M34" si="5">D14</f>
        <v>2013</v>
      </c>
      <c r="E34" s="1447">
        <f t="shared" si="5"/>
        <v>2014</v>
      </c>
      <c r="F34" s="1447">
        <f t="shared" si="5"/>
        <v>2015</v>
      </c>
      <c r="G34" s="1447">
        <f t="shared" si="5"/>
        <v>2016</v>
      </c>
      <c r="H34" s="1447">
        <f t="shared" si="5"/>
        <v>2017</v>
      </c>
      <c r="I34" s="1447">
        <f t="shared" si="5"/>
        <v>2018</v>
      </c>
      <c r="J34" s="1447">
        <f t="shared" si="5"/>
        <v>2019</v>
      </c>
      <c r="K34" s="1447">
        <f t="shared" si="5"/>
        <v>2020</v>
      </c>
      <c r="L34" s="1447">
        <f t="shared" si="5"/>
        <v>2021</v>
      </c>
      <c r="M34" s="1447">
        <f t="shared" si="5"/>
        <v>2022</v>
      </c>
    </row>
    <row r="35" spans="1:13">
      <c r="B35" s="1432"/>
      <c r="C35" s="1441">
        <f>E32</f>
        <v>120</v>
      </c>
      <c r="D35" s="1408">
        <f t="shared" ref="D35:M35" si="6">$C$35*D36</f>
        <v>0</v>
      </c>
      <c r="E35" s="1408">
        <f t="shared" si="6"/>
        <v>0</v>
      </c>
      <c r="F35" s="1408">
        <f t="shared" si="6"/>
        <v>0</v>
      </c>
      <c r="G35" s="1408">
        <f t="shared" si="6"/>
        <v>0</v>
      </c>
      <c r="H35" s="1408">
        <f t="shared" si="6"/>
        <v>96</v>
      </c>
      <c r="I35" s="1408">
        <f t="shared" si="6"/>
        <v>0</v>
      </c>
      <c r="J35" s="1408">
        <f t="shared" si="6"/>
        <v>24</v>
      </c>
      <c r="K35" s="1408">
        <f t="shared" si="6"/>
        <v>0</v>
      </c>
      <c r="L35" s="1408">
        <f t="shared" si="6"/>
        <v>0</v>
      </c>
      <c r="M35" s="1408">
        <f t="shared" si="6"/>
        <v>0</v>
      </c>
    </row>
    <row r="36" spans="1:13">
      <c r="B36" s="1442" t="s">
        <v>1559</v>
      </c>
      <c r="C36" s="1436">
        <f>SUM(D36:M36)</f>
        <v>1</v>
      </c>
      <c r="D36" s="1416">
        <v>0</v>
      </c>
      <c r="E36" s="1416">
        <v>0</v>
      </c>
      <c r="F36" s="1416">
        <v>0</v>
      </c>
      <c r="G36" s="1416">
        <v>0</v>
      </c>
      <c r="H36" s="1416">
        <v>0.8</v>
      </c>
      <c r="I36" s="1416">
        <v>0</v>
      </c>
      <c r="J36" s="1416">
        <v>0.2</v>
      </c>
      <c r="K36" s="1416">
        <v>0</v>
      </c>
      <c r="L36" s="1416">
        <v>0</v>
      </c>
      <c r="M36" s="1416">
        <v>0</v>
      </c>
    </row>
    <row r="39" spans="1:13" s="1407" customFormat="1">
      <c r="A39" s="1406" t="s">
        <v>777</v>
      </c>
      <c r="B39" s="1407" t="s">
        <v>1585</v>
      </c>
      <c r="C39" s="1407" t="s">
        <v>764</v>
      </c>
      <c r="D39" s="1407" t="s">
        <v>1549</v>
      </c>
    </row>
    <row r="40" spans="1:13">
      <c r="A40" s="1421"/>
      <c r="B40" s="1432" t="s">
        <v>686</v>
      </c>
      <c r="C40" s="1432" t="s">
        <v>1552</v>
      </c>
      <c r="D40" s="1426">
        <f>N11</f>
        <v>18000</v>
      </c>
      <c r="F40" s="1440"/>
      <c r="G40" s="1410"/>
    </row>
    <row r="41" spans="1:13">
      <c r="B41" s="1431" t="s">
        <v>1560</v>
      </c>
      <c r="C41" s="1431" t="s">
        <v>780</v>
      </c>
      <c r="D41" s="1448">
        <f>S9</f>
        <v>0.65</v>
      </c>
      <c r="G41" s="1440"/>
    </row>
    <row r="42" spans="1:13">
      <c r="B42" s="1431" t="s">
        <v>781</v>
      </c>
      <c r="C42" s="1431" t="s">
        <v>1552</v>
      </c>
      <c r="D42" s="1410">
        <f>D40*D41</f>
        <v>11700</v>
      </c>
    </row>
    <row r="43" spans="1:13">
      <c r="B43" s="1431" t="s">
        <v>1787</v>
      </c>
      <c r="C43" s="1431" t="s">
        <v>1555</v>
      </c>
      <c r="D43" s="1654">
        <f>S7</f>
        <v>45</v>
      </c>
    </row>
    <row r="44" spans="1:13">
      <c r="B44" s="1431" t="s">
        <v>1587</v>
      </c>
      <c r="C44" s="1431" t="s">
        <v>1555</v>
      </c>
      <c r="D44" s="1655">
        <f>S10</f>
        <v>8</v>
      </c>
    </row>
    <row r="45" spans="1:13">
      <c r="B45" s="1431" t="s">
        <v>787</v>
      </c>
      <c r="C45" s="1431" t="s">
        <v>780</v>
      </c>
      <c r="D45" s="1411">
        <v>0</v>
      </c>
    </row>
    <row r="46" spans="1:13">
      <c r="B46" s="1431" t="s">
        <v>1562</v>
      </c>
      <c r="C46" s="1431" t="s">
        <v>780</v>
      </c>
      <c r="D46" s="1448">
        <f>S11</f>
        <v>0.1</v>
      </c>
    </row>
    <row r="47" spans="1:13">
      <c r="B47" s="1431" t="s">
        <v>1563</v>
      </c>
      <c r="C47" s="1431" t="s">
        <v>780</v>
      </c>
      <c r="D47" s="1411">
        <v>0</v>
      </c>
    </row>
    <row r="49" spans="1:15" s="1407" customFormat="1">
      <c r="A49" s="1406">
        <v>1</v>
      </c>
      <c r="B49" s="1407" t="s">
        <v>1564</v>
      </c>
      <c r="C49" s="1431" t="str">
        <f>C34</f>
        <v>Total</v>
      </c>
      <c r="D49" s="1431">
        <f>D34</f>
        <v>2013</v>
      </c>
      <c r="E49" s="1431">
        <f>E34</f>
        <v>2014</v>
      </c>
      <c r="F49" s="1431">
        <f>F34</f>
        <v>2015</v>
      </c>
      <c r="G49" s="1431">
        <f t="shared" ref="G49:M49" si="7">F49+1</f>
        <v>2016</v>
      </c>
      <c r="H49" s="1431">
        <f t="shared" si="7"/>
        <v>2017</v>
      </c>
      <c r="I49" s="1431">
        <f t="shared" si="7"/>
        <v>2018</v>
      </c>
      <c r="J49" s="1431">
        <f t="shared" si="7"/>
        <v>2019</v>
      </c>
      <c r="K49" s="1431">
        <f t="shared" si="7"/>
        <v>2020</v>
      </c>
      <c r="L49" s="1431">
        <f t="shared" si="7"/>
        <v>2021</v>
      </c>
      <c r="M49" s="1431">
        <f t="shared" si="7"/>
        <v>2022</v>
      </c>
    </row>
    <row r="50" spans="1:15">
      <c r="B50" s="1432" t="s">
        <v>791</v>
      </c>
      <c r="C50" s="1441">
        <f>SUM(D50:M50)</f>
        <v>526.5</v>
      </c>
      <c r="D50" s="1441">
        <f>$D$42*D52*D51/1000</f>
        <v>0</v>
      </c>
      <c r="E50" s="1441">
        <f t="shared" ref="E50:M50" si="8">$D$42*E52*E51/1000</f>
        <v>0</v>
      </c>
      <c r="F50" s="1441">
        <f t="shared" si="8"/>
        <v>0</v>
      </c>
      <c r="G50" s="1441">
        <f t="shared" si="8"/>
        <v>0</v>
      </c>
      <c r="H50" s="1441">
        <f t="shared" si="8"/>
        <v>0</v>
      </c>
      <c r="I50" s="1441">
        <f t="shared" si="8"/>
        <v>0</v>
      </c>
      <c r="J50" s="1441">
        <f t="shared" si="8"/>
        <v>0</v>
      </c>
      <c r="K50" s="1441">
        <f t="shared" si="8"/>
        <v>526.5</v>
      </c>
      <c r="L50" s="1441">
        <f t="shared" si="8"/>
        <v>0</v>
      </c>
      <c r="M50" s="1441">
        <f t="shared" si="8"/>
        <v>0</v>
      </c>
    </row>
    <row r="51" spans="1:15">
      <c r="B51" s="1444" t="s">
        <v>792</v>
      </c>
      <c r="C51" s="1436">
        <f>SUM(D51:M51)</f>
        <v>1</v>
      </c>
      <c r="D51" s="1416">
        <v>0</v>
      </c>
      <c r="E51" s="1416">
        <v>0</v>
      </c>
      <c r="F51" s="1416">
        <v>0</v>
      </c>
      <c r="G51" s="1416">
        <v>0</v>
      </c>
      <c r="H51" s="1416">
        <v>0</v>
      </c>
      <c r="I51" s="1416">
        <v>0</v>
      </c>
      <c r="J51" s="1416">
        <v>0</v>
      </c>
      <c r="K51" s="1416">
        <v>1</v>
      </c>
      <c r="L51" s="1416">
        <v>0</v>
      </c>
      <c r="M51" s="1416">
        <v>0</v>
      </c>
    </row>
    <row r="52" spans="1:15">
      <c r="B52" s="1444" t="s">
        <v>1565</v>
      </c>
      <c r="D52" s="1439">
        <f>D43</f>
        <v>45</v>
      </c>
      <c r="E52" s="1439">
        <f t="shared" ref="E52:M52" si="9">D52*(1+E53)</f>
        <v>45</v>
      </c>
      <c r="F52" s="1439">
        <f t="shared" si="9"/>
        <v>45</v>
      </c>
      <c r="G52" s="1439">
        <f t="shared" si="9"/>
        <v>45</v>
      </c>
      <c r="H52" s="1439">
        <f t="shared" si="9"/>
        <v>45</v>
      </c>
      <c r="I52" s="1439">
        <f t="shared" si="9"/>
        <v>45</v>
      </c>
      <c r="J52" s="1439">
        <f t="shared" si="9"/>
        <v>45</v>
      </c>
      <c r="K52" s="1439">
        <f t="shared" si="9"/>
        <v>45</v>
      </c>
      <c r="L52" s="1439">
        <f t="shared" si="9"/>
        <v>45</v>
      </c>
      <c r="M52" s="1439">
        <f t="shared" si="9"/>
        <v>45</v>
      </c>
    </row>
    <row r="53" spans="1:15">
      <c r="B53" s="1444" t="s">
        <v>1563</v>
      </c>
      <c r="E53" s="1443">
        <f t="shared" ref="E53:J53" si="10">D47</f>
        <v>0</v>
      </c>
      <c r="F53" s="1443">
        <f t="shared" si="10"/>
        <v>0</v>
      </c>
      <c r="G53" s="1443">
        <f t="shared" si="10"/>
        <v>0</v>
      </c>
      <c r="H53" s="1443">
        <f t="shared" si="10"/>
        <v>0</v>
      </c>
      <c r="I53" s="1443">
        <f t="shared" si="10"/>
        <v>0</v>
      </c>
      <c r="J53" s="1443">
        <f t="shared" si="10"/>
        <v>0</v>
      </c>
      <c r="K53" s="1443">
        <f>J47</f>
        <v>0</v>
      </c>
      <c r="L53" s="1443">
        <f>K47</f>
        <v>0</v>
      </c>
      <c r="M53" s="1443">
        <f>L47</f>
        <v>0</v>
      </c>
    </row>
    <row r="54" spans="1:15">
      <c r="B54" s="1444" t="s">
        <v>1788</v>
      </c>
      <c r="C54" s="1440">
        <f>S5</f>
        <v>170</v>
      </c>
      <c r="D54" s="1440">
        <f>D51*$C$54</f>
        <v>0</v>
      </c>
      <c r="E54" s="1440">
        <f t="shared" ref="E54:M54" si="11">E51*$C$54</f>
        <v>0</v>
      </c>
      <c r="F54" s="1440">
        <f t="shared" si="11"/>
        <v>0</v>
      </c>
      <c r="G54" s="1440">
        <f t="shared" si="11"/>
        <v>0</v>
      </c>
      <c r="H54" s="1440">
        <f t="shared" si="11"/>
        <v>0</v>
      </c>
      <c r="I54" s="1440">
        <f t="shared" si="11"/>
        <v>0</v>
      </c>
      <c r="J54" s="1440">
        <f t="shared" si="11"/>
        <v>0</v>
      </c>
      <c r="K54" s="1440">
        <f t="shared" si="11"/>
        <v>170</v>
      </c>
      <c r="L54" s="1440">
        <f t="shared" si="11"/>
        <v>0</v>
      </c>
      <c r="M54" s="1440">
        <f t="shared" si="11"/>
        <v>0</v>
      </c>
    </row>
    <row r="55" spans="1:15">
      <c r="B55" s="1444"/>
      <c r="F55" s="1443"/>
      <c r="G55" s="1443"/>
    </row>
    <row r="56" spans="1:15" s="1407" customFormat="1">
      <c r="A56" s="1406">
        <v>2</v>
      </c>
      <c r="B56" s="1407" t="s">
        <v>794</v>
      </c>
      <c r="C56" s="1431" t="str">
        <f>C49</f>
        <v>Total</v>
      </c>
      <c r="D56" s="1431">
        <f t="shared" ref="D56:J56" si="12">D49</f>
        <v>2013</v>
      </c>
      <c r="E56" s="1431">
        <f t="shared" si="12"/>
        <v>2014</v>
      </c>
      <c r="F56" s="1431">
        <f t="shared" si="12"/>
        <v>2015</v>
      </c>
      <c r="G56" s="1431">
        <f t="shared" si="12"/>
        <v>2016</v>
      </c>
      <c r="H56" s="1431">
        <f t="shared" si="12"/>
        <v>2017</v>
      </c>
      <c r="I56" s="1431">
        <f t="shared" si="12"/>
        <v>2018</v>
      </c>
      <c r="J56" s="1431">
        <f t="shared" si="12"/>
        <v>2019</v>
      </c>
      <c r="K56" s="1431">
        <f>K49</f>
        <v>2020</v>
      </c>
      <c r="L56" s="1431">
        <f>L49</f>
        <v>2021</v>
      </c>
      <c r="M56" s="1431">
        <f>M49</f>
        <v>2022</v>
      </c>
    </row>
    <row r="57" spans="1:15">
      <c r="B57" s="1432" t="s">
        <v>1586</v>
      </c>
      <c r="C57" s="1408">
        <f>C50</f>
        <v>526.5</v>
      </c>
      <c r="D57" s="1441">
        <f>$C$57*D58</f>
        <v>0</v>
      </c>
      <c r="E57" s="1441">
        <f t="shared" ref="E57:M57" si="13">$C$57*E58</f>
        <v>0</v>
      </c>
      <c r="F57" s="1441">
        <f t="shared" si="13"/>
        <v>0</v>
      </c>
      <c r="G57" s="1441">
        <f t="shared" si="13"/>
        <v>0</v>
      </c>
      <c r="H57" s="1441">
        <f t="shared" si="13"/>
        <v>0</v>
      </c>
      <c r="I57" s="1441">
        <f t="shared" si="13"/>
        <v>0</v>
      </c>
      <c r="J57" s="1441">
        <f t="shared" si="13"/>
        <v>0</v>
      </c>
      <c r="K57" s="1441">
        <f t="shared" si="13"/>
        <v>0</v>
      </c>
      <c r="L57" s="1441">
        <f t="shared" si="13"/>
        <v>0</v>
      </c>
      <c r="M57" s="1441">
        <f t="shared" si="13"/>
        <v>526.5</v>
      </c>
    </row>
    <row r="58" spans="1:15">
      <c r="B58" s="1442" t="s">
        <v>794</v>
      </c>
      <c r="C58" s="1417">
        <f>SUM(D58:M58)</f>
        <v>1</v>
      </c>
      <c r="D58" s="1411">
        <v>0</v>
      </c>
      <c r="E58" s="1411">
        <v>0</v>
      </c>
      <c r="F58" s="1411">
        <v>0</v>
      </c>
      <c r="G58" s="1411">
        <v>0</v>
      </c>
      <c r="H58" s="1411">
        <v>0</v>
      </c>
      <c r="I58" s="1411">
        <v>0</v>
      </c>
      <c r="J58" s="1411">
        <v>0</v>
      </c>
      <c r="K58" s="1411">
        <v>0</v>
      </c>
      <c r="L58" s="1411">
        <v>0</v>
      </c>
      <c r="M58" s="1411">
        <v>1</v>
      </c>
    </row>
    <row r="59" spans="1:15">
      <c r="B59" s="1442" t="s">
        <v>1777</v>
      </c>
      <c r="C59" s="1410">
        <f>C54</f>
        <v>170</v>
      </c>
      <c r="D59" s="1410">
        <f>D58*$C$59</f>
        <v>0</v>
      </c>
      <c r="E59" s="1410">
        <f t="shared" ref="E59:M59" si="14">E58*$C$59</f>
        <v>0</v>
      </c>
      <c r="F59" s="1410">
        <f t="shared" si="14"/>
        <v>0</v>
      </c>
      <c r="G59" s="1410">
        <f t="shared" si="14"/>
        <v>0</v>
      </c>
      <c r="H59" s="1410">
        <f t="shared" si="14"/>
        <v>0</v>
      </c>
      <c r="I59" s="1410">
        <f t="shared" si="14"/>
        <v>0</v>
      </c>
      <c r="J59" s="1410">
        <f t="shared" si="14"/>
        <v>0</v>
      </c>
      <c r="K59" s="1410">
        <f t="shared" si="14"/>
        <v>0</v>
      </c>
      <c r="L59" s="1410">
        <f t="shared" si="14"/>
        <v>0</v>
      </c>
      <c r="M59" s="1410">
        <f t="shared" si="14"/>
        <v>170</v>
      </c>
    </row>
    <row r="60" spans="1:15">
      <c r="B60" s="1444"/>
      <c r="C60" s="1425"/>
      <c r="D60" s="1433"/>
      <c r="E60" s="1433"/>
      <c r="F60" s="1433"/>
      <c r="G60" s="1433"/>
    </row>
    <row r="61" spans="1:15">
      <c r="C61" s="1440"/>
      <c r="D61" s="1440"/>
      <c r="E61" s="1440"/>
      <c r="F61" s="1440"/>
      <c r="G61" s="1440"/>
    </row>
    <row r="62" spans="1:15" s="1407" customFormat="1">
      <c r="A62" s="1406">
        <v>3</v>
      </c>
      <c r="B62" s="1407" t="s">
        <v>1175</v>
      </c>
      <c r="C62" s="1431" t="str">
        <f>C56</f>
        <v>Total</v>
      </c>
      <c r="D62" s="1431">
        <f t="shared" ref="D62:J62" si="15">D56</f>
        <v>2013</v>
      </c>
      <c r="E62" s="1431">
        <f t="shared" si="15"/>
        <v>2014</v>
      </c>
      <c r="F62" s="1431">
        <f t="shared" si="15"/>
        <v>2015</v>
      </c>
      <c r="G62" s="1431">
        <f t="shared" si="15"/>
        <v>2016</v>
      </c>
      <c r="H62" s="1431">
        <f t="shared" si="15"/>
        <v>2017</v>
      </c>
      <c r="I62" s="1431">
        <f t="shared" si="15"/>
        <v>2018</v>
      </c>
      <c r="J62" s="1431">
        <f t="shared" si="15"/>
        <v>2019</v>
      </c>
      <c r="K62" s="1431">
        <f>K56</f>
        <v>2020</v>
      </c>
      <c r="L62" s="1431">
        <f>L56</f>
        <v>2021</v>
      </c>
      <c r="M62" s="1431">
        <f>M56</f>
        <v>2022</v>
      </c>
    </row>
    <row r="63" spans="1:15">
      <c r="B63" s="1432"/>
      <c r="C63" s="1441">
        <f>SUM(D63:M63)</f>
        <v>526.5</v>
      </c>
      <c r="D63" s="1408"/>
      <c r="E63" s="1408"/>
      <c r="F63" s="1408">
        <f>D50*$D66+E50*$D65+F50*$D64</f>
        <v>0</v>
      </c>
      <c r="G63" s="1408">
        <f>E50*$D66+F50*$D65+G50*$D64</f>
        <v>0</v>
      </c>
      <c r="H63" s="1408">
        <f t="shared" ref="H63:M63" si="16">F50*$D66+G50*$D65+H50*$D64</f>
        <v>0</v>
      </c>
      <c r="I63" s="1408">
        <f t="shared" si="16"/>
        <v>0</v>
      </c>
      <c r="J63" s="1408">
        <f t="shared" si="16"/>
        <v>0</v>
      </c>
      <c r="K63" s="1408">
        <f t="shared" si="16"/>
        <v>263.25</v>
      </c>
      <c r="L63" s="1408">
        <f t="shared" si="16"/>
        <v>263.25</v>
      </c>
      <c r="M63" s="1408">
        <f t="shared" si="16"/>
        <v>0</v>
      </c>
      <c r="O63" s="1591"/>
    </row>
    <row r="64" spans="1:15">
      <c r="B64" s="1431" t="s">
        <v>797</v>
      </c>
      <c r="C64" s="1440" t="s">
        <v>798</v>
      </c>
      <c r="D64" s="1416">
        <v>0.5</v>
      </c>
      <c r="E64" s="1440"/>
      <c r="F64" s="1440"/>
      <c r="G64" s="1440"/>
    </row>
    <row r="65" spans="1:13">
      <c r="C65" s="1440" t="s">
        <v>799</v>
      </c>
      <c r="D65" s="1416">
        <v>0.5</v>
      </c>
      <c r="E65" s="1440"/>
      <c r="F65" s="1440"/>
      <c r="G65" s="1440"/>
    </row>
    <row r="66" spans="1:13">
      <c r="C66" s="1440" t="s">
        <v>800</v>
      </c>
      <c r="D66" s="1417">
        <f>1-SUM(D64:D65)</f>
        <v>0</v>
      </c>
      <c r="E66" s="1440"/>
      <c r="F66" s="1440"/>
      <c r="G66" s="1440"/>
    </row>
    <row r="67" spans="1:13">
      <c r="C67" s="1440"/>
      <c r="D67" s="1416"/>
      <c r="E67" s="1440"/>
      <c r="F67" s="1440"/>
      <c r="G67" s="1440"/>
    </row>
    <row r="68" spans="1:13">
      <c r="C68" s="1440"/>
      <c r="D68" s="1416"/>
      <c r="E68" s="1440"/>
      <c r="F68" s="1440"/>
      <c r="G68" s="1440"/>
    </row>
    <row r="69" spans="1:13" s="1407" customFormat="1">
      <c r="A69" s="1406">
        <v>4</v>
      </c>
      <c r="B69" s="1407" t="s">
        <v>1462</v>
      </c>
      <c r="C69" s="1440" t="str">
        <f>C62</f>
        <v>Total</v>
      </c>
      <c r="D69" s="1431">
        <f t="shared" ref="D69:J69" si="17">D62</f>
        <v>2013</v>
      </c>
      <c r="E69" s="1431">
        <f t="shared" si="17"/>
        <v>2014</v>
      </c>
      <c r="F69" s="1431">
        <f t="shared" si="17"/>
        <v>2015</v>
      </c>
      <c r="G69" s="1431">
        <f t="shared" si="17"/>
        <v>2016</v>
      </c>
      <c r="H69" s="1431">
        <f t="shared" si="17"/>
        <v>2017</v>
      </c>
      <c r="I69" s="1431">
        <f t="shared" si="17"/>
        <v>2018</v>
      </c>
      <c r="J69" s="1431">
        <f t="shared" si="17"/>
        <v>2019</v>
      </c>
      <c r="K69" s="1431">
        <f>K62</f>
        <v>2020</v>
      </c>
      <c r="L69" s="1431">
        <f>L62</f>
        <v>2021</v>
      </c>
      <c r="M69" s="1431">
        <f>M62</f>
        <v>2022</v>
      </c>
    </row>
    <row r="70" spans="1:13">
      <c r="B70" s="1432" t="s">
        <v>1566</v>
      </c>
      <c r="C70" s="1441">
        <f>D40*D44/1000</f>
        <v>144</v>
      </c>
      <c r="D70" s="1408">
        <f>$C$70*D71</f>
        <v>0</v>
      </c>
      <c r="E70" s="1408">
        <f t="shared" ref="E70:M70" si="18">$C$70*E71</f>
        <v>0</v>
      </c>
      <c r="F70" s="1408">
        <f t="shared" si="18"/>
        <v>0</v>
      </c>
      <c r="G70" s="1408">
        <f t="shared" si="18"/>
        <v>0</v>
      </c>
      <c r="H70" s="1408">
        <f t="shared" si="18"/>
        <v>0</v>
      </c>
      <c r="I70" s="1408">
        <f t="shared" si="18"/>
        <v>0</v>
      </c>
      <c r="J70" s="1408">
        <f t="shared" si="18"/>
        <v>0</v>
      </c>
      <c r="K70" s="1408">
        <f t="shared" si="18"/>
        <v>72</v>
      </c>
      <c r="L70" s="1408">
        <f t="shared" si="18"/>
        <v>72</v>
      </c>
      <c r="M70" s="1408">
        <f t="shared" si="18"/>
        <v>0</v>
      </c>
    </row>
    <row r="71" spans="1:13">
      <c r="B71" s="1431" t="s">
        <v>1559</v>
      </c>
      <c r="C71" s="1436">
        <f>SUM(D71:M71)</f>
        <v>1</v>
      </c>
      <c r="D71" s="1416">
        <v>0</v>
      </c>
      <c r="E71" s="1416">
        <v>0</v>
      </c>
      <c r="F71" s="1416">
        <v>0</v>
      </c>
      <c r="G71" s="1416">
        <v>0</v>
      </c>
      <c r="H71" s="1416">
        <v>0</v>
      </c>
      <c r="I71" s="1416">
        <v>0</v>
      </c>
      <c r="J71" s="1416">
        <v>0</v>
      </c>
      <c r="K71" s="1416">
        <v>0.5</v>
      </c>
      <c r="L71" s="1416">
        <v>0.5</v>
      </c>
      <c r="M71" s="1416">
        <v>0</v>
      </c>
    </row>
    <row r="72" spans="1:13">
      <c r="C72" s="1433"/>
      <c r="D72" s="1425"/>
      <c r="E72" s="1425"/>
      <c r="F72" s="1424"/>
      <c r="G72" s="1424"/>
      <c r="H72" s="1435"/>
    </row>
    <row r="73" spans="1:13">
      <c r="C73" s="1433"/>
      <c r="D73" s="1424"/>
      <c r="E73" s="1424"/>
      <c r="F73" s="1424"/>
      <c r="G73" s="1424"/>
    </row>
    <row r="74" spans="1:13">
      <c r="A74" s="1406">
        <v>5</v>
      </c>
      <c r="B74" s="1407" t="s">
        <v>1466</v>
      </c>
      <c r="C74" s="1431" t="str">
        <f>C69</f>
        <v>Total</v>
      </c>
      <c r="D74" s="1431">
        <f t="shared" ref="D74:I74" si="19">D69</f>
        <v>2013</v>
      </c>
      <c r="E74" s="1431">
        <f t="shared" si="19"/>
        <v>2014</v>
      </c>
      <c r="F74" s="1431">
        <f t="shared" si="19"/>
        <v>2015</v>
      </c>
      <c r="G74" s="1431">
        <f t="shared" si="19"/>
        <v>2016</v>
      </c>
      <c r="H74" s="1431">
        <f t="shared" si="19"/>
        <v>2017</v>
      </c>
      <c r="I74" s="1431">
        <f t="shared" si="19"/>
        <v>2018</v>
      </c>
      <c r="J74" s="1431">
        <f>I74+1</f>
        <v>2019</v>
      </c>
      <c r="K74" s="1431">
        <f>J74+1</f>
        <v>2020</v>
      </c>
      <c r="L74" s="1431">
        <f>K74+1</f>
        <v>2021</v>
      </c>
      <c r="M74" s="1431">
        <f>L74+1</f>
        <v>2022</v>
      </c>
    </row>
    <row r="75" spans="1:13">
      <c r="B75" s="1432" t="s">
        <v>1567</v>
      </c>
      <c r="C75" s="1441">
        <f>$C$70*C58</f>
        <v>144</v>
      </c>
      <c r="D75" s="1441">
        <f t="shared" ref="D75:M75" si="20">$C$70*D58</f>
        <v>0</v>
      </c>
      <c r="E75" s="1441">
        <f t="shared" si="20"/>
        <v>0</v>
      </c>
      <c r="F75" s="1441">
        <f t="shared" si="20"/>
        <v>0</v>
      </c>
      <c r="G75" s="1441">
        <f t="shared" si="20"/>
        <v>0</v>
      </c>
      <c r="H75" s="1441">
        <f t="shared" si="20"/>
        <v>0</v>
      </c>
      <c r="I75" s="1441">
        <f t="shared" si="20"/>
        <v>0</v>
      </c>
      <c r="J75" s="1441">
        <f t="shared" si="20"/>
        <v>0</v>
      </c>
      <c r="K75" s="1441">
        <f t="shared" si="20"/>
        <v>0</v>
      </c>
      <c r="L75" s="1441">
        <f t="shared" si="20"/>
        <v>0</v>
      </c>
      <c r="M75" s="1441">
        <f t="shared" si="20"/>
        <v>144</v>
      </c>
    </row>
    <row r="76" spans="1:13">
      <c r="B76" s="1431" t="s">
        <v>803</v>
      </c>
      <c r="C76" s="1440">
        <f>$E$32*C58</f>
        <v>120</v>
      </c>
      <c r="D76" s="1440">
        <f t="shared" ref="D76:M76" si="21">$E$32*D58</f>
        <v>0</v>
      </c>
      <c r="E76" s="1440">
        <f t="shared" si="21"/>
        <v>0</v>
      </c>
      <c r="F76" s="1440">
        <f t="shared" si="21"/>
        <v>0</v>
      </c>
      <c r="G76" s="1440">
        <f t="shared" si="21"/>
        <v>0</v>
      </c>
      <c r="H76" s="1440">
        <f t="shared" si="21"/>
        <v>0</v>
      </c>
      <c r="I76" s="1440">
        <f t="shared" si="21"/>
        <v>0</v>
      </c>
      <c r="J76" s="1440">
        <f t="shared" si="21"/>
        <v>0</v>
      </c>
      <c r="K76" s="1440">
        <f t="shared" si="21"/>
        <v>0</v>
      </c>
      <c r="L76" s="1440">
        <f t="shared" si="21"/>
        <v>0</v>
      </c>
      <c r="M76" s="1440">
        <f t="shared" si="21"/>
        <v>120</v>
      </c>
    </row>
    <row r="77" spans="1:13" s="1447" customFormat="1">
      <c r="A77" s="1459"/>
      <c r="B77" s="1447" t="s">
        <v>804</v>
      </c>
      <c r="C77" s="1458">
        <f>SUMIF(D113:M113,"&lt;="&amp;D11,D119:M119)</f>
        <v>56.997</v>
      </c>
      <c r="D77" s="1410">
        <f t="shared" ref="D77:J77" si="22">$C$77*D58</f>
        <v>0</v>
      </c>
      <c r="E77" s="1410">
        <f t="shared" si="22"/>
        <v>0</v>
      </c>
      <c r="F77" s="1410">
        <f t="shared" si="22"/>
        <v>0</v>
      </c>
      <c r="G77" s="1410">
        <f t="shared" si="22"/>
        <v>0</v>
      </c>
      <c r="H77" s="1410">
        <f t="shared" si="22"/>
        <v>0</v>
      </c>
      <c r="I77" s="1410">
        <f t="shared" si="22"/>
        <v>0</v>
      </c>
      <c r="J77" s="1410">
        <f t="shared" si="22"/>
        <v>0</v>
      </c>
      <c r="K77" s="1410">
        <f>$C$77*K58</f>
        <v>0</v>
      </c>
      <c r="L77" s="1410">
        <f>$C$77*L58</f>
        <v>0</v>
      </c>
      <c r="M77" s="1410">
        <f>$C$77*M58</f>
        <v>56.997</v>
      </c>
    </row>
    <row r="78" spans="1:13" s="1447" customFormat="1">
      <c r="A78" s="1459"/>
      <c r="B78" s="1447" t="s">
        <v>805</v>
      </c>
      <c r="C78" s="1410">
        <f>SUM(D78:M78)</f>
        <v>0</v>
      </c>
      <c r="D78" s="1410">
        <f t="shared" ref="D78:M78" si="23">IF(D74&gt;$D$11,D119,0)</f>
        <v>0</v>
      </c>
      <c r="E78" s="1410">
        <f t="shared" si="23"/>
        <v>0</v>
      </c>
      <c r="F78" s="1410">
        <f t="shared" si="23"/>
        <v>0</v>
      </c>
      <c r="G78" s="1410">
        <f t="shared" si="23"/>
        <v>0</v>
      </c>
      <c r="H78" s="1410">
        <f t="shared" si="23"/>
        <v>0</v>
      </c>
      <c r="I78" s="1410">
        <f t="shared" si="23"/>
        <v>0</v>
      </c>
      <c r="J78" s="1410">
        <f t="shared" si="23"/>
        <v>0</v>
      </c>
      <c r="K78" s="1410">
        <f t="shared" si="23"/>
        <v>0</v>
      </c>
      <c r="L78" s="1410">
        <f t="shared" si="23"/>
        <v>0</v>
      </c>
      <c r="M78" s="1410">
        <f t="shared" si="23"/>
        <v>0</v>
      </c>
    </row>
    <row r="79" spans="1:13">
      <c r="B79" s="1431" t="s">
        <v>656</v>
      </c>
      <c r="C79" s="1440">
        <f>$D$46*C57</f>
        <v>52.650000000000006</v>
      </c>
      <c r="D79" s="1440">
        <f t="shared" ref="D79:J79" si="24">$D$46*D57</f>
        <v>0</v>
      </c>
      <c r="E79" s="1440">
        <f t="shared" si="24"/>
        <v>0</v>
      </c>
      <c r="F79" s="1440">
        <f t="shared" si="24"/>
        <v>0</v>
      </c>
      <c r="G79" s="1440">
        <f t="shared" si="24"/>
        <v>0</v>
      </c>
      <c r="H79" s="1440">
        <f t="shared" si="24"/>
        <v>0</v>
      </c>
      <c r="I79" s="1440">
        <f t="shared" si="24"/>
        <v>0</v>
      </c>
      <c r="J79" s="1440">
        <f t="shared" si="24"/>
        <v>0</v>
      </c>
      <c r="K79" s="1440">
        <f>$D$46*K57</f>
        <v>0</v>
      </c>
      <c r="L79" s="1440">
        <f>$D$46*L57</f>
        <v>0</v>
      </c>
      <c r="M79" s="1440">
        <f>$D$46*M57</f>
        <v>52.650000000000006</v>
      </c>
    </row>
    <row r="80" spans="1:13">
      <c r="C80" s="1440"/>
      <c r="D80" s="1440"/>
      <c r="E80" s="1440"/>
      <c r="F80" s="1440"/>
      <c r="G80" s="1440"/>
    </row>
    <row r="82" spans="1:13" s="1407" customFormat="1">
      <c r="A82" s="1406">
        <v>6</v>
      </c>
      <c r="B82" s="1407" t="s">
        <v>878</v>
      </c>
      <c r="C82" s="1431" t="str">
        <f>C74</f>
        <v>Total</v>
      </c>
      <c r="D82" s="1431">
        <f t="shared" ref="D82:J82" si="25">D74</f>
        <v>2013</v>
      </c>
      <c r="E82" s="1431">
        <f t="shared" si="25"/>
        <v>2014</v>
      </c>
      <c r="F82" s="1431">
        <f t="shared" si="25"/>
        <v>2015</v>
      </c>
      <c r="G82" s="1431">
        <f t="shared" si="25"/>
        <v>2016</v>
      </c>
      <c r="H82" s="1431">
        <f t="shared" si="25"/>
        <v>2017</v>
      </c>
      <c r="I82" s="1431">
        <f t="shared" si="25"/>
        <v>2018</v>
      </c>
      <c r="J82" s="1431">
        <f t="shared" si="25"/>
        <v>2019</v>
      </c>
      <c r="K82" s="1431">
        <f>K74</f>
        <v>2020</v>
      </c>
      <c r="L82" s="1431">
        <f>L74</f>
        <v>2021</v>
      </c>
      <c r="M82" s="1431">
        <f>M74</f>
        <v>2022</v>
      </c>
    </row>
    <row r="83" spans="1:13">
      <c r="B83" s="1432" t="s">
        <v>26</v>
      </c>
      <c r="C83" s="1441">
        <f t="shared" ref="C83:J83" si="26">C57</f>
        <v>526.5</v>
      </c>
      <c r="D83" s="1441">
        <f t="shared" si="26"/>
        <v>0</v>
      </c>
      <c r="E83" s="1441">
        <f t="shared" si="26"/>
        <v>0</v>
      </c>
      <c r="F83" s="1441">
        <f t="shared" si="26"/>
        <v>0</v>
      </c>
      <c r="G83" s="1441">
        <f t="shared" si="26"/>
        <v>0</v>
      </c>
      <c r="H83" s="1441">
        <f t="shared" si="26"/>
        <v>0</v>
      </c>
      <c r="I83" s="1441">
        <f t="shared" si="26"/>
        <v>0</v>
      </c>
      <c r="J83" s="1441">
        <f t="shared" si="26"/>
        <v>0</v>
      </c>
      <c r="K83" s="1441">
        <f>K57</f>
        <v>0</v>
      </c>
      <c r="L83" s="1441">
        <f>L57</f>
        <v>0</v>
      </c>
      <c r="M83" s="1441">
        <f>M57</f>
        <v>526.5</v>
      </c>
    </row>
    <row r="84" spans="1:13">
      <c r="B84" s="1431" t="s">
        <v>432</v>
      </c>
      <c r="C84" s="1440">
        <f>SUM(C75:C77)</f>
        <v>320.99700000000001</v>
      </c>
      <c r="D84" s="1440">
        <f>SUM(D75:D77)</f>
        <v>0</v>
      </c>
      <c r="E84" s="1440">
        <f t="shared" ref="E84:J84" si="27">SUM(E75:E77)</f>
        <v>0</v>
      </c>
      <c r="F84" s="1440">
        <f t="shared" si="27"/>
        <v>0</v>
      </c>
      <c r="G84" s="1440">
        <f t="shared" si="27"/>
        <v>0</v>
      </c>
      <c r="H84" s="1440">
        <f t="shared" si="27"/>
        <v>0</v>
      </c>
      <c r="I84" s="1440">
        <f t="shared" si="27"/>
        <v>0</v>
      </c>
      <c r="J84" s="1440">
        <f t="shared" si="27"/>
        <v>0</v>
      </c>
      <c r="K84" s="1440">
        <f>SUM(K75:K77)</f>
        <v>0</v>
      </c>
      <c r="L84" s="1440">
        <f>SUM(L75:L77)</f>
        <v>0</v>
      </c>
      <c r="M84" s="1440">
        <f>SUM(M75:M77)</f>
        <v>320.99700000000001</v>
      </c>
    </row>
    <row r="85" spans="1:13">
      <c r="B85" s="1431" t="s">
        <v>28</v>
      </c>
      <c r="C85" s="1440">
        <f>C83-C84</f>
        <v>205.50299999999999</v>
      </c>
      <c r="D85" s="1440">
        <f t="shared" ref="D85:M85" si="28">D83-D84</f>
        <v>0</v>
      </c>
      <c r="E85" s="1440">
        <f t="shared" si="28"/>
        <v>0</v>
      </c>
      <c r="F85" s="1440">
        <f t="shared" si="28"/>
        <v>0</v>
      </c>
      <c r="G85" s="1440">
        <f t="shared" si="28"/>
        <v>0</v>
      </c>
      <c r="H85" s="1440">
        <f t="shared" si="28"/>
        <v>0</v>
      </c>
      <c r="I85" s="1440">
        <f t="shared" si="28"/>
        <v>0</v>
      </c>
      <c r="J85" s="1440">
        <f t="shared" si="28"/>
        <v>0</v>
      </c>
      <c r="K85" s="1440">
        <f t="shared" si="28"/>
        <v>0</v>
      </c>
      <c r="L85" s="1440">
        <f t="shared" si="28"/>
        <v>0</v>
      </c>
      <c r="M85" s="1440">
        <f t="shared" si="28"/>
        <v>205.50299999999999</v>
      </c>
    </row>
    <row r="86" spans="1:13">
      <c r="B86" s="1431" t="s">
        <v>656</v>
      </c>
      <c r="C86" s="1440">
        <f>C79</f>
        <v>52.650000000000006</v>
      </c>
      <c r="D86" s="1440">
        <f>D79</f>
        <v>0</v>
      </c>
      <c r="E86" s="1440">
        <f t="shared" ref="E86:J86" si="29">E79</f>
        <v>0</v>
      </c>
      <c r="F86" s="1440">
        <f t="shared" si="29"/>
        <v>0</v>
      </c>
      <c r="G86" s="1440">
        <f t="shared" si="29"/>
        <v>0</v>
      </c>
      <c r="H86" s="1440">
        <f t="shared" si="29"/>
        <v>0</v>
      </c>
      <c r="I86" s="1440">
        <f t="shared" si="29"/>
        <v>0</v>
      </c>
      <c r="J86" s="1440">
        <f t="shared" si="29"/>
        <v>0</v>
      </c>
      <c r="K86" s="1440">
        <f>K79</f>
        <v>0</v>
      </c>
      <c r="L86" s="1440">
        <f>L79</f>
        <v>0</v>
      </c>
      <c r="M86" s="1440">
        <f>M79</f>
        <v>52.650000000000006</v>
      </c>
    </row>
    <row r="87" spans="1:13">
      <c r="B87" s="1431" t="s">
        <v>805</v>
      </c>
      <c r="C87" s="1410">
        <f>C78</f>
        <v>0</v>
      </c>
      <c r="D87" s="1440">
        <f>D78</f>
        <v>0</v>
      </c>
      <c r="E87" s="1440">
        <f t="shared" ref="E87:J87" si="30">E78</f>
        <v>0</v>
      </c>
      <c r="F87" s="1440">
        <f t="shared" si="30"/>
        <v>0</v>
      </c>
      <c r="G87" s="1440">
        <f t="shared" si="30"/>
        <v>0</v>
      </c>
      <c r="H87" s="1440">
        <f t="shared" si="30"/>
        <v>0</v>
      </c>
      <c r="I87" s="1440">
        <f t="shared" si="30"/>
        <v>0</v>
      </c>
      <c r="J87" s="1440">
        <f t="shared" si="30"/>
        <v>0</v>
      </c>
      <c r="K87" s="1440">
        <f>K78</f>
        <v>0</v>
      </c>
      <c r="L87" s="1440">
        <f>L78</f>
        <v>0</v>
      </c>
      <c r="M87" s="1440">
        <f>M78</f>
        <v>0</v>
      </c>
    </row>
    <row r="88" spans="1:13">
      <c r="B88" s="1431" t="s">
        <v>822</v>
      </c>
      <c r="C88" s="1440">
        <f>C85-C86-C87</f>
        <v>152.85299999999998</v>
      </c>
      <c r="D88" s="1440">
        <f t="shared" ref="D88:M88" si="31">D85-D86-D87</f>
        <v>0</v>
      </c>
      <c r="E88" s="1440">
        <f t="shared" si="31"/>
        <v>0</v>
      </c>
      <c r="F88" s="1440">
        <f t="shared" si="31"/>
        <v>0</v>
      </c>
      <c r="G88" s="1440">
        <f t="shared" si="31"/>
        <v>0</v>
      </c>
      <c r="H88" s="1440">
        <f t="shared" si="31"/>
        <v>0</v>
      </c>
      <c r="I88" s="1440">
        <f t="shared" si="31"/>
        <v>0</v>
      </c>
      <c r="J88" s="1440">
        <f t="shared" si="31"/>
        <v>0</v>
      </c>
      <c r="K88" s="1440">
        <f t="shared" si="31"/>
        <v>0</v>
      </c>
      <c r="L88" s="1440">
        <f t="shared" si="31"/>
        <v>0</v>
      </c>
      <c r="M88" s="1440">
        <f t="shared" si="31"/>
        <v>152.85299999999998</v>
      </c>
    </row>
    <row r="89" spans="1:13">
      <c r="B89" s="1431" t="s">
        <v>290</v>
      </c>
      <c r="C89" s="1440">
        <f>SUM(D89:M89)</f>
        <v>30.570599999999999</v>
      </c>
      <c r="D89" s="1410">
        <f t="shared" ref="D89:M89" si="32">D88*D22</f>
        <v>0</v>
      </c>
      <c r="E89" s="1410">
        <f t="shared" si="32"/>
        <v>0</v>
      </c>
      <c r="F89" s="1410">
        <f t="shared" si="32"/>
        <v>0</v>
      </c>
      <c r="G89" s="1410">
        <f t="shared" si="32"/>
        <v>0</v>
      </c>
      <c r="H89" s="1410">
        <f t="shared" si="32"/>
        <v>0</v>
      </c>
      <c r="I89" s="1410">
        <f t="shared" si="32"/>
        <v>0</v>
      </c>
      <c r="J89" s="1410">
        <f t="shared" si="32"/>
        <v>0</v>
      </c>
      <c r="K89" s="1410">
        <f t="shared" si="32"/>
        <v>0</v>
      </c>
      <c r="L89" s="1410">
        <f t="shared" si="32"/>
        <v>0</v>
      </c>
      <c r="M89" s="1410">
        <f t="shared" si="32"/>
        <v>30.570599999999999</v>
      </c>
    </row>
    <row r="90" spans="1:13">
      <c r="B90" s="1431" t="s">
        <v>661</v>
      </c>
      <c r="C90" s="1440">
        <f>SUM(D90:M90)</f>
        <v>122.28239999999998</v>
      </c>
      <c r="D90" s="1440">
        <f>D88-D89</f>
        <v>0</v>
      </c>
      <c r="E90" s="1440">
        <f t="shared" ref="E90:J90" si="33">E88-E89</f>
        <v>0</v>
      </c>
      <c r="F90" s="1440">
        <f t="shared" si="33"/>
        <v>0</v>
      </c>
      <c r="G90" s="1440">
        <f t="shared" si="33"/>
        <v>0</v>
      </c>
      <c r="H90" s="1440">
        <f t="shared" si="33"/>
        <v>0</v>
      </c>
      <c r="I90" s="1440">
        <f t="shared" si="33"/>
        <v>0</v>
      </c>
      <c r="J90" s="1440">
        <f t="shared" si="33"/>
        <v>0</v>
      </c>
      <c r="K90" s="1440">
        <f>K88-K89</f>
        <v>0</v>
      </c>
      <c r="L90" s="1440">
        <f>L88-L89</f>
        <v>0</v>
      </c>
      <c r="M90" s="1440">
        <f>M88-M89</f>
        <v>122.28239999999998</v>
      </c>
    </row>
    <row r="91" spans="1:13">
      <c r="B91" s="1428" t="s">
        <v>197</v>
      </c>
      <c r="C91" s="1429">
        <f>IF(C83&lt;&gt;0,1-C84/C83,"")</f>
        <v>0.39031908831908835</v>
      </c>
      <c r="D91" s="1429" t="str">
        <f t="shared" ref="D91:J91" si="34">IF(D83&lt;&gt;0,1-D84/D83,"")</f>
        <v/>
      </c>
      <c r="E91" s="1429" t="str">
        <f t="shared" si="34"/>
        <v/>
      </c>
      <c r="F91" s="1429" t="str">
        <f t="shared" si="34"/>
        <v/>
      </c>
      <c r="G91" s="1429" t="str">
        <f t="shared" si="34"/>
        <v/>
      </c>
      <c r="H91" s="1429" t="str">
        <f t="shared" si="34"/>
        <v/>
      </c>
      <c r="I91" s="1429" t="str">
        <f t="shared" si="34"/>
        <v/>
      </c>
      <c r="J91" s="1429" t="str">
        <f t="shared" si="34"/>
        <v/>
      </c>
      <c r="K91" s="1429" t="str">
        <f>IF(K83&lt;&gt;0,1-K84/K83,"")</f>
        <v/>
      </c>
      <c r="L91" s="1429" t="str">
        <f>IF(L83&lt;&gt;0,1-L84/L83,"")</f>
        <v/>
      </c>
      <c r="M91" s="1429">
        <f>IF(M83&lt;&gt;0,1-M84/M83,"")</f>
        <v>0.39031908831908835</v>
      </c>
    </row>
    <row r="92" spans="1:13">
      <c r="B92" s="1428" t="s">
        <v>1779</v>
      </c>
      <c r="C92" s="1429">
        <f>IF(C83&lt;&gt;0,C90/C83,"")</f>
        <v>0.23225527065527063</v>
      </c>
      <c r="D92" s="1429" t="str">
        <f t="shared" ref="D92:M92" si="35">IF(D83&lt;&gt;0,D90/D83,"")</f>
        <v/>
      </c>
      <c r="E92" s="1429" t="str">
        <f t="shared" si="35"/>
        <v/>
      </c>
      <c r="F92" s="1429" t="str">
        <f t="shared" si="35"/>
        <v/>
      </c>
      <c r="G92" s="1429" t="str">
        <f t="shared" si="35"/>
        <v/>
      </c>
      <c r="H92" s="1429" t="str">
        <f t="shared" si="35"/>
        <v/>
      </c>
      <c r="I92" s="1429" t="str">
        <f t="shared" si="35"/>
        <v/>
      </c>
      <c r="J92" s="1429" t="str">
        <f t="shared" si="35"/>
        <v/>
      </c>
      <c r="K92" s="1429" t="str">
        <f t="shared" si="35"/>
        <v/>
      </c>
      <c r="L92" s="1429" t="str">
        <f t="shared" si="35"/>
        <v/>
      </c>
      <c r="M92" s="1429">
        <f t="shared" si="35"/>
        <v>0.23225527065527063</v>
      </c>
    </row>
    <row r="93" spans="1:13">
      <c r="B93" s="1428"/>
      <c r="C93" s="1429"/>
      <c r="D93" s="1429"/>
      <c r="E93" s="1429"/>
      <c r="F93" s="1429"/>
      <c r="G93" s="1429"/>
      <c r="H93" s="1429"/>
    </row>
    <row r="94" spans="1:13">
      <c r="D94" s="1440"/>
      <c r="E94" s="1440"/>
      <c r="F94" s="1440"/>
      <c r="G94" s="1440"/>
    </row>
    <row r="95" spans="1:13" s="1407" customFormat="1">
      <c r="A95" s="1406">
        <v>7</v>
      </c>
      <c r="B95" s="1407" t="s">
        <v>1589</v>
      </c>
      <c r="C95" s="1440" t="s">
        <v>642</v>
      </c>
      <c r="D95" s="1431">
        <f t="shared" ref="D95:J95" si="36">D82</f>
        <v>2013</v>
      </c>
      <c r="E95" s="1431">
        <f t="shared" si="36"/>
        <v>2014</v>
      </c>
      <c r="F95" s="1431">
        <f t="shared" si="36"/>
        <v>2015</v>
      </c>
      <c r="G95" s="1431">
        <f t="shared" si="36"/>
        <v>2016</v>
      </c>
      <c r="H95" s="1431">
        <f t="shared" si="36"/>
        <v>2017</v>
      </c>
      <c r="I95" s="1431">
        <f t="shared" si="36"/>
        <v>2018</v>
      </c>
      <c r="J95" s="1431">
        <f t="shared" si="36"/>
        <v>2019</v>
      </c>
      <c r="K95" s="1431">
        <f>K82</f>
        <v>2020</v>
      </c>
      <c r="L95" s="1431">
        <f>L82</f>
        <v>2021</v>
      </c>
      <c r="M95" s="1431">
        <f>M82</f>
        <v>2022</v>
      </c>
    </row>
    <row r="96" spans="1:13">
      <c r="B96" s="1419" t="s">
        <v>850</v>
      </c>
      <c r="C96" s="1441">
        <f>C63</f>
        <v>526.5</v>
      </c>
      <c r="D96" s="1441">
        <f t="shared" ref="D96:J96" si="37">D63</f>
        <v>0</v>
      </c>
      <c r="E96" s="1441">
        <f t="shared" si="37"/>
        <v>0</v>
      </c>
      <c r="F96" s="1441">
        <f t="shared" si="37"/>
        <v>0</v>
      </c>
      <c r="G96" s="1441">
        <f t="shared" si="37"/>
        <v>0</v>
      </c>
      <c r="H96" s="1441">
        <f t="shared" si="37"/>
        <v>0</v>
      </c>
      <c r="I96" s="1441">
        <f t="shared" si="37"/>
        <v>0</v>
      </c>
      <c r="J96" s="1441">
        <f t="shared" si="37"/>
        <v>0</v>
      </c>
      <c r="K96" s="1441">
        <f>K63</f>
        <v>263.25</v>
      </c>
      <c r="L96" s="1441">
        <f>L63</f>
        <v>263.25</v>
      </c>
      <c r="M96" s="1441">
        <f>M63</f>
        <v>0</v>
      </c>
    </row>
    <row r="97" spans="1:17">
      <c r="B97" s="1407"/>
      <c r="C97" s="1440"/>
      <c r="D97" s="1440"/>
      <c r="E97" s="1440"/>
      <c r="F97" s="1440"/>
      <c r="G97" s="1440"/>
      <c r="H97" s="1440"/>
      <c r="I97" s="1440"/>
      <c r="J97" s="1440"/>
      <c r="K97" s="1440"/>
      <c r="L97" s="1440"/>
      <c r="M97" s="1440"/>
    </row>
    <row r="98" spans="1:17">
      <c r="B98" s="1407" t="s">
        <v>851</v>
      </c>
      <c r="C98" s="1440">
        <f t="shared" ref="C98:J98" si="38">SUM(C99:C102)</f>
        <v>347.22059999999999</v>
      </c>
      <c r="D98" s="1440">
        <f t="shared" si="38"/>
        <v>0</v>
      </c>
      <c r="E98" s="1440">
        <f t="shared" si="38"/>
        <v>0</v>
      </c>
      <c r="F98" s="1440">
        <f t="shared" si="38"/>
        <v>0</v>
      </c>
      <c r="G98" s="1440">
        <f t="shared" si="38"/>
        <v>0</v>
      </c>
      <c r="H98" s="1440">
        <f t="shared" si="38"/>
        <v>96</v>
      </c>
      <c r="I98" s="1440">
        <f t="shared" si="38"/>
        <v>0</v>
      </c>
      <c r="J98" s="1440">
        <f t="shared" si="38"/>
        <v>24</v>
      </c>
      <c r="K98" s="1440">
        <f>SUM(K99:K102)</f>
        <v>72</v>
      </c>
      <c r="L98" s="1440">
        <f>SUM(L99:L102)</f>
        <v>72</v>
      </c>
      <c r="M98" s="1440">
        <f>SUM(M99:M102)</f>
        <v>83.220600000000005</v>
      </c>
      <c r="N98" s="1440"/>
      <c r="O98" s="1440"/>
      <c r="P98" s="1440"/>
      <c r="Q98" s="1440"/>
    </row>
    <row r="99" spans="1:17">
      <c r="B99" s="1431" t="s">
        <v>852</v>
      </c>
      <c r="C99" s="1440">
        <f t="shared" ref="C99:J99" si="39">C35</f>
        <v>120</v>
      </c>
      <c r="D99" s="1440">
        <f t="shared" si="39"/>
        <v>0</v>
      </c>
      <c r="E99" s="1440">
        <f t="shared" si="39"/>
        <v>0</v>
      </c>
      <c r="F99" s="1440">
        <f t="shared" si="39"/>
        <v>0</v>
      </c>
      <c r="G99" s="1440">
        <f t="shared" si="39"/>
        <v>0</v>
      </c>
      <c r="H99" s="1440">
        <f t="shared" si="39"/>
        <v>96</v>
      </c>
      <c r="I99" s="1440">
        <f t="shared" si="39"/>
        <v>0</v>
      </c>
      <c r="J99" s="1440">
        <f t="shared" si="39"/>
        <v>24</v>
      </c>
      <c r="K99" s="1440">
        <f>K35</f>
        <v>0</v>
      </c>
      <c r="L99" s="1440">
        <f>L35</f>
        <v>0</v>
      </c>
      <c r="M99" s="1440">
        <f>M35</f>
        <v>0</v>
      </c>
    </row>
    <row r="100" spans="1:17">
      <c r="B100" s="1431" t="s">
        <v>788</v>
      </c>
      <c r="C100" s="1440">
        <f t="shared" ref="C100:J100" si="40">C70</f>
        <v>144</v>
      </c>
      <c r="D100" s="1440">
        <f t="shared" si="40"/>
        <v>0</v>
      </c>
      <c r="E100" s="1440">
        <f t="shared" si="40"/>
        <v>0</v>
      </c>
      <c r="F100" s="1440">
        <f t="shared" si="40"/>
        <v>0</v>
      </c>
      <c r="G100" s="1440">
        <f t="shared" si="40"/>
        <v>0</v>
      </c>
      <c r="H100" s="1440">
        <f t="shared" si="40"/>
        <v>0</v>
      </c>
      <c r="I100" s="1440">
        <f t="shared" si="40"/>
        <v>0</v>
      </c>
      <c r="J100" s="1440">
        <f t="shared" si="40"/>
        <v>0</v>
      </c>
      <c r="K100" s="1440">
        <f>K70</f>
        <v>72</v>
      </c>
      <c r="L100" s="1440">
        <f>L70</f>
        <v>72</v>
      </c>
      <c r="M100" s="1440">
        <f>M70</f>
        <v>0</v>
      </c>
    </row>
    <row r="101" spans="1:17">
      <c r="B101" s="1431" t="s">
        <v>656</v>
      </c>
      <c r="C101" s="1440">
        <f t="shared" ref="C101:J101" si="41">C79</f>
        <v>52.650000000000006</v>
      </c>
      <c r="D101" s="1440">
        <f t="shared" si="41"/>
        <v>0</v>
      </c>
      <c r="E101" s="1440">
        <f t="shared" si="41"/>
        <v>0</v>
      </c>
      <c r="F101" s="1440">
        <f t="shared" si="41"/>
        <v>0</v>
      </c>
      <c r="G101" s="1440">
        <f t="shared" si="41"/>
        <v>0</v>
      </c>
      <c r="H101" s="1440">
        <f t="shared" si="41"/>
        <v>0</v>
      </c>
      <c r="I101" s="1440">
        <f t="shared" si="41"/>
        <v>0</v>
      </c>
      <c r="J101" s="1440">
        <f t="shared" si="41"/>
        <v>0</v>
      </c>
      <c r="K101" s="1440">
        <f>K79</f>
        <v>0</v>
      </c>
      <c r="L101" s="1440">
        <f>L79</f>
        <v>0</v>
      </c>
      <c r="M101" s="1440">
        <f>M79</f>
        <v>52.650000000000006</v>
      </c>
      <c r="N101" s="1440"/>
      <c r="O101" s="1440"/>
    </row>
    <row r="102" spans="1:17">
      <c r="B102" s="1431" t="s">
        <v>854</v>
      </c>
      <c r="C102" s="1440">
        <f t="shared" ref="C102:J102" si="42">C89</f>
        <v>30.570599999999999</v>
      </c>
      <c r="D102" s="1440">
        <f t="shared" si="42"/>
        <v>0</v>
      </c>
      <c r="E102" s="1440">
        <f t="shared" si="42"/>
        <v>0</v>
      </c>
      <c r="F102" s="1440">
        <f t="shared" si="42"/>
        <v>0</v>
      </c>
      <c r="G102" s="1440">
        <f t="shared" si="42"/>
        <v>0</v>
      </c>
      <c r="H102" s="1440">
        <f t="shared" si="42"/>
        <v>0</v>
      </c>
      <c r="I102" s="1440">
        <f t="shared" si="42"/>
        <v>0</v>
      </c>
      <c r="J102" s="1440">
        <f t="shared" si="42"/>
        <v>0</v>
      </c>
      <c r="K102" s="1440">
        <f>K89</f>
        <v>0</v>
      </c>
      <c r="L102" s="1440">
        <f>L89</f>
        <v>0</v>
      </c>
      <c r="M102" s="1440">
        <f>M89</f>
        <v>30.570599999999999</v>
      </c>
    </row>
    <row r="103" spans="1:17">
      <c r="A103" s="1444"/>
      <c r="B103" s="1431" t="s">
        <v>855</v>
      </c>
      <c r="C103" s="1440">
        <f t="shared" ref="C103:J103" si="43">C96-C98</f>
        <v>179.27940000000001</v>
      </c>
      <c r="D103" s="1656">
        <f t="shared" si="43"/>
        <v>0</v>
      </c>
      <c r="E103" s="1440">
        <f t="shared" si="43"/>
        <v>0</v>
      </c>
      <c r="F103" s="1440">
        <f t="shared" si="43"/>
        <v>0</v>
      </c>
      <c r="G103" s="1440">
        <f t="shared" si="43"/>
        <v>0</v>
      </c>
      <c r="H103" s="1440">
        <f t="shared" si="43"/>
        <v>-96</v>
      </c>
      <c r="I103" s="1440">
        <f t="shared" si="43"/>
        <v>0</v>
      </c>
      <c r="J103" s="1440">
        <f t="shared" si="43"/>
        <v>-24</v>
      </c>
      <c r="K103" s="1440">
        <f>K96-K98</f>
        <v>191.25</v>
      </c>
      <c r="L103" s="1440">
        <f>L96-L98</f>
        <v>191.25</v>
      </c>
      <c r="M103" s="1440">
        <f>M96-M98</f>
        <v>-83.220600000000005</v>
      </c>
    </row>
    <row r="104" spans="1:17">
      <c r="B104" s="1431" t="s">
        <v>1570</v>
      </c>
      <c r="D104" s="1452">
        <f t="shared" ref="D104:M104" si="44">IF(D95&gt;$D$12,(1+D23)^(D95-$D$12),0)</f>
        <v>0</v>
      </c>
      <c r="E104" s="1452">
        <f t="shared" si="44"/>
        <v>0</v>
      </c>
      <c r="F104" s="1452">
        <f t="shared" si="44"/>
        <v>0</v>
      </c>
      <c r="G104" s="1452">
        <f t="shared" si="44"/>
        <v>0</v>
      </c>
      <c r="H104" s="1452">
        <f t="shared" si="44"/>
        <v>0</v>
      </c>
      <c r="I104" s="1452">
        <f t="shared" si="44"/>
        <v>0</v>
      </c>
      <c r="J104" s="1452">
        <f t="shared" si="44"/>
        <v>0</v>
      </c>
      <c r="K104" s="1452">
        <f t="shared" si="44"/>
        <v>0</v>
      </c>
      <c r="L104" s="1452">
        <f t="shared" si="44"/>
        <v>0</v>
      </c>
      <c r="M104" s="1452">
        <f t="shared" si="44"/>
        <v>0</v>
      </c>
    </row>
    <row r="105" spans="1:17">
      <c r="B105" s="1431" t="s">
        <v>1452</v>
      </c>
      <c r="C105" s="1440">
        <f>SUMIF(D95:M95,"&gt;"&amp;D12,D105:M105)</f>
        <v>0</v>
      </c>
      <c r="D105" s="1440" t="str">
        <f t="shared" ref="D105:M105" si="45">IF(D104&lt;&gt;0,D103/D104,"")</f>
        <v/>
      </c>
      <c r="E105" s="1440" t="str">
        <f t="shared" si="45"/>
        <v/>
      </c>
      <c r="F105" s="1440" t="str">
        <f t="shared" si="45"/>
        <v/>
      </c>
      <c r="G105" s="1440" t="str">
        <f t="shared" si="45"/>
        <v/>
      </c>
      <c r="H105" s="1440" t="str">
        <f t="shared" si="45"/>
        <v/>
      </c>
      <c r="I105" s="1440" t="str">
        <f t="shared" si="45"/>
        <v/>
      </c>
      <c r="J105" s="1440" t="str">
        <f t="shared" si="45"/>
        <v/>
      </c>
      <c r="K105" s="1440" t="str">
        <f t="shared" si="45"/>
        <v/>
      </c>
      <c r="L105" s="1440" t="str">
        <f t="shared" si="45"/>
        <v/>
      </c>
      <c r="M105" s="1440" t="str">
        <f t="shared" si="45"/>
        <v/>
      </c>
    </row>
    <row r="106" spans="1:17">
      <c r="B106" s="1407" t="s">
        <v>1590</v>
      </c>
      <c r="C106" s="1427">
        <f>C105*I5</f>
        <v>0</v>
      </c>
    </row>
    <row r="107" spans="1:17">
      <c r="B107" s="1407"/>
      <c r="C107" s="1427"/>
    </row>
    <row r="108" spans="1:17">
      <c r="B108" s="1407" t="s">
        <v>1588</v>
      </c>
      <c r="C108" s="1440"/>
      <c r="D108" s="1431">
        <f t="shared" ref="D108:J108" si="46">D95</f>
        <v>2013</v>
      </c>
      <c r="E108" s="1431">
        <f t="shared" si="46"/>
        <v>2014</v>
      </c>
      <c r="F108" s="1431">
        <f t="shared" si="46"/>
        <v>2015</v>
      </c>
      <c r="G108" s="1431">
        <f t="shared" si="46"/>
        <v>2016</v>
      </c>
      <c r="H108" s="1431">
        <f t="shared" si="46"/>
        <v>2017</v>
      </c>
      <c r="I108" s="1431">
        <f t="shared" si="46"/>
        <v>2018</v>
      </c>
      <c r="J108" s="1431">
        <f t="shared" si="46"/>
        <v>2019</v>
      </c>
      <c r="K108" s="1431">
        <f>K95</f>
        <v>2020</v>
      </c>
      <c r="L108" s="1431">
        <f>L95</f>
        <v>2021</v>
      </c>
      <c r="M108" s="1431">
        <f>M95</f>
        <v>2022</v>
      </c>
    </row>
    <row r="109" spans="1:17" s="1447" customFormat="1">
      <c r="A109" s="1459"/>
      <c r="B109" s="1460">
        <f>IRR(D109:M109)</f>
        <v>0.38118507340904584</v>
      </c>
      <c r="C109" s="1408"/>
      <c r="D109" s="1408">
        <f>D103</f>
        <v>0</v>
      </c>
      <c r="E109" s="1408">
        <f t="shared" ref="E109:J109" si="47">E103</f>
        <v>0</v>
      </c>
      <c r="F109" s="1408">
        <f t="shared" si="47"/>
        <v>0</v>
      </c>
      <c r="G109" s="1408">
        <f t="shared" si="47"/>
        <v>0</v>
      </c>
      <c r="H109" s="1408">
        <f t="shared" si="47"/>
        <v>-96</v>
      </c>
      <c r="I109" s="1408">
        <f t="shared" si="47"/>
        <v>0</v>
      </c>
      <c r="J109" s="1408">
        <f t="shared" si="47"/>
        <v>-24</v>
      </c>
      <c r="K109" s="1408">
        <f>K103</f>
        <v>191.25</v>
      </c>
      <c r="L109" s="1408">
        <f>L103</f>
        <v>191.25</v>
      </c>
      <c r="M109" s="1408">
        <f>M103</f>
        <v>-83.220600000000005</v>
      </c>
    </row>
    <row r="110" spans="1:17">
      <c r="B110" s="1407" t="s">
        <v>1789</v>
      </c>
      <c r="C110" s="1440"/>
      <c r="D110" s="1656">
        <f t="shared" ref="D110:M110" si="48">D103+D116-D118</f>
        <v>0</v>
      </c>
      <c r="E110" s="1656">
        <f t="shared" si="48"/>
        <v>0</v>
      </c>
      <c r="F110" s="1656">
        <f t="shared" si="48"/>
        <v>0</v>
      </c>
      <c r="G110" s="1656">
        <f t="shared" si="48"/>
        <v>0</v>
      </c>
      <c r="H110" s="1656">
        <f t="shared" si="48"/>
        <v>-96</v>
      </c>
      <c r="I110" s="1656">
        <f t="shared" si="48"/>
        <v>79.162499999999994</v>
      </c>
      <c r="J110" s="1656">
        <f t="shared" si="48"/>
        <v>-24</v>
      </c>
      <c r="K110" s="1656">
        <f t="shared" si="48"/>
        <v>270.41250000000002</v>
      </c>
      <c r="L110" s="1656">
        <f t="shared" si="48"/>
        <v>32.925000000000011</v>
      </c>
      <c r="M110" s="1656">
        <f t="shared" si="48"/>
        <v>-83.220600000000005</v>
      </c>
    </row>
    <row r="111" spans="1:17">
      <c r="B111" s="1407"/>
      <c r="C111" s="1427"/>
      <c r="D111" s="1454"/>
      <c r="E111" s="1454"/>
      <c r="F111" s="1454"/>
      <c r="G111" s="1454"/>
      <c r="H111" s="1454"/>
      <c r="I111" s="1454"/>
      <c r="J111" s="1454"/>
      <c r="K111" s="1454"/>
      <c r="L111" s="1454"/>
      <c r="M111" s="1454"/>
    </row>
    <row r="112" spans="1:17">
      <c r="B112" s="1407"/>
      <c r="C112" s="1427"/>
    </row>
    <row r="113" spans="1:13" s="1407" customFormat="1">
      <c r="A113" s="1406">
        <v>8</v>
      </c>
      <c r="B113" s="1407" t="s">
        <v>1592</v>
      </c>
      <c r="C113" s="1440"/>
      <c r="D113" s="1431">
        <f t="shared" ref="D113:I113" si="49">D95</f>
        <v>2013</v>
      </c>
      <c r="E113" s="1431">
        <f t="shared" si="49"/>
        <v>2014</v>
      </c>
      <c r="F113" s="1431">
        <f t="shared" si="49"/>
        <v>2015</v>
      </c>
      <c r="G113" s="1431">
        <f t="shared" si="49"/>
        <v>2016</v>
      </c>
      <c r="H113" s="1431">
        <f t="shared" si="49"/>
        <v>2017</v>
      </c>
      <c r="I113" s="1431">
        <f t="shared" si="49"/>
        <v>2018</v>
      </c>
      <c r="J113" s="1431">
        <f>I113+1</f>
        <v>2019</v>
      </c>
      <c r="K113" s="1431">
        <f>J113+1</f>
        <v>2020</v>
      </c>
      <c r="L113" s="1431">
        <f>K113+1</f>
        <v>2021</v>
      </c>
      <c r="M113" s="1431">
        <f>L113+1</f>
        <v>2022</v>
      </c>
    </row>
    <row r="114" spans="1:13">
      <c r="B114" s="1432" t="s">
        <v>1571</v>
      </c>
      <c r="C114" s="1441">
        <f>D5*I6</f>
        <v>158.32499999999999</v>
      </c>
      <c r="D114" s="1432"/>
      <c r="E114" s="1432"/>
      <c r="F114" s="1432"/>
      <c r="G114" s="1432"/>
      <c r="H114" s="1432"/>
      <c r="I114" s="1432"/>
      <c r="J114" s="1456"/>
      <c r="K114" s="1456"/>
      <c r="L114" s="1456"/>
      <c r="M114" s="1456"/>
    </row>
    <row r="115" spans="1:13">
      <c r="B115" s="1431" t="s">
        <v>1572</v>
      </c>
      <c r="C115" s="1436">
        <f>SUM(D115:M115)</f>
        <v>1</v>
      </c>
      <c r="D115" s="1416">
        <v>0</v>
      </c>
      <c r="E115" s="1416">
        <v>0</v>
      </c>
      <c r="F115" s="1416">
        <v>0</v>
      </c>
      <c r="G115" s="1416">
        <v>0</v>
      </c>
      <c r="H115" s="1411">
        <v>0</v>
      </c>
      <c r="I115" s="1411">
        <v>0.5</v>
      </c>
      <c r="J115" s="1411">
        <v>0</v>
      </c>
      <c r="K115" s="1411">
        <v>0.5</v>
      </c>
      <c r="L115" s="1411">
        <v>0</v>
      </c>
      <c r="M115" s="1411">
        <v>0</v>
      </c>
    </row>
    <row r="116" spans="1:13">
      <c r="B116" s="1431" t="s">
        <v>1573</v>
      </c>
      <c r="C116" s="1440">
        <f>SUM(D116:M116)</f>
        <v>158.32499999999999</v>
      </c>
      <c r="D116" s="1410">
        <f t="shared" ref="D116:M116" si="50">D115*$C$114</f>
        <v>0</v>
      </c>
      <c r="E116" s="1410">
        <f t="shared" si="50"/>
        <v>0</v>
      </c>
      <c r="F116" s="1410">
        <f t="shared" si="50"/>
        <v>0</v>
      </c>
      <c r="G116" s="1410">
        <f t="shared" si="50"/>
        <v>0</v>
      </c>
      <c r="H116" s="1410">
        <f t="shared" si="50"/>
        <v>0</v>
      </c>
      <c r="I116" s="1410">
        <f t="shared" si="50"/>
        <v>79.162499999999994</v>
      </c>
      <c r="J116" s="1410">
        <f t="shared" si="50"/>
        <v>0</v>
      </c>
      <c r="K116" s="1410">
        <f t="shared" si="50"/>
        <v>79.162499999999994</v>
      </c>
      <c r="L116" s="1410">
        <f t="shared" si="50"/>
        <v>0</v>
      </c>
      <c r="M116" s="1410">
        <f t="shared" si="50"/>
        <v>0</v>
      </c>
    </row>
    <row r="117" spans="1:13">
      <c r="B117" s="1431" t="s">
        <v>868</v>
      </c>
      <c r="C117" s="1440"/>
      <c r="D117" s="1440">
        <f>D116</f>
        <v>0</v>
      </c>
      <c r="E117" s="1440">
        <f>E116</f>
        <v>0</v>
      </c>
      <c r="F117" s="1440">
        <f>F116</f>
        <v>0</v>
      </c>
      <c r="G117" s="1440">
        <f t="shared" ref="G117:M117" si="51">F120+G116</f>
        <v>0</v>
      </c>
      <c r="H117" s="1440">
        <f t="shared" si="51"/>
        <v>0</v>
      </c>
      <c r="I117" s="1440">
        <f t="shared" si="51"/>
        <v>79.162499999999994</v>
      </c>
      <c r="J117" s="1440">
        <f t="shared" si="51"/>
        <v>79.162499999999994</v>
      </c>
      <c r="K117" s="1440">
        <f t="shared" si="51"/>
        <v>158.32499999999999</v>
      </c>
      <c r="L117" s="1440">
        <f t="shared" si="51"/>
        <v>158.32499999999999</v>
      </c>
      <c r="M117" s="1440">
        <f t="shared" si="51"/>
        <v>0</v>
      </c>
    </row>
    <row r="118" spans="1:13">
      <c r="B118" s="1431" t="s">
        <v>1574</v>
      </c>
      <c r="C118" s="1440">
        <f>SUM(D118:M118)</f>
        <v>158.32499999999999</v>
      </c>
      <c r="D118" s="1423"/>
      <c r="E118" s="1423"/>
      <c r="F118" s="1423"/>
      <c r="G118" s="1423"/>
      <c r="H118" s="1423"/>
      <c r="I118" s="1410"/>
      <c r="J118" s="1410"/>
      <c r="K118" s="1423"/>
      <c r="L118" s="1423">
        <f>C114</f>
        <v>158.32499999999999</v>
      </c>
      <c r="M118" s="1423"/>
    </row>
    <row r="119" spans="1:13">
      <c r="B119" s="1431" t="s">
        <v>869</v>
      </c>
      <c r="C119" s="1440">
        <f>SUM(D119:M119)</f>
        <v>56.997</v>
      </c>
      <c r="D119" s="1440">
        <f t="shared" ref="D119:M119" si="52">D117*D21</f>
        <v>0</v>
      </c>
      <c r="E119" s="1440">
        <f t="shared" si="52"/>
        <v>0</v>
      </c>
      <c r="F119" s="1440">
        <f t="shared" si="52"/>
        <v>0</v>
      </c>
      <c r="G119" s="1440">
        <f t="shared" si="52"/>
        <v>0</v>
      </c>
      <c r="H119" s="1440">
        <f t="shared" si="52"/>
        <v>0</v>
      </c>
      <c r="I119" s="1440">
        <f t="shared" si="52"/>
        <v>9.4994999999999994</v>
      </c>
      <c r="J119" s="1440">
        <f t="shared" si="52"/>
        <v>9.4994999999999994</v>
      </c>
      <c r="K119" s="1440">
        <f t="shared" si="52"/>
        <v>18.998999999999999</v>
      </c>
      <c r="L119" s="1440">
        <f t="shared" si="52"/>
        <v>18.998999999999999</v>
      </c>
      <c r="M119" s="1440">
        <f t="shared" si="52"/>
        <v>0</v>
      </c>
    </row>
    <row r="120" spans="1:13">
      <c r="B120" s="1431" t="s">
        <v>874</v>
      </c>
      <c r="C120" s="1440"/>
      <c r="D120" s="1440">
        <f t="shared" ref="D120:M120" si="53">D117-D118</f>
        <v>0</v>
      </c>
      <c r="E120" s="1440">
        <f t="shared" si="53"/>
        <v>0</v>
      </c>
      <c r="F120" s="1440">
        <f t="shared" si="53"/>
        <v>0</v>
      </c>
      <c r="G120" s="1440">
        <f t="shared" si="53"/>
        <v>0</v>
      </c>
      <c r="H120" s="1440">
        <f t="shared" si="53"/>
        <v>0</v>
      </c>
      <c r="I120" s="1440">
        <f t="shared" si="53"/>
        <v>79.162499999999994</v>
      </c>
      <c r="J120" s="1440">
        <f t="shared" si="53"/>
        <v>79.162499999999994</v>
      </c>
      <c r="K120" s="1440">
        <f t="shared" si="53"/>
        <v>158.32499999999999</v>
      </c>
      <c r="L120" s="1440">
        <f t="shared" si="53"/>
        <v>0</v>
      </c>
      <c r="M120" s="1440">
        <f t="shared" si="53"/>
        <v>0</v>
      </c>
    </row>
    <row r="121" spans="1:13">
      <c r="C121" s="1440"/>
      <c r="D121" s="1412"/>
      <c r="E121" s="1440"/>
      <c r="F121" s="1440"/>
      <c r="G121" s="1440"/>
      <c r="H121" s="1440"/>
    </row>
    <row r="122" spans="1:13">
      <c r="C122" s="1440"/>
    </row>
    <row r="123" spans="1:13" s="1407" customFormat="1">
      <c r="A123" s="1406">
        <v>9</v>
      </c>
      <c r="B123" s="1407" t="s">
        <v>350</v>
      </c>
      <c r="C123" s="1440"/>
      <c r="D123" s="1431">
        <f t="shared" ref="D123:J123" si="54">D95</f>
        <v>2013</v>
      </c>
      <c r="E123" s="1431">
        <f t="shared" si="54"/>
        <v>2014</v>
      </c>
      <c r="F123" s="1431">
        <f t="shared" si="54"/>
        <v>2015</v>
      </c>
      <c r="G123" s="1431">
        <f t="shared" si="54"/>
        <v>2016</v>
      </c>
      <c r="H123" s="1431">
        <f t="shared" si="54"/>
        <v>2017</v>
      </c>
      <c r="I123" s="1431">
        <f t="shared" si="54"/>
        <v>2018</v>
      </c>
      <c r="J123" s="1431">
        <f t="shared" si="54"/>
        <v>2019</v>
      </c>
      <c r="K123" s="1431">
        <f>K95</f>
        <v>2020</v>
      </c>
      <c r="L123" s="1431">
        <f>L95</f>
        <v>2021</v>
      </c>
      <c r="M123" s="1431">
        <f>M95</f>
        <v>2022</v>
      </c>
    </row>
    <row r="124" spans="1:13">
      <c r="B124" s="1432" t="s">
        <v>1575</v>
      </c>
      <c r="C124" s="1441"/>
      <c r="D124" s="1441">
        <f>D63</f>
        <v>0</v>
      </c>
      <c r="E124" s="1408">
        <f t="shared" ref="E124:M124" si="55">D124+E63</f>
        <v>0</v>
      </c>
      <c r="F124" s="1408">
        <f t="shared" si="55"/>
        <v>0</v>
      </c>
      <c r="G124" s="1408">
        <f t="shared" si="55"/>
        <v>0</v>
      </c>
      <c r="H124" s="1408">
        <f t="shared" si="55"/>
        <v>0</v>
      </c>
      <c r="I124" s="1408">
        <f t="shared" si="55"/>
        <v>0</v>
      </c>
      <c r="J124" s="1408">
        <f t="shared" si="55"/>
        <v>0</v>
      </c>
      <c r="K124" s="1408">
        <f t="shared" si="55"/>
        <v>263.25</v>
      </c>
      <c r="L124" s="1408">
        <f t="shared" si="55"/>
        <v>526.5</v>
      </c>
      <c r="M124" s="1408">
        <f t="shared" si="55"/>
        <v>526.5</v>
      </c>
    </row>
    <row r="125" spans="1:13">
      <c r="B125" s="1431" t="s">
        <v>1576</v>
      </c>
      <c r="C125" s="1440"/>
      <c r="D125" s="1440">
        <f>D57</f>
        <v>0</v>
      </c>
      <c r="E125" s="1440">
        <f t="shared" ref="E125:M125" si="56">D125+E57</f>
        <v>0</v>
      </c>
      <c r="F125" s="1440">
        <f t="shared" si="56"/>
        <v>0</v>
      </c>
      <c r="G125" s="1440">
        <f t="shared" si="56"/>
        <v>0</v>
      </c>
      <c r="H125" s="1440">
        <f t="shared" si="56"/>
        <v>0</v>
      </c>
      <c r="I125" s="1440">
        <f t="shared" si="56"/>
        <v>0</v>
      </c>
      <c r="J125" s="1440">
        <f t="shared" si="56"/>
        <v>0</v>
      </c>
      <c r="K125" s="1440">
        <f t="shared" si="56"/>
        <v>0</v>
      </c>
      <c r="L125" s="1440">
        <f t="shared" si="56"/>
        <v>0</v>
      </c>
      <c r="M125" s="1440">
        <f t="shared" si="56"/>
        <v>526.5</v>
      </c>
    </row>
    <row r="126" spans="1:13">
      <c r="B126" s="1431" t="s">
        <v>1577</v>
      </c>
      <c r="C126" s="1440"/>
      <c r="D126" s="1440">
        <f>D50</f>
        <v>0</v>
      </c>
      <c r="E126" s="1440">
        <f t="shared" ref="E126:M126" si="57">D126+E50</f>
        <v>0</v>
      </c>
      <c r="F126" s="1440">
        <f t="shared" si="57"/>
        <v>0</v>
      </c>
      <c r="G126" s="1440">
        <f t="shared" si="57"/>
        <v>0</v>
      </c>
      <c r="H126" s="1440">
        <f t="shared" si="57"/>
        <v>0</v>
      </c>
      <c r="I126" s="1440">
        <f t="shared" si="57"/>
        <v>0</v>
      </c>
      <c r="J126" s="1440">
        <f t="shared" si="57"/>
        <v>0</v>
      </c>
      <c r="K126" s="1440">
        <f t="shared" si="57"/>
        <v>526.5</v>
      </c>
      <c r="L126" s="1440">
        <f t="shared" si="57"/>
        <v>526.5</v>
      </c>
      <c r="M126" s="1440">
        <f t="shared" si="57"/>
        <v>526.5</v>
      </c>
    </row>
    <row r="127" spans="1:13">
      <c r="B127" s="1431" t="s">
        <v>1578</v>
      </c>
      <c r="C127" s="1440"/>
      <c r="D127" s="1436" t="str">
        <f t="shared" ref="D127:J127" si="58">IF(D124&lt;&gt;0,D124/D126,"")</f>
        <v/>
      </c>
      <c r="E127" s="1436" t="str">
        <f t="shared" si="58"/>
        <v/>
      </c>
      <c r="F127" s="1436" t="str">
        <f t="shared" si="58"/>
        <v/>
      </c>
      <c r="G127" s="1436" t="str">
        <f t="shared" si="58"/>
        <v/>
      </c>
      <c r="H127" s="1436" t="str">
        <f t="shared" si="58"/>
        <v/>
      </c>
      <c r="I127" s="1436" t="str">
        <f t="shared" si="58"/>
        <v/>
      </c>
      <c r="J127" s="1436" t="str">
        <f t="shared" si="58"/>
        <v/>
      </c>
      <c r="K127" s="1436">
        <f>IF(K124&lt;&gt;0,K124/K126,"")</f>
        <v>0.5</v>
      </c>
      <c r="L127" s="1436">
        <f>IF(L124&lt;&gt;0,L124/L126,"")</f>
        <v>1</v>
      </c>
      <c r="M127" s="1436">
        <f>IF(M124&lt;&gt;0,M124/M126,"")</f>
        <v>1</v>
      </c>
    </row>
    <row r="128" spans="1:13">
      <c r="B128" s="1431" t="s">
        <v>1579</v>
      </c>
      <c r="C128" s="1440"/>
      <c r="D128" s="1410">
        <f t="shared" ref="D128:J128" si="59">IF(D124&gt;D125,D124-D125,0)</f>
        <v>0</v>
      </c>
      <c r="E128" s="1410">
        <f t="shared" si="59"/>
        <v>0</v>
      </c>
      <c r="F128" s="1410">
        <f t="shared" si="59"/>
        <v>0</v>
      </c>
      <c r="G128" s="1410">
        <f t="shared" si="59"/>
        <v>0</v>
      </c>
      <c r="H128" s="1410">
        <f t="shared" si="59"/>
        <v>0</v>
      </c>
      <c r="I128" s="1410">
        <f t="shared" si="59"/>
        <v>0</v>
      </c>
      <c r="J128" s="1410">
        <f t="shared" si="59"/>
        <v>0</v>
      </c>
      <c r="K128" s="1410">
        <f>IF(K124&gt;K125,K124-K125,0)</f>
        <v>263.25</v>
      </c>
      <c r="L128" s="1410">
        <f>IF(L124&gt;L125,L124-L125,0)</f>
        <v>526.5</v>
      </c>
      <c r="M128" s="1410">
        <f>IF(M124&gt;M125,M124-M125,0)</f>
        <v>0</v>
      </c>
    </row>
    <row r="129" spans="1:13" s="1407" customFormat="1">
      <c r="A129" s="1406"/>
      <c r="B129" s="1431" t="s">
        <v>1580</v>
      </c>
      <c r="C129" s="1440"/>
      <c r="D129" s="1410">
        <f t="shared" ref="D129:J129" si="60">IF(D125&gt;D124,D125-D124,0)</f>
        <v>0</v>
      </c>
      <c r="E129" s="1410">
        <f t="shared" si="60"/>
        <v>0</v>
      </c>
      <c r="F129" s="1410">
        <f t="shared" si="60"/>
        <v>0</v>
      </c>
      <c r="G129" s="1410">
        <f t="shared" si="60"/>
        <v>0</v>
      </c>
      <c r="H129" s="1410">
        <f t="shared" si="60"/>
        <v>0</v>
      </c>
      <c r="I129" s="1410">
        <f t="shared" si="60"/>
        <v>0</v>
      </c>
      <c r="J129" s="1410">
        <f t="shared" si="60"/>
        <v>0</v>
      </c>
      <c r="K129" s="1410">
        <f>IF(K125&gt;K124,K125-K124,0)</f>
        <v>0</v>
      </c>
      <c r="L129" s="1410">
        <f>IF(L125&gt;L124,L125-L124,0)</f>
        <v>0</v>
      </c>
      <c r="M129" s="1410">
        <f>IF(M125&gt;M124,M125-M124,0)</f>
        <v>0</v>
      </c>
    </row>
    <row r="130" spans="1:13">
      <c r="B130" s="1407"/>
      <c r="E130" s="1440"/>
      <c r="F130" s="1440"/>
      <c r="G130" s="1440"/>
      <c r="H130" s="1440"/>
      <c r="I130" s="1440"/>
      <c r="J130" s="1440"/>
      <c r="K130" s="1440"/>
      <c r="L130" s="1440"/>
      <c r="M130" s="1440"/>
    </row>
    <row r="131" spans="1:13">
      <c r="B131" s="1407" t="s">
        <v>1492</v>
      </c>
      <c r="E131" s="1440"/>
      <c r="F131" s="1440"/>
      <c r="G131" s="1440"/>
      <c r="H131" s="1440"/>
      <c r="I131" s="1440"/>
      <c r="J131" s="1440"/>
      <c r="K131" s="1440"/>
      <c r="L131" s="1440"/>
      <c r="M131" s="1440"/>
    </row>
    <row r="132" spans="1:13">
      <c r="B132" s="1431" t="s">
        <v>1581</v>
      </c>
      <c r="D132" s="1412">
        <v>0</v>
      </c>
      <c r="E132" s="1410">
        <f t="shared" ref="E132:J132" si="61">D136</f>
        <v>0</v>
      </c>
      <c r="F132" s="1440">
        <f t="shared" si="61"/>
        <v>0</v>
      </c>
      <c r="G132" s="1440">
        <f t="shared" si="61"/>
        <v>0</v>
      </c>
      <c r="H132" s="1440">
        <f t="shared" si="61"/>
        <v>0</v>
      </c>
      <c r="I132" s="1440">
        <f t="shared" si="61"/>
        <v>96</v>
      </c>
      <c r="J132" s="1440">
        <f t="shared" si="61"/>
        <v>96</v>
      </c>
      <c r="K132" s="1440">
        <f>J136</f>
        <v>120</v>
      </c>
      <c r="L132" s="1440">
        <f>K136</f>
        <v>192</v>
      </c>
      <c r="M132" s="1440">
        <f>L136</f>
        <v>264</v>
      </c>
    </row>
    <row r="133" spans="1:13">
      <c r="B133" s="1431" t="s">
        <v>994</v>
      </c>
      <c r="D133" s="1440">
        <f t="shared" ref="D133:M133" si="62">SUM(D99:D100)</f>
        <v>0</v>
      </c>
      <c r="E133" s="1440">
        <f t="shared" si="62"/>
        <v>0</v>
      </c>
      <c r="F133" s="1440">
        <f t="shared" si="62"/>
        <v>0</v>
      </c>
      <c r="G133" s="1440">
        <f t="shared" si="62"/>
        <v>0</v>
      </c>
      <c r="H133" s="1440">
        <f t="shared" si="62"/>
        <v>96</v>
      </c>
      <c r="I133" s="1440">
        <f t="shared" si="62"/>
        <v>0</v>
      </c>
      <c r="J133" s="1440">
        <f t="shared" si="62"/>
        <v>24</v>
      </c>
      <c r="K133" s="1440">
        <f t="shared" si="62"/>
        <v>72</v>
      </c>
      <c r="L133" s="1440">
        <f t="shared" si="62"/>
        <v>72</v>
      </c>
      <c r="M133" s="1440">
        <f t="shared" si="62"/>
        <v>0</v>
      </c>
    </row>
    <row r="134" spans="1:13">
      <c r="B134" s="1431" t="s">
        <v>1582</v>
      </c>
      <c r="D134" s="1431">
        <f t="shared" ref="D134:J134" si="63">$C$77*D58</f>
        <v>0</v>
      </c>
      <c r="E134" s="1431">
        <f t="shared" si="63"/>
        <v>0</v>
      </c>
      <c r="F134" s="1440">
        <f t="shared" si="63"/>
        <v>0</v>
      </c>
      <c r="G134" s="1440">
        <f t="shared" si="63"/>
        <v>0</v>
      </c>
      <c r="H134" s="1440">
        <f t="shared" si="63"/>
        <v>0</v>
      </c>
      <c r="I134" s="1440">
        <f t="shared" si="63"/>
        <v>0</v>
      </c>
      <c r="J134" s="1440">
        <f t="shared" si="63"/>
        <v>0</v>
      </c>
      <c r="K134" s="1440">
        <f>$C$77*K58</f>
        <v>0</v>
      </c>
      <c r="L134" s="1440">
        <f>$C$77*L58</f>
        <v>0</v>
      </c>
      <c r="M134" s="1440">
        <f>$C$77*M58</f>
        <v>56.997</v>
      </c>
    </row>
    <row r="135" spans="1:13">
      <c r="B135" s="1431" t="s">
        <v>1583</v>
      </c>
      <c r="D135" s="1440">
        <f t="shared" ref="D135:J135" si="64">SUM(D75:D77)</f>
        <v>0</v>
      </c>
      <c r="E135" s="1440">
        <f t="shared" si="64"/>
        <v>0</v>
      </c>
      <c r="F135" s="1440">
        <f t="shared" si="64"/>
        <v>0</v>
      </c>
      <c r="G135" s="1440">
        <f t="shared" si="64"/>
        <v>0</v>
      </c>
      <c r="H135" s="1440">
        <f t="shared" si="64"/>
        <v>0</v>
      </c>
      <c r="I135" s="1440">
        <f t="shared" si="64"/>
        <v>0</v>
      </c>
      <c r="J135" s="1440">
        <f t="shared" si="64"/>
        <v>0</v>
      </c>
      <c r="K135" s="1440">
        <f>SUM(K75:K77)</f>
        <v>0</v>
      </c>
      <c r="L135" s="1440">
        <f>SUM(L75:L77)</f>
        <v>0</v>
      </c>
      <c r="M135" s="1440">
        <f>SUM(M75:M77)</f>
        <v>320.99700000000001</v>
      </c>
    </row>
    <row r="136" spans="1:13">
      <c r="B136" s="1431" t="s">
        <v>874</v>
      </c>
      <c r="D136" s="1440">
        <f t="shared" ref="D136:M136" si="65">SUM(D132:D134)-D135</f>
        <v>0</v>
      </c>
      <c r="E136" s="1440">
        <f t="shared" si="65"/>
        <v>0</v>
      </c>
      <c r="F136" s="1440">
        <f t="shared" si="65"/>
        <v>0</v>
      </c>
      <c r="G136" s="1440">
        <f t="shared" si="65"/>
        <v>0</v>
      </c>
      <c r="H136" s="1440">
        <f t="shared" si="65"/>
        <v>96</v>
      </c>
      <c r="I136" s="1440">
        <f t="shared" si="65"/>
        <v>96</v>
      </c>
      <c r="J136" s="1440">
        <f t="shared" si="65"/>
        <v>120</v>
      </c>
      <c r="K136" s="1440">
        <f t="shared" si="65"/>
        <v>192</v>
      </c>
      <c r="L136" s="1440">
        <f t="shared" si="65"/>
        <v>264</v>
      </c>
      <c r="M136" s="1440">
        <f t="shared" si="65"/>
        <v>0</v>
      </c>
    </row>
    <row r="137" spans="1:13">
      <c r="A137" s="1430" t="s">
        <v>1584</v>
      </c>
      <c r="B137" s="1432"/>
      <c r="C137" s="1432"/>
      <c r="D137" s="1432"/>
      <c r="E137" s="1432"/>
      <c r="F137" s="1432"/>
      <c r="G137" s="1432"/>
      <c r="H137" s="1432"/>
      <c r="I137" s="1432"/>
      <c r="J137" s="1432"/>
      <c r="K137" s="1432"/>
      <c r="L137" s="1432"/>
      <c r="M137" s="1432"/>
    </row>
  </sheetData>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V137"/>
  <sheetViews>
    <sheetView zoomScale="115" zoomScaleNormal="115" workbookViewId="0">
      <selection activeCell="N1" sqref="N1"/>
    </sheetView>
  </sheetViews>
  <sheetFormatPr defaultColWidth="9.140625" defaultRowHeight="12"/>
  <cols>
    <col min="1" max="1" width="5.85546875" style="1406" customWidth="1"/>
    <col min="2" max="2" width="27.140625" style="1431" customWidth="1"/>
    <col min="3" max="3" width="9.7109375" style="1431" bestFit="1" customWidth="1"/>
    <col min="4" max="13" width="9.140625" style="1431" customWidth="1"/>
    <col min="14" max="14" width="9.140625" style="1431" bestFit="1" customWidth="1"/>
    <col min="15" max="16384" width="9.140625" style="1431"/>
  </cols>
  <sheetData>
    <row r="1" spans="1:22" ht="21">
      <c r="A1" s="1404" t="s">
        <v>2438</v>
      </c>
    </row>
    <row r="2" spans="1:22">
      <c r="A2" s="1405" t="s">
        <v>1776</v>
      </c>
    </row>
    <row r="4" spans="1:22">
      <c r="B4" s="1407" t="s">
        <v>1539</v>
      </c>
      <c r="F4" s="1407" t="s">
        <v>1540</v>
      </c>
      <c r="K4" s="1407" t="s">
        <v>1595</v>
      </c>
      <c r="P4" s="1407" t="s">
        <v>1783</v>
      </c>
    </row>
    <row r="5" spans="1:22">
      <c r="B5" s="1432" t="s">
        <v>748</v>
      </c>
      <c r="C5" s="1432"/>
      <c r="D5" s="1408">
        <f>SUM(D6:D8)</f>
        <v>5725</v>
      </c>
      <c r="F5" s="1432" t="s">
        <v>636</v>
      </c>
      <c r="G5" s="1432"/>
      <c r="H5" s="1432"/>
      <c r="I5" s="1409">
        <v>1</v>
      </c>
      <c r="K5" s="1432" t="s">
        <v>26</v>
      </c>
      <c r="L5" s="1432"/>
      <c r="M5" s="1432"/>
      <c r="N5" s="1441">
        <f>C83</f>
        <v>8750</v>
      </c>
      <c r="P5" s="1432" t="s">
        <v>1777</v>
      </c>
      <c r="Q5" s="1432"/>
      <c r="R5" s="1432"/>
      <c r="S5" s="1422">
        <v>6500</v>
      </c>
    </row>
    <row r="6" spans="1:22">
      <c r="B6" s="1431" t="s">
        <v>678</v>
      </c>
      <c r="D6" s="1410">
        <f>SUM(E31:E32)</f>
        <v>1500</v>
      </c>
      <c r="F6" s="1431" t="s">
        <v>1542</v>
      </c>
      <c r="I6" s="1586">
        <v>0.5</v>
      </c>
      <c r="K6" s="1431" t="s">
        <v>197</v>
      </c>
      <c r="N6" s="1436">
        <f>C91</f>
        <v>0.48571428571428577</v>
      </c>
      <c r="P6" s="1431" t="s">
        <v>1778</v>
      </c>
      <c r="S6" s="1440">
        <f>D42/S5</f>
        <v>53.846153846153847</v>
      </c>
    </row>
    <row r="7" spans="1:22">
      <c r="B7" s="1431" t="s">
        <v>750</v>
      </c>
      <c r="D7" s="1410">
        <f>C70</f>
        <v>3000</v>
      </c>
      <c r="F7" s="1431" t="s">
        <v>759</v>
      </c>
      <c r="I7" s="1440">
        <f>C114</f>
        <v>2862.5</v>
      </c>
      <c r="K7" s="1431" t="s">
        <v>1779</v>
      </c>
      <c r="N7" s="1436">
        <f>C92</f>
        <v>0.26523047619047618</v>
      </c>
      <c r="P7" s="1431" t="s">
        <v>1792</v>
      </c>
      <c r="S7" s="1412">
        <v>25</v>
      </c>
    </row>
    <row r="8" spans="1:22">
      <c r="B8" s="1431" t="s">
        <v>656</v>
      </c>
      <c r="D8" s="1440">
        <f>C79</f>
        <v>1225.0000000000002</v>
      </c>
      <c r="F8" s="1431" t="s">
        <v>1544</v>
      </c>
      <c r="I8" s="1433">
        <f>G23</f>
        <v>0.1105</v>
      </c>
      <c r="K8" s="1431" t="s">
        <v>1720</v>
      </c>
      <c r="N8" s="1440">
        <f>C105</f>
        <v>845.8716659548345</v>
      </c>
      <c r="P8" s="1431" t="s">
        <v>1784</v>
      </c>
      <c r="S8" s="1423">
        <v>20</v>
      </c>
    </row>
    <row r="9" spans="1:22">
      <c r="B9" s="1431" t="s">
        <v>869</v>
      </c>
      <c r="D9" s="1440">
        <f>C119</f>
        <v>1488.5000000000002</v>
      </c>
      <c r="F9" s="1431" t="s">
        <v>1588</v>
      </c>
      <c r="I9" s="1425">
        <f>B109</f>
        <v>0.55567432472579914</v>
      </c>
      <c r="K9" s="1431" t="s">
        <v>1601</v>
      </c>
      <c r="N9" s="1410">
        <f>C90</f>
        <v>2320.7666666666664</v>
      </c>
      <c r="P9" s="1431" t="s">
        <v>1560</v>
      </c>
      <c r="S9" s="1416">
        <v>0.7</v>
      </c>
    </row>
    <row r="10" spans="1:22">
      <c r="B10" s="1431" t="s">
        <v>1543</v>
      </c>
      <c r="D10" s="1412">
        <v>2027</v>
      </c>
      <c r="F10" s="1431" t="s">
        <v>1781</v>
      </c>
      <c r="I10" s="1436">
        <f>C105/C90</f>
        <v>0.3644794102328977</v>
      </c>
      <c r="K10" s="1431" t="s">
        <v>1141</v>
      </c>
      <c r="N10" s="1423">
        <v>50000</v>
      </c>
      <c r="P10" s="1431" t="s">
        <v>1785</v>
      </c>
      <c r="S10" s="1423">
        <v>6</v>
      </c>
    </row>
    <row r="11" spans="1:22">
      <c r="B11" s="1431" t="s">
        <v>751</v>
      </c>
      <c r="D11" s="1412">
        <v>2030</v>
      </c>
      <c r="F11" s="1431" t="s">
        <v>1782</v>
      </c>
      <c r="I11" s="1436">
        <f>C70/C50</f>
        <v>0.34285714285714286</v>
      </c>
      <c r="K11" s="1431" t="s">
        <v>686</v>
      </c>
      <c r="N11" s="1643">
        <v>500000</v>
      </c>
      <c r="P11" s="1431" t="s">
        <v>1786</v>
      </c>
      <c r="S11" s="1596">
        <f>'Opal Central Park'!$S$11</f>
        <v>0.14000000000000001</v>
      </c>
    </row>
    <row r="12" spans="1:22">
      <c r="B12" s="1431" t="s">
        <v>1545</v>
      </c>
      <c r="D12" s="1594">
        <v>2022</v>
      </c>
      <c r="F12" s="1431" t="s">
        <v>1780</v>
      </c>
      <c r="I12" s="1436">
        <f>E32/C50</f>
        <v>0.17142857142857143</v>
      </c>
      <c r="K12" s="1431" t="s">
        <v>1790</v>
      </c>
      <c r="N12" s="1599">
        <v>7</v>
      </c>
      <c r="P12" s="1431" t="s">
        <v>1791</v>
      </c>
      <c r="S12" s="1423"/>
    </row>
    <row r="13" spans="1:22">
      <c r="E13" s="1412"/>
      <c r="J13" s="1413"/>
    </row>
    <row r="14" spans="1:22">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c r="R14" s="1447">
        <f>'Opal Riverside'!R14</f>
        <v>2027</v>
      </c>
      <c r="S14" s="1447">
        <f>'Opal Riverside'!S14</f>
        <v>2028</v>
      </c>
      <c r="T14" s="1447">
        <f>'Opal Riverside'!T14</f>
        <v>2029</v>
      </c>
      <c r="U14" s="1447">
        <f>'Opal Riverside'!U14</f>
        <v>2030</v>
      </c>
      <c r="V14" s="1447">
        <f>'Opal Riverside'!V14</f>
        <v>2031</v>
      </c>
    </row>
    <row r="15" spans="1:22">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c r="R15" s="1434">
        <f t="shared" ref="R15:V18" si="1">Q15</f>
        <v>0.5</v>
      </c>
      <c r="S15" s="1434">
        <f t="shared" si="1"/>
        <v>0.5</v>
      </c>
      <c r="T15" s="1434">
        <f t="shared" si="1"/>
        <v>0.5</v>
      </c>
      <c r="U15" s="1434">
        <f t="shared" si="1"/>
        <v>0.5</v>
      </c>
      <c r="V15" s="1434">
        <f t="shared" si="1"/>
        <v>0.5</v>
      </c>
    </row>
    <row r="16" spans="1:22">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c r="R16" s="1431">
        <v>1.3</v>
      </c>
      <c r="S16" s="1431">
        <v>1.3</v>
      </c>
      <c r="T16" s="1431">
        <v>1.3</v>
      </c>
      <c r="U16" s="1431">
        <v>1.3</v>
      </c>
      <c r="V16" s="1431">
        <v>1.3</v>
      </c>
    </row>
    <row r="17" spans="1:22">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c r="R17" s="1435">
        <f t="shared" si="1"/>
        <v>5.5E-2</v>
      </c>
      <c r="S17" s="1435">
        <f t="shared" si="1"/>
        <v>5.5E-2</v>
      </c>
      <c r="T17" s="1435">
        <f t="shared" si="1"/>
        <v>5.5E-2</v>
      </c>
      <c r="U17" s="1435">
        <f t="shared" si="1"/>
        <v>5.5E-2</v>
      </c>
      <c r="V17" s="1435">
        <f t="shared" si="1"/>
        <v>5.5E-2</v>
      </c>
    </row>
    <row r="18" spans="1:22">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c r="R18" s="1435">
        <f t="shared" si="1"/>
        <v>7.0000000000000007E-2</v>
      </c>
      <c r="S18" s="1435">
        <f t="shared" si="1"/>
        <v>7.0000000000000007E-2</v>
      </c>
      <c r="T18" s="1435">
        <f t="shared" si="1"/>
        <v>7.0000000000000007E-2</v>
      </c>
      <c r="U18" s="1435">
        <f t="shared" si="1"/>
        <v>7.0000000000000007E-2</v>
      </c>
      <c r="V18" s="1435">
        <f t="shared" si="1"/>
        <v>7.0000000000000007E-2</v>
      </c>
    </row>
    <row r="19" spans="1:22">
      <c r="B19" s="1431" t="s">
        <v>758</v>
      </c>
      <c r="D19" s="1433">
        <f t="shared" ref="D19:Q19" si="2">D17+D16*D18</f>
        <v>0.125</v>
      </c>
      <c r="E19" s="1433">
        <f t="shared" si="2"/>
        <v>0.125</v>
      </c>
      <c r="F19" s="1433">
        <f t="shared" si="2"/>
        <v>0.125</v>
      </c>
      <c r="G19" s="1433">
        <f t="shared" si="2"/>
        <v>0.125</v>
      </c>
      <c r="H19" s="1433">
        <f t="shared" si="2"/>
        <v>0.125</v>
      </c>
      <c r="I19" s="1433">
        <f t="shared" si="2"/>
        <v>0.125</v>
      </c>
      <c r="J19" s="1433">
        <f t="shared" si="2"/>
        <v>0.125</v>
      </c>
      <c r="K19" s="1433">
        <f t="shared" si="2"/>
        <v>0.125</v>
      </c>
      <c r="L19" s="1433">
        <f t="shared" si="2"/>
        <v>0.125</v>
      </c>
      <c r="M19" s="1433">
        <f t="shared" si="2"/>
        <v>0.125</v>
      </c>
      <c r="N19" s="1433">
        <f t="shared" si="2"/>
        <v>0.14600000000000002</v>
      </c>
      <c r="O19" s="1433">
        <f t="shared" si="2"/>
        <v>0.14600000000000002</v>
      </c>
      <c r="P19" s="1433">
        <f t="shared" si="2"/>
        <v>0.14600000000000002</v>
      </c>
      <c r="Q19" s="1433">
        <f t="shared" si="2"/>
        <v>0.14600000000000002</v>
      </c>
      <c r="R19" s="1433">
        <f>R17+R16*R18</f>
        <v>0.14600000000000002</v>
      </c>
      <c r="S19" s="1433">
        <f>S17+S16*S18</f>
        <v>0.14600000000000002</v>
      </c>
      <c r="T19" s="1433">
        <f>T17+T16*T18</f>
        <v>0.14600000000000002</v>
      </c>
      <c r="U19" s="1433">
        <f>U17+U16*U18</f>
        <v>0.14600000000000002</v>
      </c>
      <c r="V19" s="1433">
        <f>V17+V16*V18</f>
        <v>0.14600000000000002</v>
      </c>
    </row>
    <row r="20" spans="1:22">
      <c r="B20" s="1431" t="s">
        <v>1542</v>
      </c>
      <c r="D20" s="1436">
        <f t="shared" ref="D20:V20" si="3">$I$6</f>
        <v>0.5</v>
      </c>
      <c r="E20" s="1436">
        <f t="shared" si="3"/>
        <v>0.5</v>
      </c>
      <c r="F20" s="1436">
        <f t="shared" si="3"/>
        <v>0.5</v>
      </c>
      <c r="G20" s="1436">
        <f t="shared" si="3"/>
        <v>0.5</v>
      </c>
      <c r="H20" s="1436">
        <f t="shared" si="3"/>
        <v>0.5</v>
      </c>
      <c r="I20" s="1436">
        <f t="shared" si="3"/>
        <v>0.5</v>
      </c>
      <c r="J20" s="1436">
        <f t="shared" si="3"/>
        <v>0.5</v>
      </c>
      <c r="K20" s="1436">
        <f t="shared" si="3"/>
        <v>0.5</v>
      </c>
      <c r="L20" s="1436">
        <f t="shared" si="3"/>
        <v>0.5</v>
      </c>
      <c r="M20" s="1436">
        <f t="shared" si="3"/>
        <v>0.5</v>
      </c>
      <c r="N20" s="1436">
        <f t="shared" si="3"/>
        <v>0.5</v>
      </c>
      <c r="O20" s="1436">
        <f t="shared" si="3"/>
        <v>0.5</v>
      </c>
      <c r="P20" s="1436">
        <f t="shared" si="3"/>
        <v>0.5</v>
      </c>
      <c r="Q20" s="1436">
        <f t="shared" si="3"/>
        <v>0.5</v>
      </c>
      <c r="R20" s="1436">
        <f t="shared" si="3"/>
        <v>0.5</v>
      </c>
      <c r="S20" s="1436">
        <f t="shared" si="3"/>
        <v>0.5</v>
      </c>
      <c r="T20" s="1436">
        <f t="shared" si="3"/>
        <v>0.5</v>
      </c>
      <c r="U20" s="1436">
        <f t="shared" si="3"/>
        <v>0.5</v>
      </c>
      <c r="V20" s="1436">
        <f t="shared" si="3"/>
        <v>0.5</v>
      </c>
    </row>
    <row r="21" spans="1:22">
      <c r="B21" s="1431" t="s">
        <v>760</v>
      </c>
      <c r="D21" s="1581">
        <f>'Opal Central Park'!D21</f>
        <v>0.14000000000000001</v>
      </c>
      <c r="E21" s="1581">
        <f>'Opal Central Park'!E21</f>
        <v>0.13</v>
      </c>
      <c r="F21" s="1581">
        <f>'Opal Central Park'!F21</f>
        <v>0.1</v>
      </c>
      <c r="G21" s="1581">
        <f>'Opal Central Park'!G21</f>
        <v>0.12</v>
      </c>
      <c r="H21" s="1425">
        <f>G21</f>
        <v>0.12</v>
      </c>
      <c r="I21" s="1418">
        <f t="shared" ref="H21:Q22" si="4">H21</f>
        <v>0.12</v>
      </c>
      <c r="J21" s="1418">
        <f t="shared" si="4"/>
        <v>0.12</v>
      </c>
      <c r="K21" s="1418">
        <f t="shared" si="4"/>
        <v>0.12</v>
      </c>
      <c r="L21" s="1418">
        <f t="shared" si="4"/>
        <v>0.12</v>
      </c>
      <c r="M21" s="1418">
        <f t="shared" si="4"/>
        <v>0.12</v>
      </c>
      <c r="N21" s="2182">
        <v>0.13</v>
      </c>
      <c r="O21" s="2182">
        <v>0.13</v>
      </c>
      <c r="P21" s="2182">
        <v>0.13</v>
      </c>
      <c r="Q21" s="2182">
        <v>0.13</v>
      </c>
      <c r="R21" s="2182">
        <v>0.13</v>
      </c>
      <c r="S21" s="2182">
        <v>0.13</v>
      </c>
      <c r="T21" s="2182">
        <v>0.13</v>
      </c>
      <c r="U21" s="2182">
        <v>0.13</v>
      </c>
      <c r="V21" s="2182">
        <v>0.13</v>
      </c>
    </row>
    <row r="22" spans="1:22">
      <c r="B22" s="1431" t="s">
        <v>846</v>
      </c>
      <c r="D22" s="1596">
        <f>'Opal Central Park'!D22</f>
        <v>0.22</v>
      </c>
      <c r="E22" s="1596">
        <f>'Opal Central Park'!E22</f>
        <v>0.22</v>
      </c>
      <c r="F22" s="1596">
        <f>'Opal Central Park'!F22</f>
        <v>0.22</v>
      </c>
      <c r="G22" s="1596">
        <f>'Opal Central Park'!G22</f>
        <v>0.2</v>
      </c>
      <c r="H22" s="1417">
        <f t="shared" si="4"/>
        <v>0.2</v>
      </c>
      <c r="I22" s="1417">
        <f t="shared" si="4"/>
        <v>0.2</v>
      </c>
      <c r="J22" s="1417">
        <f t="shared" si="4"/>
        <v>0.2</v>
      </c>
      <c r="K22" s="1417">
        <f t="shared" si="4"/>
        <v>0.2</v>
      </c>
      <c r="L22" s="1417">
        <f t="shared" si="4"/>
        <v>0.2</v>
      </c>
      <c r="M22" s="1417">
        <f t="shared" si="4"/>
        <v>0.2</v>
      </c>
      <c r="N22" s="1417">
        <f t="shared" si="4"/>
        <v>0.2</v>
      </c>
      <c r="O22" s="1417">
        <f t="shared" si="4"/>
        <v>0.2</v>
      </c>
      <c r="P22" s="1417">
        <f t="shared" si="4"/>
        <v>0.2</v>
      </c>
      <c r="Q22" s="1417">
        <f t="shared" si="4"/>
        <v>0.2</v>
      </c>
      <c r="R22" s="1417">
        <f t="shared" ref="R22:V22" si="5">Q22</f>
        <v>0.2</v>
      </c>
      <c r="S22" s="1417">
        <f t="shared" si="5"/>
        <v>0.2</v>
      </c>
      <c r="T22" s="1417">
        <f t="shared" si="5"/>
        <v>0.2</v>
      </c>
      <c r="U22" s="1417">
        <f t="shared" si="5"/>
        <v>0.2</v>
      </c>
      <c r="V22" s="1417">
        <f t="shared" si="5"/>
        <v>0.2</v>
      </c>
    </row>
    <row r="23" spans="1:22">
      <c r="B23" s="1419" t="s">
        <v>14</v>
      </c>
      <c r="C23" s="1432"/>
      <c r="D23" s="1437">
        <f>D19*D15+D21*D20*(1-D22)</f>
        <v>0.11710000000000001</v>
      </c>
      <c r="E23" s="1437">
        <f t="shared" ref="E23:Q23" si="6">E19*E15+E21*E20*(1-E22)</f>
        <v>0.1132</v>
      </c>
      <c r="F23" s="1437">
        <f>F19*F15+F21*F20*(1-F22)</f>
        <v>0.10150000000000001</v>
      </c>
      <c r="G23" s="1437">
        <f>G19*G15+G21*G20*(1-G22)</f>
        <v>0.1105</v>
      </c>
      <c r="H23" s="1437">
        <f>H19*H15+H21*H20*(1-H22)</f>
        <v>0.1105</v>
      </c>
      <c r="I23" s="1437">
        <f>I19*I15+I21*I20*(1-I22)</f>
        <v>0.1105</v>
      </c>
      <c r="J23" s="1437">
        <f t="shared" si="6"/>
        <v>0.1105</v>
      </c>
      <c r="K23" s="1437">
        <f t="shared" si="6"/>
        <v>0.1105</v>
      </c>
      <c r="L23" s="1437">
        <f t="shared" si="6"/>
        <v>0.1105</v>
      </c>
      <c r="M23" s="1437">
        <f t="shared" si="6"/>
        <v>0.1105</v>
      </c>
      <c r="N23" s="1437">
        <f t="shared" si="6"/>
        <v>0.125</v>
      </c>
      <c r="O23" s="1437">
        <f t="shared" si="6"/>
        <v>0.125</v>
      </c>
      <c r="P23" s="1437">
        <f t="shared" si="6"/>
        <v>0.125</v>
      </c>
      <c r="Q23" s="1437">
        <f t="shared" si="6"/>
        <v>0.125</v>
      </c>
      <c r="R23" s="1437">
        <f>R19*R15+R21*R20*(1-R22)</f>
        <v>0.125</v>
      </c>
      <c r="S23" s="1437">
        <f>S19*S15+S21*S20*(1-S22)</f>
        <v>0.125</v>
      </c>
      <c r="T23" s="1437">
        <f>T19*T15+T21*T20*(1-T22)</f>
        <v>0.125</v>
      </c>
      <c r="U23" s="1437">
        <f>U19*U15+U21*U20*(1-U22)</f>
        <v>0.125</v>
      </c>
      <c r="V23" s="1437">
        <f>V19*V15+V21*V20*(1-V22)</f>
        <v>0.125</v>
      </c>
    </row>
    <row r="24" spans="1:22">
      <c r="E24" s="1412"/>
      <c r="J24" s="1413"/>
    </row>
    <row r="25" spans="1:22">
      <c r="E25" s="1412"/>
      <c r="J25" s="1413"/>
    </row>
    <row r="26" spans="1:22" ht="15.75">
      <c r="A26" s="1420" t="s">
        <v>1548</v>
      </c>
      <c r="B26" s="1438"/>
    </row>
    <row r="28" spans="1:22" s="1407" customFormat="1">
      <c r="A28" s="1406" t="s">
        <v>762</v>
      </c>
      <c r="B28" s="1407" t="s">
        <v>1459</v>
      </c>
      <c r="C28" s="1407" t="s">
        <v>764</v>
      </c>
      <c r="D28" s="1407" t="s">
        <v>1549</v>
      </c>
      <c r="E28" s="1407" t="s">
        <v>1550</v>
      </c>
    </row>
    <row r="29" spans="1:22">
      <c r="A29" s="1421"/>
      <c r="B29" s="1432" t="s">
        <v>1551</v>
      </c>
      <c r="C29" s="1432" t="s">
        <v>1552</v>
      </c>
      <c r="D29" s="1432"/>
      <c r="E29" s="1408">
        <f>N10</f>
        <v>50000</v>
      </c>
    </row>
    <row r="30" spans="1:22">
      <c r="B30" s="1431" t="s">
        <v>1553</v>
      </c>
      <c r="C30" s="1431" t="s">
        <v>1552</v>
      </c>
      <c r="E30" s="1410">
        <f>E29</f>
        <v>50000</v>
      </c>
    </row>
    <row r="31" spans="1:22">
      <c r="B31" s="1431" t="s">
        <v>1554</v>
      </c>
      <c r="C31" s="1431" t="s">
        <v>1555</v>
      </c>
      <c r="D31" s="1446"/>
      <c r="E31" s="1410">
        <f>E29*D31</f>
        <v>0</v>
      </c>
    </row>
    <row r="32" spans="1:22">
      <c r="B32" s="1431" t="s">
        <v>1556</v>
      </c>
      <c r="C32" s="1431" t="s">
        <v>1555</v>
      </c>
      <c r="D32" s="1654">
        <v>30</v>
      </c>
      <c r="E32" s="1440">
        <f>D32*E29/1000</f>
        <v>1500</v>
      </c>
    </row>
    <row r="34" spans="1:22">
      <c r="B34" s="1407" t="s">
        <v>773</v>
      </c>
      <c r="C34" s="1431" t="s">
        <v>642</v>
      </c>
      <c r="D34" s="1447">
        <f t="shared" ref="D34:M34" si="7">D14</f>
        <v>2013</v>
      </c>
      <c r="E34" s="1447">
        <f t="shared" si="7"/>
        <v>2014</v>
      </c>
      <c r="F34" s="1447">
        <f t="shared" si="7"/>
        <v>2015</v>
      </c>
      <c r="G34" s="1447">
        <f t="shared" si="7"/>
        <v>2016</v>
      </c>
      <c r="H34" s="1447">
        <f t="shared" si="7"/>
        <v>2017</v>
      </c>
      <c r="I34" s="1447">
        <f t="shared" si="7"/>
        <v>2018</v>
      </c>
      <c r="J34" s="1447">
        <f t="shared" si="7"/>
        <v>2019</v>
      </c>
      <c r="K34" s="1447">
        <f t="shared" si="7"/>
        <v>2020</v>
      </c>
      <c r="L34" s="1447">
        <f t="shared" si="7"/>
        <v>2021</v>
      </c>
      <c r="M34" s="1447">
        <f t="shared" si="7"/>
        <v>2022</v>
      </c>
      <c r="N34" s="1447">
        <f t="shared" ref="N34:T34" si="8">N14</f>
        <v>2023</v>
      </c>
      <c r="O34" s="1447">
        <f t="shared" si="8"/>
        <v>2024</v>
      </c>
      <c r="P34" s="1447">
        <f t="shared" si="8"/>
        <v>2025</v>
      </c>
      <c r="Q34" s="1447">
        <f t="shared" si="8"/>
        <v>2026</v>
      </c>
      <c r="R34" s="1447">
        <f t="shared" si="8"/>
        <v>2027</v>
      </c>
      <c r="S34" s="1447">
        <f t="shared" si="8"/>
        <v>2028</v>
      </c>
      <c r="T34" s="1447">
        <f t="shared" si="8"/>
        <v>2029</v>
      </c>
      <c r="U34" s="1447">
        <f>U14</f>
        <v>2030</v>
      </c>
      <c r="V34" s="1447">
        <f>V14</f>
        <v>2031</v>
      </c>
    </row>
    <row r="35" spans="1:22">
      <c r="B35" s="1432"/>
      <c r="C35" s="1441">
        <f>E32</f>
        <v>1500</v>
      </c>
      <c r="D35" s="1408">
        <f>$C$35*D36</f>
        <v>0</v>
      </c>
      <c r="E35" s="1408">
        <f>$C$35*E36</f>
        <v>0</v>
      </c>
      <c r="F35" s="1408">
        <f>$C$35*F36</f>
        <v>0</v>
      </c>
      <c r="G35" s="1408">
        <f>$C$35*G36</f>
        <v>0</v>
      </c>
      <c r="H35" s="1408">
        <f>$C$35*H36</f>
        <v>0</v>
      </c>
      <c r="I35" s="1408">
        <f t="shared" ref="I35:V35" si="9">$C$35*I36</f>
        <v>0</v>
      </c>
      <c r="J35" s="1408">
        <f t="shared" si="9"/>
        <v>0</v>
      </c>
      <c r="K35" s="1408">
        <f t="shared" si="9"/>
        <v>0</v>
      </c>
      <c r="L35" s="1408">
        <f t="shared" si="9"/>
        <v>0</v>
      </c>
      <c r="M35" s="1408">
        <f t="shared" si="9"/>
        <v>0</v>
      </c>
      <c r="N35" s="1408">
        <f t="shared" si="9"/>
        <v>0</v>
      </c>
      <c r="O35" s="1408">
        <f t="shared" si="9"/>
        <v>0</v>
      </c>
      <c r="P35" s="1408">
        <f t="shared" si="9"/>
        <v>0</v>
      </c>
      <c r="Q35" s="1408">
        <f t="shared" si="9"/>
        <v>0</v>
      </c>
      <c r="R35" s="1408">
        <f t="shared" si="9"/>
        <v>1500</v>
      </c>
      <c r="S35" s="1408">
        <f t="shared" si="9"/>
        <v>0</v>
      </c>
      <c r="T35" s="1408">
        <f t="shared" si="9"/>
        <v>0</v>
      </c>
      <c r="U35" s="1408">
        <f t="shared" si="9"/>
        <v>0</v>
      </c>
      <c r="V35" s="1408">
        <f t="shared" si="9"/>
        <v>0</v>
      </c>
    </row>
    <row r="36" spans="1:22">
      <c r="B36" s="1442" t="s">
        <v>1559</v>
      </c>
      <c r="C36" s="1436">
        <f>SUM(D36:M36)</f>
        <v>0</v>
      </c>
      <c r="D36" s="1416">
        <v>0</v>
      </c>
      <c r="E36" s="1416">
        <v>0</v>
      </c>
      <c r="F36" s="1416">
        <v>0</v>
      </c>
      <c r="G36" s="1416">
        <v>0</v>
      </c>
      <c r="H36" s="1416">
        <v>0</v>
      </c>
      <c r="I36" s="1416">
        <v>0</v>
      </c>
      <c r="J36" s="1416">
        <v>0</v>
      </c>
      <c r="K36" s="1416">
        <v>0</v>
      </c>
      <c r="L36" s="1416">
        <v>0</v>
      </c>
      <c r="M36" s="1416">
        <v>0</v>
      </c>
      <c r="N36" s="1416">
        <v>0</v>
      </c>
      <c r="O36" s="1416">
        <v>0</v>
      </c>
      <c r="P36" s="1416">
        <v>0</v>
      </c>
      <c r="Q36" s="1416">
        <v>0</v>
      </c>
      <c r="R36" s="1416">
        <v>1</v>
      </c>
      <c r="S36" s="1416">
        <v>0</v>
      </c>
      <c r="T36" s="1416">
        <v>0</v>
      </c>
      <c r="U36" s="1416">
        <v>0</v>
      </c>
      <c r="V36" s="1416">
        <v>0</v>
      </c>
    </row>
    <row r="39" spans="1:22" s="1407" customFormat="1">
      <c r="A39" s="1406" t="s">
        <v>777</v>
      </c>
      <c r="B39" s="1407" t="s">
        <v>1585</v>
      </c>
      <c r="C39" s="1407" t="s">
        <v>764</v>
      </c>
      <c r="D39" s="1407" t="s">
        <v>1549</v>
      </c>
    </row>
    <row r="40" spans="1:22">
      <c r="A40" s="1421"/>
      <c r="B40" s="1432" t="s">
        <v>686</v>
      </c>
      <c r="C40" s="1432" t="s">
        <v>1552</v>
      </c>
      <c r="D40" s="1426">
        <f>N11</f>
        <v>500000</v>
      </c>
      <c r="F40" s="1440"/>
      <c r="G40" s="1410"/>
    </row>
    <row r="41" spans="1:22">
      <c r="B41" s="1431" t="s">
        <v>1560</v>
      </c>
      <c r="C41" s="1431" t="s">
        <v>780</v>
      </c>
      <c r="D41" s="1448">
        <f>S9</f>
        <v>0.7</v>
      </c>
      <c r="G41" s="1440"/>
    </row>
    <row r="42" spans="1:22">
      <c r="B42" s="1431" t="s">
        <v>781</v>
      </c>
      <c r="C42" s="1431" t="s">
        <v>1552</v>
      </c>
      <c r="D42" s="1410">
        <f>D40*D41</f>
        <v>350000</v>
      </c>
    </row>
    <row r="43" spans="1:22">
      <c r="B43" s="1431" t="s">
        <v>1787</v>
      </c>
      <c r="C43" s="1431" t="s">
        <v>1555</v>
      </c>
      <c r="D43" s="1654">
        <f>S7</f>
        <v>25</v>
      </c>
    </row>
    <row r="44" spans="1:22">
      <c r="B44" s="1431" t="s">
        <v>1587</v>
      </c>
      <c r="C44" s="1431" t="s">
        <v>1555</v>
      </c>
      <c r="D44" s="1655">
        <f>S10</f>
        <v>6</v>
      </c>
    </row>
    <row r="45" spans="1:22">
      <c r="B45" s="1431" t="s">
        <v>787</v>
      </c>
      <c r="C45" s="1431" t="s">
        <v>780</v>
      </c>
      <c r="D45" s="1411">
        <v>0</v>
      </c>
    </row>
    <row r="46" spans="1:22">
      <c r="B46" s="1431" t="s">
        <v>1562</v>
      </c>
      <c r="C46" s="1431" t="s">
        <v>780</v>
      </c>
      <c r="D46" s="1448">
        <f>S11</f>
        <v>0.14000000000000001</v>
      </c>
    </row>
    <row r="47" spans="1:22">
      <c r="B47" s="1431" t="s">
        <v>1563</v>
      </c>
      <c r="C47" s="1431" t="s">
        <v>780</v>
      </c>
      <c r="D47" s="1411">
        <v>0</v>
      </c>
    </row>
    <row r="49" spans="1:22" s="1407" customFormat="1">
      <c r="A49" s="1406">
        <v>1</v>
      </c>
      <c r="B49" s="1407" t="s">
        <v>1564</v>
      </c>
      <c r="C49" s="1431" t="str">
        <f>C34</f>
        <v>Total</v>
      </c>
      <c r="D49" s="1431">
        <f>D34</f>
        <v>2013</v>
      </c>
      <c r="E49" s="1431">
        <f>E34</f>
        <v>2014</v>
      </c>
      <c r="F49" s="1431">
        <f>F34</f>
        <v>2015</v>
      </c>
      <c r="G49" s="1431">
        <f t="shared" ref="G49:V49" si="10">F49+1</f>
        <v>2016</v>
      </c>
      <c r="H49" s="1431">
        <f t="shared" si="10"/>
        <v>2017</v>
      </c>
      <c r="I49" s="1431">
        <f t="shared" si="10"/>
        <v>2018</v>
      </c>
      <c r="J49" s="1431">
        <f t="shared" si="10"/>
        <v>2019</v>
      </c>
      <c r="K49" s="1431">
        <f t="shared" si="10"/>
        <v>2020</v>
      </c>
      <c r="L49" s="1431">
        <f t="shared" si="10"/>
        <v>2021</v>
      </c>
      <c r="M49" s="1431">
        <f t="shared" si="10"/>
        <v>2022</v>
      </c>
      <c r="N49" s="1431">
        <f t="shared" si="10"/>
        <v>2023</v>
      </c>
      <c r="O49" s="1431">
        <f t="shared" si="10"/>
        <v>2024</v>
      </c>
      <c r="P49" s="1431">
        <f t="shared" si="10"/>
        <v>2025</v>
      </c>
      <c r="Q49" s="1431">
        <f t="shared" si="10"/>
        <v>2026</v>
      </c>
      <c r="R49" s="1431">
        <f t="shared" si="10"/>
        <v>2027</v>
      </c>
      <c r="S49" s="1431">
        <f t="shared" si="10"/>
        <v>2028</v>
      </c>
      <c r="T49" s="1431">
        <f t="shared" si="10"/>
        <v>2029</v>
      </c>
      <c r="U49" s="1431">
        <f t="shared" si="10"/>
        <v>2030</v>
      </c>
      <c r="V49" s="1431">
        <f t="shared" si="10"/>
        <v>2031</v>
      </c>
    </row>
    <row r="50" spans="1:22">
      <c r="B50" s="1432" t="s">
        <v>791</v>
      </c>
      <c r="C50" s="1441">
        <f>SUM(D50:V50)</f>
        <v>8750</v>
      </c>
      <c r="D50" s="1441">
        <f>$D$42*D52*D51/1000</f>
        <v>0</v>
      </c>
      <c r="E50" s="1441">
        <f t="shared" ref="E50:M50" si="11">$D$42*E52*E51/1000</f>
        <v>0</v>
      </c>
      <c r="F50" s="1441">
        <f t="shared" si="11"/>
        <v>0</v>
      </c>
      <c r="G50" s="1441">
        <f t="shared" si="11"/>
        <v>0</v>
      </c>
      <c r="H50" s="1441">
        <f t="shared" si="11"/>
        <v>0</v>
      </c>
      <c r="I50" s="1441">
        <f t="shared" si="11"/>
        <v>0</v>
      </c>
      <c r="J50" s="1441">
        <f t="shared" si="11"/>
        <v>0</v>
      </c>
      <c r="K50" s="1441">
        <f t="shared" si="11"/>
        <v>0</v>
      </c>
      <c r="L50" s="1441">
        <f t="shared" si="11"/>
        <v>0</v>
      </c>
      <c r="M50" s="1441">
        <f t="shared" si="11"/>
        <v>0</v>
      </c>
      <c r="N50" s="1441">
        <f t="shared" ref="N50:T50" si="12">$D$42*N52*N51/1000</f>
        <v>0</v>
      </c>
      <c r="O50" s="1441">
        <f t="shared" si="12"/>
        <v>0</v>
      </c>
      <c r="P50" s="1441">
        <f t="shared" si="12"/>
        <v>0</v>
      </c>
      <c r="Q50" s="1441">
        <f t="shared" si="12"/>
        <v>0</v>
      </c>
      <c r="R50" s="1441">
        <f t="shared" si="12"/>
        <v>0</v>
      </c>
      <c r="S50" s="1441">
        <f t="shared" si="12"/>
        <v>2625</v>
      </c>
      <c r="T50" s="1441">
        <f t="shared" si="12"/>
        <v>4375</v>
      </c>
      <c r="U50" s="1441">
        <f>$D$42*U52*U51/1000</f>
        <v>1750</v>
      </c>
      <c r="V50" s="1441">
        <f>$D$42*V52*V51/1000</f>
        <v>0</v>
      </c>
    </row>
    <row r="51" spans="1:22">
      <c r="B51" s="1444" t="s">
        <v>792</v>
      </c>
      <c r="C51" s="1436">
        <f>SUM(D51:V51)</f>
        <v>1</v>
      </c>
      <c r="D51" s="1416">
        <v>0</v>
      </c>
      <c r="E51" s="1416">
        <v>0</v>
      </c>
      <c r="F51" s="1416">
        <v>0</v>
      </c>
      <c r="G51" s="1416">
        <v>0</v>
      </c>
      <c r="H51" s="1416">
        <v>0</v>
      </c>
      <c r="I51" s="1416">
        <v>0</v>
      </c>
      <c r="J51" s="1416">
        <v>0</v>
      </c>
      <c r="K51" s="1416">
        <v>0</v>
      </c>
      <c r="L51" s="1416">
        <v>0</v>
      </c>
      <c r="M51" s="1416">
        <v>0</v>
      </c>
      <c r="N51" s="1416">
        <v>0</v>
      </c>
      <c r="O51" s="1416">
        <v>0</v>
      </c>
      <c r="P51" s="1416">
        <v>0</v>
      </c>
      <c r="Q51" s="1416">
        <v>0</v>
      </c>
      <c r="R51" s="1416">
        <v>0</v>
      </c>
      <c r="S51" s="1416">
        <v>0.3</v>
      </c>
      <c r="T51" s="1416">
        <v>0.5</v>
      </c>
      <c r="U51" s="1416">
        <v>0.2</v>
      </c>
      <c r="V51" s="1416">
        <v>0</v>
      </c>
    </row>
    <row r="52" spans="1:22">
      <c r="B52" s="1444" t="s">
        <v>1565</v>
      </c>
      <c r="D52" s="1439">
        <f>D43</f>
        <v>25</v>
      </c>
      <c r="E52" s="1439">
        <f t="shared" ref="E52:M52" si="13">D52*(1+E53)</f>
        <v>25</v>
      </c>
      <c r="F52" s="1439">
        <f t="shared" si="13"/>
        <v>25</v>
      </c>
      <c r="G52" s="1439">
        <f t="shared" si="13"/>
        <v>25</v>
      </c>
      <c r="H52" s="1439">
        <f t="shared" si="13"/>
        <v>25</v>
      </c>
      <c r="I52" s="1439">
        <f t="shared" si="13"/>
        <v>25</v>
      </c>
      <c r="J52" s="1439">
        <f t="shared" si="13"/>
        <v>25</v>
      </c>
      <c r="K52" s="1439">
        <f t="shared" si="13"/>
        <v>25</v>
      </c>
      <c r="L52" s="1439">
        <f t="shared" si="13"/>
        <v>25</v>
      </c>
      <c r="M52" s="1439">
        <f t="shared" si="13"/>
        <v>25</v>
      </c>
      <c r="N52" s="1439">
        <f t="shared" ref="N52:V52" si="14">M52*(1+N53)</f>
        <v>25</v>
      </c>
      <c r="O52" s="1439">
        <f t="shared" si="14"/>
        <v>25</v>
      </c>
      <c r="P52" s="1439">
        <f t="shared" si="14"/>
        <v>25</v>
      </c>
      <c r="Q52" s="1439">
        <f t="shared" si="14"/>
        <v>25</v>
      </c>
      <c r="R52" s="1439">
        <f t="shared" si="14"/>
        <v>25</v>
      </c>
      <c r="S52" s="1439">
        <f t="shared" si="14"/>
        <v>25</v>
      </c>
      <c r="T52" s="1439">
        <f t="shared" si="14"/>
        <v>25</v>
      </c>
      <c r="U52" s="1439">
        <f t="shared" si="14"/>
        <v>25</v>
      </c>
      <c r="V52" s="1439">
        <f t="shared" si="14"/>
        <v>25</v>
      </c>
    </row>
    <row r="53" spans="1:22">
      <c r="B53" s="1444" t="s">
        <v>1563</v>
      </c>
      <c r="E53" s="1443">
        <f t="shared" ref="E53:J53" si="15">D47</f>
        <v>0</v>
      </c>
      <c r="F53" s="1443">
        <f t="shared" si="15"/>
        <v>0</v>
      </c>
      <c r="G53" s="1443">
        <f t="shared" si="15"/>
        <v>0</v>
      </c>
      <c r="H53" s="1443">
        <f t="shared" si="15"/>
        <v>0</v>
      </c>
      <c r="I53" s="1443">
        <f t="shared" si="15"/>
        <v>0</v>
      </c>
      <c r="J53" s="1443">
        <f t="shared" si="15"/>
        <v>0</v>
      </c>
      <c r="K53" s="1443">
        <f t="shared" ref="K53:V53" si="16">J47</f>
        <v>0</v>
      </c>
      <c r="L53" s="1443">
        <f t="shared" si="16"/>
        <v>0</v>
      </c>
      <c r="M53" s="1443">
        <f t="shared" si="16"/>
        <v>0</v>
      </c>
      <c r="N53" s="1443">
        <f t="shared" si="16"/>
        <v>0</v>
      </c>
      <c r="O53" s="1443">
        <f t="shared" si="16"/>
        <v>0</v>
      </c>
      <c r="P53" s="1443">
        <f t="shared" si="16"/>
        <v>0</v>
      </c>
      <c r="Q53" s="1443">
        <f t="shared" si="16"/>
        <v>0</v>
      </c>
      <c r="R53" s="1443">
        <f t="shared" si="16"/>
        <v>0</v>
      </c>
      <c r="S53" s="1443">
        <f t="shared" si="16"/>
        <v>0</v>
      </c>
      <c r="T53" s="1443">
        <f t="shared" si="16"/>
        <v>0</v>
      </c>
      <c r="U53" s="1443">
        <f t="shared" si="16"/>
        <v>0</v>
      </c>
      <c r="V53" s="1443">
        <f t="shared" si="16"/>
        <v>0</v>
      </c>
    </row>
    <row r="54" spans="1:22">
      <c r="B54" s="1444" t="s">
        <v>1788</v>
      </c>
      <c r="C54" s="1440">
        <f>S5</f>
        <v>6500</v>
      </c>
      <c r="D54" s="1440">
        <f>D51*$C$54</f>
        <v>0</v>
      </c>
      <c r="E54" s="1440">
        <f t="shared" ref="E54:M54" si="17">E51*$C$54</f>
        <v>0</v>
      </c>
      <c r="F54" s="1440">
        <f t="shared" si="17"/>
        <v>0</v>
      </c>
      <c r="G54" s="1440">
        <f t="shared" si="17"/>
        <v>0</v>
      </c>
      <c r="H54" s="1440">
        <f t="shared" si="17"/>
        <v>0</v>
      </c>
      <c r="I54" s="1440">
        <f t="shared" si="17"/>
        <v>0</v>
      </c>
      <c r="J54" s="1440">
        <f t="shared" si="17"/>
        <v>0</v>
      </c>
      <c r="K54" s="1440">
        <f t="shared" si="17"/>
        <v>0</v>
      </c>
      <c r="L54" s="1440">
        <f t="shared" si="17"/>
        <v>0</v>
      </c>
      <c r="M54" s="1440">
        <f t="shared" si="17"/>
        <v>0</v>
      </c>
      <c r="N54" s="1440">
        <f t="shared" ref="N54:T54" si="18">N51*$C$54</f>
        <v>0</v>
      </c>
      <c r="O54" s="1440">
        <f t="shared" si="18"/>
        <v>0</v>
      </c>
      <c r="P54" s="1440">
        <f t="shared" si="18"/>
        <v>0</v>
      </c>
      <c r="Q54" s="1440">
        <f t="shared" si="18"/>
        <v>0</v>
      </c>
      <c r="R54" s="1440">
        <f t="shared" si="18"/>
        <v>0</v>
      </c>
      <c r="S54" s="1440">
        <f t="shared" si="18"/>
        <v>1950</v>
      </c>
      <c r="T54" s="1440">
        <f t="shared" si="18"/>
        <v>3250</v>
      </c>
      <c r="U54" s="1440">
        <f>U51*$C$54</f>
        <v>1300</v>
      </c>
      <c r="V54" s="1440">
        <f>V51*$C$54</f>
        <v>0</v>
      </c>
    </row>
    <row r="55" spans="1:22">
      <c r="B55" s="1444"/>
      <c r="F55" s="1443"/>
      <c r="G55" s="1443"/>
    </row>
    <row r="56" spans="1:22" s="1407" customFormat="1">
      <c r="A56" s="1406">
        <v>2</v>
      </c>
      <c r="B56" s="1407" t="s">
        <v>794</v>
      </c>
      <c r="C56" s="1431" t="str">
        <f>C49</f>
        <v>Total</v>
      </c>
      <c r="D56" s="1431">
        <f t="shared" ref="D56:J56" si="19">D49</f>
        <v>2013</v>
      </c>
      <c r="E56" s="1431">
        <f t="shared" si="19"/>
        <v>2014</v>
      </c>
      <c r="F56" s="1431">
        <f t="shared" si="19"/>
        <v>2015</v>
      </c>
      <c r="G56" s="1431">
        <f t="shared" si="19"/>
        <v>2016</v>
      </c>
      <c r="H56" s="1431">
        <f t="shared" si="19"/>
        <v>2017</v>
      </c>
      <c r="I56" s="1431">
        <f t="shared" si="19"/>
        <v>2018</v>
      </c>
      <c r="J56" s="1431">
        <f t="shared" si="19"/>
        <v>2019</v>
      </c>
      <c r="K56" s="1431">
        <f>K49</f>
        <v>2020</v>
      </c>
      <c r="L56" s="1431">
        <f>L49</f>
        <v>2021</v>
      </c>
      <c r="M56" s="1431">
        <f>M49</f>
        <v>2022</v>
      </c>
      <c r="N56" s="1431">
        <f t="shared" ref="N56:T56" si="20">N49</f>
        <v>2023</v>
      </c>
      <c r="O56" s="1431">
        <f t="shared" si="20"/>
        <v>2024</v>
      </c>
      <c r="P56" s="1431">
        <f t="shared" si="20"/>
        <v>2025</v>
      </c>
      <c r="Q56" s="1431">
        <f t="shared" si="20"/>
        <v>2026</v>
      </c>
      <c r="R56" s="1431">
        <f t="shared" si="20"/>
        <v>2027</v>
      </c>
      <c r="S56" s="1431">
        <f t="shared" si="20"/>
        <v>2028</v>
      </c>
      <c r="T56" s="1431">
        <f t="shared" si="20"/>
        <v>2029</v>
      </c>
      <c r="U56" s="1431">
        <f>U49</f>
        <v>2030</v>
      </c>
      <c r="V56" s="1431">
        <f>V49</f>
        <v>2031</v>
      </c>
    </row>
    <row r="57" spans="1:22">
      <c r="B57" s="1432" t="s">
        <v>1586</v>
      </c>
      <c r="C57" s="1408">
        <f>C50</f>
        <v>8750</v>
      </c>
      <c r="D57" s="1441">
        <f>$C$57*D58</f>
        <v>0</v>
      </c>
      <c r="E57" s="1441">
        <f t="shared" ref="E57:V57" si="21">$C$57*E58</f>
        <v>0</v>
      </c>
      <c r="F57" s="1441">
        <f t="shared" si="21"/>
        <v>0</v>
      </c>
      <c r="G57" s="1441">
        <f t="shared" si="21"/>
        <v>0</v>
      </c>
      <c r="H57" s="1441">
        <f t="shared" si="21"/>
        <v>0</v>
      </c>
      <c r="I57" s="1441">
        <f t="shared" si="21"/>
        <v>0</v>
      </c>
      <c r="J57" s="1441">
        <f t="shared" si="21"/>
        <v>0</v>
      </c>
      <c r="K57" s="1441">
        <f t="shared" si="21"/>
        <v>0</v>
      </c>
      <c r="L57" s="1441">
        <f t="shared" si="21"/>
        <v>0</v>
      </c>
      <c r="M57" s="1441">
        <f t="shared" si="21"/>
        <v>0</v>
      </c>
      <c r="N57" s="1441">
        <f t="shared" si="21"/>
        <v>0</v>
      </c>
      <c r="O57" s="1441">
        <f t="shared" si="21"/>
        <v>0</v>
      </c>
      <c r="P57" s="1441">
        <f t="shared" si="21"/>
        <v>0</v>
      </c>
      <c r="Q57" s="1441">
        <f t="shared" si="21"/>
        <v>0</v>
      </c>
      <c r="R57" s="1441">
        <f t="shared" si="21"/>
        <v>0</v>
      </c>
      <c r="S57" s="1441">
        <f t="shared" si="21"/>
        <v>0</v>
      </c>
      <c r="T57" s="1441">
        <f t="shared" si="21"/>
        <v>0</v>
      </c>
      <c r="U57" s="1441">
        <f t="shared" si="21"/>
        <v>4375</v>
      </c>
      <c r="V57" s="1441">
        <f t="shared" si="21"/>
        <v>4375</v>
      </c>
    </row>
    <row r="58" spans="1:22">
      <c r="B58" s="1442" t="s">
        <v>794</v>
      </c>
      <c r="C58" s="1417">
        <f>SUM(D58:V58)</f>
        <v>1</v>
      </c>
      <c r="D58" s="1411">
        <v>0</v>
      </c>
      <c r="E58" s="1411">
        <v>0</v>
      </c>
      <c r="F58" s="1411">
        <v>0</v>
      </c>
      <c r="G58" s="1411">
        <v>0</v>
      </c>
      <c r="H58" s="1411">
        <v>0</v>
      </c>
      <c r="I58" s="1411">
        <v>0</v>
      </c>
      <c r="J58" s="1411">
        <v>0</v>
      </c>
      <c r="K58" s="1411">
        <v>0</v>
      </c>
      <c r="L58" s="1411">
        <v>0</v>
      </c>
      <c r="M58" s="1411">
        <v>0</v>
      </c>
      <c r="N58" s="1411">
        <v>0</v>
      </c>
      <c r="O58" s="1411">
        <v>0</v>
      </c>
      <c r="P58" s="1411">
        <v>0</v>
      </c>
      <c r="Q58" s="1411">
        <v>0</v>
      </c>
      <c r="R58" s="1411">
        <v>0</v>
      </c>
      <c r="S58" s="1411">
        <v>0</v>
      </c>
      <c r="T58" s="1411">
        <v>0</v>
      </c>
      <c r="U58" s="1411">
        <v>0.5</v>
      </c>
      <c r="V58" s="1411">
        <v>0.5</v>
      </c>
    </row>
    <row r="59" spans="1:22">
      <c r="B59" s="1442" t="s">
        <v>1777</v>
      </c>
      <c r="C59" s="1410">
        <f>C54</f>
        <v>6500</v>
      </c>
      <c r="D59" s="1410">
        <f>D58*$C$59</f>
        <v>0</v>
      </c>
      <c r="E59" s="1410">
        <f t="shared" ref="E59:M59" si="22">E58*$C$59</f>
        <v>0</v>
      </c>
      <c r="F59" s="1410">
        <f t="shared" si="22"/>
        <v>0</v>
      </c>
      <c r="G59" s="1410">
        <f t="shared" si="22"/>
        <v>0</v>
      </c>
      <c r="H59" s="1410">
        <f t="shared" si="22"/>
        <v>0</v>
      </c>
      <c r="I59" s="1410">
        <f t="shared" si="22"/>
        <v>0</v>
      </c>
      <c r="J59" s="1410">
        <f t="shared" si="22"/>
        <v>0</v>
      </c>
      <c r="K59" s="1410">
        <f t="shared" si="22"/>
        <v>0</v>
      </c>
      <c r="L59" s="1410">
        <f t="shared" si="22"/>
        <v>0</v>
      </c>
      <c r="M59" s="1410">
        <f t="shared" si="22"/>
        <v>0</v>
      </c>
      <c r="N59" s="1410">
        <f t="shared" ref="N59:T59" si="23">N58*$C$59</f>
        <v>0</v>
      </c>
      <c r="O59" s="1410">
        <f t="shared" si="23"/>
        <v>0</v>
      </c>
      <c r="P59" s="1410">
        <f t="shared" si="23"/>
        <v>0</v>
      </c>
      <c r="Q59" s="1410">
        <f t="shared" si="23"/>
        <v>0</v>
      </c>
      <c r="R59" s="1410">
        <f t="shared" si="23"/>
        <v>0</v>
      </c>
      <c r="S59" s="1410">
        <f t="shared" si="23"/>
        <v>0</v>
      </c>
      <c r="T59" s="1410">
        <f t="shared" si="23"/>
        <v>0</v>
      </c>
      <c r="U59" s="1410">
        <f>U58*$C$59</f>
        <v>3250</v>
      </c>
      <c r="V59" s="1410">
        <f>V58*$C$59</f>
        <v>3250</v>
      </c>
    </row>
    <row r="60" spans="1:22">
      <c r="B60" s="1444"/>
      <c r="C60" s="1425"/>
      <c r="D60" s="1433"/>
      <c r="E60" s="1433"/>
      <c r="F60" s="1433"/>
      <c r="G60" s="1433"/>
    </row>
    <row r="61" spans="1:22">
      <c r="C61" s="1440"/>
      <c r="D61" s="1440"/>
      <c r="E61" s="1440"/>
      <c r="F61" s="1440"/>
      <c r="G61" s="1440"/>
    </row>
    <row r="62" spans="1:22" s="1407" customFormat="1">
      <c r="A62" s="1406">
        <v>3</v>
      </c>
      <c r="B62" s="1407" t="s">
        <v>1175</v>
      </c>
      <c r="C62" s="1431" t="str">
        <f>C56</f>
        <v>Total</v>
      </c>
      <c r="D62" s="1431">
        <f t="shared" ref="D62:J62" si="24">D56</f>
        <v>2013</v>
      </c>
      <c r="E62" s="1431">
        <f t="shared" si="24"/>
        <v>2014</v>
      </c>
      <c r="F62" s="1431">
        <f t="shared" si="24"/>
        <v>2015</v>
      </c>
      <c r="G62" s="1431">
        <f t="shared" si="24"/>
        <v>2016</v>
      </c>
      <c r="H62" s="1431">
        <f t="shared" si="24"/>
        <v>2017</v>
      </c>
      <c r="I62" s="1431">
        <f t="shared" si="24"/>
        <v>2018</v>
      </c>
      <c r="J62" s="1431">
        <f t="shared" si="24"/>
        <v>2019</v>
      </c>
      <c r="K62" s="1431">
        <f>K56</f>
        <v>2020</v>
      </c>
      <c r="L62" s="1431">
        <f>L56</f>
        <v>2021</v>
      </c>
      <c r="M62" s="1431">
        <f>M56</f>
        <v>2022</v>
      </c>
      <c r="N62" s="1431">
        <f t="shared" ref="N62:T62" si="25">N56</f>
        <v>2023</v>
      </c>
      <c r="O62" s="1431">
        <f t="shared" si="25"/>
        <v>2024</v>
      </c>
      <c r="P62" s="1431">
        <f t="shared" si="25"/>
        <v>2025</v>
      </c>
      <c r="Q62" s="1431">
        <f t="shared" si="25"/>
        <v>2026</v>
      </c>
      <c r="R62" s="1431">
        <f t="shared" si="25"/>
        <v>2027</v>
      </c>
      <c r="S62" s="1431">
        <f t="shared" si="25"/>
        <v>2028</v>
      </c>
      <c r="T62" s="1431">
        <f t="shared" si="25"/>
        <v>2029</v>
      </c>
      <c r="U62" s="1431">
        <f>U56</f>
        <v>2030</v>
      </c>
      <c r="V62" s="1431">
        <f>V56</f>
        <v>2031</v>
      </c>
    </row>
    <row r="63" spans="1:22">
      <c r="B63" s="1432"/>
      <c r="C63" s="1441">
        <f>SUM(D63:V63)</f>
        <v>8750</v>
      </c>
      <c r="D63" s="1408"/>
      <c r="E63" s="1408"/>
      <c r="F63" s="1408">
        <f>D50*$D66+E50*$D65+F50*$D64</f>
        <v>0</v>
      </c>
      <c r="G63" s="1408">
        <f>E50*$D66+F50*$D65+G50*$D64</f>
        <v>0</v>
      </c>
      <c r="H63" s="1408">
        <f t="shared" ref="H63:M63" si="26">F50*$D66+G50*$D65+H50*$D64</f>
        <v>0</v>
      </c>
      <c r="I63" s="1408">
        <f t="shared" si="26"/>
        <v>0</v>
      </c>
      <c r="J63" s="1408">
        <f t="shared" si="26"/>
        <v>0</v>
      </c>
      <c r="K63" s="1408">
        <f t="shared" si="26"/>
        <v>0</v>
      </c>
      <c r="L63" s="1408">
        <f t="shared" si="26"/>
        <v>0</v>
      </c>
      <c r="M63" s="1408">
        <f t="shared" si="26"/>
        <v>0</v>
      </c>
      <c r="N63" s="1408">
        <f t="shared" ref="N63:V63" si="27">L50*$D66+M50*$D65+N50*$D64</f>
        <v>0</v>
      </c>
      <c r="O63" s="1408">
        <f t="shared" si="27"/>
        <v>0</v>
      </c>
      <c r="P63" s="1408">
        <f t="shared" si="27"/>
        <v>0</v>
      </c>
      <c r="Q63" s="1408">
        <f t="shared" si="27"/>
        <v>0</v>
      </c>
      <c r="R63" s="1408">
        <f t="shared" si="27"/>
        <v>0</v>
      </c>
      <c r="S63" s="1408">
        <f t="shared" si="27"/>
        <v>1312.5</v>
      </c>
      <c r="T63" s="1408">
        <f t="shared" si="27"/>
        <v>3500</v>
      </c>
      <c r="U63" s="1408">
        <f t="shared" si="27"/>
        <v>3062.5</v>
      </c>
      <c r="V63" s="1408">
        <f t="shared" si="27"/>
        <v>875</v>
      </c>
    </row>
    <row r="64" spans="1:22">
      <c r="B64" s="1431" t="s">
        <v>797</v>
      </c>
      <c r="C64" s="1440" t="s">
        <v>798</v>
      </c>
      <c r="D64" s="1416">
        <v>0.5</v>
      </c>
      <c r="E64" s="1440"/>
      <c r="F64" s="1440"/>
      <c r="G64" s="1440"/>
    </row>
    <row r="65" spans="1:22">
      <c r="C65" s="1440" t="s">
        <v>799</v>
      </c>
      <c r="D65" s="1416">
        <v>0.5</v>
      </c>
      <c r="E65" s="1440"/>
      <c r="F65" s="1440"/>
      <c r="G65" s="1440"/>
    </row>
    <row r="66" spans="1:22">
      <c r="C66" s="1440" t="s">
        <v>800</v>
      </c>
      <c r="D66" s="1417">
        <f>1-SUM(D64:D65)</f>
        <v>0</v>
      </c>
      <c r="E66" s="1440"/>
      <c r="F66" s="1440"/>
      <c r="G66" s="1440"/>
    </row>
    <row r="67" spans="1:22">
      <c r="C67" s="1440"/>
      <c r="D67" s="1416"/>
      <c r="E67" s="1440"/>
      <c r="F67" s="1440"/>
      <c r="G67" s="1440"/>
    </row>
    <row r="68" spans="1:22">
      <c r="C68" s="1440"/>
      <c r="D68" s="1416"/>
      <c r="E68" s="1440"/>
      <c r="F68" s="1440"/>
      <c r="G68" s="1440"/>
    </row>
    <row r="69" spans="1:22" s="1407" customFormat="1">
      <c r="A69" s="1406">
        <v>4</v>
      </c>
      <c r="B69" s="1407" t="s">
        <v>1462</v>
      </c>
      <c r="C69" s="1440" t="str">
        <f>C62</f>
        <v>Total</v>
      </c>
      <c r="D69" s="1431">
        <f t="shared" ref="D69:J69" si="28">D62</f>
        <v>2013</v>
      </c>
      <c r="E69" s="1431">
        <f t="shared" si="28"/>
        <v>2014</v>
      </c>
      <c r="F69" s="1431">
        <f t="shared" si="28"/>
        <v>2015</v>
      </c>
      <c r="G69" s="1431">
        <f t="shared" si="28"/>
        <v>2016</v>
      </c>
      <c r="H69" s="1431">
        <f t="shared" si="28"/>
        <v>2017</v>
      </c>
      <c r="I69" s="1431">
        <f t="shared" si="28"/>
        <v>2018</v>
      </c>
      <c r="J69" s="1431">
        <f t="shared" si="28"/>
        <v>2019</v>
      </c>
      <c r="K69" s="1431">
        <f>K62</f>
        <v>2020</v>
      </c>
      <c r="L69" s="1431">
        <f>L62</f>
        <v>2021</v>
      </c>
      <c r="M69" s="1431">
        <f>M62</f>
        <v>2022</v>
      </c>
      <c r="N69" s="1431">
        <f t="shared" ref="N69:T69" si="29">N62</f>
        <v>2023</v>
      </c>
      <c r="O69" s="1431">
        <f t="shared" si="29"/>
        <v>2024</v>
      </c>
      <c r="P69" s="1431">
        <f t="shared" si="29"/>
        <v>2025</v>
      </c>
      <c r="Q69" s="1431">
        <f t="shared" si="29"/>
        <v>2026</v>
      </c>
      <c r="R69" s="1431">
        <f t="shared" si="29"/>
        <v>2027</v>
      </c>
      <c r="S69" s="1431">
        <f t="shared" si="29"/>
        <v>2028</v>
      </c>
      <c r="T69" s="1431">
        <f t="shared" si="29"/>
        <v>2029</v>
      </c>
      <c r="U69" s="1431">
        <f>U62</f>
        <v>2030</v>
      </c>
      <c r="V69" s="1431">
        <f>V62</f>
        <v>2031</v>
      </c>
    </row>
    <row r="70" spans="1:22">
      <c r="B70" s="1432" t="s">
        <v>1566</v>
      </c>
      <c r="C70" s="1441">
        <f>D40*D44/1000</f>
        <v>3000</v>
      </c>
      <c r="D70" s="1408">
        <f>$C$70*D71</f>
        <v>0</v>
      </c>
      <c r="E70" s="1408">
        <f t="shared" ref="E70:V70" si="30">$C$70*E71</f>
        <v>0</v>
      </c>
      <c r="F70" s="1408">
        <f t="shared" si="30"/>
        <v>0</v>
      </c>
      <c r="G70" s="1408">
        <f t="shared" si="30"/>
        <v>0</v>
      </c>
      <c r="H70" s="1408">
        <f t="shared" si="30"/>
        <v>0</v>
      </c>
      <c r="I70" s="1408">
        <f t="shared" si="30"/>
        <v>0</v>
      </c>
      <c r="J70" s="1408">
        <f t="shared" si="30"/>
        <v>0</v>
      </c>
      <c r="K70" s="1408">
        <f t="shared" si="30"/>
        <v>0</v>
      </c>
      <c r="L70" s="1408">
        <f t="shared" si="30"/>
        <v>0</v>
      </c>
      <c r="M70" s="1408">
        <f t="shared" si="30"/>
        <v>0</v>
      </c>
      <c r="N70" s="1408">
        <f t="shared" si="30"/>
        <v>0</v>
      </c>
      <c r="O70" s="1408">
        <f t="shared" si="30"/>
        <v>0</v>
      </c>
      <c r="P70" s="1408">
        <f t="shared" si="30"/>
        <v>0</v>
      </c>
      <c r="Q70" s="1408">
        <f t="shared" si="30"/>
        <v>0</v>
      </c>
      <c r="R70" s="1408">
        <f t="shared" si="30"/>
        <v>0</v>
      </c>
      <c r="S70" s="1408">
        <f t="shared" si="30"/>
        <v>900</v>
      </c>
      <c r="T70" s="1408">
        <f t="shared" si="30"/>
        <v>1500</v>
      </c>
      <c r="U70" s="1408">
        <f t="shared" si="30"/>
        <v>600</v>
      </c>
      <c r="V70" s="1408">
        <f t="shared" si="30"/>
        <v>0</v>
      </c>
    </row>
    <row r="71" spans="1:22">
      <c r="B71" s="1431" t="s">
        <v>1559</v>
      </c>
      <c r="C71" s="1436">
        <f>SUM(D71:V71)</f>
        <v>1</v>
      </c>
      <c r="D71" s="1416">
        <v>0</v>
      </c>
      <c r="E71" s="1416">
        <v>0</v>
      </c>
      <c r="F71" s="1416">
        <v>0</v>
      </c>
      <c r="G71" s="1416">
        <v>0</v>
      </c>
      <c r="H71" s="1416">
        <v>0</v>
      </c>
      <c r="I71" s="1416">
        <v>0</v>
      </c>
      <c r="J71" s="1416">
        <v>0</v>
      </c>
      <c r="K71" s="1416">
        <v>0</v>
      </c>
      <c r="L71" s="1416">
        <v>0</v>
      </c>
      <c r="M71" s="1416">
        <v>0</v>
      </c>
      <c r="N71" s="1416">
        <v>0</v>
      </c>
      <c r="O71" s="1416">
        <v>0</v>
      </c>
      <c r="P71" s="1416">
        <v>0</v>
      </c>
      <c r="Q71" s="1416">
        <v>0</v>
      </c>
      <c r="R71" s="1416">
        <v>0</v>
      </c>
      <c r="S71" s="1416">
        <v>0.3</v>
      </c>
      <c r="T71" s="1416">
        <v>0.5</v>
      </c>
      <c r="U71" s="1416">
        <v>0.2</v>
      </c>
      <c r="V71" s="1416">
        <v>0</v>
      </c>
    </row>
    <row r="72" spans="1:22">
      <c r="C72" s="1433"/>
      <c r="D72" s="1425"/>
      <c r="E72" s="1425"/>
      <c r="F72" s="1424"/>
      <c r="G72" s="1424"/>
      <c r="H72" s="1435"/>
    </row>
    <row r="73" spans="1:22">
      <c r="C73" s="1433"/>
      <c r="D73" s="1424"/>
      <c r="E73" s="1424"/>
      <c r="F73" s="1424"/>
      <c r="G73" s="1424"/>
    </row>
    <row r="74" spans="1:22">
      <c r="A74" s="1406">
        <v>5</v>
      </c>
      <c r="B74" s="1407" t="s">
        <v>1466</v>
      </c>
      <c r="C74" s="1431" t="str">
        <f>C69</f>
        <v>Total</v>
      </c>
      <c r="D74" s="1431">
        <f t="shared" ref="D74:I74" si="31">D69</f>
        <v>2013</v>
      </c>
      <c r="E74" s="1431">
        <f t="shared" si="31"/>
        <v>2014</v>
      </c>
      <c r="F74" s="1431">
        <f t="shared" si="31"/>
        <v>2015</v>
      </c>
      <c r="G74" s="1431">
        <f t="shared" si="31"/>
        <v>2016</v>
      </c>
      <c r="H74" s="1431">
        <f t="shared" si="31"/>
        <v>2017</v>
      </c>
      <c r="I74" s="1431">
        <f t="shared" si="31"/>
        <v>2018</v>
      </c>
      <c r="J74" s="1431">
        <f t="shared" ref="J74:V74" si="32">I74+1</f>
        <v>2019</v>
      </c>
      <c r="K74" s="1431">
        <f t="shared" si="32"/>
        <v>2020</v>
      </c>
      <c r="L74" s="1431">
        <f t="shared" si="32"/>
        <v>2021</v>
      </c>
      <c r="M74" s="1431">
        <f t="shared" si="32"/>
        <v>2022</v>
      </c>
      <c r="N74" s="1431">
        <f t="shared" si="32"/>
        <v>2023</v>
      </c>
      <c r="O74" s="1431">
        <f t="shared" si="32"/>
        <v>2024</v>
      </c>
      <c r="P74" s="1431">
        <f t="shared" si="32"/>
        <v>2025</v>
      </c>
      <c r="Q74" s="1431">
        <f t="shared" si="32"/>
        <v>2026</v>
      </c>
      <c r="R74" s="1431">
        <f t="shared" si="32"/>
        <v>2027</v>
      </c>
      <c r="S74" s="1431">
        <f t="shared" si="32"/>
        <v>2028</v>
      </c>
      <c r="T74" s="1431">
        <f t="shared" si="32"/>
        <v>2029</v>
      </c>
      <c r="U74" s="1431">
        <f t="shared" si="32"/>
        <v>2030</v>
      </c>
      <c r="V74" s="1431">
        <f t="shared" si="32"/>
        <v>2031</v>
      </c>
    </row>
    <row r="75" spans="1:22">
      <c r="B75" s="1432" t="s">
        <v>1567</v>
      </c>
      <c r="C75" s="1441">
        <f>$C$70*C58</f>
        <v>3000</v>
      </c>
      <c r="D75" s="1441">
        <f t="shared" ref="D75:M75" si="33">$C$70*D58</f>
        <v>0</v>
      </c>
      <c r="E75" s="1441">
        <f t="shared" si="33"/>
        <v>0</v>
      </c>
      <c r="F75" s="1441">
        <f t="shared" si="33"/>
        <v>0</v>
      </c>
      <c r="G75" s="1441">
        <f t="shared" si="33"/>
        <v>0</v>
      </c>
      <c r="H75" s="1441">
        <f t="shared" si="33"/>
        <v>0</v>
      </c>
      <c r="I75" s="1441">
        <f t="shared" si="33"/>
        <v>0</v>
      </c>
      <c r="J75" s="1441">
        <f t="shared" si="33"/>
        <v>0</v>
      </c>
      <c r="K75" s="1441">
        <f t="shared" si="33"/>
        <v>0</v>
      </c>
      <c r="L75" s="1441">
        <f t="shared" si="33"/>
        <v>0</v>
      </c>
      <c r="M75" s="1441">
        <f t="shared" si="33"/>
        <v>0</v>
      </c>
      <c r="N75" s="1441">
        <f t="shared" ref="N75:T75" si="34">$C$70*N58</f>
        <v>0</v>
      </c>
      <c r="O75" s="1441">
        <f t="shared" si="34"/>
        <v>0</v>
      </c>
      <c r="P75" s="1441">
        <f t="shared" si="34"/>
        <v>0</v>
      </c>
      <c r="Q75" s="1441">
        <f t="shared" si="34"/>
        <v>0</v>
      </c>
      <c r="R75" s="1441">
        <f t="shared" si="34"/>
        <v>0</v>
      </c>
      <c r="S75" s="1441">
        <f t="shared" si="34"/>
        <v>0</v>
      </c>
      <c r="T75" s="1441">
        <f t="shared" si="34"/>
        <v>0</v>
      </c>
      <c r="U75" s="1441">
        <f>$C$70*U58</f>
        <v>1500</v>
      </c>
      <c r="V75" s="1441">
        <f>$C$70*V58</f>
        <v>1500</v>
      </c>
    </row>
    <row r="76" spans="1:22">
      <c r="B76" s="1431" t="s">
        <v>803</v>
      </c>
      <c r="C76" s="1440">
        <f>$E$32*C58</f>
        <v>1500</v>
      </c>
      <c r="D76" s="1440">
        <f t="shared" ref="D76:M76" si="35">$E$32*D58</f>
        <v>0</v>
      </c>
      <c r="E76" s="1440">
        <f t="shared" si="35"/>
        <v>0</v>
      </c>
      <c r="F76" s="1440">
        <f t="shared" si="35"/>
        <v>0</v>
      </c>
      <c r="G76" s="1440">
        <f t="shared" si="35"/>
        <v>0</v>
      </c>
      <c r="H76" s="1440">
        <f t="shared" si="35"/>
        <v>0</v>
      </c>
      <c r="I76" s="1440">
        <f t="shared" si="35"/>
        <v>0</v>
      </c>
      <c r="J76" s="1440">
        <f t="shared" si="35"/>
        <v>0</v>
      </c>
      <c r="K76" s="1440">
        <f t="shared" si="35"/>
        <v>0</v>
      </c>
      <c r="L76" s="1440">
        <f t="shared" si="35"/>
        <v>0</v>
      </c>
      <c r="M76" s="1440">
        <f t="shared" si="35"/>
        <v>0</v>
      </c>
      <c r="N76" s="1440">
        <f t="shared" ref="N76:T76" si="36">$E$32*N58</f>
        <v>0</v>
      </c>
      <c r="O76" s="1440">
        <f t="shared" si="36"/>
        <v>0</v>
      </c>
      <c r="P76" s="1440">
        <f t="shared" si="36"/>
        <v>0</v>
      </c>
      <c r="Q76" s="1440">
        <f t="shared" si="36"/>
        <v>0</v>
      </c>
      <c r="R76" s="1440">
        <f t="shared" si="36"/>
        <v>0</v>
      </c>
      <c r="S76" s="1440">
        <f t="shared" si="36"/>
        <v>0</v>
      </c>
      <c r="T76" s="1440">
        <f t="shared" si="36"/>
        <v>0</v>
      </c>
      <c r="U76" s="1440">
        <f>$E$32*U58</f>
        <v>750</v>
      </c>
      <c r="V76" s="1440">
        <f>$E$32*V58</f>
        <v>750</v>
      </c>
    </row>
    <row r="77" spans="1:22" s="1447" customFormat="1">
      <c r="A77" s="1459"/>
      <c r="B77" s="1447" t="s">
        <v>804</v>
      </c>
      <c r="C77" s="1458">
        <f>SUMIF(D113:M113,"&lt;="&amp;D11,D119:M119)</f>
        <v>0</v>
      </c>
      <c r="D77" s="1410">
        <f t="shared" ref="D77:J77" si="37">$C$77*D58</f>
        <v>0</v>
      </c>
      <c r="E77" s="1410">
        <f t="shared" si="37"/>
        <v>0</v>
      </c>
      <c r="F77" s="1410">
        <f t="shared" si="37"/>
        <v>0</v>
      </c>
      <c r="G77" s="1410">
        <f t="shared" si="37"/>
        <v>0</v>
      </c>
      <c r="H77" s="1410">
        <f t="shared" si="37"/>
        <v>0</v>
      </c>
      <c r="I77" s="1410">
        <f t="shared" si="37"/>
        <v>0</v>
      </c>
      <c r="J77" s="1410">
        <f t="shared" si="37"/>
        <v>0</v>
      </c>
      <c r="K77" s="1410">
        <f>$C$77*K58</f>
        <v>0</v>
      </c>
      <c r="L77" s="1410">
        <f>$C$77*L58</f>
        <v>0</v>
      </c>
      <c r="M77" s="1410">
        <f>$C$77*M58</f>
        <v>0</v>
      </c>
      <c r="N77" s="1410">
        <f t="shared" ref="N77:T77" si="38">$C$77*N58</f>
        <v>0</v>
      </c>
      <c r="O77" s="1410">
        <f t="shared" si="38"/>
        <v>0</v>
      </c>
      <c r="P77" s="1410">
        <f t="shared" si="38"/>
        <v>0</v>
      </c>
      <c r="Q77" s="1410">
        <f t="shared" si="38"/>
        <v>0</v>
      </c>
      <c r="R77" s="1410">
        <f t="shared" si="38"/>
        <v>0</v>
      </c>
      <c r="S77" s="1410">
        <f t="shared" si="38"/>
        <v>0</v>
      </c>
      <c r="T77" s="1410">
        <f t="shared" si="38"/>
        <v>0</v>
      </c>
      <c r="U77" s="1410">
        <f>$C$77*U58</f>
        <v>0</v>
      </c>
      <c r="V77" s="1410">
        <f>$C$77*V58</f>
        <v>0</v>
      </c>
    </row>
    <row r="78" spans="1:22" s="1447" customFormat="1">
      <c r="A78" s="1459"/>
      <c r="B78" s="1447" t="s">
        <v>805</v>
      </c>
      <c r="C78" s="1410">
        <f>SUM(D78:M78)</f>
        <v>0</v>
      </c>
      <c r="D78" s="1410">
        <f t="shared" ref="D78:M78" si="39">IF(D74&gt;$D$11,D119,0)</f>
        <v>0</v>
      </c>
      <c r="E78" s="1410">
        <f t="shared" si="39"/>
        <v>0</v>
      </c>
      <c r="F78" s="1410">
        <f t="shared" si="39"/>
        <v>0</v>
      </c>
      <c r="G78" s="1410">
        <f t="shared" si="39"/>
        <v>0</v>
      </c>
      <c r="H78" s="1410">
        <f t="shared" si="39"/>
        <v>0</v>
      </c>
      <c r="I78" s="1410">
        <f t="shared" si="39"/>
        <v>0</v>
      </c>
      <c r="J78" s="1410">
        <f t="shared" si="39"/>
        <v>0</v>
      </c>
      <c r="K78" s="1410">
        <f t="shared" si="39"/>
        <v>0</v>
      </c>
      <c r="L78" s="1410">
        <f t="shared" si="39"/>
        <v>0</v>
      </c>
      <c r="M78" s="1410">
        <f t="shared" si="39"/>
        <v>0</v>
      </c>
      <c r="N78" s="1410">
        <f t="shared" ref="N78:T78" si="40">IF(N74&gt;$D$11,N119,0)</f>
        <v>0</v>
      </c>
      <c r="O78" s="1410">
        <f t="shared" si="40"/>
        <v>0</v>
      </c>
      <c r="P78" s="1410">
        <f t="shared" si="40"/>
        <v>0</v>
      </c>
      <c r="Q78" s="1410">
        <f t="shared" si="40"/>
        <v>0</v>
      </c>
      <c r="R78" s="1410">
        <f t="shared" si="40"/>
        <v>0</v>
      </c>
      <c r="S78" s="1410">
        <f t="shared" si="40"/>
        <v>0</v>
      </c>
      <c r="T78" s="1410">
        <f t="shared" si="40"/>
        <v>0</v>
      </c>
      <c r="U78" s="1410">
        <f>IF(U74&gt;$D$11,U119,0)</f>
        <v>0</v>
      </c>
      <c r="V78" s="1410">
        <f>IF(V74&gt;$D$11,V119,0)</f>
        <v>124.0416666666667</v>
      </c>
    </row>
    <row r="79" spans="1:22">
      <c r="B79" s="1431" t="s">
        <v>656</v>
      </c>
      <c r="C79" s="1440">
        <f>$D$46*C57</f>
        <v>1225.0000000000002</v>
      </c>
      <c r="D79" s="1440">
        <f t="shared" ref="D79:J79" si="41">$D$46*D57</f>
        <v>0</v>
      </c>
      <c r="E79" s="1440">
        <f t="shared" si="41"/>
        <v>0</v>
      </c>
      <c r="F79" s="1440">
        <f t="shared" si="41"/>
        <v>0</v>
      </c>
      <c r="G79" s="1440">
        <f t="shared" si="41"/>
        <v>0</v>
      </c>
      <c r="H79" s="1440">
        <f t="shared" si="41"/>
        <v>0</v>
      </c>
      <c r="I79" s="1440">
        <f t="shared" si="41"/>
        <v>0</v>
      </c>
      <c r="J79" s="1440">
        <f t="shared" si="41"/>
        <v>0</v>
      </c>
      <c r="K79" s="1440">
        <f>$D$46*K57</f>
        <v>0</v>
      </c>
      <c r="L79" s="1440">
        <f>$D$46*L57</f>
        <v>0</v>
      </c>
      <c r="M79" s="1440">
        <f>$D$46*M57</f>
        <v>0</v>
      </c>
      <c r="N79" s="1440">
        <f t="shared" ref="N79:T79" si="42">$D$46*N57</f>
        <v>0</v>
      </c>
      <c r="O79" s="1440">
        <f t="shared" si="42"/>
        <v>0</v>
      </c>
      <c r="P79" s="1440">
        <f t="shared" si="42"/>
        <v>0</v>
      </c>
      <c r="Q79" s="1440">
        <f t="shared" si="42"/>
        <v>0</v>
      </c>
      <c r="R79" s="1440">
        <f t="shared" si="42"/>
        <v>0</v>
      </c>
      <c r="S79" s="1440">
        <f t="shared" si="42"/>
        <v>0</v>
      </c>
      <c r="T79" s="1440">
        <f t="shared" si="42"/>
        <v>0</v>
      </c>
      <c r="U79" s="1440">
        <f>$D$46*U57</f>
        <v>612.50000000000011</v>
      </c>
      <c r="V79" s="1440">
        <f>$D$46*V57</f>
        <v>612.50000000000011</v>
      </c>
    </row>
    <row r="80" spans="1:22">
      <c r="C80" s="1440"/>
      <c r="D80" s="1440"/>
      <c r="E80" s="1440"/>
      <c r="F80" s="1440"/>
      <c r="G80" s="1440"/>
    </row>
    <row r="82" spans="1:22" s="1407" customFormat="1">
      <c r="A82" s="1406">
        <v>6</v>
      </c>
      <c r="B82" s="1407" t="s">
        <v>878</v>
      </c>
      <c r="C82" s="1431" t="str">
        <f>C74</f>
        <v>Total</v>
      </c>
      <c r="D82" s="1431">
        <f t="shared" ref="D82:J82" si="43">D74</f>
        <v>2013</v>
      </c>
      <c r="E82" s="1431">
        <f t="shared" si="43"/>
        <v>2014</v>
      </c>
      <c r="F82" s="1431">
        <f t="shared" si="43"/>
        <v>2015</v>
      </c>
      <c r="G82" s="1431">
        <f t="shared" si="43"/>
        <v>2016</v>
      </c>
      <c r="H82" s="1431">
        <f t="shared" si="43"/>
        <v>2017</v>
      </c>
      <c r="I82" s="1431">
        <f t="shared" si="43"/>
        <v>2018</v>
      </c>
      <c r="J82" s="1431">
        <f t="shared" si="43"/>
        <v>2019</v>
      </c>
      <c r="K82" s="1431">
        <f>K74</f>
        <v>2020</v>
      </c>
      <c r="L82" s="1431">
        <f>L74</f>
        <v>2021</v>
      </c>
      <c r="M82" s="1431">
        <f>M74</f>
        <v>2022</v>
      </c>
      <c r="N82" s="1431">
        <f t="shared" ref="N82:T82" si="44">N74</f>
        <v>2023</v>
      </c>
      <c r="O82" s="1431">
        <f t="shared" si="44"/>
        <v>2024</v>
      </c>
      <c r="P82" s="1431">
        <f t="shared" si="44"/>
        <v>2025</v>
      </c>
      <c r="Q82" s="1431">
        <f t="shared" si="44"/>
        <v>2026</v>
      </c>
      <c r="R82" s="1431">
        <f t="shared" si="44"/>
        <v>2027</v>
      </c>
      <c r="S82" s="1431">
        <f t="shared" si="44"/>
        <v>2028</v>
      </c>
      <c r="T82" s="1431">
        <f t="shared" si="44"/>
        <v>2029</v>
      </c>
      <c r="U82" s="1431">
        <f>U74</f>
        <v>2030</v>
      </c>
      <c r="V82" s="1431">
        <f>V74</f>
        <v>2031</v>
      </c>
    </row>
    <row r="83" spans="1:22">
      <c r="B83" s="1432" t="s">
        <v>26</v>
      </c>
      <c r="C83" s="1441">
        <f t="shared" ref="C83:J83" si="45">C57</f>
        <v>8750</v>
      </c>
      <c r="D83" s="1441">
        <f t="shared" si="45"/>
        <v>0</v>
      </c>
      <c r="E83" s="1441">
        <f t="shared" si="45"/>
        <v>0</v>
      </c>
      <c r="F83" s="1441">
        <f t="shared" si="45"/>
        <v>0</v>
      </c>
      <c r="G83" s="1441">
        <f t="shared" si="45"/>
        <v>0</v>
      </c>
      <c r="H83" s="1441">
        <f t="shared" si="45"/>
        <v>0</v>
      </c>
      <c r="I83" s="1441">
        <f t="shared" si="45"/>
        <v>0</v>
      </c>
      <c r="J83" s="1441">
        <f t="shared" si="45"/>
        <v>0</v>
      </c>
      <c r="K83" s="1441">
        <f>K57</f>
        <v>0</v>
      </c>
      <c r="L83" s="1441">
        <f>L57</f>
        <v>0</v>
      </c>
      <c r="M83" s="1441">
        <f>M57</f>
        <v>0</v>
      </c>
      <c r="N83" s="1441">
        <f t="shared" ref="N83:T83" si="46">N57</f>
        <v>0</v>
      </c>
      <c r="O83" s="1441">
        <f t="shared" si="46"/>
        <v>0</v>
      </c>
      <c r="P83" s="1441">
        <f t="shared" si="46"/>
        <v>0</v>
      </c>
      <c r="Q83" s="1441">
        <f t="shared" si="46"/>
        <v>0</v>
      </c>
      <c r="R83" s="1441">
        <f t="shared" si="46"/>
        <v>0</v>
      </c>
      <c r="S83" s="1441">
        <f t="shared" si="46"/>
        <v>0</v>
      </c>
      <c r="T83" s="1441">
        <f t="shared" si="46"/>
        <v>0</v>
      </c>
      <c r="U83" s="1441">
        <f>U57</f>
        <v>4375</v>
      </c>
      <c r="V83" s="1441">
        <f>V57</f>
        <v>4375</v>
      </c>
    </row>
    <row r="84" spans="1:22">
      <c r="B84" s="1431" t="s">
        <v>432</v>
      </c>
      <c r="C84" s="1440">
        <f>SUM(C75:C77)</f>
        <v>4500</v>
      </c>
      <c r="D84" s="1440">
        <f>SUM(D75:D77)</f>
        <v>0</v>
      </c>
      <c r="E84" s="1440">
        <f t="shared" ref="E84:J84" si="47">SUM(E75:E77)</f>
        <v>0</v>
      </c>
      <c r="F84" s="1440">
        <f t="shared" si="47"/>
        <v>0</v>
      </c>
      <c r="G84" s="1440">
        <f t="shared" si="47"/>
        <v>0</v>
      </c>
      <c r="H84" s="1440">
        <f t="shared" si="47"/>
        <v>0</v>
      </c>
      <c r="I84" s="1440">
        <f t="shared" si="47"/>
        <v>0</v>
      </c>
      <c r="J84" s="1440">
        <f t="shared" si="47"/>
        <v>0</v>
      </c>
      <c r="K84" s="1440">
        <f>SUM(K75:K77)</f>
        <v>0</v>
      </c>
      <c r="L84" s="1440">
        <f>SUM(L75:L77)</f>
        <v>0</v>
      </c>
      <c r="M84" s="1440">
        <f>SUM(M75:M77)</f>
        <v>0</v>
      </c>
      <c r="N84" s="1440">
        <f t="shared" ref="N84:T84" si="48">SUM(N75:N77)</f>
        <v>0</v>
      </c>
      <c r="O84" s="1440">
        <f t="shared" si="48"/>
        <v>0</v>
      </c>
      <c r="P84" s="1440">
        <f t="shared" si="48"/>
        <v>0</v>
      </c>
      <c r="Q84" s="1440">
        <f t="shared" si="48"/>
        <v>0</v>
      </c>
      <c r="R84" s="1440">
        <f t="shared" si="48"/>
        <v>0</v>
      </c>
      <c r="S84" s="1440">
        <f t="shared" si="48"/>
        <v>0</v>
      </c>
      <c r="T84" s="1440">
        <f t="shared" si="48"/>
        <v>0</v>
      </c>
      <c r="U84" s="1440">
        <f>SUM(U75:U77)</f>
        <v>2250</v>
      </c>
      <c r="V84" s="1440">
        <f>SUM(V75:V77)</f>
        <v>2250</v>
      </c>
    </row>
    <row r="85" spans="1:22">
      <c r="B85" s="1431" t="s">
        <v>28</v>
      </c>
      <c r="C85" s="1440">
        <f>C83-C84</f>
        <v>4250</v>
      </c>
      <c r="D85" s="1440">
        <f t="shared" ref="D85:M85" si="49">D83-D84</f>
        <v>0</v>
      </c>
      <c r="E85" s="1440">
        <f t="shared" si="49"/>
        <v>0</v>
      </c>
      <c r="F85" s="1440">
        <f t="shared" si="49"/>
        <v>0</v>
      </c>
      <c r="G85" s="1440">
        <f t="shared" si="49"/>
        <v>0</v>
      </c>
      <c r="H85" s="1440">
        <f t="shared" si="49"/>
        <v>0</v>
      </c>
      <c r="I85" s="1440">
        <f t="shared" si="49"/>
        <v>0</v>
      </c>
      <c r="J85" s="1440">
        <f t="shared" si="49"/>
        <v>0</v>
      </c>
      <c r="K85" s="1440">
        <f t="shared" si="49"/>
        <v>0</v>
      </c>
      <c r="L85" s="1440">
        <f t="shared" si="49"/>
        <v>0</v>
      </c>
      <c r="M85" s="1440">
        <f t="shared" si="49"/>
        <v>0</v>
      </c>
      <c r="N85" s="1440">
        <f t="shared" ref="N85:T85" si="50">N83-N84</f>
        <v>0</v>
      </c>
      <c r="O85" s="1440">
        <f t="shared" si="50"/>
        <v>0</v>
      </c>
      <c r="P85" s="1440">
        <f t="shared" si="50"/>
        <v>0</v>
      </c>
      <c r="Q85" s="1440">
        <f t="shared" si="50"/>
        <v>0</v>
      </c>
      <c r="R85" s="1440">
        <f t="shared" si="50"/>
        <v>0</v>
      </c>
      <c r="S85" s="1440">
        <f t="shared" si="50"/>
        <v>0</v>
      </c>
      <c r="T85" s="1440">
        <f t="shared" si="50"/>
        <v>0</v>
      </c>
      <c r="U85" s="1440">
        <f>U83-U84</f>
        <v>2125</v>
      </c>
      <c r="V85" s="1440">
        <f>V83-V84</f>
        <v>2125</v>
      </c>
    </row>
    <row r="86" spans="1:22">
      <c r="B86" s="1431" t="s">
        <v>656</v>
      </c>
      <c r="C86" s="1440">
        <f>C79</f>
        <v>1225.0000000000002</v>
      </c>
      <c r="D86" s="1440">
        <f>D79</f>
        <v>0</v>
      </c>
      <c r="E86" s="1440">
        <f t="shared" ref="E86:J86" si="51">E79</f>
        <v>0</v>
      </c>
      <c r="F86" s="1440">
        <f t="shared" si="51"/>
        <v>0</v>
      </c>
      <c r="G86" s="1440">
        <f t="shared" si="51"/>
        <v>0</v>
      </c>
      <c r="H86" s="1440">
        <f t="shared" si="51"/>
        <v>0</v>
      </c>
      <c r="I86" s="1440">
        <f t="shared" si="51"/>
        <v>0</v>
      </c>
      <c r="J86" s="1440">
        <f t="shared" si="51"/>
        <v>0</v>
      </c>
      <c r="K86" s="1440">
        <f>K79</f>
        <v>0</v>
      </c>
      <c r="L86" s="1440">
        <f>L79</f>
        <v>0</v>
      </c>
      <c r="M86" s="1440">
        <f>M79</f>
        <v>0</v>
      </c>
      <c r="N86" s="1440">
        <f t="shared" ref="N86:T86" si="52">N79</f>
        <v>0</v>
      </c>
      <c r="O86" s="1440">
        <f t="shared" si="52"/>
        <v>0</v>
      </c>
      <c r="P86" s="1440">
        <f t="shared" si="52"/>
        <v>0</v>
      </c>
      <c r="Q86" s="1440">
        <f t="shared" si="52"/>
        <v>0</v>
      </c>
      <c r="R86" s="1440">
        <f t="shared" si="52"/>
        <v>0</v>
      </c>
      <c r="S86" s="1440">
        <f t="shared" si="52"/>
        <v>0</v>
      </c>
      <c r="T86" s="1440">
        <f t="shared" si="52"/>
        <v>0</v>
      </c>
      <c r="U86" s="1440">
        <f>U79</f>
        <v>612.50000000000011</v>
      </c>
      <c r="V86" s="1440">
        <f>V79</f>
        <v>612.50000000000011</v>
      </c>
    </row>
    <row r="87" spans="1:22">
      <c r="B87" s="1431" t="s">
        <v>805</v>
      </c>
      <c r="C87" s="1410">
        <f>C78</f>
        <v>0</v>
      </c>
      <c r="D87" s="1440">
        <f>D78</f>
        <v>0</v>
      </c>
      <c r="E87" s="1440">
        <f t="shared" ref="E87:J87" si="53">E78</f>
        <v>0</v>
      </c>
      <c r="F87" s="1440">
        <f t="shared" si="53"/>
        <v>0</v>
      </c>
      <c r="G87" s="1440">
        <f t="shared" si="53"/>
        <v>0</v>
      </c>
      <c r="H87" s="1440">
        <f t="shared" si="53"/>
        <v>0</v>
      </c>
      <c r="I87" s="1440">
        <f t="shared" si="53"/>
        <v>0</v>
      </c>
      <c r="J87" s="1440">
        <f t="shared" si="53"/>
        <v>0</v>
      </c>
      <c r="K87" s="1440">
        <f>K78</f>
        <v>0</v>
      </c>
      <c r="L87" s="1440">
        <f>L78</f>
        <v>0</v>
      </c>
      <c r="M87" s="1440">
        <f>M78</f>
        <v>0</v>
      </c>
      <c r="N87" s="1440">
        <f t="shared" ref="N87:T87" si="54">N78</f>
        <v>0</v>
      </c>
      <c r="O87" s="1440">
        <f t="shared" si="54"/>
        <v>0</v>
      </c>
      <c r="P87" s="1440">
        <f t="shared" si="54"/>
        <v>0</v>
      </c>
      <c r="Q87" s="1440">
        <f t="shared" si="54"/>
        <v>0</v>
      </c>
      <c r="R87" s="1440">
        <f t="shared" si="54"/>
        <v>0</v>
      </c>
      <c r="S87" s="1440">
        <f t="shared" si="54"/>
        <v>0</v>
      </c>
      <c r="T87" s="1440">
        <f t="shared" si="54"/>
        <v>0</v>
      </c>
      <c r="U87" s="1440">
        <f>U78</f>
        <v>0</v>
      </c>
      <c r="V87" s="1440">
        <f>V78</f>
        <v>124.0416666666667</v>
      </c>
    </row>
    <row r="88" spans="1:22">
      <c r="B88" s="1431" t="s">
        <v>822</v>
      </c>
      <c r="C88" s="1440">
        <f>C85-C86-C87</f>
        <v>3025</v>
      </c>
      <c r="D88" s="1440">
        <f t="shared" ref="D88:M88" si="55">D85-D86-D87</f>
        <v>0</v>
      </c>
      <c r="E88" s="1440">
        <f t="shared" si="55"/>
        <v>0</v>
      </c>
      <c r="F88" s="1440">
        <f t="shared" si="55"/>
        <v>0</v>
      </c>
      <c r="G88" s="1440">
        <f t="shared" si="55"/>
        <v>0</v>
      </c>
      <c r="H88" s="1440">
        <f t="shared" si="55"/>
        <v>0</v>
      </c>
      <c r="I88" s="1440">
        <f t="shared" si="55"/>
        <v>0</v>
      </c>
      <c r="J88" s="1440">
        <f t="shared" si="55"/>
        <v>0</v>
      </c>
      <c r="K88" s="1440">
        <f t="shared" si="55"/>
        <v>0</v>
      </c>
      <c r="L88" s="1440">
        <f t="shared" si="55"/>
        <v>0</v>
      </c>
      <c r="M88" s="1440">
        <f t="shared" si="55"/>
        <v>0</v>
      </c>
      <c r="N88" s="1440">
        <f t="shared" ref="N88:T88" si="56">N85-N86-N87</f>
        <v>0</v>
      </c>
      <c r="O88" s="1440">
        <f t="shared" si="56"/>
        <v>0</v>
      </c>
      <c r="P88" s="1440">
        <f t="shared" si="56"/>
        <v>0</v>
      </c>
      <c r="Q88" s="1440">
        <f t="shared" si="56"/>
        <v>0</v>
      </c>
      <c r="R88" s="1440">
        <f t="shared" si="56"/>
        <v>0</v>
      </c>
      <c r="S88" s="1440">
        <f t="shared" si="56"/>
        <v>0</v>
      </c>
      <c r="T88" s="1440">
        <f t="shared" si="56"/>
        <v>0</v>
      </c>
      <c r="U88" s="1440">
        <f>U85-U86-U87</f>
        <v>1512.5</v>
      </c>
      <c r="V88" s="1440">
        <f>V85-V86-V87</f>
        <v>1388.4583333333333</v>
      </c>
    </row>
    <row r="89" spans="1:22">
      <c r="B89" s="1431" t="s">
        <v>290</v>
      </c>
      <c r="C89" s="1440">
        <f>SUM(D89:V89)</f>
        <v>580.19166666666661</v>
      </c>
      <c r="D89" s="1410">
        <f t="shared" ref="D89:M89" si="57">D88*D22</f>
        <v>0</v>
      </c>
      <c r="E89" s="1410">
        <f t="shared" si="57"/>
        <v>0</v>
      </c>
      <c r="F89" s="1410">
        <f t="shared" si="57"/>
        <v>0</v>
      </c>
      <c r="G89" s="1410">
        <f t="shared" si="57"/>
        <v>0</v>
      </c>
      <c r="H89" s="1410">
        <f t="shared" si="57"/>
        <v>0</v>
      </c>
      <c r="I89" s="1410">
        <f t="shared" si="57"/>
        <v>0</v>
      </c>
      <c r="J89" s="1410">
        <f t="shared" si="57"/>
        <v>0</v>
      </c>
      <c r="K89" s="1410">
        <f t="shared" si="57"/>
        <v>0</v>
      </c>
      <c r="L89" s="1410">
        <f t="shared" si="57"/>
        <v>0</v>
      </c>
      <c r="M89" s="1410">
        <f t="shared" si="57"/>
        <v>0</v>
      </c>
      <c r="N89" s="1410">
        <f t="shared" ref="N89:T89" si="58">N88*N22</f>
        <v>0</v>
      </c>
      <c r="O89" s="1410">
        <f t="shared" si="58"/>
        <v>0</v>
      </c>
      <c r="P89" s="1410">
        <f t="shared" si="58"/>
        <v>0</v>
      </c>
      <c r="Q89" s="1410">
        <f t="shared" si="58"/>
        <v>0</v>
      </c>
      <c r="R89" s="1410">
        <f t="shared" si="58"/>
        <v>0</v>
      </c>
      <c r="S89" s="1410">
        <f t="shared" si="58"/>
        <v>0</v>
      </c>
      <c r="T89" s="1410">
        <f t="shared" si="58"/>
        <v>0</v>
      </c>
      <c r="U89" s="1410">
        <f>U88*U22</f>
        <v>302.5</v>
      </c>
      <c r="V89" s="1410">
        <f>V88*V22</f>
        <v>277.69166666666666</v>
      </c>
    </row>
    <row r="90" spans="1:22">
      <c r="B90" s="1431" t="s">
        <v>661</v>
      </c>
      <c r="C90" s="1440">
        <f>SUM(D90:V90)</f>
        <v>2320.7666666666664</v>
      </c>
      <c r="D90" s="1440">
        <f>D88-D89</f>
        <v>0</v>
      </c>
      <c r="E90" s="1440">
        <f t="shared" ref="E90:J90" si="59">E88-E89</f>
        <v>0</v>
      </c>
      <c r="F90" s="1440">
        <f t="shared" si="59"/>
        <v>0</v>
      </c>
      <c r="G90" s="1440">
        <f t="shared" si="59"/>
        <v>0</v>
      </c>
      <c r="H90" s="1440">
        <f t="shared" si="59"/>
        <v>0</v>
      </c>
      <c r="I90" s="1440">
        <f t="shared" si="59"/>
        <v>0</v>
      </c>
      <c r="J90" s="1440">
        <f t="shared" si="59"/>
        <v>0</v>
      </c>
      <c r="K90" s="1440">
        <f>K88-K89</f>
        <v>0</v>
      </c>
      <c r="L90" s="1440">
        <f>L88-L89</f>
        <v>0</v>
      </c>
      <c r="M90" s="1440">
        <f>M88-M89</f>
        <v>0</v>
      </c>
      <c r="N90" s="1440">
        <f t="shared" ref="N90:T90" si="60">N88-N89</f>
        <v>0</v>
      </c>
      <c r="O90" s="1440">
        <f t="shared" si="60"/>
        <v>0</v>
      </c>
      <c r="P90" s="1440">
        <f t="shared" si="60"/>
        <v>0</v>
      </c>
      <c r="Q90" s="1440">
        <f t="shared" si="60"/>
        <v>0</v>
      </c>
      <c r="R90" s="1440">
        <f t="shared" si="60"/>
        <v>0</v>
      </c>
      <c r="S90" s="1440">
        <f t="shared" si="60"/>
        <v>0</v>
      </c>
      <c r="T90" s="1440">
        <f t="shared" si="60"/>
        <v>0</v>
      </c>
      <c r="U90" s="1440">
        <f>U88-U89</f>
        <v>1210</v>
      </c>
      <c r="V90" s="1440">
        <f>V88-V89</f>
        <v>1110.7666666666667</v>
      </c>
    </row>
    <row r="91" spans="1:22">
      <c r="B91" s="1428" t="s">
        <v>197</v>
      </c>
      <c r="C91" s="1429">
        <f>IF(C83&lt;&gt;0,1-C84/C83,"")</f>
        <v>0.48571428571428577</v>
      </c>
      <c r="D91" s="1429" t="str">
        <f t="shared" ref="D91:J91" si="61">IF(D83&lt;&gt;0,1-D84/D83,"")</f>
        <v/>
      </c>
      <c r="E91" s="1429" t="str">
        <f t="shared" si="61"/>
        <v/>
      </c>
      <c r="F91" s="1429" t="str">
        <f t="shared" si="61"/>
        <v/>
      </c>
      <c r="G91" s="1429" t="str">
        <f t="shared" si="61"/>
        <v/>
      </c>
      <c r="H91" s="1429" t="str">
        <f t="shared" si="61"/>
        <v/>
      </c>
      <c r="I91" s="1429" t="str">
        <f t="shared" si="61"/>
        <v/>
      </c>
      <c r="J91" s="1429" t="str">
        <f t="shared" si="61"/>
        <v/>
      </c>
      <c r="K91" s="1429" t="str">
        <f>IF(K83&lt;&gt;0,1-K84/K83,"")</f>
        <v/>
      </c>
      <c r="L91" s="1429" t="str">
        <f>IF(L83&lt;&gt;0,1-L84/L83,"")</f>
        <v/>
      </c>
      <c r="M91" s="1429" t="str">
        <f>IF(M83&lt;&gt;0,1-M84/M83,"")</f>
        <v/>
      </c>
      <c r="N91" s="1429" t="str">
        <f t="shared" ref="N91:T91" si="62">IF(N83&lt;&gt;0,1-N84/N83,"")</f>
        <v/>
      </c>
      <c r="O91" s="1429" t="str">
        <f t="shared" si="62"/>
        <v/>
      </c>
      <c r="P91" s="1429" t="str">
        <f t="shared" si="62"/>
        <v/>
      </c>
      <c r="Q91" s="1429" t="str">
        <f t="shared" si="62"/>
        <v/>
      </c>
      <c r="R91" s="1429" t="str">
        <f t="shared" si="62"/>
        <v/>
      </c>
      <c r="S91" s="1429" t="str">
        <f t="shared" si="62"/>
        <v/>
      </c>
      <c r="T91" s="1429" t="str">
        <f t="shared" si="62"/>
        <v/>
      </c>
      <c r="U91" s="1429">
        <f>IF(U83&lt;&gt;0,1-U84/U83,"")</f>
        <v>0.48571428571428577</v>
      </c>
      <c r="V91" s="1429">
        <f>IF(V83&lt;&gt;0,1-V84/V83,"")</f>
        <v>0.48571428571428577</v>
      </c>
    </row>
    <row r="92" spans="1:22">
      <c r="B92" s="1428" t="s">
        <v>1779</v>
      </c>
      <c r="C92" s="1429">
        <f>IF(C83&lt;&gt;0,C90/C83,"")</f>
        <v>0.26523047619047618</v>
      </c>
      <c r="D92" s="1429" t="str">
        <f t="shared" ref="D92:M92" si="63">IF(D83&lt;&gt;0,D90/D83,"")</f>
        <v/>
      </c>
      <c r="E92" s="1429" t="str">
        <f t="shared" si="63"/>
        <v/>
      </c>
      <c r="F92" s="1429" t="str">
        <f t="shared" si="63"/>
        <v/>
      </c>
      <c r="G92" s="1429" t="str">
        <f t="shared" si="63"/>
        <v/>
      </c>
      <c r="H92" s="1429" t="str">
        <f t="shared" si="63"/>
        <v/>
      </c>
      <c r="I92" s="1429" t="str">
        <f t="shared" si="63"/>
        <v/>
      </c>
      <c r="J92" s="1429" t="str">
        <f t="shared" si="63"/>
        <v/>
      </c>
      <c r="K92" s="1429" t="str">
        <f t="shared" si="63"/>
        <v/>
      </c>
      <c r="L92" s="1429" t="str">
        <f t="shared" si="63"/>
        <v/>
      </c>
      <c r="M92" s="1429" t="str">
        <f t="shared" si="63"/>
        <v/>
      </c>
      <c r="N92" s="1429" t="str">
        <f t="shared" ref="N92:T92" si="64">IF(N83&lt;&gt;0,N90/N83,"")</f>
        <v/>
      </c>
      <c r="O92" s="1429" t="str">
        <f t="shared" si="64"/>
        <v/>
      </c>
      <c r="P92" s="1429" t="str">
        <f t="shared" si="64"/>
        <v/>
      </c>
      <c r="Q92" s="1429" t="str">
        <f t="shared" si="64"/>
        <v/>
      </c>
      <c r="R92" s="1429" t="str">
        <f t="shared" si="64"/>
        <v/>
      </c>
      <c r="S92" s="1429" t="str">
        <f t="shared" si="64"/>
        <v/>
      </c>
      <c r="T92" s="1429" t="str">
        <f t="shared" si="64"/>
        <v/>
      </c>
      <c r="U92" s="1429">
        <f>IF(U83&lt;&gt;0,U90/U83,"")</f>
        <v>0.27657142857142858</v>
      </c>
      <c r="V92" s="1429">
        <f>IF(V83&lt;&gt;0,V90/V83,"")</f>
        <v>0.25388952380952379</v>
      </c>
    </row>
    <row r="93" spans="1:22">
      <c r="B93" s="1428"/>
      <c r="C93" s="1429"/>
      <c r="D93" s="1429"/>
      <c r="E93" s="1429"/>
      <c r="F93" s="1429"/>
      <c r="G93" s="1429"/>
      <c r="H93" s="1429"/>
    </row>
    <row r="94" spans="1:22">
      <c r="D94" s="1440"/>
      <c r="E94" s="1440"/>
      <c r="F94" s="1440"/>
      <c r="G94" s="1440"/>
    </row>
    <row r="95" spans="1:22" s="1407" customFormat="1">
      <c r="A95" s="1406">
        <v>7</v>
      </c>
      <c r="B95" s="1407" t="s">
        <v>1589</v>
      </c>
      <c r="C95" s="1440" t="s">
        <v>642</v>
      </c>
      <c r="D95" s="1431">
        <f t="shared" ref="D95:J95" si="65">D82</f>
        <v>2013</v>
      </c>
      <c r="E95" s="1431">
        <f t="shared" si="65"/>
        <v>2014</v>
      </c>
      <c r="F95" s="1431">
        <f t="shared" si="65"/>
        <v>2015</v>
      </c>
      <c r="G95" s="1431">
        <f t="shared" si="65"/>
        <v>2016</v>
      </c>
      <c r="H95" s="1431">
        <f t="shared" si="65"/>
        <v>2017</v>
      </c>
      <c r="I95" s="1431">
        <f t="shared" si="65"/>
        <v>2018</v>
      </c>
      <c r="J95" s="1431">
        <f t="shared" si="65"/>
        <v>2019</v>
      </c>
      <c r="K95" s="1431">
        <f>K82</f>
        <v>2020</v>
      </c>
      <c r="L95" s="1431">
        <f>L82</f>
        <v>2021</v>
      </c>
      <c r="M95" s="1431">
        <f>M82</f>
        <v>2022</v>
      </c>
      <c r="N95" s="1431">
        <f t="shared" ref="N95:T95" si="66">N82</f>
        <v>2023</v>
      </c>
      <c r="O95" s="1431">
        <f t="shared" si="66"/>
        <v>2024</v>
      </c>
      <c r="P95" s="1431">
        <f t="shared" si="66"/>
        <v>2025</v>
      </c>
      <c r="Q95" s="1431">
        <f t="shared" si="66"/>
        <v>2026</v>
      </c>
      <c r="R95" s="1431">
        <f t="shared" si="66"/>
        <v>2027</v>
      </c>
      <c r="S95" s="1431">
        <f t="shared" si="66"/>
        <v>2028</v>
      </c>
      <c r="T95" s="1431">
        <f t="shared" si="66"/>
        <v>2029</v>
      </c>
      <c r="U95" s="1431">
        <f>U82</f>
        <v>2030</v>
      </c>
      <c r="V95" s="1431">
        <f>V82</f>
        <v>2031</v>
      </c>
    </row>
    <row r="96" spans="1:22">
      <c r="B96" s="1419" t="s">
        <v>850</v>
      </c>
      <c r="C96" s="1441">
        <f>C63</f>
        <v>8750</v>
      </c>
      <c r="D96" s="1441">
        <f t="shared" ref="D96:J96" si="67">D63</f>
        <v>0</v>
      </c>
      <c r="E96" s="1441">
        <f t="shared" si="67"/>
        <v>0</v>
      </c>
      <c r="F96" s="1441">
        <f t="shared" si="67"/>
        <v>0</v>
      </c>
      <c r="G96" s="1441">
        <f t="shared" si="67"/>
        <v>0</v>
      </c>
      <c r="H96" s="1441">
        <f t="shared" si="67"/>
        <v>0</v>
      </c>
      <c r="I96" s="1441">
        <f t="shared" si="67"/>
        <v>0</v>
      </c>
      <c r="J96" s="1441">
        <f t="shared" si="67"/>
        <v>0</v>
      </c>
      <c r="K96" s="1441">
        <f>K63</f>
        <v>0</v>
      </c>
      <c r="L96" s="1441">
        <f>L63</f>
        <v>0</v>
      </c>
      <c r="M96" s="1441">
        <f>M63</f>
        <v>0</v>
      </c>
      <c r="N96" s="1441">
        <f t="shared" ref="N96:T96" si="68">N63</f>
        <v>0</v>
      </c>
      <c r="O96" s="1441">
        <f t="shared" si="68"/>
        <v>0</v>
      </c>
      <c r="P96" s="1441">
        <f t="shared" si="68"/>
        <v>0</v>
      </c>
      <c r="Q96" s="1441">
        <f t="shared" si="68"/>
        <v>0</v>
      </c>
      <c r="R96" s="1441">
        <f t="shared" si="68"/>
        <v>0</v>
      </c>
      <c r="S96" s="1441">
        <f t="shared" si="68"/>
        <v>1312.5</v>
      </c>
      <c r="T96" s="1441">
        <f t="shared" si="68"/>
        <v>3500</v>
      </c>
      <c r="U96" s="1441">
        <f>U63</f>
        <v>3062.5</v>
      </c>
      <c r="V96" s="1441">
        <f>V63</f>
        <v>875</v>
      </c>
    </row>
    <row r="97" spans="1:22">
      <c r="B97" s="1407"/>
      <c r="C97" s="1440"/>
      <c r="D97" s="1440"/>
      <c r="E97" s="1440"/>
      <c r="F97" s="1440"/>
      <c r="G97" s="1440"/>
      <c r="H97" s="1440"/>
      <c r="I97" s="1440"/>
      <c r="J97" s="1440"/>
      <c r="K97" s="1440"/>
      <c r="L97" s="1440"/>
      <c r="M97" s="1440"/>
      <c r="N97" s="1440"/>
      <c r="O97" s="1440"/>
      <c r="P97" s="1440"/>
      <c r="Q97" s="1440"/>
      <c r="R97" s="1440"/>
      <c r="S97" s="1440"/>
      <c r="T97" s="1440"/>
      <c r="U97" s="1440"/>
      <c r="V97" s="1440"/>
    </row>
    <row r="98" spans="1:22">
      <c r="B98" s="1407" t="s">
        <v>851</v>
      </c>
      <c r="C98" s="1440">
        <f t="shared" ref="C98:J98" si="69">SUM(C99:C102)</f>
        <v>6305.1916666666666</v>
      </c>
      <c r="D98" s="1440">
        <f t="shared" si="69"/>
        <v>0</v>
      </c>
      <c r="E98" s="1440">
        <f t="shared" si="69"/>
        <v>0</v>
      </c>
      <c r="F98" s="1440">
        <f t="shared" si="69"/>
        <v>0</v>
      </c>
      <c r="G98" s="1440">
        <f t="shared" si="69"/>
        <v>0</v>
      </c>
      <c r="H98" s="1440">
        <f t="shared" si="69"/>
        <v>0</v>
      </c>
      <c r="I98" s="1440">
        <f t="shared" si="69"/>
        <v>0</v>
      </c>
      <c r="J98" s="1440">
        <f t="shared" si="69"/>
        <v>0</v>
      </c>
      <c r="K98" s="1440">
        <f>SUM(K99:K102)</f>
        <v>0</v>
      </c>
      <c r="L98" s="1440">
        <f>SUM(L99:L102)</f>
        <v>0</v>
      </c>
      <c r="M98" s="1440">
        <f>SUM(M99:M102)</f>
        <v>0</v>
      </c>
      <c r="N98" s="1440">
        <f t="shared" ref="N98:T98" si="70">SUM(N99:N102)</f>
        <v>0</v>
      </c>
      <c r="O98" s="1440">
        <f t="shared" si="70"/>
        <v>0</v>
      </c>
      <c r="P98" s="1440">
        <f t="shared" si="70"/>
        <v>0</v>
      </c>
      <c r="Q98" s="1440">
        <f t="shared" si="70"/>
        <v>0</v>
      </c>
      <c r="R98" s="1440">
        <f t="shared" si="70"/>
        <v>1500</v>
      </c>
      <c r="S98" s="1440">
        <f t="shared" si="70"/>
        <v>900</v>
      </c>
      <c r="T98" s="1440">
        <f t="shared" si="70"/>
        <v>1500</v>
      </c>
      <c r="U98" s="1440">
        <f>SUM(U99:U102)</f>
        <v>1515</v>
      </c>
      <c r="V98" s="1440">
        <f>SUM(V99:V102)</f>
        <v>890.19166666666683</v>
      </c>
    </row>
    <row r="99" spans="1:22">
      <c r="B99" s="1431" t="s">
        <v>852</v>
      </c>
      <c r="C99" s="1440">
        <f t="shared" ref="C99:J99" si="71">C35</f>
        <v>1500</v>
      </c>
      <c r="D99" s="1440">
        <f t="shared" si="71"/>
        <v>0</v>
      </c>
      <c r="E99" s="1440">
        <f t="shared" si="71"/>
        <v>0</v>
      </c>
      <c r="F99" s="1440">
        <f t="shared" si="71"/>
        <v>0</v>
      </c>
      <c r="G99" s="1440">
        <f t="shared" si="71"/>
        <v>0</v>
      </c>
      <c r="H99" s="1440">
        <f t="shared" si="71"/>
        <v>0</v>
      </c>
      <c r="I99" s="1440">
        <f t="shared" si="71"/>
        <v>0</v>
      </c>
      <c r="J99" s="1440">
        <f t="shared" si="71"/>
        <v>0</v>
      </c>
      <c r="K99" s="1440">
        <f>K35</f>
        <v>0</v>
      </c>
      <c r="L99" s="1440">
        <f>L35</f>
        <v>0</v>
      </c>
      <c r="M99" s="1440">
        <f>M35</f>
        <v>0</v>
      </c>
      <c r="N99" s="1440">
        <f t="shared" ref="N99:T99" si="72">N35</f>
        <v>0</v>
      </c>
      <c r="O99" s="1440">
        <f t="shared" si="72"/>
        <v>0</v>
      </c>
      <c r="P99" s="1440">
        <f t="shared" si="72"/>
        <v>0</v>
      </c>
      <c r="Q99" s="1440">
        <f t="shared" si="72"/>
        <v>0</v>
      </c>
      <c r="R99" s="1440">
        <f t="shared" si="72"/>
        <v>1500</v>
      </c>
      <c r="S99" s="1440">
        <f t="shared" si="72"/>
        <v>0</v>
      </c>
      <c r="T99" s="1440">
        <f t="shared" si="72"/>
        <v>0</v>
      </c>
      <c r="U99" s="1440">
        <f>U35</f>
        <v>0</v>
      </c>
      <c r="V99" s="1440">
        <f>V35</f>
        <v>0</v>
      </c>
    </row>
    <row r="100" spans="1:22">
      <c r="B100" s="1431" t="s">
        <v>788</v>
      </c>
      <c r="C100" s="1440">
        <f t="shared" ref="C100:J100" si="73">C70</f>
        <v>3000</v>
      </c>
      <c r="D100" s="1440">
        <f t="shared" si="73"/>
        <v>0</v>
      </c>
      <c r="E100" s="1440">
        <f t="shared" si="73"/>
        <v>0</v>
      </c>
      <c r="F100" s="1440">
        <f t="shared" si="73"/>
        <v>0</v>
      </c>
      <c r="G100" s="1440">
        <f t="shared" si="73"/>
        <v>0</v>
      </c>
      <c r="H100" s="1440">
        <f t="shared" si="73"/>
        <v>0</v>
      </c>
      <c r="I100" s="1440">
        <f t="shared" si="73"/>
        <v>0</v>
      </c>
      <c r="J100" s="1440">
        <f t="shared" si="73"/>
        <v>0</v>
      </c>
      <c r="K100" s="1440">
        <f>K70</f>
        <v>0</v>
      </c>
      <c r="L100" s="1440">
        <f>L70</f>
        <v>0</v>
      </c>
      <c r="M100" s="1440">
        <f>M70</f>
        <v>0</v>
      </c>
      <c r="N100" s="1440">
        <f t="shared" ref="N100:T100" si="74">N70</f>
        <v>0</v>
      </c>
      <c r="O100" s="1440">
        <f t="shared" si="74"/>
        <v>0</v>
      </c>
      <c r="P100" s="1440">
        <f t="shared" si="74"/>
        <v>0</v>
      </c>
      <c r="Q100" s="1440">
        <f t="shared" si="74"/>
        <v>0</v>
      </c>
      <c r="R100" s="1440">
        <f t="shared" si="74"/>
        <v>0</v>
      </c>
      <c r="S100" s="1440">
        <f t="shared" si="74"/>
        <v>900</v>
      </c>
      <c r="T100" s="1440">
        <f t="shared" si="74"/>
        <v>1500</v>
      </c>
      <c r="U100" s="1440">
        <f>U70</f>
        <v>600</v>
      </c>
      <c r="V100" s="1440">
        <f>V70</f>
        <v>0</v>
      </c>
    </row>
    <row r="101" spans="1:22">
      <c r="B101" s="1431" t="s">
        <v>656</v>
      </c>
      <c r="C101" s="1440">
        <f t="shared" ref="C101:J101" si="75">C79</f>
        <v>1225.0000000000002</v>
      </c>
      <c r="D101" s="1440">
        <f t="shared" si="75"/>
        <v>0</v>
      </c>
      <c r="E101" s="1440">
        <f t="shared" si="75"/>
        <v>0</v>
      </c>
      <c r="F101" s="1440">
        <f t="shared" si="75"/>
        <v>0</v>
      </c>
      <c r="G101" s="1440">
        <f t="shared" si="75"/>
        <v>0</v>
      </c>
      <c r="H101" s="1440">
        <f t="shared" si="75"/>
        <v>0</v>
      </c>
      <c r="I101" s="1440">
        <f t="shared" si="75"/>
        <v>0</v>
      </c>
      <c r="J101" s="1440">
        <f t="shared" si="75"/>
        <v>0</v>
      </c>
      <c r="K101" s="1440">
        <f>K79</f>
        <v>0</v>
      </c>
      <c r="L101" s="1440">
        <f>L79</f>
        <v>0</v>
      </c>
      <c r="M101" s="1440">
        <f>M79</f>
        <v>0</v>
      </c>
      <c r="N101" s="1440">
        <f t="shared" ref="N101:T101" si="76">N79</f>
        <v>0</v>
      </c>
      <c r="O101" s="1440">
        <f t="shared" si="76"/>
        <v>0</v>
      </c>
      <c r="P101" s="1440">
        <f t="shared" si="76"/>
        <v>0</v>
      </c>
      <c r="Q101" s="1440">
        <f t="shared" si="76"/>
        <v>0</v>
      </c>
      <c r="R101" s="1440">
        <f t="shared" si="76"/>
        <v>0</v>
      </c>
      <c r="S101" s="1440">
        <f t="shared" si="76"/>
        <v>0</v>
      </c>
      <c r="T101" s="1440">
        <f t="shared" si="76"/>
        <v>0</v>
      </c>
      <c r="U101" s="1440">
        <f>U79</f>
        <v>612.50000000000011</v>
      </c>
      <c r="V101" s="1440">
        <f>V79</f>
        <v>612.50000000000011</v>
      </c>
    </row>
    <row r="102" spans="1:22">
      <c r="B102" s="1431" t="s">
        <v>854</v>
      </c>
      <c r="C102" s="1440">
        <f t="shared" ref="C102:J102" si="77">C89</f>
        <v>580.19166666666661</v>
      </c>
      <c r="D102" s="1440">
        <f t="shared" si="77"/>
        <v>0</v>
      </c>
      <c r="E102" s="1440">
        <f t="shared" si="77"/>
        <v>0</v>
      </c>
      <c r="F102" s="1440">
        <f t="shared" si="77"/>
        <v>0</v>
      </c>
      <c r="G102" s="1440">
        <f t="shared" si="77"/>
        <v>0</v>
      </c>
      <c r="H102" s="1440">
        <f t="shared" si="77"/>
        <v>0</v>
      </c>
      <c r="I102" s="1440">
        <f t="shared" si="77"/>
        <v>0</v>
      </c>
      <c r="J102" s="1440">
        <f t="shared" si="77"/>
        <v>0</v>
      </c>
      <c r="K102" s="1440">
        <f>K89</f>
        <v>0</v>
      </c>
      <c r="L102" s="1440">
        <f>L89</f>
        <v>0</v>
      </c>
      <c r="M102" s="1440">
        <f>M89</f>
        <v>0</v>
      </c>
      <c r="N102" s="1440">
        <f t="shared" ref="N102:T102" si="78">N89</f>
        <v>0</v>
      </c>
      <c r="O102" s="1440">
        <f t="shared" si="78"/>
        <v>0</v>
      </c>
      <c r="P102" s="1440">
        <f t="shared" si="78"/>
        <v>0</v>
      </c>
      <c r="Q102" s="1440">
        <f t="shared" si="78"/>
        <v>0</v>
      </c>
      <c r="R102" s="1440">
        <f t="shared" si="78"/>
        <v>0</v>
      </c>
      <c r="S102" s="1440">
        <f t="shared" si="78"/>
        <v>0</v>
      </c>
      <c r="T102" s="1440">
        <f t="shared" si="78"/>
        <v>0</v>
      </c>
      <c r="U102" s="1440">
        <f>U89</f>
        <v>302.5</v>
      </c>
      <c r="V102" s="1440">
        <f>V89</f>
        <v>277.69166666666666</v>
      </c>
    </row>
    <row r="103" spans="1:22">
      <c r="A103" s="1444"/>
      <c r="B103" s="1431" t="s">
        <v>855</v>
      </c>
      <c r="C103" s="1440">
        <f t="shared" ref="C103:J103" si="79">C96-C98</f>
        <v>2444.8083333333334</v>
      </c>
      <c r="D103" s="1656">
        <f t="shared" si="79"/>
        <v>0</v>
      </c>
      <c r="E103" s="1440">
        <f t="shared" si="79"/>
        <v>0</v>
      </c>
      <c r="F103" s="1440">
        <f t="shared" si="79"/>
        <v>0</v>
      </c>
      <c r="G103" s="1440">
        <f t="shared" si="79"/>
        <v>0</v>
      </c>
      <c r="H103" s="1440">
        <f t="shared" si="79"/>
        <v>0</v>
      </c>
      <c r="I103" s="1440">
        <f t="shared" si="79"/>
        <v>0</v>
      </c>
      <c r="J103" s="1440">
        <f t="shared" si="79"/>
        <v>0</v>
      </c>
      <c r="K103" s="1440">
        <f>K96-K98</f>
        <v>0</v>
      </c>
      <c r="L103" s="1440">
        <f>L96-L98</f>
        <v>0</v>
      </c>
      <c r="M103" s="1440">
        <f>M96-M98</f>
        <v>0</v>
      </c>
      <c r="N103" s="1440">
        <f t="shared" ref="N103:T103" si="80">N96-N98</f>
        <v>0</v>
      </c>
      <c r="O103" s="1440">
        <f t="shared" si="80"/>
        <v>0</v>
      </c>
      <c r="P103" s="1440">
        <f t="shared" si="80"/>
        <v>0</v>
      </c>
      <c r="Q103" s="1440">
        <f t="shared" si="80"/>
        <v>0</v>
      </c>
      <c r="R103" s="1440">
        <f t="shared" si="80"/>
        <v>-1500</v>
      </c>
      <c r="S103" s="1440">
        <f t="shared" si="80"/>
        <v>412.5</v>
      </c>
      <c r="T103" s="1440">
        <f t="shared" si="80"/>
        <v>2000</v>
      </c>
      <c r="U103" s="1440">
        <f>U96-U98</f>
        <v>1547.5</v>
      </c>
      <c r="V103" s="1440">
        <f>V96-V98</f>
        <v>-15.191666666666833</v>
      </c>
    </row>
    <row r="104" spans="1:22">
      <c r="B104" s="1431" t="s">
        <v>1570</v>
      </c>
      <c r="D104" s="1452">
        <f t="shared" ref="D104:M104" si="81">IF(D95&gt;$D$12,(1+D23)^(D95-$D$12),0)</f>
        <v>0</v>
      </c>
      <c r="E104" s="1452">
        <f t="shared" si="81"/>
        <v>0</v>
      </c>
      <c r="F104" s="1452">
        <f t="shared" si="81"/>
        <v>0</v>
      </c>
      <c r="G104" s="1452">
        <f t="shared" si="81"/>
        <v>0</v>
      </c>
      <c r="H104" s="1452">
        <f t="shared" si="81"/>
        <v>0</v>
      </c>
      <c r="I104" s="1452">
        <f t="shared" si="81"/>
        <v>0</v>
      </c>
      <c r="J104" s="1452">
        <f t="shared" si="81"/>
        <v>0</v>
      </c>
      <c r="K104" s="1452">
        <f t="shared" si="81"/>
        <v>0</v>
      </c>
      <c r="L104" s="1452">
        <f t="shared" si="81"/>
        <v>0</v>
      </c>
      <c r="M104" s="1452">
        <f t="shared" si="81"/>
        <v>0</v>
      </c>
      <c r="N104" s="1452">
        <f t="shared" ref="N104:T104" si="82">IF(N95&gt;$D$12,(1+N23)^(N95-$D$12),0)</f>
        <v>1.125</v>
      </c>
      <c r="O104" s="1452">
        <f t="shared" si="82"/>
        <v>1.265625</v>
      </c>
      <c r="P104" s="1452">
        <f t="shared" si="82"/>
        <v>1.423828125</v>
      </c>
      <c r="Q104" s="1452">
        <f t="shared" si="82"/>
        <v>1.601806640625</v>
      </c>
      <c r="R104" s="1452">
        <f t="shared" si="82"/>
        <v>1.802032470703125</v>
      </c>
      <c r="S104" s="1452">
        <f t="shared" si="82"/>
        <v>2.0272865295410156</v>
      </c>
      <c r="T104" s="1452">
        <f t="shared" si="82"/>
        <v>2.2806973457336426</v>
      </c>
      <c r="U104" s="1452">
        <f>IF(U95&gt;$D$12,(1+U23)^(U95-$D$12),0)</f>
        <v>2.5657845139503479</v>
      </c>
      <c r="V104" s="1452">
        <f>IF(V95&gt;$D$12,(1+V23)^(V95-$D$12),0)</f>
        <v>2.8865075781941414</v>
      </c>
    </row>
    <row r="105" spans="1:22">
      <c r="B105" s="1431" t="s">
        <v>1452</v>
      </c>
      <c r="C105" s="1440">
        <f>SUMIF(D95:V95,"&gt;"&amp;D12,D105:V105)</f>
        <v>845.8716659548345</v>
      </c>
      <c r="D105" s="1440" t="str">
        <f t="shared" ref="D105:M105" si="83">IF(D104&lt;&gt;0,D103/D104,"")</f>
        <v/>
      </c>
      <c r="E105" s="1440" t="str">
        <f t="shared" si="83"/>
        <v/>
      </c>
      <c r="F105" s="1440" t="str">
        <f t="shared" si="83"/>
        <v/>
      </c>
      <c r="G105" s="1440" t="str">
        <f t="shared" si="83"/>
        <v/>
      </c>
      <c r="H105" s="1440" t="str">
        <f t="shared" si="83"/>
        <v/>
      </c>
      <c r="I105" s="1440" t="str">
        <f t="shared" si="83"/>
        <v/>
      </c>
      <c r="J105" s="1440" t="str">
        <f t="shared" si="83"/>
        <v/>
      </c>
      <c r="K105" s="1440" t="str">
        <f t="shared" si="83"/>
        <v/>
      </c>
      <c r="L105" s="1440" t="str">
        <f t="shared" si="83"/>
        <v/>
      </c>
      <c r="M105" s="1440" t="str">
        <f t="shared" si="83"/>
        <v/>
      </c>
      <c r="N105" s="1440">
        <f t="shared" ref="N105:T105" si="84">IF(N104&lt;&gt;0,N103/N104,"")</f>
        <v>0</v>
      </c>
      <c r="O105" s="1440">
        <f t="shared" si="84"/>
        <v>0</v>
      </c>
      <c r="P105" s="1440">
        <f t="shared" si="84"/>
        <v>0</v>
      </c>
      <c r="Q105" s="1440">
        <f t="shared" si="84"/>
        <v>0</v>
      </c>
      <c r="R105" s="1440">
        <f t="shared" si="84"/>
        <v>-832.39343595996547</v>
      </c>
      <c r="S105" s="1440">
        <f t="shared" si="84"/>
        <v>203.473951012436</v>
      </c>
      <c r="T105" s="1440">
        <f t="shared" si="84"/>
        <v>876.92477204012823</v>
      </c>
      <c r="U105" s="1440">
        <f>IF(U104&lt;&gt;0,U103/U104,"")</f>
        <v>603.12937099204373</v>
      </c>
      <c r="V105" s="1440">
        <f>IF(V104&lt;&gt;0,V103/V104,"")</f>
        <v>-5.2629921298079712</v>
      </c>
    </row>
    <row r="106" spans="1:22">
      <c r="B106" s="1407" t="s">
        <v>1590</v>
      </c>
      <c r="C106" s="1427">
        <f>C105*I5</f>
        <v>845.8716659548345</v>
      </c>
    </row>
    <row r="107" spans="1:22">
      <c r="B107" s="1407"/>
      <c r="C107" s="1427"/>
    </row>
    <row r="108" spans="1:22">
      <c r="B108" s="1407" t="s">
        <v>1588</v>
      </c>
      <c r="C108" s="1440"/>
      <c r="D108" s="1431">
        <f t="shared" ref="D108:J108" si="85">D95</f>
        <v>2013</v>
      </c>
      <c r="E108" s="1431">
        <f t="shared" si="85"/>
        <v>2014</v>
      </c>
      <c r="F108" s="1431">
        <f t="shared" si="85"/>
        <v>2015</v>
      </c>
      <c r="G108" s="1431">
        <f t="shared" si="85"/>
        <v>2016</v>
      </c>
      <c r="H108" s="1431">
        <f t="shared" si="85"/>
        <v>2017</v>
      </c>
      <c r="I108" s="1431">
        <f t="shared" si="85"/>
        <v>2018</v>
      </c>
      <c r="J108" s="1431">
        <f t="shared" si="85"/>
        <v>2019</v>
      </c>
      <c r="K108" s="1431">
        <f>K95</f>
        <v>2020</v>
      </c>
      <c r="L108" s="1431">
        <f>L95</f>
        <v>2021</v>
      </c>
      <c r="M108" s="1431">
        <f>M95</f>
        <v>2022</v>
      </c>
      <c r="N108" s="1431">
        <f t="shared" ref="N108:T108" si="86">N95</f>
        <v>2023</v>
      </c>
      <c r="O108" s="1431">
        <f t="shared" si="86"/>
        <v>2024</v>
      </c>
      <c r="P108" s="1431">
        <f t="shared" si="86"/>
        <v>2025</v>
      </c>
      <c r="Q108" s="1431">
        <f t="shared" si="86"/>
        <v>2026</v>
      </c>
      <c r="R108" s="1431">
        <f t="shared" si="86"/>
        <v>2027</v>
      </c>
      <c r="S108" s="1431">
        <f t="shared" si="86"/>
        <v>2028</v>
      </c>
      <c r="T108" s="1431">
        <f t="shared" si="86"/>
        <v>2029</v>
      </c>
      <c r="U108" s="1431">
        <f>U95</f>
        <v>2030</v>
      </c>
      <c r="V108" s="1431">
        <f>V95</f>
        <v>2031</v>
      </c>
    </row>
    <row r="109" spans="1:22" s="1447" customFormat="1">
      <c r="A109" s="1459"/>
      <c r="B109" s="1460">
        <f>IRR(D109:V109)</f>
        <v>0.55567432472579914</v>
      </c>
      <c r="C109" s="1408"/>
      <c r="D109" s="1408">
        <f>D103</f>
        <v>0</v>
      </c>
      <c r="E109" s="1408">
        <f t="shared" ref="E109:J109" si="87">E103</f>
        <v>0</v>
      </c>
      <c r="F109" s="1408">
        <f t="shared" si="87"/>
        <v>0</v>
      </c>
      <c r="G109" s="1408">
        <f t="shared" si="87"/>
        <v>0</v>
      </c>
      <c r="H109" s="1408">
        <f t="shared" si="87"/>
        <v>0</v>
      </c>
      <c r="I109" s="1408">
        <f t="shared" si="87"/>
        <v>0</v>
      </c>
      <c r="J109" s="1408">
        <f t="shared" si="87"/>
        <v>0</v>
      </c>
      <c r="K109" s="1408">
        <f>K103</f>
        <v>0</v>
      </c>
      <c r="L109" s="1408">
        <f>L103</f>
        <v>0</v>
      </c>
      <c r="M109" s="1408">
        <f>M103</f>
        <v>0</v>
      </c>
      <c r="N109" s="1408">
        <f t="shared" ref="N109:T109" si="88">N103</f>
        <v>0</v>
      </c>
      <c r="O109" s="1408">
        <f t="shared" si="88"/>
        <v>0</v>
      </c>
      <c r="P109" s="1408">
        <f t="shared" si="88"/>
        <v>0</v>
      </c>
      <c r="Q109" s="1408">
        <f t="shared" si="88"/>
        <v>0</v>
      </c>
      <c r="R109" s="1408">
        <f t="shared" si="88"/>
        <v>-1500</v>
      </c>
      <c r="S109" s="1408">
        <f t="shared" si="88"/>
        <v>412.5</v>
      </c>
      <c r="T109" s="1408">
        <f t="shared" si="88"/>
        <v>2000</v>
      </c>
      <c r="U109" s="1408">
        <f>U103</f>
        <v>1547.5</v>
      </c>
      <c r="V109" s="1408">
        <f>V103</f>
        <v>-15.191666666666833</v>
      </c>
    </row>
    <row r="110" spans="1:22">
      <c r="B110" s="1407" t="s">
        <v>1789</v>
      </c>
      <c r="C110" s="1440"/>
      <c r="D110" s="1656">
        <f t="shared" ref="D110:M110" si="89">D103+D116-D118</f>
        <v>0</v>
      </c>
      <c r="E110" s="1656">
        <f t="shared" si="89"/>
        <v>0</v>
      </c>
      <c r="F110" s="1656">
        <f t="shared" si="89"/>
        <v>0</v>
      </c>
      <c r="G110" s="1656">
        <f t="shared" si="89"/>
        <v>0</v>
      </c>
      <c r="H110" s="1656">
        <f t="shared" si="89"/>
        <v>0</v>
      </c>
      <c r="I110" s="1656">
        <f t="shared" si="89"/>
        <v>0</v>
      </c>
      <c r="J110" s="1656">
        <f t="shared" si="89"/>
        <v>0</v>
      </c>
      <c r="K110" s="1656">
        <f t="shared" si="89"/>
        <v>0</v>
      </c>
      <c r="L110" s="1656">
        <f t="shared" si="89"/>
        <v>0</v>
      </c>
      <c r="M110" s="1656">
        <f t="shared" si="89"/>
        <v>0</v>
      </c>
      <c r="N110" s="1656">
        <f t="shared" ref="N110:T110" si="90">N103+N116-N118</f>
        <v>0</v>
      </c>
      <c r="O110" s="1656">
        <f t="shared" si="90"/>
        <v>0</v>
      </c>
      <c r="P110" s="1656">
        <f t="shared" si="90"/>
        <v>0</v>
      </c>
      <c r="Q110" s="1656">
        <f t="shared" si="90"/>
        <v>0</v>
      </c>
      <c r="R110" s="1656">
        <f t="shared" si="90"/>
        <v>1362.5</v>
      </c>
      <c r="S110" s="1656">
        <f t="shared" si="90"/>
        <v>412.5</v>
      </c>
      <c r="T110" s="1656">
        <f t="shared" si="90"/>
        <v>1045.8333333333335</v>
      </c>
      <c r="U110" s="1656">
        <f>U103+U116-U118</f>
        <v>593.33333333333337</v>
      </c>
      <c r="V110" s="1656">
        <f>V103+V116-V118</f>
        <v>-969.35833333333346</v>
      </c>
    </row>
    <row r="111" spans="1:22">
      <c r="B111" s="1407"/>
      <c r="C111" s="1427"/>
      <c r="D111" s="1454"/>
      <c r="E111" s="1454"/>
      <c r="F111" s="1454"/>
      <c r="G111" s="1454"/>
      <c r="H111" s="1454"/>
      <c r="I111" s="1454"/>
      <c r="J111" s="1454"/>
      <c r="K111" s="1454"/>
      <c r="L111" s="1454"/>
      <c r="M111" s="1454"/>
      <c r="N111" s="1454"/>
      <c r="O111" s="1454"/>
      <c r="P111" s="1454"/>
      <c r="Q111" s="1454"/>
      <c r="R111" s="1454"/>
      <c r="S111" s="1454"/>
      <c r="T111" s="1454"/>
      <c r="U111" s="1454"/>
      <c r="V111" s="1454"/>
    </row>
    <row r="112" spans="1:22">
      <c r="B112" s="1407"/>
      <c r="C112" s="1427"/>
    </row>
    <row r="113" spans="1:22" s="1407" customFormat="1">
      <c r="A113" s="1406">
        <v>8</v>
      </c>
      <c r="B113" s="1407" t="s">
        <v>1592</v>
      </c>
      <c r="C113" s="1440"/>
      <c r="D113" s="1431">
        <f t="shared" ref="D113:I113" si="91">D95</f>
        <v>2013</v>
      </c>
      <c r="E113" s="1431">
        <f t="shared" si="91"/>
        <v>2014</v>
      </c>
      <c r="F113" s="1431">
        <f t="shared" si="91"/>
        <v>2015</v>
      </c>
      <c r="G113" s="1431">
        <f t="shared" si="91"/>
        <v>2016</v>
      </c>
      <c r="H113" s="1431">
        <f t="shared" si="91"/>
        <v>2017</v>
      </c>
      <c r="I113" s="1431">
        <f t="shared" si="91"/>
        <v>2018</v>
      </c>
      <c r="J113" s="1431">
        <f t="shared" ref="J113:V113" si="92">I113+1</f>
        <v>2019</v>
      </c>
      <c r="K113" s="1431">
        <f t="shared" si="92"/>
        <v>2020</v>
      </c>
      <c r="L113" s="1431">
        <f t="shared" si="92"/>
        <v>2021</v>
      </c>
      <c r="M113" s="1431">
        <f t="shared" si="92"/>
        <v>2022</v>
      </c>
      <c r="N113" s="1431">
        <f t="shared" si="92"/>
        <v>2023</v>
      </c>
      <c r="O113" s="1431">
        <f t="shared" si="92"/>
        <v>2024</v>
      </c>
      <c r="P113" s="1431">
        <f t="shared" si="92"/>
        <v>2025</v>
      </c>
      <c r="Q113" s="1431">
        <f t="shared" si="92"/>
        <v>2026</v>
      </c>
      <c r="R113" s="1431">
        <f t="shared" si="92"/>
        <v>2027</v>
      </c>
      <c r="S113" s="1431">
        <f t="shared" si="92"/>
        <v>2028</v>
      </c>
      <c r="T113" s="1431">
        <f t="shared" si="92"/>
        <v>2029</v>
      </c>
      <c r="U113" s="1431">
        <f t="shared" si="92"/>
        <v>2030</v>
      </c>
      <c r="V113" s="1431">
        <f t="shared" si="92"/>
        <v>2031</v>
      </c>
    </row>
    <row r="114" spans="1:22">
      <c r="B114" s="1432" t="s">
        <v>1571</v>
      </c>
      <c r="C114" s="1441">
        <f>D5*I6</f>
        <v>2862.5</v>
      </c>
      <c r="D114" s="1432"/>
      <c r="E114" s="1432"/>
      <c r="F114" s="1432"/>
      <c r="G114" s="1432"/>
      <c r="H114" s="1432"/>
      <c r="I114" s="1432"/>
      <c r="J114" s="1456"/>
      <c r="K114" s="1456"/>
      <c r="L114" s="1456"/>
      <c r="M114" s="1456"/>
      <c r="N114" s="1456"/>
      <c r="O114" s="1456"/>
      <c r="P114" s="1456"/>
      <c r="Q114" s="1456"/>
      <c r="R114" s="1456"/>
      <c r="S114" s="1456"/>
      <c r="T114" s="1456"/>
      <c r="U114" s="1456"/>
      <c r="V114" s="1456"/>
    </row>
    <row r="115" spans="1:22">
      <c r="B115" s="1431" t="s">
        <v>1572</v>
      </c>
      <c r="C115" s="1436">
        <f>SUM(D115:V115)</f>
        <v>1</v>
      </c>
      <c r="D115" s="1416">
        <v>0</v>
      </c>
      <c r="E115" s="1416">
        <v>0</v>
      </c>
      <c r="F115" s="1416">
        <v>0</v>
      </c>
      <c r="G115" s="1416">
        <v>0</v>
      </c>
      <c r="H115" s="1411">
        <v>0</v>
      </c>
      <c r="I115" s="1411">
        <v>0</v>
      </c>
      <c r="J115" s="1411">
        <v>0</v>
      </c>
      <c r="K115" s="1411">
        <v>0</v>
      </c>
      <c r="L115" s="1411">
        <v>0</v>
      </c>
      <c r="M115" s="1411">
        <v>0</v>
      </c>
      <c r="N115" s="1411">
        <v>0</v>
      </c>
      <c r="O115" s="1411">
        <v>0</v>
      </c>
      <c r="P115" s="1411">
        <v>0</v>
      </c>
      <c r="Q115" s="1411">
        <v>0</v>
      </c>
      <c r="R115" s="1411">
        <v>1</v>
      </c>
      <c r="S115" s="1411">
        <v>0</v>
      </c>
      <c r="T115" s="1411">
        <v>0</v>
      </c>
      <c r="U115" s="1411">
        <v>0</v>
      </c>
      <c r="V115" s="1411">
        <v>0</v>
      </c>
    </row>
    <row r="116" spans="1:22">
      <c r="B116" s="1431" t="s">
        <v>1573</v>
      </c>
      <c r="C116" s="1440">
        <f>SUM(D116:V116)</f>
        <v>2862.5</v>
      </c>
      <c r="D116" s="1410">
        <f t="shared" ref="D116:M116" si="93">D115*$C$114</f>
        <v>0</v>
      </c>
      <c r="E116" s="1410">
        <f t="shared" si="93"/>
        <v>0</v>
      </c>
      <c r="F116" s="1410">
        <f t="shared" si="93"/>
        <v>0</v>
      </c>
      <c r="G116" s="1410">
        <f t="shared" si="93"/>
        <v>0</v>
      </c>
      <c r="H116" s="1410">
        <f t="shared" si="93"/>
        <v>0</v>
      </c>
      <c r="I116" s="1410">
        <f t="shared" si="93"/>
        <v>0</v>
      </c>
      <c r="J116" s="1410">
        <f t="shared" si="93"/>
        <v>0</v>
      </c>
      <c r="K116" s="1410">
        <f t="shared" si="93"/>
        <v>0</v>
      </c>
      <c r="L116" s="1410">
        <f t="shared" si="93"/>
        <v>0</v>
      </c>
      <c r="M116" s="1410">
        <f t="shared" si="93"/>
        <v>0</v>
      </c>
      <c r="N116" s="1410">
        <f t="shared" ref="N116:T116" si="94">N115*$C$114</f>
        <v>0</v>
      </c>
      <c r="O116" s="1410">
        <f t="shared" si="94"/>
        <v>0</v>
      </c>
      <c r="P116" s="1410">
        <f t="shared" si="94"/>
        <v>0</v>
      </c>
      <c r="Q116" s="1410">
        <f t="shared" si="94"/>
        <v>0</v>
      </c>
      <c r="R116" s="1410">
        <f t="shared" si="94"/>
        <v>2862.5</v>
      </c>
      <c r="S116" s="1410">
        <f t="shared" si="94"/>
        <v>0</v>
      </c>
      <c r="T116" s="1410">
        <f t="shared" si="94"/>
        <v>0</v>
      </c>
      <c r="U116" s="1410">
        <f>U115*$C$114</f>
        <v>0</v>
      </c>
      <c r="V116" s="1410">
        <f>V115*$C$114</f>
        <v>0</v>
      </c>
    </row>
    <row r="117" spans="1:22">
      <c r="B117" s="1431" t="s">
        <v>868</v>
      </c>
      <c r="C117" s="1440"/>
      <c r="D117" s="1440">
        <f>D116</f>
        <v>0</v>
      </c>
      <c r="E117" s="1440">
        <f>E116</f>
        <v>0</v>
      </c>
      <c r="F117" s="1440">
        <f>F116</f>
        <v>0</v>
      </c>
      <c r="G117" s="1440">
        <f t="shared" ref="G117:V117" si="95">F120+G116</f>
        <v>0</v>
      </c>
      <c r="H117" s="1440">
        <f t="shared" si="95"/>
        <v>0</v>
      </c>
      <c r="I117" s="1440">
        <f t="shared" si="95"/>
        <v>0</v>
      </c>
      <c r="J117" s="1440">
        <f t="shared" si="95"/>
        <v>0</v>
      </c>
      <c r="K117" s="1440">
        <f t="shared" si="95"/>
        <v>0</v>
      </c>
      <c r="L117" s="1440">
        <f t="shared" si="95"/>
        <v>0</v>
      </c>
      <c r="M117" s="1440">
        <f t="shared" si="95"/>
        <v>0</v>
      </c>
      <c r="N117" s="1440">
        <f t="shared" si="95"/>
        <v>0</v>
      </c>
      <c r="O117" s="1440">
        <f t="shared" si="95"/>
        <v>0</v>
      </c>
      <c r="P117" s="1440">
        <f t="shared" si="95"/>
        <v>0</v>
      </c>
      <c r="Q117" s="1440">
        <f t="shared" si="95"/>
        <v>0</v>
      </c>
      <c r="R117" s="1440">
        <f t="shared" si="95"/>
        <v>2862.5</v>
      </c>
      <c r="S117" s="1440">
        <f t="shared" si="95"/>
        <v>2862.5</v>
      </c>
      <c r="T117" s="1440">
        <f t="shared" si="95"/>
        <v>2862.5</v>
      </c>
      <c r="U117" s="1440">
        <f t="shared" si="95"/>
        <v>1908.3333333333335</v>
      </c>
      <c r="V117" s="1440">
        <f t="shared" si="95"/>
        <v>954.16666666666686</v>
      </c>
    </row>
    <row r="118" spans="1:22">
      <c r="B118" s="1431" t="s">
        <v>1574</v>
      </c>
      <c r="C118" s="1440">
        <f>SUM(D118:V118)</f>
        <v>2862.5</v>
      </c>
      <c r="D118" s="1423"/>
      <c r="E118" s="1423"/>
      <c r="F118" s="1423"/>
      <c r="G118" s="1423"/>
      <c r="H118" s="1423"/>
      <c r="I118" s="1410"/>
      <c r="J118" s="1423">
        <v>0</v>
      </c>
      <c r="K118" s="1440"/>
      <c r="L118" s="1440"/>
      <c r="M118" s="1440"/>
      <c r="N118" s="1440"/>
      <c r="O118" s="1440"/>
      <c r="P118" s="1440"/>
      <c r="Q118" s="1440"/>
      <c r="R118" s="1440"/>
      <c r="S118" s="1440"/>
      <c r="T118" s="1440">
        <f>C114/3</f>
        <v>954.16666666666663</v>
      </c>
      <c r="U118" s="1440">
        <f>T118</f>
        <v>954.16666666666663</v>
      </c>
      <c r="V118" s="1440">
        <f>U118</f>
        <v>954.16666666666663</v>
      </c>
    </row>
    <row r="119" spans="1:22">
      <c r="B119" s="1431" t="s">
        <v>869</v>
      </c>
      <c r="C119" s="1440">
        <f>SUM(D119:V119)</f>
        <v>1488.5000000000002</v>
      </c>
      <c r="D119" s="1440">
        <f t="shared" ref="D119:M119" si="96">D117*D21</f>
        <v>0</v>
      </c>
      <c r="E119" s="1440">
        <f t="shared" si="96"/>
        <v>0</v>
      </c>
      <c r="F119" s="1440">
        <f t="shared" si="96"/>
        <v>0</v>
      </c>
      <c r="G119" s="1440">
        <f t="shared" si="96"/>
        <v>0</v>
      </c>
      <c r="H119" s="1440">
        <f t="shared" si="96"/>
        <v>0</v>
      </c>
      <c r="I119" s="1440">
        <f t="shared" si="96"/>
        <v>0</v>
      </c>
      <c r="J119" s="1440">
        <f t="shared" si="96"/>
        <v>0</v>
      </c>
      <c r="K119" s="1440">
        <f t="shared" si="96"/>
        <v>0</v>
      </c>
      <c r="L119" s="1440">
        <f t="shared" si="96"/>
        <v>0</v>
      </c>
      <c r="M119" s="1440">
        <f t="shared" si="96"/>
        <v>0</v>
      </c>
      <c r="N119" s="1440">
        <f t="shared" ref="N119:T119" si="97">N117*N21</f>
        <v>0</v>
      </c>
      <c r="O119" s="1440">
        <f t="shared" si="97"/>
        <v>0</v>
      </c>
      <c r="P119" s="1440">
        <f t="shared" si="97"/>
        <v>0</v>
      </c>
      <c r="Q119" s="1440">
        <f t="shared" si="97"/>
        <v>0</v>
      </c>
      <c r="R119" s="1440">
        <f t="shared" si="97"/>
        <v>372.125</v>
      </c>
      <c r="S119" s="1440">
        <f t="shared" si="97"/>
        <v>372.125</v>
      </c>
      <c r="T119" s="1440">
        <f t="shared" si="97"/>
        <v>372.125</v>
      </c>
      <c r="U119" s="1440">
        <f>U117*U21</f>
        <v>248.08333333333337</v>
      </c>
      <c r="V119" s="1440">
        <f>V117*V21</f>
        <v>124.0416666666667</v>
      </c>
    </row>
    <row r="120" spans="1:22">
      <c r="B120" s="1431" t="s">
        <v>874</v>
      </c>
      <c r="C120" s="1440"/>
      <c r="D120" s="1440">
        <f t="shared" ref="D120:M120" si="98">D117-D118</f>
        <v>0</v>
      </c>
      <c r="E120" s="1440">
        <f t="shared" si="98"/>
        <v>0</v>
      </c>
      <c r="F120" s="1440">
        <f t="shared" si="98"/>
        <v>0</v>
      </c>
      <c r="G120" s="1440">
        <f t="shared" si="98"/>
        <v>0</v>
      </c>
      <c r="H120" s="1440">
        <f t="shared" si="98"/>
        <v>0</v>
      </c>
      <c r="I120" s="1440">
        <f t="shared" si="98"/>
        <v>0</v>
      </c>
      <c r="J120" s="1440">
        <f t="shared" si="98"/>
        <v>0</v>
      </c>
      <c r="K120" s="1440">
        <f t="shared" si="98"/>
        <v>0</v>
      </c>
      <c r="L120" s="1440">
        <f t="shared" si="98"/>
        <v>0</v>
      </c>
      <c r="M120" s="1440">
        <f t="shared" si="98"/>
        <v>0</v>
      </c>
      <c r="N120" s="1440">
        <f t="shared" ref="N120:T120" si="99">N117-N118</f>
        <v>0</v>
      </c>
      <c r="O120" s="1440">
        <f t="shared" si="99"/>
        <v>0</v>
      </c>
      <c r="P120" s="1440">
        <f t="shared" si="99"/>
        <v>0</v>
      </c>
      <c r="Q120" s="1440">
        <f t="shared" si="99"/>
        <v>0</v>
      </c>
      <c r="R120" s="1440">
        <f t="shared" si="99"/>
        <v>2862.5</v>
      </c>
      <c r="S120" s="1440">
        <f t="shared" si="99"/>
        <v>2862.5</v>
      </c>
      <c r="T120" s="1440">
        <f t="shared" si="99"/>
        <v>1908.3333333333335</v>
      </c>
      <c r="U120" s="1440">
        <f>U117-U118</f>
        <v>954.16666666666686</v>
      </c>
      <c r="V120" s="1440">
        <f>V117-V118</f>
        <v>0</v>
      </c>
    </row>
    <row r="121" spans="1:22">
      <c r="C121" s="1440"/>
      <c r="D121" s="1412"/>
      <c r="E121" s="1440"/>
      <c r="F121" s="1440"/>
      <c r="G121" s="1440"/>
      <c r="H121" s="1440"/>
    </row>
    <row r="122" spans="1:22">
      <c r="C122" s="1440"/>
    </row>
    <row r="123" spans="1:22" s="1407" customFormat="1">
      <c r="A123" s="1406">
        <v>9</v>
      </c>
      <c r="B123" s="1407" t="s">
        <v>350</v>
      </c>
      <c r="C123" s="1440"/>
      <c r="D123" s="1431">
        <f t="shared" ref="D123:J123" si="100">D95</f>
        <v>2013</v>
      </c>
      <c r="E123" s="1431">
        <f t="shared" si="100"/>
        <v>2014</v>
      </c>
      <c r="F123" s="1431">
        <f t="shared" si="100"/>
        <v>2015</v>
      </c>
      <c r="G123" s="1431">
        <f t="shared" si="100"/>
        <v>2016</v>
      </c>
      <c r="H123" s="1431">
        <f t="shared" si="100"/>
        <v>2017</v>
      </c>
      <c r="I123" s="1431">
        <f t="shared" si="100"/>
        <v>2018</v>
      </c>
      <c r="J123" s="1431">
        <f t="shared" si="100"/>
        <v>2019</v>
      </c>
      <c r="K123" s="1431">
        <f>K95</f>
        <v>2020</v>
      </c>
      <c r="L123" s="1431">
        <f>L95</f>
        <v>2021</v>
      </c>
      <c r="M123" s="1431">
        <f>M95</f>
        <v>2022</v>
      </c>
      <c r="N123" s="1431">
        <f t="shared" ref="N123:T123" si="101">N95</f>
        <v>2023</v>
      </c>
      <c r="O123" s="1431">
        <f t="shared" si="101"/>
        <v>2024</v>
      </c>
      <c r="P123" s="1431">
        <f t="shared" si="101"/>
        <v>2025</v>
      </c>
      <c r="Q123" s="1431">
        <f t="shared" si="101"/>
        <v>2026</v>
      </c>
      <c r="R123" s="1431">
        <f t="shared" si="101"/>
        <v>2027</v>
      </c>
      <c r="S123" s="1431">
        <f t="shared" si="101"/>
        <v>2028</v>
      </c>
      <c r="T123" s="1431">
        <f t="shared" si="101"/>
        <v>2029</v>
      </c>
      <c r="U123" s="1431">
        <f>U95</f>
        <v>2030</v>
      </c>
      <c r="V123" s="1431">
        <f>V95</f>
        <v>2031</v>
      </c>
    </row>
    <row r="124" spans="1:22">
      <c r="B124" s="1432" t="s">
        <v>1575</v>
      </c>
      <c r="C124" s="1441"/>
      <c r="D124" s="1441">
        <f>D63</f>
        <v>0</v>
      </c>
      <c r="E124" s="1408">
        <f t="shared" ref="E124:M124" si="102">D124+E63</f>
        <v>0</v>
      </c>
      <c r="F124" s="1408">
        <f t="shared" si="102"/>
        <v>0</v>
      </c>
      <c r="G124" s="1408">
        <f t="shared" si="102"/>
        <v>0</v>
      </c>
      <c r="H124" s="1408">
        <f t="shared" si="102"/>
        <v>0</v>
      </c>
      <c r="I124" s="1408">
        <f t="shared" si="102"/>
        <v>0</v>
      </c>
      <c r="J124" s="1408">
        <f t="shared" si="102"/>
        <v>0</v>
      </c>
      <c r="K124" s="1408">
        <f t="shared" si="102"/>
        <v>0</v>
      </c>
      <c r="L124" s="1408">
        <f t="shared" si="102"/>
        <v>0</v>
      </c>
      <c r="M124" s="1408">
        <f t="shared" si="102"/>
        <v>0</v>
      </c>
      <c r="N124" s="1408">
        <f t="shared" ref="N124:V124" si="103">M124+N63</f>
        <v>0</v>
      </c>
      <c r="O124" s="1408">
        <f t="shared" si="103"/>
        <v>0</v>
      </c>
      <c r="P124" s="1408">
        <f t="shared" si="103"/>
        <v>0</v>
      </c>
      <c r="Q124" s="1408">
        <f t="shared" si="103"/>
        <v>0</v>
      </c>
      <c r="R124" s="1408">
        <f t="shared" si="103"/>
        <v>0</v>
      </c>
      <c r="S124" s="1408">
        <f t="shared" si="103"/>
        <v>1312.5</v>
      </c>
      <c r="T124" s="1408">
        <f t="shared" si="103"/>
        <v>4812.5</v>
      </c>
      <c r="U124" s="1408">
        <f t="shared" si="103"/>
        <v>7875</v>
      </c>
      <c r="V124" s="1408">
        <f t="shared" si="103"/>
        <v>8750</v>
      </c>
    </row>
    <row r="125" spans="1:22">
      <c r="B125" s="1431" t="s">
        <v>1576</v>
      </c>
      <c r="C125" s="1440"/>
      <c r="D125" s="1440">
        <f>D57</f>
        <v>0</v>
      </c>
      <c r="E125" s="1440">
        <f t="shared" ref="E125:M125" si="104">D125+E57</f>
        <v>0</v>
      </c>
      <c r="F125" s="1440">
        <f t="shared" si="104"/>
        <v>0</v>
      </c>
      <c r="G125" s="1440">
        <f t="shared" si="104"/>
        <v>0</v>
      </c>
      <c r="H125" s="1440">
        <f t="shared" si="104"/>
        <v>0</v>
      </c>
      <c r="I125" s="1440">
        <f t="shared" si="104"/>
        <v>0</v>
      </c>
      <c r="J125" s="1440">
        <f t="shared" si="104"/>
        <v>0</v>
      </c>
      <c r="K125" s="1440">
        <f t="shared" si="104"/>
        <v>0</v>
      </c>
      <c r="L125" s="1440">
        <f t="shared" si="104"/>
        <v>0</v>
      </c>
      <c r="M125" s="1440">
        <f t="shared" si="104"/>
        <v>0</v>
      </c>
      <c r="N125" s="1440">
        <f t="shared" ref="N125:V125" si="105">M125+N57</f>
        <v>0</v>
      </c>
      <c r="O125" s="1440">
        <f t="shared" si="105"/>
        <v>0</v>
      </c>
      <c r="P125" s="1440">
        <f t="shared" si="105"/>
        <v>0</v>
      </c>
      <c r="Q125" s="1440">
        <f t="shared" si="105"/>
        <v>0</v>
      </c>
      <c r="R125" s="1440">
        <f t="shared" si="105"/>
        <v>0</v>
      </c>
      <c r="S125" s="1440">
        <f t="shared" si="105"/>
        <v>0</v>
      </c>
      <c r="T125" s="1440">
        <f t="shared" si="105"/>
        <v>0</v>
      </c>
      <c r="U125" s="1440">
        <f t="shared" si="105"/>
        <v>4375</v>
      </c>
      <c r="V125" s="1440">
        <f t="shared" si="105"/>
        <v>8750</v>
      </c>
    </row>
    <row r="126" spans="1:22">
      <c r="B126" s="1431" t="s">
        <v>1577</v>
      </c>
      <c r="C126" s="1440"/>
      <c r="D126" s="1440">
        <f>D50</f>
        <v>0</v>
      </c>
      <c r="E126" s="1440">
        <f t="shared" ref="E126:M126" si="106">D126+E50</f>
        <v>0</v>
      </c>
      <c r="F126" s="1440">
        <f t="shared" si="106"/>
        <v>0</v>
      </c>
      <c r="G126" s="1440">
        <f t="shared" si="106"/>
        <v>0</v>
      </c>
      <c r="H126" s="1440">
        <f t="shared" si="106"/>
        <v>0</v>
      </c>
      <c r="I126" s="1440">
        <f t="shared" si="106"/>
        <v>0</v>
      </c>
      <c r="J126" s="1440">
        <f t="shared" si="106"/>
        <v>0</v>
      </c>
      <c r="K126" s="1440">
        <f t="shared" si="106"/>
        <v>0</v>
      </c>
      <c r="L126" s="1440">
        <f t="shared" si="106"/>
        <v>0</v>
      </c>
      <c r="M126" s="1440">
        <f t="shared" si="106"/>
        <v>0</v>
      </c>
      <c r="N126" s="1440">
        <f t="shared" ref="N126:V126" si="107">M126+N50</f>
        <v>0</v>
      </c>
      <c r="O126" s="1440">
        <f t="shared" si="107"/>
        <v>0</v>
      </c>
      <c r="P126" s="1440">
        <f t="shared" si="107"/>
        <v>0</v>
      </c>
      <c r="Q126" s="1440">
        <f t="shared" si="107"/>
        <v>0</v>
      </c>
      <c r="R126" s="1440">
        <f t="shared" si="107"/>
        <v>0</v>
      </c>
      <c r="S126" s="1440">
        <f t="shared" si="107"/>
        <v>2625</v>
      </c>
      <c r="T126" s="1440">
        <f t="shared" si="107"/>
        <v>7000</v>
      </c>
      <c r="U126" s="1440">
        <f t="shared" si="107"/>
        <v>8750</v>
      </c>
      <c r="V126" s="1440">
        <f t="shared" si="107"/>
        <v>8750</v>
      </c>
    </row>
    <row r="127" spans="1:22">
      <c r="B127" s="1431" t="s">
        <v>1578</v>
      </c>
      <c r="C127" s="1440"/>
      <c r="D127" s="1436" t="str">
        <f t="shared" ref="D127:J127" si="108">IF(D124&lt;&gt;0,D124/D126,"")</f>
        <v/>
      </c>
      <c r="E127" s="1436" t="str">
        <f t="shared" si="108"/>
        <v/>
      </c>
      <c r="F127" s="1436" t="str">
        <f t="shared" si="108"/>
        <v/>
      </c>
      <c r="G127" s="1436" t="str">
        <f t="shared" si="108"/>
        <v/>
      </c>
      <c r="H127" s="1436" t="str">
        <f t="shared" si="108"/>
        <v/>
      </c>
      <c r="I127" s="1436" t="str">
        <f t="shared" si="108"/>
        <v/>
      </c>
      <c r="J127" s="1436" t="str">
        <f t="shared" si="108"/>
        <v/>
      </c>
      <c r="K127" s="1436" t="str">
        <f>IF(K124&lt;&gt;0,K124/K126,"")</f>
        <v/>
      </c>
      <c r="L127" s="1436" t="str">
        <f>IF(L124&lt;&gt;0,L124/L126,"")</f>
        <v/>
      </c>
      <c r="M127" s="1436" t="str">
        <f>IF(M124&lt;&gt;0,M124/M126,"")</f>
        <v/>
      </c>
      <c r="N127" s="1436" t="str">
        <f t="shared" ref="N127:T127" si="109">IF(N124&lt;&gt;0,N124/N126,"")</f>
        <v/>
      </c>
      <c r="O127" s="1436" t="str">
        <f t="shared" si="109"/>
        <v/>
      </c>
      <c r="P127" s="1436" t="str">
        <f t="shared" si="109"/>
        <v/>
      </c>
      <c r="Q127" s="1436" t="str">
        <f t="shared" si="109"/>
        <v/>
      </c>
      <c r="R127" s="1436" t="str">
        <f t="shared" si="109"/>
        <v/>
      </c>
      <c r="S127" s="1436">
        <f t="shared" si="109"/>
        <v>0.5</v>
      </c>
      <c r="T127" s="1436">
        <f t="shared" si="109"/>
        <v>0.6875</v>
      </c>
      <c r="U127" s="1436">
        <f>IF(U124&lt;&gt;0,U124/U126,"")</f>
        <v>0.9</v>
      </c>
      <c r="V127" s="1436">
        <f>IF(V124&lt;&gt;0,V124/V126,"")</f>
        <v>1</v>
      </c>
    </row>
    <row r="128" spans="1:22">
      <c r="B128" s="1431" t="s">
        <v>1579</v>
      </c>
      <c r="C128" s="1440"/>
      <c r="D128" s="1410">
        <f t="shared" ref="D128:J128" si="110">IF(D124&gt;D125,D124-D125,0)</f>
        <v>0</v>
      </c>
      <c r="E128" s="1410">
        <f t="shared" si="110"/>
        <v>0</v>
      </c>
      <c r="F128" s="1410">
        <f t="shared" si="110"/>
        <v>0</v>
      </c>
      <c r="G128" s="1410">
        <f t="shared" si="110"/>
        <v>0</v>
      </c>
      <c r="H128" s="1410">
        <f t="shared" si="110"/>
        <v>0</v>
      </c>
      <c r="I128" s="1410">
        <f t="shared" si="110"/>
        <v>0</v>
      </c>
      <c r="J128" s="1410">
        <f t="shared" si="110"/>
        <v>0</v>
      </c>
      <c r="K128" s="1410">
        <f>IF(K124&gt;K125,K124-K125,0)</f>
        <v>0</v>
      </c>
      <c r="L128" s="1410">
        <f>IF(L124&gt;L125,L124-L125,0)</f>
        <v>0</v>
      </c>
      <c r="M128" s="1410">
        <f>IF(M124&gt;M125,M124-M125,0)</f>
        <v>0</v>
      </c>
      <c r="N128" s="1410">
        <f t="shared" ref="N128:T128" si="111">IF(N124&gt;N125,N124-N125,0)</f>
        <v>0</v>
      </c>
      <c r="O128" s="1410">
        <f t="shared" si="111"/>
        <v>0</v>
      </c>
      <c r="P128" s="1410">
        <f t="shared" si="111"/>
        <v>0</v>
      </c>
      <c r="Q128" s="1410">
        <f t="shared" si="111"/>
        <v>0</v>
      </c>
      <c r="R128" s="1410">
        <f t="shared" si="111"/>
        <v>0</v>
      </c>
      <c r="S128" s="1410">
        <f t="shared" si="111"/>
        <v>1312.5</v>
      </c>
      <c r="T128" s="1410">
        <f t="shared" si="111"/>
        <v>4812.5</v>
      </c>
      <c r="U128" s="1410">
        <f>IF(U124&gt;U125,U124-U125,0)</f>
        <v>3500</v>
      </c>
      <c r="V128" s="1410">
        <f>IF(V124&gt;V125,V124-V125,0)</f>
        <v>0</v>
      </c>
    </row>
    <row r="129" spans="1:22" s="1407" customFormat="1">
      <c r="A129" s="1406"/>
      <c r="B129" s="1431" t="s">
        <v>1580</v>
      </c>
      <c r="C129" s="1440"/>
      <c r="D129" s="1410">
        <f t="shared" ref="D129:J129" si="112">IF(D125&gt;D124,D125-D124,0)</f>
        <v>0</v>
      </c>
      <c r="E129" s="1410">
        <f t="shared" si="112"/>
        <v>0</v>
      </c>
      <c r="F129" s="1410">
        <f t="shared" si="112"/>
        <v>0</v>
      </c>
      <c r="G129" s="1410">
        <f t="shared" si="112"/>
        <v>0</v>
      </c>
      <c r="H129" s="1410">
        <f t="shared" si="112"/>
        <v>0</v>
      </c>
      <c r="I129" s="1410">
        <f t="shared" si="112"/>
        <v>0</v>
      </c>
      <c r="J129" s="1410">
        <f t="shared" si="112"/>
        <v>0</v>
      </c>
      <c r="K129" s="1410">
        <f>IF(K125&gt;K124,K125-K124,0)</f>
        <v>0</v>
      </c>
      <c r="L129" s="1410">
        <f>IF(L125&gt;L124,L125-L124,0)</f>
        <v>0</v>
      </c>
      <c r="M129" s="1410">
        <f>IF(M125&gt;M124,M125-M124,0)</f>
        <v>0</v>
      </c>
      <c r="N129" s="1410">
        <f t="shared" ref="N129:T129" si="113">IF(N125&gt;N124,N125-N124,0)</f>
        <v>0</v>
      </c>
      <c r="O129" s="1410">
        <f t="shared" si="113"/>
        <v>0</v>
      </c>
      <c r="P129" s="1410">
        <f t="shared" si="113"/>
        <v>0</v>
      </c>
      <c r="Q129" s="1410">
        <f t="shared" si="113"/>
        <v>0</v>
      </c>
      <c r="R129" s="1410">
        <f t="shared" si="113"/>
        <v>0</v>
      </c>
      <c r="S129" s="1410">
        <f t="shared" si="113"/>
        <v>0</v>
      </c>
      <c r="T129" s="1410">
        <f t="shared" si="113"/>
        <v>0</v>
      </c>
      <c r="U129" s="1410">
        <f>IF(U125&gt;U124,U125-U124,0)</f>
        <v>0</v>
      </c>
      <c r="V129" s="1410">
        <f>IF(V125&gt;V124,V125-V124,0)</f>
        <v>0</v>
      </c>
    </row>
    <row r="130" spans="1:22">
      <c r="B130" s="1407"/>
      <c r="E130" s="1440"/>
      <c r="F130" s="1440"/>
      <c r="G130" s="1440"/>
      <c r="H130" s="1440"/>
      <c r="I130" s="1440"/>
      <c r="J130" s="1440"/>
      <c r="K130" s="1440"/>
      <c r="L130" s="1440"/>
      <c r="M130" s="1440"/>
      <c r="N130" s="1440"/>
      <c r="O130" s="1440"/>
      <c r="P130" s="1440"/>
      <c r="Q130" s="1440"/>
      <c r="R130" s="1440"/>
      <c r="S130" s="1440"/>
      <c r="T130" s="1440"/>
      <c r="U130" s="1440"/>
      <c r="V130" s="1440"/>
    </row>
    <row r="131" spans="1:22">
      <c r="B131" s="1407" t="s">
        <v>1492</v>
      </c>
      <c r="E131" s="1440"/>
      <c r="F131" s="1440"/>
      <c r="G131" s="1440"/>
      <c r="H131" s="1440"/>
      <c r="I131" s="1440"/>
      <c r="J131" s="1440"/>
      <c r="K131" s="1440"/>
      <c r="L131" s="1440"/>
      <c r="M131" s="1440"/>
      <c r="N131" s="1440"/>
      <c r="O131" s="1440"/>
      <c r="P131" s="1440"/>
      <c r="Q131" s="1440"/>
      <c r="R131" s="1440"/>
      <c r="S131" s="1440"/>
      <c r="T131" s="1440"/>
      <c r="U131" s="1440"/>
      <c r="V131" s="1440"/>
    </row>
    <row r="132" spans="1:22">
      <c r="B132" s="1431" t="s">
        <v>1581</v>
      </c>
      <c r="D132" s="1412">
        <v>0</v>
      </c>
      <c r="E132" s="1410">
        <f t="shared" ref="E132:J132" si="114">D136</f>
        <v>0</v>
      </c>
      <c r="F132" s="1440">
        <f t="shared" si="114"/>
        <v>0</v>
      </c>
      <c r="G132" s="1440">
        <f t="shared" si="114"/>
        <v>0</v>
      </c>
      <c r="H132" s="1440">
        <f t="shared" si="114"/>
        <v>0</v>
      </c>
      <c r="I132" s="1440">
        <f t="shared" si="114"/>
        <v>0</v>
      </c>
      <c r="J132" s="1440">
        <f t="shared" si="114"/>
        <v>0</v>
      </c>
      <c r="K132" s="1440">
        <f t="shared" ref="K132:V132" si="115">J136</f>
        <v>0</v>
      </c>
      <c r="L132" s="1440">
        <f t="shared" si="115"/>
        <v>0</v>
      </c>
      <c r="M132" s="1440">
        <f t="shared" si="115"/>
        <v>0</v>
      </c>
      <c r="N132" s="1440">
        <f t="shared" si="115"/>
        <v>0</v>
      </c>
      <c r="O132" s="1440">
        <f t="shared" si="115"/>
        <v>0</v>
      </c>
      <c r="P132" s="1440">
        <f t="shared" si="115"/>
        <v>0</v>
      </c>
      <c r="Q132" s="1440">
        <f t="shared" si="115"/>
        <v>0</v>
      </c>
      <c r="R132" s="1440">
        <f t="shared" si="115"/>
        <v>0</v>
      </c>
      <c r="S132" s="1440">
        <f t="shared" si="115"/>
        <v>1500</v>
      </c>
      <c r="T132" s="1440">
        <f t="shared" si="115"/>
        <v>2400</v>
      </c>
      <c r="U132" s="1440">
        <f t="shared" si="115"/>
        <v>3900</v>
      </c>
      <c r="V132" s="1440">
        <f t="shared" si="115"/>
        <v>2250</v>
      </c>
    </row>
    <row r="133" spans="1:22">
      <c r="B133" s="1431" t="s">
        <v>994</v>
      </c>
      <c r="D133" s="1440">
        <f t="shared" ref="D133:M133" si="116">SUM(D99:D100)</f>
        <v>0</v>
      </c>
      <c r="E133" s="1440">
        <f t="shared" si="116"/>
        <v>0</v>
      </c>
      <c r="F133" s="1440">
        <f t="shared" si="116"/>
        <v>0</v>
      </c>
      <c r="G133" s="1440">
        <f t="shared" si="116"/>
        <v>0</v>
      </c>
      <c r="H133" s="1440">
        <f t="shared" si="116"/>
        <v>0</v>
      </c>
      <c r="I133" s="1440">
        <f t="shared" si="116"/>
        <v>0</v>
      </c>
      <c r="J133" s="1440">
        <f t="shared" si="116"/>
        <v>0</v>
      </c>
      <c r="K133" s="1440">
        <f t="shared" si="116"/>
        <v>0</v>
      </c>
      <c r="L133" s="1440">
        <f t="shared" si="116"/>
        <v>0</v>
      </c>
      <c r="M133" s="1440">
        <f t="shared" si="116"/>
        <v>0</v>
      </c>
      <c r="N133" s="1440">
        <f t="shared" ref="N133:T133" si="117">SUM(N99:N100)</f>
        <v>0</v>
      </c>
      <c r="O133" s="1440">
        <f t="shared" si="117"/>
        <v>0</v>
      </c>
      <c r="P133" s="1440">
        <f t="shared" si="117"/>
        <v>0</v>
      </c>
      <c r="Q133" s="1440">
        <f t="shared" si="117"/>
        <v>0</v>
      </c>
      <c r="R133" s="1440">
        <f t="shared" si="117"/>
        <v>1500</v>
      </c>
      <c r="S133" s="1440">
        <f t="shared" si="117"/>
        <v>900</v>
      </c>
      <c r="T133" s="1440">
        <f t="shared" si="117"/>
        <v>1500</v>
      </c>
      <c r="U133" s="1440">
        <f>SUM(U99:U100)</f>
        <v>600</v>
      </c>
      <c r="V133" s="1440">
        <f>SUM(V99:V100)</f>
        <v>0</v>
      </c>
    </row>
    <row r="134" spans="1:22">
      <c r="B134" s="1431" t="s">
        <v>1582</v>
      </c>
      <c r="D134" s="1431">
        <f t="shared" ref="D134:J134" si="118">$C$77*D58</f>
        <v>0</v>
      </c>
      <c r="E134" s="1431">
        <f t="shared" si="118"/>
        <v>0</v>
      </c>
      <c r="F134" s="1440">
        <f t="shared" si="118"/>
        <v>0</v>
      </c>
      <c r="G134" s="1440">
        <f t="shared" si="118"/>
        <v>0</v>
      </c>
      <c r="H134" s="1440">
        <f t="shared" si="118"/>
        <v>0</v>
      </c>
      <c r="I134" s="1440">
        <f t="shared" si="118"/>
        <v>0</v>
      </c>
      <c r="J134" s="1440">
        <f t="shared" si="118"/>
        <v>0</v>
      </c>
      <c r="K134" s="1440">
        <f>$C$77*K58</f>
        <v>0</v>
      </c>
      <c r="L134" s="1440">
        <f>$C$77*L58</f>
        <v>0</v>
      </c>
      <c r="M134" s="1440">
        <f>$C$77*M58</f>
        <v>0</v>
      </c>
      <c r="N134" s="1440">
        <f t="shared" ref="N134:T134" si="119">$C$77*N58</f>
        <v>0</v>
      </c>
      <c r="O134" s="1440">
        <f t="shared" si="119"/>
        <v>0</v>
      </c>
      <c r="P134" s="1440">
        <f t="shared" si="119"/>
        <v>0</v>
      </c>
      <c r="Q134" s="1440">
        <f t="shared" si="119"/>
        <v>0</v>
      </c>
      <c r="R134" s="1440">
        <f t="shared" si="119"/>
        <v>0</v>
      </c>
      <c r="S134" s="1440">
        <f t="shared" si="119"/>
        <v>0</v>
      </c>
      <c r="T134" s="1440">
        <f t="shared" si="119"/>
        <v>0</v>
      </c>
      <c r="U134" s="1440">
        <f>$C$77*U58</f>
        <v>0</v>
      </c>
      <c r="V134" s="1440">
        <f>$C$77*V58</f>
        <v>0</v>
      </c>
    </row>
    <row r="135" spans="1:22">
      <c r="B135" s="1431" t="s">
        <v>1583</v>
      </c>
      <c r="D135" s="1440">
        <f t="shared" ref="D135:J135" si="120">SUM(D75:D77)</f>
        <v>0</v>
      </c>
      <c r="E135" s="1440">
        <f t="shared" si="120"/>
        <v>0</v>
      </c>
      <c r="F135" s="1440">
        <f t="shared" si="120"/>
        <v>0</v>
      </c>
      <c r="G135" s="1440">
        <f t="shared" si="120"/>
        <v>0</v>
      </c>
      <c r="H135" s="1440">
        <f t="shared" si="120"/>
        <v>0</v>
      </c>
      <c r="I135" s="1440">
        <f t="shared" si="120"/>
        <v>0</v>
      </c>
      <c r="J135" s="1440">
        <f t="shared" si="120"/>
        <v>0</v>
      </c>
      <c r="K135" s="1440">
        <f>SUM(K75:K77)</f>
        <v>0</v>
      </c>
      <c r="L135" s="1440">
        <f>SUM(L75:L77)</f>
        <v>0</v>
      </c>
      <c r="M135" s="1440">
        <f>SUM(M75:M77)</f>
        <v>0</v>
      </c>
      <c r="N135" s="1440">
        <f t="shared" ref="N135:T135" si="121">SUM(N75:N77)</f>
        <v>0</v>
      </c>
      <c r="O135" s="1440">
        <f t="shared" si="121"/>
        <v>0</v>
      </c>
      <c r="P135" s="1440">
        <f t="shared" si="121"/>
        <v>0</v>
      </c>
      <c r="Q135" s="1440">
        <f t="shared" si="121"/>
        <v>0</v>
      </c>
      <c r="R135" s="1440">
        <f t="shared" si="121"/>
        <v>0</v>
      </c>
      <c r="S135" s="1440">
        <f t="shared" si="121"/>
        <v>0</v>
      </c>
      <c r="T135" s="1440">
        <f t="shared" si="121"/>
        <v>0</v>
      </c>
      <c r="U135" s="1440">
        <f>SUM(U75:U77)</f>
        <v>2250</v>
      </c>
      <c r="V135" s="1440">
        <f>SUM(V75:V77)</f>
        <v>2250</v>
      </c>
    </row>
    <row r="136" spans="1:22">
      <c r="B136" s="1431" t="s">
        <v>874</v>
      </c>
      <c r="D136" s="1440">
        <f t="shared" ref="D136:M136" si="122">SUM(D132:D134)-D135</f>
        <v>0</v>
      </c>
      <c r="E136" s="1440">
        <f t="shared" si="122"/>
        <v>0</v>
      </c>
      <c r="F136" s="1440">
        <f t="shared" si="122"/>
        <v>0</v>
      </c>
      <c r="G136" s="1440">
        <f t="shared" si="122"/>
        <v>0</v>
      </c>
      <c r="H136" s="1440">
        <f t="shared" si="122"/>
        <v>0</v>
      </c>
      <c r="I136" s="1440">
        <f t="shared" si="122"/>
        <v>0</v>
      </c>
      <c r="J136" s="1440">
        <f t="shared" si="122"/>
        <v>0</v>
      </c>
      <c r="K136" s="1440">
        <f t="shared" si="122"/>
        <v>0</v>
      </c>
      <c r="L136" s="1440">
        <f t="shared" si="122"/>
        <v>0</v>
      </c>
      <c r="M136" s="1440">
        <f t="shared" si="122"/>
        <v>0</v>
      </c>
      <c r="N136" s="1440">
        <f t="shared" ref="N136:T136" si="123">SUM(N132:N134)-N135</f>
        <v>0</v>
      </c>
      <c r="O136" s="1440">
        <f t="shared" si="123"/>
        <v>0</v>
      </c>
      <c r="P136" s="1440">
        <f t="shared" si="123"/>
        <v>0</v>
      </c>
      <c r="Q136" s="1440">
        <f t="shared" si="123"/>
        <v>0</v>
      </c>
      <c r="R136" s="1440">
        <f t="shared" si="123"/>
        <v>1500</v>
      </c>
      <c r="S136" s="1440">
        <f t="shared" si="123"/>
        <v>2400</v>
      </c>
      <c r="T136" s="1440">
        <f t="shared" si="123"/>
        <v>3900</v>
      </c>
      <c r="U136" s="1440">
        <f>SUM(U132:U134)-U135</f>
        <v>2250</v>
      </c>
      <c r="V136" s="1440">
        <f>SUM(V132:V134)-V135</f>
        <v>0</v>
      </c>
    </row>
    <row r="137" spans="1:22">
      <c r="A137" s="1430" t="s">
        <v>1584</v>
      </c>
      <c r="B137" s="1432"/>
      <c r="C137" s="1432"/>
      <c r="D137" s="1432"/>
      <c r="E137" s="1432"/>
      <c r="F137" s="1432"/>
      <c r="G137" s="1432"/>
      <c r="H137" s="1432"/>
      <c r="I137" s="1432"/>
      <c r="J137" s="1432"/>
      <c r="K137" s="1432"/>
      <c r="L137" s="1432"/>
      <c r="M137" s="1432"/>
      <c r="N137" s="1432"/>
      <c r="O137" s="1432"/>
      <c r="P137" s="1432"/>
      <c r="Q137" s="1432"/>
      <c r="R137" s="1432"/>
      <c r="S137" s="1432"/>
      <c r="T137" s="1432"/>
      <c r="U137" s="1432"/>
      <c r="V137" s="1432"/>
    </row>
  </sheetData>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W137"/>
  <sheetViews>
    <sheetView topLeftCell="B34" zoomScaleNormal="100" workbookViewId="0">
      <selection activeCell="C76" sqref="C76"/>
    </sheetView>
  </sheetViews>
  <sheetFormatPr defaultColWidth="9.140625" defaultRowHeight="12"/>
  <cols>
    <col min="1" max="1" width="5.85546875" style="1406" customWidth="1"/>
    <col min="2" max="2" width="27.140625" style="1431" customWidth="1"/>
    <col min="3" max="13" width="9.140625" style="1431" customWidth="1"/>
    <col min="14" max="14" width="9.140625" style="1431" bestFit="1" customWidth="1"/>
    <col min="15" max="16384" width="9.140625" style="1431"/>
  </cols>
  <sheetData>
    <row r="1" spans="1:23" ht="21">
      <c r="A1" s="1404" t="s">
        <v>2437</v>
      </c>
    </row>
    <row r="2" spans="1:23">
      <c r="A2" s="1405" t="s">
        <v>1776</v>
      </c>
    </row>
    <row r="4" spans="1:23">
      <c r="B4" s="1407" t="s">
        <v>1539</v>
      </c>
      <c r="F4" s="1407" t="s">
        <v>1540</v>
      </c>
      <c r="K4" s="1407" t="s">
        <v>1595</v>
      </c>
      <c r="P4" s="1407" t="s">
        <v>1783</v>
      </c>
    </row>
    <row r="5" spans="1:23">
      <c r="B5" s="1432" t="s">
        <v>748</v>
      </c>
      <c r="C5" s="1432"/>
      <c r="D5" s="1408">
        <f>SUM(D6:D8)</f>
        <v>5425</v>
      </c>
      <c r="F5" s="1432" t="s">
        <v>636</v>
      </c>
      <c r="G5" s="1432"/>
      <c r="H5" s="1432"/>
      <c r="I5" s="1738">
        <v>1</v>
      </c>
      <c r="K5" s="1432" t="s">
        <v>26</v>
      </c>
      <c r="L5" s="1432"/>
      <c r="M5" s="1432"/>
      <c r="N5" s="1441">
        <f>C83</f>
        <v>8750</v>
      </c>
      <c r="P5" s="1432" t="s">
        <v>1777</v>
      </c>
      <c r="Q5" s="1432"/>
      <c r="R5" s="1432"/>
      <c r="S5" s="1422">
        <v>6500</v>
      </c>
      <c r="T5" s="1422"/>
    </row>
    <row r="6" spans="1:23">
      <c r="B6" s="1431" t="s">
        <v>678</v>
      </c>
      <c r="D6" s="1410">
        <f>SUM(E31:E32)</f>
        <v>1200</v>
      </c>
      <c r="F6" s="1431" t="s">
        <v>1542</v>
      </c>
      <c r="I6" s="1586">
        <v>0.5</v>
      </c>
      <c r="K6" s="1431" t="s">
        <v>197</v>
      </c>
      <c r="N6" s="1436">
        <f>C91</f>
        <v>0.41925000000000001</v>
      </c>
      <c r="P6" s="1431" t="s">
        <v>1778</v>
      </c>
      <c r="S6" s="1440">
        <f>D42/S5</f>
        <v>53.846153846153847</v>
      </c>
      <c r="T6" s="1440"/>
    </row>
    <row r="7" spans="1:23">
      <c r="B7" s="1431" t="s">
        <v>750</v>
      </c>
      <c r="D7" s="1410">
        <f>C70</f>
        <v>3000</v>
      </c>
      <c r="F7" s="1431" t="s">
        <v>759</v>
      </c>
      <c r="I7" s="1440">
        <f>C114</f>
        <v>2712.5</v>
      </c>
      <c r="K7" s="1431" t="s">
        <v>1779</v>
      </c>
      <c r="N7" s="1436">
        <f>C92</f>
        <v>0.22339999999999999</v>
      </c>
      <c r="P7" s="1431" t="s">
        <v>1792</v>
      </c>
      <c r="S7" s="1412">
        <v>25</v>
      </c>
      <c r="T7" s="1412"/>
    </row>
    <row r="8" spans="1:23">
      <c r="B8" s="1431" t="s">
        <v>656</v>
      </c>
      <c r="D8" s="1440">
        <f>C79</f>
        <v>1225.0000000000002</v>
      </c>
      <c r="F8" s="1431" t="s">
        <v>1544</v>
      </c>
      <c r="I8" s="1433">
        <f>G23</f>
        <v>0.1105</v>
      </c>
      <c r="K8" s="1431" t="s">
        <v>1720</v>
      </c>
      <c r="N8" s="1440">
        <f>C105</f>
        <v>878.92957965082985</v>
      </c>
      <c r="P8" s="1431" t="s">
        <v>1784</v>
      </c>
      <c r="S8" s="1423">
        <v>12</v>
      </c>
      <c r="T8" s="1423"/>
    </row>
    <row r="9" spans="1:23">
      <c r="B9" s="1431" t="s">
        <v>869</v>
      </c>
      <c r="D9" s="1440">
        <f>C119</f>
        <v>881.5625</v>
      </c>
      <c r="F9" s="1431" t="s">
        <v>1588</v>
      </c>
      <c r="I9" s="1425">
        <f>B109</f>
        <v>0.64462441289326411</v>
      </c>
      <c r="K9" s="1431" t="s">
        <v>1601</v>
      </c>
      <c r="N9" s="1410">
        <f>C90</f>
        <v>1954.75</v>
      </c>
      <c r="P9" s="1431" t="s">
        <v>1560</v>
      </c>
      <c r="S9" s="1416">
        <v>0.7</v>
      </c>
      <c r="T9" s="1416"/>
    </row>
    <row r="10" spans="1:23">
      <c r="B10" s="1431" t="s">
        <v>1543</v>
      </c>
      <c r="D10" s="1412">
        <v>2028</v>
      </c>
      <c r="F10" s="1431" t="s">
        <v>1781</v>
      </c>
      <c r="I10" s="1436">
        <f>C105/C90</f>
        <v>0.44963784609327528</v>
      </c>
      <c r="K10" s="1431" t="s">
        <v>1141</v>
      </c>
      <c r="N10" s="1423">
        <v>100000</v>
      </c>
      <c r="P10" s="1431" t="s">
        <v>1785</v>
      </c>
      <c r="S10" s="1423">
        <v>6</v>
      </c>
      <c r="T10" s="1423"/>
    </row>
    <row r="11" spans="1:23">
      <c r="B11" s="1431" t="s">
        <v>751</v>
      </c>
      <c r="D11" s="1412">
        <v>2032</v>
      </c>
      <c r="F11" s="1431" t="s">
        <v>1782</v>
      </c>
      <c r="I11" s="1436">
        <f>C70/C50</f>
        <v>0.34285714285714286</v>
      </c>
      <c r="K11" s="1431" t="s">
        <v>686</v>
      </c>
      <c r="N11" s="1643">
        <v>500000</v>
      </c>
      <c r="P11" s="1431" t="s">
        <v>1786</v>
      </c>
      <c r="S11" s="1596">
        <f>'Opal Central Park'!$S$11</f>
        <v>0.14000000000000001</v>
      </c>
    </row>
    <row r="12" spans="1:23">
      <c r="B12" s="1431" t="s">
        <v>1545</v>
      </c>
      <c r="D12" s="1594">
        <v>2022</v>
      </c>
      <c r="F12" s="1431" t="s">
        <v>1780</v>
      </c>
      <c r="I12" s="1436">
        <f>E32/C50</f>
        <v>0.13714285714285715</v>
      </c>
      <c r="K12" s="1431" t="s">
        <v>1790</v>
      </c>
      <c r="N12" s="1599" t="s">
        <v>1903</v>
      </c>
      <c r="P12" s="1431" t="s">
        <v>1791</v>
      </c>
      <c r="S12" s="1423"/>
    </row>
    <row r="13" spans="1:23">
      <c r="E13" s="1412"/>
      <c r="J13" s="1413"/>
    </row>
    <row r="14" spans="1:23">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c r="R14" s="1447">
        <f>'Opal Riverside'!R14</f>
        <v>2027</v>
      </c>
      <c r="S14" s="1447">
        <f>'Opal Riverside'!S14</f>
        <v>2028</v>
      </c>
      <c r="T14" s="1447">
        <f>'Opal Riverside'!T14</f>
        <v>2029</v>
      </c>
      <c r="U14" s="1447">
        <f>'Opal Riverside'!U14</f>
        <v>2030</v>
      </c>
      <c r="V14" s="1447">
        <f>'Opal Riverside'!V14</f>
        <v>2031</v>
      </c>
      <c r="W14" s="1447">
        <f>'Opal Riverside'!W14</f>
        <v>2032</v>
      </c>
    </row>
    <row r="15" spans="1:23">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c r="R15" s="1434">
        <f t="shared" ref="R15:W18" si="1">Q15</f>
        <v>0.5</v>
      </c>
      <c r="S15" s="1434">
        <f t="shared" si="1"/>
        <v>0.5</v>
      </c>
      <c r="T15" s="1434">
        <f t="shared" si="1"/>
        <v>0.5</v>
      </c>
      <c r="U15" s="1434">
        <f t="shared" si="1"/>
        <v>0.5</v>
      </c>
      <c r="V15" s="1434">
        <f t="shared" si="1"/>
        <v>0.5</v>
      </c>
      <c r="W15" s="1434">
        <f t="shared" si="1"/>
        <v>0.5</v>
      </c>
    </row>
    <row r="16" spans="1:23">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c r="R16" s="1431">
        <v>1.3</v>
      </c>
      <c r="S16" s="1431">
        <v>1.3</v>
      </c>
      <c r="T16" s="1431">
        <v>1.3</v>
      </c>
      <c r="U16" s="1431">
        <v>1.3</v>
      </c>
      <c r="V16" s="1431">
        <v>1.3</v>
      </c>
      <c r="W16" s="1431">
        <v>1.3</v>
      </c>
    </row>
    <row r="17" spans="1:23">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c r="R17" s="1435">
        <f t="shared" si="1"/>
        <v>5.5E-2</v>
      </c>
      <c r="S17" s="1435">
        <f t="shared" si="1"/>
        <v>5.5E-2</v>
      </c>
      <c r="T17" s="1435">
        <f t="shared" si="1"/>
        <v>5.5E-2</v>
      </c>
      <c r="U17" s="1435">
        <f t="shared" si="1"/>
        <v>5.5E-2</v>
      </c>
      <c r="V17" s="1435">
        <f t="shared" si="1"/>
        <v>5.5E-2</v>
      </c>
      <c r="W17" s="1435">
        <f t="shared" si="1"/>
        <v>5.5E-2</v>
      </c>
    </row>
    <row r="18" spans="1:23">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c r="R18" s="1435">
        <f t="shared" si="1"/>
        <v>7.0000000000000007E-2</v>
      </c>
      <c r="S18" s="1435">
        <f t="shared" si="1"/>
        <v>7.0000000000000007E-2</v>
      </c>
      <c r="T18" s="1435">
        <f t="shared" si="1"/>
        <v>7.0000000000000007E-2</v>
      </c>
      <c r="U18" s="1435">
        <f t="shared" si="1"/>
        <v>7.0000000000000007E-2</v>
      </c>
      <c r="V18" s="1435">
        <f t="shared" si="1"/>
        <v>7.0000000000000007E-2</v>
      </c>
      <c r="W18" s="1435">
        <f t="shared" si="1"/>
        <v>7.0000000000000007E-2</v>
      </c>
    </row>
    <row r="19" spans="1:23">
      <c r="B19" s="1431" t="s">
        <v>758</v>
      </c>
      <c r="D19" s="1433">
        <f t="shared" ref="D19:Q19" si="2">D17+D16*D18</f>
        <v>0.125</v>
      </c>
      <c r="E19" s="1433">
        <f t="shared" si="2"/>
        <v>0.125</v>
      </c>
      <c r="F19" s="1433">
        <f t="shared" si="2"/>
        <v>0.125</v>
      </c>
      <c r="G19" s="1433">
        <f t="shared" si="2"/>
        <v>0.125</v>
      </c>
      <c r="H19" s="1433">
        <f t="shared" si="2"/>
        <v>0.125</v>
      </c>
      <c r="I19" s="1433">
        <f t="shared" si="2"/>
        <v>0.125</v>
      </c>
      <c r="J19" s="1433">
        <f t="shared" si="2"/>
        <v>0.125</v>
      </c>
      <c r="K19" s="1433">
        <f t="shared" si="2"/>
        <v>0.125</v>
      </c>
      <c r="L19" s="1433">
        <f t="shared" si="2"/>
        <v>0.125</v>
      </c>
      <c r="M19" s="1433">
        <f t="shared" si="2"/>
        <v>0.125</v>
      </c>
      <c r="N19" s="1433">
        <f t="shared" si="2"/>
        <v>0.14600000000000002</v>
      </c>
      <c r="O19" s="1433">
        <f t="shared" si="2"/>
        <v>0.14600000000000002</v>
      </c>
      <c r="P19" s="1433">
        <f t="shared" si="2"/>
        <v>0.14600000000000002</v>
      </c>
      <c r="Q19" s="1433">
        <f t="shared" si="2"/>
        <v>0.14600000000000002</v>
      </c>
      <c r="R19" s="1433">
        <f t="shared" ref="R19:W19" si="3">R17+R16*R18</f>
        <v>0.14600000000000002</v>
      </c>
      <c r="S19" s="1433">
        <f t="shared" si="3"/>
        <v>0.14600000000000002</v>
      </c>
      <c r="T19" s="1433">
        <f t="shared" si="3"/>
        <v>0.14600000000000002</v>
      </c>
      <c r="U19" s="1433">
        <f t="shared" si="3"/>
        <v>0.14600000000000002</v>
      </c>
      <c r="V19" s="1433">
        <f t="shared" si="3"/>
        <v>0.14600000000000002</v>
      </c>
      <c r="W19" s="1433">
        <f t="shared" si="3"/>
        <v>0.14600000000000002</v>
      </c>
    </row>
    <row r="20" spans="1:23">
      <c r="B20" s="1431" t="s">
        <v>1542</v>
      </c>
      <c r="D20" s="1436">
        <f t="shared" ref="D20:W20" si="4">$I$6</f>
        <v>0.5</v>
      </c>
      <c r="E20" s="1436">
        <f t="shared" si="4"/>
        <v>0.5</v>
      </c>
      <c r="F20" s="1436">
        <f t="shared" si="4"/>
        <v>0.5</v>
      </c>
      <c r="G20" s="1436">
        <f t="shared" si="4"/>
        <v>0.5</v>
      </c>
      <c r="H20" s="1436">
        <f t="shared" si="4"/>
        <v>0.5</v>
      </c>
      <c r="I20" s="1436">
        <f t="shared" si="4"/>
        <v>0.5</v>
      </c>
      <c r="J20" s="1436">
        <f t="shared" si="4"/>
        <v>0.5</v>
      </c>
      <c r="K20" s="1436">
        <f t="shared" si="4"/>
        <v>0.5</v>
      </c>
      <c r="L20" s="1436">
        <f t="shared" si="4"/>
        <v>0.5</v>
      </c>
      <c r="M20" s="1436">
        <f t="shared" si="4"/>
        <v>0.5</v>
      </c>
      <c r="N20" s="1436">
        <f t="shared" si="4"/>
        <v>0.5</v>
      </c>
      <c r="O20" s="1436">
        <f t="shared" si="4"/>
        <v>0.5</v>
      </c>
      <c r="P20" s="1436">
        <f t="shared" si="4"/>
        <v>0.5</v>
      </c>
      <c r="Q20" s="1436">
        <f t="shared" si="4"/>
        <v>0.5</v>
      </c>
      <c r="R20" s="1436">
        <f t="shared" si="4"/>
        <v>0.5</v>
      </c>
      <c r="S20" s="1436">
        <f t="shared" si="4"/>
        <v>0.5</v>
      </c>
      <c r="T20" s="1436">
        <f t="shared" si="4"/>
        <v>0.5</v>
      </c>
      <c r="U20" s="1436">
        <f t="shared" si="4"/>
        <v>0.5</v>
      </c>
      <c r="V20" s="1436">
        <f t="shared" si="4"/>
        <v>0.5</v>
      </c>
      <c r="W20" s="1436">
        <f t="shared" si="4"/>
        <v>0.5</v>
      </c>
    </row>
    <row r="21" spans="1:23">
      <c r="B21" s="1431" t="s">
        <v>760</v>
      </c>
      <c r="D21" s="1581">
        <f>'Opal Central Park'!D21</f>
        <v>0.14000000000000001</v>
      </c>
      <c r="E21" s="1581">
        <f>'Opal Central Park'!E21</f>
        <v>0.13</v>
      </c>
      <c r="F21" s="1581">
        <f>'Opal Central Park'!F21</f>
        <v>0.1</v>
      </c>
      <c r="G21" s="1581">
        <f>'Opal Central Park'!G21</f>
        <v>0.12</v>
      </c>
      <c r="H21" s="1425">
        <f>G21</f>
        <v>0.12</v>
      </c>
      <c r="I21" s="1418">
        <f t="shared" ref="H21:Q22" si="5">H21</f>
        <v>0.12</v>
      </c>
      <c r="J21" s="1418">
        <f t="shared" si="5"/>
        <v>0.12</v>
      </c>
      <c r="K21" s="1418">
        <f t="shared" si="5"/>
        <v>0.12</v>
      </c>
      <c r="L21" s="1418">
        <f t="shared" si="5"/>
        <v>0.12</v>
      </c>
      <c r="M21" s="1418">
        <f t="shared" si="5"/>
        <v>0.12</v>
      </c>
      <c r="N21" s="2182">
        <v>0.13</v>
      </c>
      <c r="O21" s="2182">
        <v>0.13</v>
      </c>
      <c r="P21" s="2182">
        <v>0.13</v>
      </c>
      <c r="Q21" s="2182">
        <v>0.13</v>
      </c>
      <c r="R21" s="2182">
        <v>0.13</v>
      </c>
      <c r="S21" s="2182">
        <v>0.13</v>
      </c>
      <c r="T21" s="2182">
        <v>0.13</v>
      </c>
      <c r="U21" s="2182">
        <v>0.13</v>
      </c>
      <c r="V21" s="2182">
        <v>0.13</v>
      </c>
      <c r="W21" s="2182">
        <v>0.13</v>
      </c>
    </row>
    <row r="22" spans="1:23">
      <c r="B22" s="1431" t="s">
        <v>846</v>
      </c>
      <c r="D22" s="1596">
        <f>'Opal Central Park'!D22</f>
        <v>0.22</v>
      </c>
      <c r="E22" s="1596">
        <f>'Opal Central Park'!E22</f>
        <v>0.22</v>
      </c>
      <c r="F22" s="1596">
        <f>'Opal Central Park'!F22</f>
        <v>0.22</v>
      </c>
      <c r="G22" s="1596">
        <f>'Opal Central Park'!G22</f>
        <v>0.2</v>
      </c>
      <c r="H22" s="1417">
        <f t="shared" si="5"/>
        <v>0.2</v>
      </c>
      <c r="I22" s="1417">
        <f t="shared" si="5"/>
        <v>0.2</v>
      </c>
      <c r="J22" s="1417">
        <f t="shared" si="5"/>
        <v>0.2</v>
      </c>
      <c r="K22" s="1417">
        <f t="shared" si="5"/>
        <v>0.2</v>
      </c>
      <c r="L22" s="1417">
        <f t="shared" si="5"/>
        <v>0.2</v>
      </c>
      <c r="M22" s="1417">
        <f t="shared" si="5"/>
        <v>0.2</v>
      </c>
      <c r="N22" s="1417">
        <f t="shared" si="5"/>
        <v>0.2</v>
      </c>
      <c r="O22" s="1417">
        <f t="shared" si="5"/>
        <v>0.2</v>
      </c>
      <c r="P22" s="1417">
        <f t="shared" si="5"/>
        <v>0.2</v>
      </c>
      <c r="Q22" s="1417">
        <f t="shared" si="5"/>
        <v>0.2</v>
      </c>
      <c r="R22" s="1417">
        <f t="shared" ref="R22:W22" si="6">Q22</f>
        <v>0.2</v>
      </c>
      <c r="S22" s="1417">
        <f t="shared" si="6"/>
        <v>0.2</v>
      </c>
      <c r="T22" s="1417">
        <f t="shared" si="6"/>
        <v>0.2</v>
      </c>
      <c r="U22" s="1417">
        <f t="shared" si="6"/>
        <v>0.2</v>
      </c>
      <c r="V22" s="1417">
        <f t="shared" si="6"/>
        <v>0.2</v>
      </c>
      <c r="W22" s="1417">
        <f t="shared" si="6"/>
        <v>0.2</v>
      </c>
    </row>
    <row r="23" spans="1:23">
      <c r="B23" s="1419" t="s">
        <v>14</v>
      </c>
      <c r="C23" s="1432"/>
      <c r="D23" s="1437">
        <f>D19*D15+D21*D20*(1-D22)</f>
        <v>0.11710000000000001</v>
      </c>
      <c r="E23" s="1437">
        <f t="shared" ref="E23:Q23" si="7">E19*E15+E21*E20*(1-E22)</f>
        <v>0.1132</v>
      </c>
      <c r="F23" s="1437">
        <f>F19*F15+F21*F20*(1-F22)</f>
        <v>0.10150000000000001</v>
      </c>
      <c r="G23" s="1437">
        <f>G19*G15+G21*G20*(1-G22)</f>
        <v>0.1105</v>
      </c>
      <c r="H23" s="1437">
        <f>H19*H15+H21*H20*(1-H22)</f>
        <v>0.1105</v>
      </c>
      <c r="I23" s="1437">
        <f>I19*I15+I21*I20*(1-I22)</f>
        <v>0.1105</v>
      </c>
      <c r="J23" s="1437">
        <f t="shared" si="7"/>
        <v>0.1105</v>
      </c>
      <c r="K23" s="1437">
        <f t="shared" si="7"/>
        <v>0.1105</v>
      </c>
      <c r="L23" s="1437">
        <f t="shared" si="7"/>
        <v>0.1105</v>
      </c>
      <c r="M23" s="1437">
        <f t="shared" si="7"/>
        <v>0.1105</v>
      </c>
      <c r="N23" s="1437">
        <f t="shared" si="7"/>
        <v>0.125</v>
      </c>
      <c r="O23" s="1437">
        <f t="shared" si="7"/>
        <v>0.125</v>
      </c>
      <c r="P23" s="1437">
        <f t="shared" si="7"/>
        <v>0.125</v>
      </c>
      <c r="Q23" s="1437">
        <f t="shared" si="7"/>
        <v>0.125</v>
      </c>
      <c r="R23" s="1437">
        <f t="shared" ref="R23:W23" si="8">R19*R15+R21*R20*(1-R22)</f>
        <v>0.125</v>
      </c>
      <c r="S23" s="1437">
        <f t="shared" si="8"/>
        <v>0.125</v>
      </c>
      <c r="T23" s="1437">
        <f t="shared" si="8"/>
        <v>0.125</v>
      </c>
      <c r="U23" s="1437">
        <f t="shared" si="8"/>
        <v>0.125</v>
      </c>
      <c r="V23" s="1437">
        <f t="shared" si="8"/>
        <v>0.125</v>
      </c>
      <c r="W23" s="1437">
        <f t="shared" si="8"/>
        <v>0.125</v>
      </c>
    </row>
    <row r="24" spans="1:23">
      <c r="E24" s="1412"/>
      <c r="J24" s="1413"/>
    </row>
    <row r="25" spans="1:23">
      <c r="E25" s="1412"/>
      <c r="J25" s="1413"/>
    </row>
    <row r="26" spans="1:23" ht="15.75">
      <c r="A26" s="1420" t="s">
        <v>1548</v>
      </c>
      <c r="B26" s="1438"/>
    </row>
    <row r="28" spans="1:23" s="1407" customFormat="1">
      <c r="A28" s="1406" t="s">
        <v>762</v>
      </c>
      <c r="B28" s="1407" t="s">
        <v>1459</v>
      </c>
      <c r="C28" s="1407" t="s">
        <v>764</v>
      </c>
      <c r="D28" s="1407" t="s">
        <v>1549</v>
      </c>
      <c r="E28" s="1407" t="s">
        <v>1550</v>
      </c>
    </row>
    <row r="29" spans="1:23">
      <c r="A29" s="1421"/>
      <c r="B29" s="1432" t="s">
        <v>1551</v>
      </c>
      <c r="C29" s="1432" t="s">
        <v>1552</v>
      </c>
      <c r="D29" s="1432"/>
      <c r="E29" s="1408">
        <f>N10</f>
        <v>100000</v>
      </c>
    </row>
    <row r="30" spans="1:23">
      <c r="B30" s="1431" t="s">
        <v>1553</v>
      </c>
      <c r="C30" s="1431" t="s">
        <v>1552</v>
      </c>
      <c r="E30" s="1410">
        <f>E29</f>
        <v>100000</v>
      </c>
    </row>
    <row r="31" spans="1:23">
      <c r="B31" s="1431" t="s">
        <v>1554</v>
      </c>
      <c r="C31" s="1431" t="s">
        <v>1555</v>
      </c>
      <c r="D31" s="1446"/>
      <c r="E31" s="1410">
        <f>E29*D31</f>
        <v>0</v>
      </c>
    </row>
    <row r="32" spans="1:23">
      <c r="B32" s="1431" t="s">
        <v>1556</v>
      </c>
      <c r="C32" s="1431" t="s">
        <v>1555</v>
      </c>
      <c r="D32" s="1654">
        <f>S8</f>
        <v>12</v>
      </c>
      <c r="E32" s="1440">
        <f>D32*E29/1000</f>
        <v>1200</v>
      </c>
    </row>
    <row r="34" spans="1:23">
      <c r="B34" s="1407" t="s">
        <v>773</v>
      </c>
      <c r="C34" s="1431" t="s">
        <v>642</v>
      </c>
      <c r="D34" s="1447">
        <f t="shared" ref="D34:Q34" si="9">D14</f>
        <v>2013</v>
      </c>
      <c r="E34" s="1447">
        <f t="shared" si="9"/>
        <v>2014</v>
      </c>
      <c r="F34" s="1447">
        <f t="shared" si="9"/>
        <v>2015</v>
      </c>
      <c r="G34" s="1447">
        <f t="shared" si="9"/>
        <v>2016</v>
      </c>
      <c r="H34" s="1447">
        <f t="shared" si="9"/>
        <v>2017</v>
      </c>
      <c r="I34" s="1447">
        <f t="shared" si="9"/>
        <v>2018</v>
      </c>
      <c r="J34" s="1447">
        <f t="shared" si="9"/>
        <v>2019</v>
      </c>
      <c r="K34" s="1447">
        <f t="shared" si="9"/>
        <v>2020</v>
      </c>
      <c r="L34" s="1447">
        <f t="shared" si="9"/>
        <v>2021</v>
      </c>
      <c r="M34" s="1447">
        <f t="shared" si="9"/>
        <v>2022</v>
      </c>
      <c r="N34" s="1447">
        <f t="shared" si="9"/>
        <v>2023</v>
      </c>
      <c r="O34" s="1447">
        <f t="shared" si="9"/>
        <v>2024</v>
      </c>
      <c r="P34" s="1447">
        <f t="shared" si="9"/>
        <v>2025</v>
      </c>
      <c r="Q34" s="1447">
        <f t="shared" si="9"/>
        <v>2026</v>
      </c>
      <c r="R34" s="1447">
        <f t="shared" ref="R34:W34" si="10">R14</f>
        <v>2027</v>
      </c>
      <c r="S34" s="1447">
        <f t="shared" si="10"/>
        <v>2028</v>
      </c>
      <c r="T34" s="1447">
        <f t="shared" si="10"/>
        <v>2029</v>
      </c>
      <c r="U34" s="1447">
        <f t="shared" si="10"/>
        <v>2030</v>
      </c>
      <c r="V34" s="1447">
        <f t="shared" si="10"/>
        <v>2031</v>
      </c>
      <c r="W34" s="1447">
        <f t="shared" si="10"/>
        <v>2032</v>
      </c>
    </row>
    <row r="35" spans="1:23">
      <c r="B35" s="1432"/>
      <c r="C35" s="1441">
        <f>E32</f>
        <v>1200</v>
      </c>
      <c r="D35" s="1408">
        <f>$C$35*D36</f>
        <v>0</v>
      </c>
      <c r="E35" s="1408">
        <f>$C$35*E36</f>
        <v>0</v>
      </c>
      <c r="F35" s="1408">
        <f>$C$35*F36</f>
        <v>0</v>
      </c>
      <c r="G35" s="1408">
        <f>$C$35*G36</f>
        <v>0</v>
      </c>
      <c r="H35" s="1408">
        <f>$C$35*H36</f>
        <v>0</v>
      </c>
      <c r="I35" s="1408">
        <f t="shared" ref="I35:W35" si="11">$C$35*I36</f>
        <v>0</v>
      </c>
      <c r="J35" s="1408">
        <f t="shared" si="11"/>
        <v>0</v>
      </c>
      <c r="K35" s="1408">
        <f t="shared" si="11"/>
        <v>0</v>
      </c>
      <c r="L35" s="1408">
        <f t="shared" si="11"/>
        <v>0</v>
      </c>
      <c r="M35" s="1408">
        <f t="shared" si="11"/>
        <v>0</v>
      </c>
      <c r="N35" s="1408">
        <f t="shared" si="11"/>
        <v>0</v>
      </c>
      <c r="O35" s="1408">
        <f t="shared" si="11"/>
        <v>0</v>
      </c>
      <c r="P35" s="1408">
        <f t="shared" si="11"/>
        <v>0</v>
      </c>
      <c r="Q35" s="1408">
        <f t="shared" si="11"/>
        <v>0</v>
      </c>
      <c r="R35" s="1408">
        <f t="shared" si="11"/>
        <v>0</v>
      </c>
      <c r="S35" s="1408">
        <f t="shared" si="11"/>
        <v>1200</v>
      </c>
      <c r="T35" s="1408">
        <f t="shared" si="11"/>
        <v>0</v>
      </c>
      <c r="U35" s="1408">
        <f t="shared" si="11"/>
        <v>0</v>
      </c>
      <c r="V35" s="1408">
        <f t="shared" si="11"/>
        <v>0</v>
      </c>
      <c r="W35" s="1408">
        <f t="shared" si="11"/>
        <v>0</v>
      </c>
    </row>
    <row r="36" spans="1:23">
      <c r="B36" s="1442" t="s">
        <v>1559</v>
      </c>
      <c r="C36" s="1436">
        <f>SUM(D36:M36)</f>
        <v>0</v>
      </c>
      <c r="D36" s="1416">
        <v>0</v>
      </c>
      <c r="E36" s="1416">
        <v>0</v>
      </c>
      <c r="F36" s="1416">
        <v>0</v>
      </c>
      <c r="G36" s="1416">
        <v>0</v>
      </c>
      <c r="H36" s="1416">
        <v>0</v>
      </c>
      <c r="I36" s="1416">
        <v>0</v>
      </c>
      <c r="J36" s="1416">
        <v>0</v>
      </c>
      <c r="K36" s="1416">
        <v>0</v>
      </c>
      <c r="L36" s="1416">
        <v>0</v>
      </c>
      <c r="M36" s="1416">
        <v>0</v>
      </c>
      <c r="N36" s="1416">
        <v>0</v>
      </c>
      <c r="O36" s="1416">
        <v>0</v>
      </c>
      <c r="P36" s="1416">
        <v>0</v>
      </c>
      <c r="Q36" s="1416">
        <v>0</v>
      </c>
      <c r="R36" s="1416">
        <v>0</v>
      </c>
      <c r="S36" s="1416">
        <v>1</v>
      </c>
      <c r="T36" s="1416">
        <v>0</v>
      </c>
      <c r="U36" s="1416">
        <v>0</v>
      </c>
      <c r="V36" s="1416">
        <v>0</v>
      </c>
      <c r="W36" s="1416">
        <v>0</v>
      </c>
    </row>
    <row r="39" spans="1:23" s="1407" customFormat="1">
      <c r="A39" s="1406" t="s">
        <v>777</v>
      </c>
      <c r="B39" s="1407" t="s">
        <v>1585</v>
      </c>
      <c r="C39" s="1407" t="s">
        <v>764</v>
      </c>
      <c r="D39" s="1407" t="s">
        <v>1549</v>
      </c>
    </row>
    <row r="40" spans="1:23">
      <c r="A40" s="1421"/>
      <c r="B40" s="1432" t="s">
        <v>686</v>
      </c>
      <c r="C40" s="1432" t="s">
        <v>1552</v>
      </c>
      <c r="D40" s="1426">
        <f>N11</f>
        <v>500000</v>
      </c>
      <c r="F40" s="1440"/>
      <c r="G40" s="1410"/>
    </row>
    <row r="41" spans="1:23">
      <c r="B41" s="1431" t="s">
        <v>1560</v>
      </c>
      <c r="C41" s="1431" t="s">
        <v>780</v>
      </c>
      <c r="D41" s="1448">
        <f>S9</f>
        <v>0.7</v>
      </c>
      <c r="G41" s="1440"/>
    </row>
    <row r="42" spans="1:23">
      <c r="B42" s="1431" t="s">
        <v>781</v>
      </c>
      <c r="C42" s="1431" t="s">
        <v>1552</v>
      </c>
      <c r="D42" s="1410">
        <f>D40*D41</f>
        <v>350000</v>
      </c>
    </row>
    <row r="43" spans="1:23">
      <c r="B43" s="1431" t="s">
        <v>1787</v>
      </c>
      <c r="C43" s="1431" t="s">
        <v>1555</v>
      </c>
      <c r="D43" s="1654">
        <f>S7</f>
        <v>25</v>
      </c>
    </row>
    <row r="44" spans="1:23">
      <c r="B44" s="1431" t="s">
        <v>1587</v>
      </c>
      <c r="C44" s="1431" t="s">
        <v>1555</v>
      </c>
      <c r="D44" s="1655">
        <f>S10</f>
        <v>6</v>
      </c>
    </row>
    <row r="45" spans="1:23">
      <c r="B45" s="1431" t="s">
        <v>787</v>
      </c>
      <c r="C45" s="1431" t="s">
        <v>780</v>
      </c>
      <c r="D45" s="1411">
        <v>0</v>
      </c>
    </row>
    <row r="46" spans="1:23">
      <c r="B46" s="1431" t="s">
        <v>1562</v>
      </c>
      <c r="C46" s="1431" t="s">
        <v>780</v>
      </c>
      <c r="D46" s="1448">
        <f>S11</f>
        <v>0.14000000000000001</v>
      </c>
    </row>
    <row r="47" spans="1:23">
      <c r="B47" s="1431" t="s">
        <v>1563</v>
      </c>
      <c r="C47" s="1431" t="s">
        <v>780</v>
      </c>
      <c r="D47" s="1411">
        <v>0</v>
      </c>
    </row>
    <row r="49" spans="1:23" s="1407" customFormat="1">
      <c r="A49" s="1406">
        <v>1</v>
      </c>
      <c r="B49" s="1407" t="s">
        <v>1564</v>
      </c>
      <c r="C49" s="1431" t="str">
        <f>C34</f>
        <v>Total</v>
      </c>
      <c r="D49" s="1431">
        <f>D34</f>
        <v>2013</v>
      </c>
      <c r="E49" s="1431">
        <f>E34</f>
        <v>2014</v>
      </c>
      <c r="F49" s="1431">
        <f>F34</f>
        <v>2015</v>
      </c>
      <c r="G49" s="1431">
        <f t="shared" ref="G49:W49" si="12">F49+1</f>
        <v>2016</v>
      </c>
      <c r="H49" s="1431">
        <f t="shared" si="12"/>
        <v>2017</v>
      </c>
      <c r="I49" s="1431">
        <f t="shared" si="12"/>
        <v>2018</v>
      </c>
      <c r="J49" s="1431">
        <f t="shared" si="12"/>
        <v>2019</v>
      </c>
      <c r="K49" s="1431">
        <f t="shared" si="12"/>
        <v>2020</v>
      </c>
      <c r="L49" s="1431">
        <f t="shared" si="12"/>
        <v>2021</v>
      </c>
      <c r="M49" s="1431">
        <f t="shared" si="12"/>
        <v>2022</v>
      </c>
      <c r="N49" s="1431">
        <f t="shared" si="12"/>
        <v>2023</v>
      </c>
      <c r="O49" s="1431">
        <f t="shared" si="12"/>
        <v>2024</v>
      </c>
      <c r="P49" s="1431">
        <f t="shared" si="12"/>
        <v>2025</v>
      </c>
      <c r="Q49" s="1431">
        <f t="shared" si="12"/>
        <v>2026</v>
      </c>
      <c r="R49" s="1431">
        <f t="shared" si="12"/>
        <v>2027</v>
      </c>
      <c r="S49" s="1431">
        <f t="shared" si="12"/>
        <v>2028</v>
      </c>
      <c r="T49" s="1431">
        <f t="shared" si="12"/>
        <v>2029</v>
      </c>
      <c r="U49" s="1431">
        <f t="shared" si="12"/>
        <v>2030</v>
      </c>
      <c r="V49" s="1431">
        <f t="shared" si="12"/>
        <v>2031</v>
      </c>
      <c r="W49" s="1431">
        <f t="shared" si="12"/>
        <v>2032</v>
      </c>
    </row>
    <row r="50" spans="1:23">
      <c r="B50" s="1432" t="s">
        <v>791</v>
      </c>
      <c r="C50" s="1441">
        <f>SUM(D50:W50)</f>
        <v>8750</v>
      </c>
      <c r="D50" s="1441">
        <f>$D$42*D52*D51/1000</f>
        <v>0</v>
      </c>
      <c r="E50" s="1441">
        <f t="shared" ref="E50:M50" si="13">$D$42*E52*E51/1000</f>
        <v>0</v>
      </c>
      <c r="F50" s="1441">
        <f t="shared" si="13"/>
        <v>0</v>
      </c>
      <c r="G50" s="1441">
        <f t="shared" si="13"/>
        <v>0</v>
      </c>
      <c r="H50" s="1441">
        <f t="shared" si="13"/>
        <v>0</v>
      </c>
      <c r="I50" s="1441">
        <f t="shared" si="13"/>
        <v>0</v>
      </c>
      <c r="J50" s="1441">
        <f t="shared" si="13"/>
        <v>0</v>
      </c>
      <c r="K50" s="1441">
        <f t="shared" si="13"/>
        <v>0</v>
      </c>
      <c r="L50" s="1441">
        <f t="shared" si="13"/>
        <v>0</v>
      </c>
      <c r="M50" s="1441">
        <f t="shared" si="13"/>
        <v>0</v>
      </c>
      <c r="N50" s="1441">
        <f>$D$42*N52*N51/1000</f>
        <v>0</v>
      </c>
      <c r="O50" s="1441">
        <f>$D$42*O52*O51/1000</f>
        <v>0</v>
      </c>
      <c r="P50" s="1441">
        <f>$D$42*P52*P51/1000</f>
        <v>0</v>
      </c>
      <c r="Q50" s="1441">
        <f>$D$42*Q52*Q51/1000</f>
        <v>0</v>
      </c>
      <c r="R50" s="1441">
        <f t="shared" ref="R50:W50" si="14">$D$42*R52*R51/1000</f>
        <v>0</v>
      </c>
      <c r="S50" s="1441">
        <f t="shared" si="14"/>
        <v>0</v>
      </c>
      <c r="T50" s="1441">
        <f t="shared" si="14"/>
        <v>2625</v>
      </c>
      <c r="U50" s="1441">
        <f t="shared" si="14"/>
        <v>2625</v>
      </c>
      <c r="V50" s="1441">
        <f t="shared" si="14"/>
        <v>3500</v>
      </c>
      <c r="W50" s="1441">
        <f t="shared" si="14"/>
        <v>0</v>
      </c>
    </row>
    <row r="51" spans="1:23">
      <c r="B51" s="1444" t="s">
        <v>792</v>
      </c>
      <c r="C51" s="1436">
        <f>SUM(D51:W51)</f>
        <v>1</v>
      </c>
      <c r="D51" s="1416">
        <v>0</v>
      </c>
      <c r="E51" s="1416">
        <v>0</v>
      </c>
      <c r="F51" s="1416">
        <v>0</v>
      </c>
      <c r="G51" s="1416">
        <v>0</v>
      </c>
      <c r="H51" s="1416">
        <v>0</v>
      </c>
      <c r="I51" s="1416">
        <v>0</v>
      </c>
      <c r="J51" s="1416">
        <v>0</v>
      </c>
      <c r="K51" s="1416">
        <v>0</v>
      </c>
      <c r="L51" s="1416">
        <v>0</v>
      </c>
      <c r="M51" s="1416">
        <v>0</v>
      </c>
      <c r="N51" s="1416">
        <v>0</v>
      </c>
      <c r="O51" s="1416">
        <v>0</v>
      </c>
      <c r="P51" s="1416">
        <v>0</v>
      </c>
      <c r="Q51" s="1416">
        <v>0</v>
      </c>
      <c r="R51" s="1416">
        <v>0</v>
      </c>
      <c r="S51" s="1416">
        <v>0</v>
      </c>
      <c r="T51" s="1416">
        <v>0.3</v>
      </c>
      <c r="U51" s="1416">
        <v>0.3</v>
      </c>
      <c r="V51" s="1416">
        <v>0.4</v>
      </c>
      <c r="W51" s="1416">
        <v>0</v>
      </c>
    </row>
    <row r="52" spans="1:23">
      <c r="B52" s="1444" t="s">
        <v>1565</v>
      </c>
      <c r="D52" s="1439">
        <f>D43</f>
        <v>25</v>
      </c>
      <c r="E52" s="1439">
        <f t="shared" ref="E52:M52" si="15">D52*(1+E53)</f>
        <v>25</v>
      </c>
      <c r="F52" s="1439">
        <f t="shared" si="15"/>
        <v>25</v>
      </c>
      <c r="G52" s="1439">
        <f t="shared" si="15"/>
        <v>25</v>
      </c>
      <c r="H52" s="1439">
        <f t="shared" si="15"/>
        <v>25</v>
      </c>
      <c r="I52" s="1439">
        <f t="shared" si="15"/>
        <v>25</v>
      </c>
      <c r="J52" s="1439">
        <f t="shared" si="15"/>
        <v>25</v>
      </c>
      <c r="K52" s="1439">
        <f t="shared" si="15"/>
        <v>25</v>
      </c>
      <c r="L52" s="1439">
        <f t="shared" si="15"/>
        <v>25</v>
      </c>
      <c r="M52" s="1439">
        <f t="shared" si="15"/>
        <v>25</v>
      </c>
      <c r="N52" s="1439">
        <f t="shared" ref="N52:W52" si="16">M52*(1+N53)</f>
        <v>25</v>
      </c>
      <c r="O52" s="1439">
        <f t="shared" si="16"/>
        <v>25</v>
      </c>
      <c r="P52" s="1439">
        <f t="shared" si="16"/>
        <v>25</v>
      </c>
      <c r="Q52" s="1439">
        <f t="shared" si="16"/>
        <v>25</v>
      </c>
      <c r="R52" s="1439">
        <f t="shared" si="16"/>
        <v>25</v>
      </c>
      <c r="S52" s="1439">
        <f t="shared" si="16"/>
        <v>25</v>
      </c>
      <c r="T52" s="1439">
        <f t="shared" si="16"/>
        <v>25</v>
      </c>
      <c r="U52" s="1439">
        <f t="shared" si="16"/>
        <v>25</v>
      </c>
      <c r="V52" s="1439">
        <f t="shared" si="16"/>
        <v>25</v>
      </c>
      <c r="W52" s="1439">
        <f t="shared" si="16"/>
        <v>25</v>
      </c>
    </row>
    <row r="53" spans="1:23">
      <c r="B53" s="1444" t="s">
        <v>1563</v>
      </c>
      <c r="E53" s="1443">
        <f t="shared" ref="E53:J53" si="17">D47</f>
        <v>0</v>
      </c>
      <c r="F53" s="1443">
        <f t="shared" si="17"/>
        <v>0</v>
      </c>
      <c r="G53" s="1443">
        <f t="shared" si="17"/>
        <v>0</v>
      </c>
      <c r="H53" s="1443">
        <f t="shared" si="17"/>
        <v>0</v>
      </c>
      <c r="I53" s="1443">
        <f t="shared" si="17"/>
        <v>0</v>
      </c>
      <c r="J53" s="1443">
        <f t="shared" si="17"/>
        <v>0</v>
      </c>
      <c r="K53" s="1443">
        <f t="shared" ref="K53:W53" si="18">J47</f>
        <v>0</v>
      </c>
      <c r="L53" s="1443">
        <f t="shared" si="18"/>
        <v>0</v>
      </c>
      <c r="M53" s="1443">
        <f t="shared" si="18"/>
        <v>0</v>
      </c>
      <c r="N53" s="1443">
        <f t="shared" si="18"/>
        <v>0</v>
      </c>
      <c r="O53" s="1443">
        <f t="shared" si="18"/>
        <v>0</v>
      </c>
      <c r="P53" s="1443">
        <f t="shared" si="18"/>
        <v>0</v>
      </c>
      <c r="Q53" s="1443">
        <f t="shared" si="18"/>
        <v>0</v>
      </c>
      <c r="R53" s="1443">
        <f t="shared" si="18"/>
        <v>0</v>
      </c>
      <c r="S53" s="1443">
        <f t="shared" si="18"/>
        <v>0</v>
      </c>
      <c r="T53" s="1443">
        <f t="shared" si="18"/>
        <v>0</v>
      </c>
      <c r="U53" s="1443">
        <f t="shared" si="18"/>
        <v>0</v>
      </c>
      <c r="V53" s="1443">
        <f t="shared" si="18"/>
        <v>0</v>
      </c>
      <c r="W53" s="1443">
        <f t="shared" si="18"/>
        <v>0</v>
      </c>
    </row>
    <row r="54" spans="1:23">
      <c r="B54" s="1444" t="s">
        <v>1788</v>
      </c>
      <c r="C54" s="1440">
        <f>S5</f>
        <v>6500</v>
      </c>
      <c r="D54" s="1440">
        <f>D51*$C$54</f>
        <v>0</v>
      </c>
      <c r="E54" s="1440">
        <f t="shared" ref="E54:M54" si="19">E51*$C$54</f>
        <v>0</v>
      </c>
      <c r="F54" s="1440">
        <f t="shared" si="19"/>
        <v>0</v>
      </c>
      <c r="G54" s="1440">
        <f t="shared" si="19"/>
        <v>0</v>
      </c>
      <c r="H54" s="1440">
        <f t="shared" si="19"/>
        <v>0</v>
      </c>
      <c r="I54" s="1440">
        <f t="shared" si="19"/>
        <v>0</v>
      </c>
      <c r="J54" s="1440">
        <f t="shared" si="19"/>
        <v>0</v>
      </c>
      <c r="K54" s="1440">
        <f t="shared" si="19"/>
        <v>0</v>
      </c>
      <c r="L54" s="1440">
        <f t="shared" si="19"/>
        <v>0</v>
      </c>
      <c r="M54" s="1440">
        <f t="shared" si="19"/>
        <v>0</v>
      </c>
      <c r="N54" s="1440">
        <f>N51*$C$54</f>
        <v>0</v>
      </c>
      <c r="O54" s="1440">
        <f>O51*$C$54</f>
        <v>0</v>
      </c>
      <c r="P54" s="1440">
        <f>P51*$C$54</f>
        <v>0</v>
      </c>
      <c r="Q54" s="1440">
        <f>Q51*$C$54</f>
        <v>0</v>
      </c>
      <c r="R54" s="1440">
        <f t="shared" ref="R54:W54" si="20">R51*$C$54</f>
        <v>0</v>
      </c>
      <c r="S54" s="1440">
        <f t="shared" si="20"/>
        <v>0</v>
      </c>
      <c r="T54" s="1440">
        <f t="shared" si="20"/>
        <v>1950</v>
      </c>
      <c r="U54" s="1440">
        <f t="shared" si="20"/>
        <v>1950</v>
      </c>
      <c r="V54" s="1440">
        <f t="shared" si="20"/>
        <v>2600</v>
      </c>
      <c r="W54" s="1440">
        <f t="shared" si="20"/>
        <v>0</v>
      </c>
    </row>
    <row r="55" spans="1:23">
      <c r="B55" s="1444"/>
      <c r="F55" s="1443"/>
      <c r="G55" s="1443"/>
    </row>
    <row r="56" spans="1:23" s="1407" customFormat="1">
      <c r="A56" s="1406">
        <v>2</v>
      </c>
      <c r="B56" s="1407" t="s">
        <v>794</v>
      </c>
      <c r="C56" s="1431" t="str">
        <f>C49</f>
        <v>Total</v>
      </c>
      <c r="D56" s="1431">
        <f t="shared" ref="D56:J56" si="21">D49</f>
        <v>2013</v>
      </c>
      <c r="E56" s="1431">
        <f t="shared" si="21"/>
        <v>2014</v>
      </c>
      <c r="F56" s="1431">
        <f t="shared" si="21"/>
        <v>2015</v>
      </c>
      <c r="G56" s="1431">
        <f t="shared" si="21"/>
        <v>2016</v>
      </c>
      <c r="H56" s="1431">
        <f t="shared" si="21"/>
        <v>2017</v>
      </c>
      <c r="I56" s="1431">
        <f t="shared" si="21"/>
        <v>2018</v>
      </c>
      <c r="J56" s="1431">
        <f t="shared" si="21"/>
        <v>2019</v>
      </c>
      <c r="K56" s="1431">
        <f t="shared" ref="K56:Q56" si="22">K49</f>
        <v>2020</v>
      </c>
      <c r="L56" s="1431">
        <f t="shared" si="22"/>
        <v>2021</v>
      </c>
      <c r="M56" s="1431">
        <f t="shared" si="22"/>
        <v>2022</v>
      </c>
      <c r="N56" s="1431">
        <f t="shared" si="22"/>
        <v>2023</v>
      </c>
      <c r="O56" s="1431">
        <f t="shared" si="22"/>
        <v>2024</v>
      </c>
      <c r="P56" s="1431">
        <f t="shared" si="22"/>
        <v>2025</v>
      </c>
      <c r="Q56" s="1431">
        <f t="shared" si="22"/>
        <v>2026</v>
      </c>
      <c r="R56" s="1431">
        <f t="shared" ref="R56:W56" si="23">R49</f>
        <v>2027</v>
      </c>
      <c r="S56" s="1431">
        <f t="shared" si="23"/>
        <v>2028</v>
      </c>
      <c r="T56" s="1431">
        <f t="shared" si="23"/>
        <v>2029</v>
      </c>
      <c r="U56" s="1431">
        <f t="shared" si="23"/>
        <v>2030</v>
      </c>
      <c r="V56" s="1431">
        <f t="shared" si="23"/>
        <v>2031</v>
      </c>
      <c r="W56" s="1431">
        <f t="shared" si="23"/>
        <v>2032</v>
      </c>
    </row>
    <row r="57" spans="1:23">
      <c r="B57" s="1432" t="s">
        <v>1586</v>
      </c>
      <c r="C57" s="1408">
        <f>C50</f>
        <v>8750</v>
      </c>
      <c r="D57" s="1441">
        <f>$C$57*D58</f>
        <v>0</v>
      </c>
      <c r="E57" s="1441">
        <f t="shared" ref="E57:W57" si="24">$C$57*E58</f>
        <v>0</v>
      </c>
      <c r="F57" s="1441">
        <f t="shared" si="24"/>
        <v>0</v>
      </c>
      <c r="G57" s="1441">
        <f t="shared" si="24"/>
        <v>0</v>
      </c>
      <c r="H57" s="1441">
        <f t="shared" si="24"/>
        <v>0</v>
      </c>
      <c r="I57" s="1441">
        <f t="shared" si="24"/>
        <v>0</v>
      </c>
      <c r="J57" s="1441">
        <f t="shared" si="24"/>
        <v>0</v>
      </c>
      <c r="K57" s="1441">
        <f t="shared" si="24"/>
        <v>0</v>
      </c>
      <c r="L57" s="1441">
        <f t="shared" si="24"/>
        <v>0</v>
      </c>
      <c r="M57" s="1441">
        <f t="shared" si="24"/>
        <v>0</v>
      </c>
      <c r="N57" s="1441">
        <f t="shared" si="24"/>
        <v>0</v>
      </c>
      <c r="O57" s="1441">
        <f t="shared" si="24"/>
        <v>0</v>
      </c>
      <c r="P57" s="1441">
        <f t="shared" si="24"/>
        <v>0</v>
      </c>
      <c r="Q57" s="1441">
        <f t="shared" si="24"/>
        <v>0</v>
      </c>
      <c r="R57" s="1441">
        <f t="shared" si="24"/>
        <v>0</v>
      </c>
      <c r="S57" s="1441">
        <f t="shared" si="24"/>
        <v>0</v>
      </c>
      <c r="T57" s="1441">
        <f t="shared" si="24"/>
        <v>0</v>
      </c>
      <c r="U57" s="1441">
        <f t="shared" si="24"/>
        <v>2625</v>
      </c>
      <c r="V57" s="1441">
        <f t="shared" si="24"/>
        <v>2625</v>
      </c>
      <c r="W57" s="1441">
        <f t="shared" si="24"/>
        <v>3500</v>
      </c>
    </row>
    <row r="58" spans="1:23">
      <c r="B58" s="1442" t="s">
        <v>794</v>
      </c>
      <c r="C58" s="1417">
        <f>SUM(D58:W58)</f>
        <v>1</v>
      </c>
      <c r="D58" s="1411">
        <v>0</v>
      </c>
      <c r="E58" s="1411">
        <v>0</v>
      </c>
      <c r="F58" s="1411">
        <v>0</v>
      </c>
      <c r="G58" s="1411">
        <v>0</v>
      </c>
      <c r="H58" s="1411">
        <v>0</v>
      </c>
      <c r="I58" s="1411">
        <v>0</v>
      </c>
      <c r="J58" s="1411">
        <v>0</v>
      </c>
      <c r="K58" s="1411">
        <v>0</v>
      </c>
      <c r="L58" s="1411">
        <v>0</v>
      </c>
      <c r="M58" s="1411">
        <v>0</v>
      </c>
      <c r="N58" s="1411">
        <v>0</v>
      </c>
      <c r="O58" s="1411">
        <v>0</v>
      </c>
      <c r="P58" s="1411">
        <v>0</v>
      </c>
      <c r="Q58" s="1411">
        <v>0</v>
      </c>
      <c r="R58" s="1411">
        <v>0</v>
      </c>
      <c r="S58" s="1411">
        <v>0</v>
      </c>
      <c r="T58" s="1411">
        <v>0</v>
      </c>
      <c r="U58" s="1411">
        <v>0.3</v>
      </c>
      <c r="V58" s="1411">
        <v>0.3</v>
      </c>
      <c r="W58" s="1411">
        <v>0.4</v>
      </c>
    </row>
    <row r="59" spans="1:23">
      <c r="B59" s="1442" t="s">
        <v>1777</v>
      </c>
      <c r="C59" s="1410">
        <f>C54</f>
        <v>6500</v>
      </c>
      <c r="D59" s="1410">
        <f>D58*$C$59</f>
        <v>0</v>
      </c>
      <c r="E59" s="1410">
        <f t="shared" ref="E59:M59" si="25">E58*$C$59</f>
        <v>0</v>
      </c>
      <c r="F59" s="1410">
        <f t="shared" si="25"/>
        <v>0</v>
      </c>
      <c r="G59" s="1410">
        <f t="shared" si="25"/>
        <v>0</v>
      </c>
      <c r="H59" s="1410">
        <f t="shared" si="25"/>
        <v>0</v>
      </c>
      <c r="I59" s="1410">
        <f t="shared" si="25"/>
        <v>0</v>
      </c>
      <c r="J59" s="1410">
        <f t="shared" si="25"/>
        <v>0</v>
      </c>
      <c r="K59" s="1410">
        <f t="shared" si="25"/>
        <v>0</v>
      </c>
      <c r="L59" s="1410">
        <f t="shared" si="25"/>
        <v>0</v>
      </c>
      <c r="M59" s="1410">
        <f t="shared" si="25"/>
        <v>0</v>
      </c>
      <c r="N59" s="1410">
        <f>N58*$C$59</f>
        <v>0</v>
      </c>
      <c r="O59" s="1410">
        <f>O58*$C$59</f>
        <v>0</v>
      </c>
      <c r="P59" s="1410">
        <f>P58*$C$59</f>
        <v>0</v>
      </c>
      <c r="Q59" s="1410">
        <f>Q58*$C$59</f>
        <v>0</v>
      </c>
      <c r="R59" s="1410">
        <f t="shared" ref="R59:W59" si="26">R58*$C$59</f>
        <v>0</v>
      </c>
      <c r="S59" s="1410">
        <f t="shared" si="26"/>
        <v>0</v>
      </c>
      <c r="T59" s="1410">
        <f t="shared" si="26"/>
        <v>0</v>
      </c>
      <c r="U59" s="1410">
        <f t="shared" si="26"/>
        <v>1950</v>
      </c>
      <c r="V59" s="1410">
        <f t="shared" si="26"/>
        <v>1950</v>
      </c>
      <c r="W59" s="1410">
        <f t="shared" si="26"/>
        <v>2600</v>
      </c>
    </row>
    <row r="60" spans="1:23">
      <c r="B60" s="1444"/>
      <c r="C60" s="1425"/>
      <c r="D60" s="1433"/>
      <c r="E60" s="1433"/>
      <c r="F60" s="1433"/>
      <c r="G60" s="1433"/>
    </row>
    <row r="61" spans="1:23">
      <c r="C61" s="1440"/>
      <c r="D61" s="1440"/>
      <c r="E61" s="1440"/>
      <c r="F61" s="1440"/>
      <c r="G61" s="1440"/>
    </row>
    <row r="62" spans="1:23" s="1407" customFormat="1">
      <c r="A62" s="1406">
        <v>3</v>
      </c>
      <c r="B62" s="1407" t="s">
        <v>1175</v>
      </c>
      <c r="C62" s="1431" t="str">
        <f>C56</f>
        <v>Total</v>
      </c>
      <c r="D62" s="1431">
        <f t="shared" ref="D62:J62" si="27">D56</f>
        <v>2013</v>
      </c>
      <c r="E62" s="1431">
        <f t="shared" si="27"/>
        <v>2014</v>
      </c>
      <c r="F62" s="1431">
        <f t="shared" si="27"/>
        <v>2015</v>
      </c>
      <c r="G62" s="1431">
        <f t="shared" si="27"/>
        <v>2016</v>
      </c>
      <c r="H62" s="1431">
        <f t="shared" si="27"/>
        <v>2017</v>
      </c>
      <c r="I62" s="1431">
        <f t="shared" si="27"/>
        <v>2018</v>
      </c>
      <c r="J62" s="1431">
        <f t="shared" si="27"/>
        <v>2019</v>
      </c>
      <c r="K62" s="1431">
        <f t="shared" ref="K62:Q62" si="28">K56</f>
        <v>2020</v>
      </c>
      <c r="L62" s="1431">
        <f t="shared" si="28"/>
        <v>2021</v>
      </c>
      <c r="M62" s="1431">
        <f t="shared" si="28"/>
        <v>2022</v>
      </c>
      <c r="N62" s="1431">
        <f t="shared" si="28"/>
        <v>2023</v>
      </c>
      <c r="O62" s="1431">
        <f t="shared" si="28"/>
        <v>2024</v>
      </c>
      <c r="P62" s="1431">
        <f t="shared" si="28"/>
        <v>2025</v>
      </c>
      <c r="Q62" s="1431">
        <f t="shared" si="28"/>
        <v>2026</v>
      </c>
      <c r="R62" s="1431">
        <f t="shared" ref="R62:W62" si="29">R56</f>
        <v>2027</v>
      </c>
      <c r="S62" s="1431">
        <f t="shared" si="29"/>
        <v>2028</v>
      </c>
      <c r="T62" s="1431">
        <f t="shared" si="29"/>
        <v>2029</v>
      </c>
      <c r="U62" s="1431">
        <f t="shared" si="29"/>
        <v>2030</v>
      </c>
      <c r="V62" s="1431">
        <f t="shared" si="29"/>
        <v>2031</v>
      </c>
      <c r="W62" s="1431">
        <f t="shared" si="29"/>
        <v>2032</v>
      </c>
    </row>
    <row r="63" spans="1:23">
      <c r="B63" s="1432"/>
      <c r="C63" s="1441">
        <f>SUM(D63:W63)</f>
        <v>8750</v>
      </c>
      <c r="D63" s="1408"/>
      <c r="E63" s="1408"/>
      <c r="F63" s="1408">
        <f>D50*$D66+E50*$D65+F50*$D64</f>
        <v>0</v>
      </c>
      <c r="G63" s="1408">
        <f>E50*$D66+F50*$D65+G50*$D64</f>
        <v>0</v>
      </c>
      <c r="H63" s="1408">
        <f t="shared" ref="H63:M63" si="30">F50*$D66+G50*$D65+H50*$D64</f>
        <v>0</v>
      </c>
      <c r="I63" s="1408">
        <f t="shared" si="30"/>
        <v>0</v>
      </c>
      <c r="J63" s="1408">
        <f t="shared" si="30"/>
        <v>0</v>
      </c>
      <c r="K63" s="1408">
        <f t="shared" si="30"/>
        <v>0</v>
      </c>
      <c r="L63" s="1408">
        <f t="shared" si="30"/>
        <v>0</v>
      </c>
      <c r="M63" s="1408">
        <f t="shared" si="30"/>
        <v>0</v>
      </c>
      <c r="N63" s="1408">
        <f t="shared" ref="N63:W63" si="31">L50*$D66+M50*$D65+N50*$D64</f>
        <v>0</v>
      </c>
      <c r="O63" s="1408">
        <f t="shared" si="31"/>
        <v>0</v>
      </c>
      <c r="P63" s="1408">
        <f t="shared" si="31"/>
        <v>0</v>
      </c>
      <c r="Q63" s="1408">
        <f t="shared" si="31"/>
        <v>0</v>
      </c>
      <c r="R63" s="1408">
        <f t="shared" si="31"/>
        <v>0</v>
      </c>
      <c r="S63" s="1408">
        <f t="shared" si="31"/>
        <v>0</v>
      </c>
      <c r="T63" s="1408">
        <f t="shared" si="31"/>
        <v>1312.5</v>
      </c>
      <c r="U63" s="1408">
        <f t="shared" si="31"/>
        <v>2625</v>
      </c>
      <c r="V63" s="1408">
        <f t="shared" si="31"/>
        <v>3062.5</v>
      </c>
      <c r="W63" s="1408">
        <f t="shared" si="31"/>
        <v>1750</v>
      </c>
    </row>
    <row r="64" spans="1:23">
      <c r="B64" s="1431" t="s">
        <v>797</v>
      </c>
      <c r="C64" s="1440" t="s">
        <v>798</v>
      </c>
      <c r="D64" s="1416">
        <v>0.5</v>
      </c>
      <c r="E64" s="1440"/>
      <c r="F64" s="1440"/>
      <c r="G64" s="1440"/>
    </row>
    <row r="65" spans="1:23">
      <c r="C65" s="1440" t="s">
        <v>799</v>
      </c>
      <c r="D65" s="1416">
        <v>0.5</v>
      </c>
      <c r="E65" s="1440"/>
      <c r="F65" s="1440"/>
      <c r="G65" s="1440"/>
    </row>
    <row r="66" spans="1:23">
      <c r="C66" s="1440" t="s">
        <v>800</v>
      </c>
      <c r="D66" s="1417">
        <f>1-SUM(D64:D65)</f>
        <v>0</v>
      </c>
      <c r="E66" s="1440"/>
      <c r="F66" s="1440"/>
      <c r="G66" s="1440"/>
    </row>
    <row r="67" spans="1:23">
      <c r="C67" s="1440"/>
      <c r="D67" s="1416"/>
      <c r="E67" s="1440"/>
      <c r="F67" s="1440"/>
      <c r="G67" s="1440"/>
    </row>
    <row r="68" spans="1:23">
      <c r="C68" s="1440"/>
      <c r="D68" s="1416"/>
      <c r="E68" s="1440"/>
      <c r="F68" s="1440"/>
      <c r="G68" s="1440"/>
    </row>
    <row r="69" spans="1:23" s="1407" customFormat="1">
      <c r="A69" s="1406">
        <v>4</v>
      </c>
      <c r="B69" s="1407" t="s">
        <v>1462</v>
      </c>
      <c r="C69" s="1440" t="str">
        <f>C62</f>
        <v>Total</v>
      </c>
      <c r="D69" s="1431">
        <f t="shared" ref="D69:J69" si="32">D62</f>
        <v>2013</v>
      </c>
      <c r="E69" s="1431">
        <f t="shared" si="32"/>
        <v>2014</v>
      </c>
      <c r="F69" s="1431">
        <f t="shared" si="32"/>
        <v>2015</v>
      </c>
      <c r="G69" s="1431">
        <f t="shared" si="32"/>
        <v>2016</v>
      </c>
      <c r="H69" s="1431">
        <f t="shared" si="32"/>
        <v>2017</v>
      </c>
      <c r="I69" s="1431">
        <f t="shared" si="32"/>
        <v>2018</v>
      </c>
      <c r="J69" s="1431">
        <f t="shared" si="32"/>
        <v>2019</v>
      </c>
      <c r="K69" s="1431">
        <f t="shared" ref="K69:Q69" si="33">K62</f>
        <v>2020</v>
      </c>
      <c r="L69" s="1431">
        <f t="shared" si="33"/>
        <v>2021</v>
      </c>
      <c r="M69" s="1431">
        <f t="shared" si="33"/>
        <v>2022</v>
      </c>
      <c r="N69" s="1431">
        <f t="shared" si="33"/>
        <v>2023</v>
      </c>
      <c r="O69" s="1431">
        <f t="shared" si="33"/>
        <v>2024</v>
      </c>
      <c r="P69" s="1431">
        <f t="shared" si="33"/>
        <v>2025</v>
      </c>
      <c r="Q69" s="1431">
        <f t="shared" si="33"/>
        <v>2026</v>
      </c>
      <c r="R69" s="1431">
        <f t="shared" ref="R69:W69" si="34">R62</f>
        <v>2027</v>
      </c>
      <c r="S69" s="1431">
        <f t="shared" si="34"/>
        <v>2028</v>
      </c>
      <c r="T69" s="1431">
        <f t="shared" si="34"/>
        <v>2029</v>
      </c>
      <c r="U69" s="1431">
        <f t="shared" si="34"/>
        <v>2030</v>
      </c>
      <c r="V69" s="1431">
        <f t="shared" si="34"/>
        <v>2031</v>
      </c>
      <c r="W69" s="1431">
        <f t="shared" si="34"/>
        <v>2032</v>
      </c>
    </row>
    <row r="70" spans="1:23">
      <c r="B70" s="1432" t="s">
        <v>1566</v>
      </c>
      <c r="C70" s="1441">
        <f>D40*D44/1000</f>
        <v>3000</v>
      </c>
      <c r="D70" s="1408">
        <f>$C$70*D71</f>
        <v>0</v>
      </c>
      <c r="E70" s="1408">
        <f t="shared" ref="E70:W70" si="35">$C$70*E71</f>
        <v>0</v>
      </c>
      <c r="F70" s="1408">
        <f t="shared" si="35"/>
        <v>0</v>
      </c>
      <c r="G70" s="1408">
        <f t="shared" si="35"/>
        <v>0</v>
      </c>
      <c r="H70" s="1408">
        <f t="shared" si="35"/>
        <v>0</v>
      </c>
      <c r="I70" s="1408">
        <f t="shared" si="35"/>
        <v>0</v>
      </c>
      <c r="J70" s="1408">
        <f t="shared" si="35"/>
        <v>0</v>
      </c>
      <c r="K70" s="1408">
        <f t="shared" si="35"/>
        <v>0</v>
      </c>
      <c r="L70" s="1408">
        <f t="shared" si="35"/>
        <v>0</v>
      </c>
      <c r="M70" s="1408">
        <f t="shared" si="35"/>
        <v>0</v>
      </c>
      <c r="N70" s="1408">
        <f t="shared" si="35"/>
        <v>0</v>
      </c>
      <c r="O70" s="1408">
        <f t="shared" si="35"/>
        <v>0</v>
      </c>
      <c r="P70" s="1408">
        <f t="shared" si="35"/>
        <v>0</v>
      </c>
      <c r="Q70" s="1408">
        <f t="shared" si="35"/>
        <v>0</v>
      </c>
      <c r="R70" s="1408">
        <f t="shared" si="35"/>
        <v>0</v>
      </c>
      <c r="S70" s="1408">
        <f t="shared" si="35"/>
        <v>0</v>
      </c>
      <c r="T70" s="1408">
        <f t="shared" si="35"/>
        <v>900</v>
      </c>
      <c r="U70" s="1408">
        <f t="shared" si="35"/>
        <v>900</v>
      </c>
      <c r="V70" s="1408">
        <f t="shared" si="35"/>
        <v>600</v>
      </c>
      <c r="W70" s="1408">
        <f t="shared" si="35"/>
        <v>600</v>
      </c>
    </row>
    <row r="71" spans="1:23">
      <c r="B71" s="1431" t="s">
        <v>1559</v>
      </c>
      <c r="C71" s="1436">
        <f>SUM(D71:W71)</f>
        <v>1</v>
      </c>
      <c r="D71" s="1416">
        <v>0</v>
      </c>
      <c r="E71" s="1416">
        <v>0</v>
      </c>
      <c r="F71" s="1416">
        <v>0</v>
      </c>
      <c r="G71" s="1416">
        <v>0</v>
      </c>
      <c r="H71" s="1416">
        <v>0</v>
      </c>
      <c r="I71" s="1416">
        <v>0</v>
      </c>
      <c r="J71" s="1416">
        <v>0</v>
      </c>
      <c r="K71" s="1416">
        <v>0</v>
      </c>
      <c r="L71" s="1416">
        <v>0</v>
      </c>
      <c r="M71" s="1416">
        <v>0</v>
      </c>
      <c r="N71" s="1416">
        <v>0</v>
      </c>
      <c r="O71" s="1416">
        <v>0</v>
      </c>
      <c r="P71" s="1416">
        <v>0</v>
      </c>
      <c r="Q71" s="1416">
        <v>0</v>
      </c>
      <c r="R71" s="1416">
        <v>0</v>
      </c>
      <c r="S71" s="1416">
        <v>0</v>
      </c>
      <c r="T71" s="1416">
        <v>0.3</v>
      </c>
      <c r="U71" s="1416">
        <v>0.3</v>
      </c>
      <c r="V71" s="1416">
        <v>0.2</v>
      </c>
      <c r="W71" s="1416">
        <v>0.2</v>
      </c>
    </row>
    <row r="72" spans="1:23">
      <c r="C72" s="1433"/>
      <c r="D72" s="1425"/>
      <c r="E72" s="1425"/>
      <c r="F72" s="1424"/>
      <c r="G72" s="1424"/>
      <c r="H72" s="1435"/>
    </row>
    <row r="73" spans="1:23">
      <c r="C73" s="1433"/>
      <c r="D73" s="1424"/>
      <c r="E73" s="1424"/>
      <c r="F73" s="1424"/>
      <c r="G73" s="1424"/>
    </row>
    <row r="74" spans="1:23">
      <c r="A74" s="1406">
        <v>5</v>
      </c>
      <c r="B74" s="1407" t="s">
        <v>1466</v>
      </c>
      <c r="C74" s="1431" t="str">
        <f>C69</f>
        <v>Total</v>
      </c>
      <c r="D74" s="1431">
        <f t="shared" ref="D74:I74" si="36">D69</f>
        <v>2013</v>
      </c>
      <c r="E74" s="1431">
        <f t="shared" si="36"/>
        <v>2014</v>
      </c>
      <c r="F74" s="1431">
        <f t="shared" si="36"/>
        <v>2015</v>
      </c>
      <c r="G74" s="1431">
        <f t="shared" si="36"/>
        <v>2016</v>
      </c>
      <c r="H74" s="1431">
        <f t="shared" si="36"/>
        <v>2017</v>
      </c>
      <c r="I74" s="1431">
        <f t="shared" si="36"/>
        <v>2018</v>
      </c>
      <c r="J74" s="1431">
        <f t="shared" ref="J74:W74" si="37">I74+1</f>
        <v>2019</v>
      </c>
      <c r="K74" s="1431">
        <f t="shared" si="37"/>
        <v>2020</v>
      </c>
      <c r="L74" s="1431">
        <f t="shared" si="37"/>
        <v>2021</v>
      </c>
      <c r="M74" s="1431">
        <f t="shared" si="37"/>
        <v>2022</v>
      </c>
      <c r="N74" s="1431">
        <f t="shared" si="37"/>
        <v>2023</v>
      </c>
      <c r="O74" s="1431">
        <f t="shared" si="37"/>
        <v>2024</v>
      </c>
      <c r="P74" s="1431">
        <f t="shared" si="37"/>
        <v>2025</v>
      </c>
      <c r="Q74" s="1431">
        <f t="shared" si="37"/>
        <v>2026</v>
      </c>
      <c r="R74" s="1431">
        <f t="shared" si="37"/>
        <v>2027</v>
      </c>
      <c r="S74" s="1431">
        <f t="shared" si="37"/>
        <v>2028</v>
      </c>
      <c r="T74" s="1431">
        <f t="shared" si="37"/>
        <v>2029</v>
      </c>
      <c r="U74" s="1431">
        <f t="shared" si="37"/>
        <v>2030</v>
      </c>
      <c r="V74" s="1431">
        <f t="shared" si="37"/>
        <v>2031</v>
      </c>
      <c r="W74" s="1431">
        <f t="shared" si="37"/>
        <v>2032</v>
      </c>
    </row>
    <row r="75" spans="1:23">
      <c r="B75" s="1432" t="s">
        <v>1567</v>
      </c>
      <c r="C75" s="1441">
        <f>$C$70*C58</f>
        <v>3000</v>
      </c>
      <c r="D75" s="1441">
        <f t="shared" ref="D75:M75" si="38">$C$70*D58</f>
        <v>0</v>
      </c>
      <c r="E75" s="1441">
        <f t="shared" si="38"/>
        <v>0</v>
      </c>
      <c r="F75" s="1441">
        <f t="shared" si="38"/>
        <v>0</v>
      </c>
      <c r="G75" s="1441">
        <f t="shared" si="38"/>
        <v>0</v>
      </c>
      <c r="H75" s="1441">
        <f t="shared" si="38"/>
        <v>0</v>
      </c>
      <c r="I75" s="1441">
        <f t="shared" si="38"/>
        <v>0</v>
      </c>
      <c r="J75" s="1441">
        <f t="shared" si="38"/>
        <v>0</v>
      </c>
      <c r="K75" s="1441">
        <f t="shared" si="38"/>
        <v>0</v>
      </c>
      <c r="L75" s="1441">
        <f t="shared" si="38"/>
        <v>0</v>
      </c>
      <c r="M75" s="1441">
        <f t="shared" si="38"/>
        <v>0</v>
      </c>
      <c r="N75" s="1441">
        <f>$C$70*N58</f>
        <v>0</v>
      </c>
      <c r="O75" s="1441">
        <f>$C$70*O58</f>
        <v>0</v>
      </c>
      <c r="P75" s="1441">
        <f>$C$70*P58</f>
        <v>0</v>
      </c>
      <c r="Q75" s="1441">
        <f>$C$70*Q58</f>
        <v>0</v>
      </c>
      <c r="R75" s="1441">
        <f t="shared" ref="R75:W75" si="39">$C$70*R58</f>
        <v>0</v>
      </c>
      <c r="S75" s="1441">
        <f t="shared" si="39"/>
        <v>0</v>
      </c>
      <c r="T75" s="1441">
        <f t="shared" si="39"/>
        <v>0</v>
      </c>
      <c r="U75" s="1441">
        <f t="shared" si="39"/>
        <v>900</v>
      </c>
      <c r="V75" s="1441">
        <f t="shared" si="39"/>
        <v>900</v>
      </c>
      <c r="W75" s="1441">
        <f t="shared" si="39"/>
        <v>1200</v>
      </c>
    </row>
    <row r="76" spans="1:23">
      <c r="B76" s="1431" t="s">
        <v>803</v>
      </c>
      <c r="C76" s="1440">
        <f>$E$32*C58</f>
        <v>1200</v>
      </c>
      <c r="D76" s="1440">
        <f t="shared" ref="D76:M76" si="40">$E$32*D58</f>
        <v>0</v>
      </c>
      <c r="E76" s="1440">
        <f t="shared" si="40"/>
        <v>0</v>
      </c>
      <c r="F76" s="1440">
        <f t="shared" si="40"/>
        <v>0</v>
      </c>
      <c r="G76" s="1440">
        <f t="shared" si="40"/>
        <v>0</v>
      </c>
      <c r="H76" s="1440">
        <f t="shared" si="40"/>
        <v>0</v>
      </c>
      <c r="I76" s="1440">
        <f t="shared" si="40"/>
        <v>0</v>
      </c>
      <c r="J76" s="1440">
        <f t="shared" si="40"/>
        <v>0</v>
      </c>
      <c r="K76" s="1440">
        <f t="shared" si="40"/>
        <v>0</v>
      </c>
      <c r="L76" s="1440">
        <f t="shared" si="40"/>
        <v>0</v>
      </c>
      <c r="M76" s="1440">
        <f t="shared" si="40"/>
        <v>0</v>
      </c>
      <c r="N76" s="1440">
        <f>$E$32*N58</f>
        <v>0</v>
      </c>
      <c r="O76" s="1440">
        <f>$E$32*O58</f>
        <v>0</v>
      </c>
      <c r="P76" s="1440">
        <f>$E$32*P58</f>
        <v>0</v>
      </c>
      <c r="Q76" s="1440">
        <f>$E$32*Q58</f>
        <v>0</v>
      </c>
      <c r="R76" s="1440">
        <f t="shared" ref="R76:W76" si="41">$E$32*R58</f>
        <v>0</v>
      </c>
      <c r="S76" s="1440">
        <f t="shared" si="41"/>
        <v>0</v>
      </c>
      <c r="T76" s="1440">
        <f t="shared" si="41"/>
        <v>0</v>
      </c>
      <c r="U76" s="1440">
        <f t="shared" si="41"/>
        <v>360</v>
      </c>
      <c r="V76" s="1440">
        <f t="shared" si="41"/>
        <v>360</v>
      </c>
      <c r="W76" s="1440">
        <f t="shared" si="41"/>
        <v>480</v>
      </c>
    </row>
    <row r="77" spans="1:23" s="1447" customFormat="1">
      <c r="A77" s="1459"/>
      <c r="B77" s="1447" t="s">
        <v>804</v>
      </c>
      <c r="C77" s="1458">
        <f>SUMIF(D113:W113,"&lt;="&amp;D11,D119:W119)</f>
        <v>881.5625</v>
      </c>
      <c r="D77" s="1410">
        <f t="shared" ref="D77:J77" si="42">$C$77*D58</f>
        <v>0</v>
      </c>
      <c r="E77" s="1410">
        <f t="shared" si="42"/>
        <v>0</v>
      </c>
      <c r="F77" s="1410">
        <f t="shared" si="42"/>
        <v>0</v>
      </c>
      <c r="G77" s="1410">
        <f t="shared" si="42"/>
        <v>0</v>
      </c>
      <c r="H77" s="1410">
        <f t="shared" si="42"/>
        <v>0</v>
      </c>
      <c r="I77" s="1410">
        <f t="shared" si="42"/>
        <v>0</v>
      </c>
      <c r="J77" s="1410">
        <f t="shared" si="42"/>
        <v>0</v>
      </c>
      <c r="K77" s="1410">
        <f t="shared" ref="K77:Q77" si="43">$C$77*K58</f>
        <v>0</v>
      </c>
      <c r="L77" s="1410">
        <f t="shared" si="43"/>
        <v>0</v>
      </c>
      <c r="M77" s="1410">
        <f t="shared" si="43"/>
        <v>0</v>
      </c>
      <c r="N77" s="1410">
        <f t="shared" si="43"/>
        <v>0</v>
      </c>
      <c r="O77" s="1410">
        <f t="shared" si="43"/>
        <v>0</v>
      </c>
      <c r="P77" s="1410">
        <f t="shared" si="43"/>
        <v>0</v>
      </c>
      <c r="Q77" s="1410">
        <f t="shared" si="43"/>
        <v>0</v>
      </c>
      <c r="R77" s="1410">
        <f t="shared" ref="R77:W77" si="44">$C$77*R58</f>
        <v>0</v>
      </c>
      <c r="S77" s="1410">
        <f t="shared" si="44"/>
        <v>0</v>
      </c>
      <c r="T77" s="1410">
        <f t="shared" si="44"/>
        <v>0</v>
      </c>
      <c r="U77" s="1410">
        <f t="shared" si="44"/>
        <v>264.46875</v>
      </c>
      <c r="V77" s="1410">
        <f t="shared" si="44"/>
        <v>264.46875</v>
      </c>
      <c r="W77" s="1410">
        <f t="shared" si="44"/>
        <v>352.625</v>
      </c>
    </row>
    <row r="78" spans="1:23" s="1447" customFormat="1">
      <c r="A78" s="1459"/>
      <c r="B78" s="1447" t="s">
        <v>805</v>
      </c>
      <c r="C78" s="1410">
        <f>SUM(D78:W78)</f>
        <v>0</v>
      </c>
      <c r="D78" s="1410">
        <f t="shared" ref="D78:M78" si="45">IF(D74&gt;$D$11,D119,0)</f>
        <v>0</v>
      </c>
      <c r="E78" s="1410">
        <f t="shared" si="45"/>
        <v>0</v>
      </c>
      <c r="F78" s="1410">
        <f t="shared" si="45"/>
        <v>0</v>
      </c>
      <c r="G78" s="1410">
        <f t="shared" si="45"/>
        <v>0</v>
      </c>
      <c r="H78" s="1410">
        <f t="shared" si="45"/>
        <v>0</v>
      </c>
      <c r="I78" s="1410">
        <f t="shared" si="45"/>
        <v>0</v>
      </c>
      <c r="J78" s="1410">
        <f t="shared" si="45"/>
        <v>0</v>
      </c>
      <c r="K78" s="1410">
        <f t="shared" si="45"/>
        <v>0</v>
      </c>
      <c r="L78" s="1410">
        <f t="shared" si="45"/>
        <v>0</v>
      </c>
      <c r="M78" s="1410">
        <f t="shared" si="45"/>
        <v>0</v>
      </c>
      <c r="N78" s="1410">
        <f>IF(N74&gt;$D$11,N119,0)</f>
        <v>0</v>
      </c>
      <c r="O78" s="1410">
        <f>IF(O74&gt;$D$11,O119,0)</f>
        <v>0</v>
      </c>
      <c r="P78" s="1410">
        <f>IF(P74&gt;$D$11,P119,0)</f>
        <v>0</v>
      </c>
      <c r="Q78" s="1410">
        <f>IF(Q74&gt;$D$11,Q119,0)</f>
        <v>0</v>
      </c>
      <c r="R78" s="1410">
        <f t="shared" ref="R78:W78" si="46">IF(R74&gt;$D$11,R119,0)</f>
        <v>0</v>
      </c>
      <c r="S78" s="1410">
        <f t="shared" si="46"/>
        <v>0</v>
      </c>
      <c r="T78" s="1410">
        <f t="shared" si="46"/>
        <v>0</v>
      </c>
      <c r="U78" s="1410">
        <f t="shared" si="46"/>
        <v>0</v>
      </c>
      <c r="V78" s="1410">
        <f t="shared" si="46"/>
        <v>0</v>
      </c>
      <c r="W78" s="1410">
        <f t="shared" si="46"/>
        <v>0</v>
      </c>
    </row>
    <row r="79" spans="1:23">
      <c r="B79" s="1431" t="s">
        <v>656</v>
      </c>
      <c r="C79" s="1440">
        <f>$D$46*C57</f>
        <v>1225.0000000000002</v>
      </c>
      <c r="D79" s="1440">
        <f t="shared" ref="D79:J79" si="47">$D$46*D57</f>
        <v>0</v>
      </c>
      <c r="E79" s="1440">
        <f t="shared" si="47"/>
        <v>0</v>
      </c>
      <c r="F79" s="1440">
        <f t="shared" si="47"/>
        <v>0</v>
      </c>
      <c r="G79" s="1440">
        <f t="shared" si="47"/>
        <v>0</v>
      </c>
      <c r="H79" s="1440">
        <f t="shared" si="47"/>
        <v>0</v>
      </c>
      <c r="I79" s="1440">
        <f t="shared" si="47"/>
        <v>0</v>
      </c>
      <c r="J79" s="1440">
        <f t="shared" si="47"/>
        <v>0</v>
      </c>
      <c r="K79" s="1440">
        <f t="shared" ref="K79:Q79" si="48">$D$46*K57</f>
        <v>0</v>
      </c>
      <c r="L79" s="1440">
        <f t="shared" si="48"/>
        <v>0</v>
      </c>
      <c r="M79" s="1440">
        <f t="shared" si="48"/>
        <v>0</v>
      </c>
      <c r="N79" s="1440">
        <f t="shared" si="48"/>
        <v>0</v>
      </c>
      <c r="O79" s="1440">
        <f t="shared" si="48"/>
        <v>0</v>
      </c>
      <c r="P79" s="1440">
        <f t="shared" si="48"/>
        <v>0</v>
      </c>
      <c r="Q79" s="1440">
        <f t="shared" si="48"/>
        <v>0</v>
      </c>
      <c r="R79" s="1440">
        <f t="shared" ref="R79:W79" si="49">$D$46*R57</f>
        <v>0</v>
      </c>
      <c r="S79" s="1440">
        <f t="shared" si="49"/>
        <v>0</v>
      </c>
      <c r="T79" s="1440">
        <f t="shared" si="49"/>
        <v>0</v>
      </c>
      <c r="U79" s="1440">
        <f t="shared" si="49"/>
        <v>367.50000000000006</v>
      </c>
      <c r="V79" s="1440">
        <f t="shared" si="49"/>
        <v>367.50000000000006</v>
      </c>
      <c r="W79" s="1440">
        <f t="shared" si="49"/>
        <v>490.00000000000006</v>
      </c>
    </row>
    <row r="80" spans="1:23">
      <c r="C80" s="1440"/>
      <c r="D80" s="1440"/>
      <c r="E80" s="1440"/>
      <c r="F80" s="1440"/>
      <c r="G80" s="1440"/>
    </row>
    <row r="82" spans="1:23" s="1407" customFormat="1">
      <c r="A82" s="1406">
        <v>6</v>
      </c>
      <c r="B82" s="1407" t="s">
        <v>878</v>
      </c>
      <c r="C82" s="1431" t="str">
        <f>C74</f>
        <v>Total</v>
      </c>
      <c r="D82" s="1431">
        <f t="shared" ref="D82:J82" si="50">D74</f>
        <v>2013</v>
      </c>
      <c r="E82" s="1431">
        <f t="shared" si="50"/>
        <v>2014</v>
      </c>
      <c r="F82" s="1431">
        <f t="shared" si="50"/>
        <v>2015</v>
      </c>
      <c r="G82" s="1431">
        <f t="shared" si="50"/>
        <v>2016</v>
      </c>
      <c r="H82" s="1431">
        <f t="shared" si="50"/>
        <v>2017</v>
      </c>
      <c r="I82" s="1431">
        <f t="shared" si="50"/>
        <v>2018</v>
      </c>
      <c r="J82" s="1431">
        <f t="shared" si="50"/>
        <v>2019</v>
      </c>
      <c r="K82" s="1431">
        <f t="shared" ref="K82:Q82" si="51">K74</f>
        <v>2020</v>
      </c>
      <c r="L82" s="1431">
        <f t="shared" si="51"/>
        <v>2021</v>
      </c>
      <c r="M82" s="1431">
        <f t="shared" si="51"/>
        <v>2022</v>
      </c>
      <c r="N82" s="1431">
        <f t="shared" si="51"/>
        <v>2023</v>
      </c>
      <c r="O82" s="1431">
        <f t="shared" si="51"/>
        <v>2024</v>
      </c>
      <c r="P82" s="1431">
        <f t="shared" si="51"/>
        <v>2025</v>
      </c>
      <c r="Q82" s="1431">
        <f t="shared" si="51"/>
        <v>2026</v>
      </c>
      <c r="R82" s="1431">
        <f t="shared" ref="R82:W82" si="52">R74</f>
        <v>2027</v>
      </c>
      <c r="S82" s="1431">
        <f t="shared" si="52"/>
        <v>2028</v>
      </c>
      <c r="T82" s="1431">
        <f t="shared" si="52"/>
        <v>2029</v>
      </c>
      <c r="U82" s="1431">
        <f t="shared" si="52"/>
        <v>2030</v>
      </c>
      <c r="V82" s="1431">
        <f t="shared" si="52"/>
        <v>2031</v>
      </c>
      <c r="W82" s="1431">
        <f t="shared" si="52"/>
        <v>2032</v>
      </c>
    </row>
    <row r="83" spans="1:23">
      <c r="B83" s="1432" t="s">
        <v>26</v>
      </c>
      <c r="C83" s="1441">
        <f t="shared" ref="C83:J83" si="53">C57</f>
        <v>8750</v>
      </c>
      <c r="D83" s="1441">
        <f t="shared" si="53"/>
        <v>0</v>
      </c>
      <c r="E83" s="1441">
        <f t="shared" si="53"/>
        <v>0</v>
      </c>
      <c r="F83" s="1441">
        <f t="shared" si="53"/>
        <v>0</v>
      </c>
      <c r="G83" s="1441">
        <f t="shared" si="53"/>
        <v>0</v>
      </c>
      <c r="H83" s="1441">
        <f t="shared" si="53"/>
        <v>0</v>
      </c>
      <c r="I83" s="1441">
        <f t="shared" si="53"/>
        <v>0</v>
      </c>
      <c r="J83" s="1441">
        <f t="shared" si="53"/>
        <v>0</v>
      </c>
      <c r="K83" s="1441">
        <f t="shared" ref="K83:Q83" si="54">K57</f>
        <v>0</v>
      </c>
      <c r="L83" s="1441">
        <f t="shared" si="54"/>
        <v>0</v>
      </c>
      <c r="M83" s="1441">
        <f t="shared" si="54"/>
        <v>0</v>
      </c>
      <c r="N83" s="1441">
        <f t="shared" si="54"/>
        <v>0</v>
      </c>
      <c r="O83" s="1441">
        <f t="shared" si="54"/>
        <v>0</v>
      </c>
      <c r="P83" s="1441">
        <f t="shared" si="54"/>
        <v>0</v>
      </c>
      <c r="Q83" s="1441">
        <f t="shared" si="54"/>
        <v>0</v>
      </c>
      <c r="R83" s="1441">
        <f t="shared" ref="R83:W83" si="55">R57</f>
        <v>0</v>
      </c>
      <c r="S83" s="1441">
        <f t="shared" si="55"/>
        <v>0</v>
      </c>
      <c r="T83" s="1441">
        <f t="shared" si="55"/>
        <v>0</v>
      </c>
      <c r="U83" s="1441">
        <f t="shared" si="55"/>
        <v>2625</v>
      </c>
      <c r="V83" s="1441">
        <f t="shared" si="55"/>
        <v>2625</v>
      </c>
      <c r="W83" s="1441">
        <f t="shared" si="55"/>
        <v>3500</v>
      </c>
    </row>
    <row r="84" spans="1:23">
      <c r="B84" s="1431" t="s">
        <v>432</v>
      </c>
      <c r="C84" s="1440">
        <f>SUM(C75:C77)</f>
        <v>5081.5625</v>
      </c>
      <c r="D84" s="1440">
        <f>SUM(D75:D77)</f>
        <v>0</v>
      </c>
      <c r="E84" s="1440">
        <f t="shared" ref="E84:J84" si="56">SUM(E75:E77)</f>
        <v>0</v>
      </c>
      <c r="F84" s="1440">
        <f t="shared" si="56"/>
        <v>0</v>
      </c>
      <c r="G84" s="1440">
        <f t="shared" si="56"/>
        <v>0</v>
      </c>
      <c r="H84" s="1440">
        <f t="shared" si="56"/>
        <v>0</v>
      </c>
      <c r="I84" s="1440">
        <f t="shared" si="56"/>
        <v>0</v>
      </c>
      <c r="J84" s="1440">
        <f t="shared" si="56"/>
        <v>0</v>
      </c>
      <c r="K84" s="1440">
        <f t="shared" ref="K84:Q84" si="57">SUM(K75:K77)</f>
        <v>0</v>
      </c>
      <c r="L84" s="1440">
        <f t="shared" si="57"/>
        <v>0</v>
      </c>
      <c r="M84" s="1440">
        <f t="shared" si="57"/>
        <v>0</v>
      </c>
      <c r="N84" s="1440">
        <f t="shared" si="57"/>
        <v>0</v>
      </c>
      <c r="O84" s="1440">
        <f t="shared" si="57"/>
        <v>0</v>
      </c>
      <c r="P84" s="1440">
        <f t="shared" si="57"/>
        <v>0</v>
      </c>
      <c r="Q84" s="1440">
        <f t="shared" si="57"/>
        <v>0</v>
      </c>
      <c r="R84" s="1440">
        <f t="shared" ref="R84:W84" si="58">SUM(R75:R77)</f>
        <v>0</v>
      </c>
      <c r="S84" s="1440">
        <f t="shared" si="58"/>
        <v>0</v>
      </c>
      <c r="T84" s="1440">
        <f t="shared" si="58"/>
        <v>0</v>
      </c>
      <c r="U84" s="1440">
        <f t="shared" si="58"/>
        <v>1524.46875</v>
      </c>
      <c r="V84" s="1440">
        <f t="shared" si="58"/>
        <v>1524.46875</v>
      </c>
      <c r="W84" s="1440">
        <f t="shared" si="58"/>
        <v>2032.625</v>
      </c>
    </row>
    <row r="85" spans="1:23">
      <c r="B85" s="1431" t="s">
        <v>28</v>
      </c>
      <c r="C85" s="1440">
        <f>C83-C84</f>
        <v>3668.4375</v>
      </c>
      <c r="D85" s="1440">
        <f t="shared" ref="D85:M85" si="59">D83-D84</f>
        <v>0</v>
      </c>
      <c r="E85" s="1440">
        <f t="shared" si="59"/>
        <v>0</v>
      </c>
      <c r="F85" s="1440">
        <f t="shared" si="59"/>
        <v>0</v>
      </c>
      <c r="G85" s="1440">
        <f t="shared" si="59"/>
        <v>0</v>
      </c>
      <c r="H85" s="1440">
        <f t="shared" si="59"/>
        <v>0</v>
      </c>
      <c r="I85" s="1440">
        <f t="shared" si="59"/>
        <v>0</v>
      </c>
      <c r="J85" s="1440">
        <f t="shared" si="59"/>
        <v>0</v>
      </c>
      <c r="K85" s="1440">
        <f t="shared" si="59"/>
        <v>0</v>
      </c>
      <c r="L85" s="1440">
        <f t="shared" si="59"/>
        <v>0</v>
      </c>
      <c r="M85" s="1440">
        <f t="shared" si="59"/>
        <v>0</v>
      </c>
      <c r="N85" s="1440">
        <f>N83-N84</f>
        <v>0</v>
      </c>
      <c r="O85" s="1440">
        <f>O83-O84</f>
        <v>0</v>
      </c>
      <c r="P85" s="1440">
        <f>P83-P84</f>
        <v>0</v>
      </c>
      <c r="Q85" s="1440">
        <f>Q83-Q84</f>
        <v>0</v>
      </c>
      <c r="R85" s="1440">
        <f t="shared" ref="R85:W85" si="60">R83-R84</f>
        <v>0</v>
      </c>
      <c r="S85" s="1440">
        <f t="shared" si="60"/>
        <v>0</v>
      </c>
      <c r="T85" s="1440">
        <f t="shared" si="60"/>
        <v>0</v>
      </c>
      <c r="U85" s="1440">
        <f t="shared" si="60"/>
        <v>1100.53125</v>
      </c>
      <c r="V85" s="1440">
        <f t="shared" si="60"/>
        <v>1100.53125</v>
      </c>
      <c r="W85" s="1440">
        <f t="shared" si="60"/>
        <v>1467.375</v>
      </c>
    </row>
    <row r="86" spans="1:23">
      <c r="B86" s="1431" t="s">
        <v>656</v>
      </c>
      <c r="C86" s="1440">
        <f>C79</f>
        <v>1225.0000000000002</v>
      </c>
      <c r="D86" s="1440">
        <f>D79</f>
        <v>0</v>
      </c>
      <c r="E86" s="1440">
        <f t="shared" ref="E86:J86" si="61">E79</f>
        <v>0</v>
      </c>
      <c r="F86" s="1440">
        <f t="shared" si="61"/>
        <v>0</v>
      </c>
      <c r="G86" s="1440">
        <f t="shared" si="61"/>
        <v>0</v>
      </c>
      <c r="H86" s="1440">
        <f t="shared" si="61"/>
        <v>0</v>
      </c>
      <c r="I86" s="1440">
        <f t="shared" si="61"/>
        <v>0</v>
      </c>
      <c r="J86" s="1440">
        <f t="shared" si="61"/>
        <v>0</v>
      </c>
      <c r="K86" s="1440">
        <f t="shared" ref="K86:Q86" si="62">K79</f>
        <v>0</v>
      </c>
      <c r="L86" s="1440">
        <f t="shared" si="62"/>
        <v>0</v>
      </c>
      <c r="M86" s="1440">
        <f t="shared" si="62"/>
        <v>0</v>
      </c>
      <c r="N86" s="1440">
        <f t="shared" si="62"/>
        <v>0</v>
      </c>
      <c r="O86" s="1440">
        <f t="shared" si="62"/>
        <v>0</v>
      </c>
      <c r="P86" s="1440">
        <f t="shared" si="62"/>
        <v>0</v>
      </c>
      <c r="Q86" s="1440">
        <f t="shared" si="62"/>
        <v>0</v>
      </c>
      <c r="R86" s="1440">
        <f t="shared" ref="R86:W86" si="63">R79</f>
        <v>0</v>
      </c>
      <c r="S86" s="1440">
        <f t="shared" si="63"/>
        <v>0</v>
      </c>
      <c r="T86" s="1440">
        <f t="shared" si="63"/>
        <v>0</v>
      </c>
      <c r="U86" s="1440">
        <f t="shared" si="63"/>
        <v>367.50000000000006</v>
      </c>
      <c r="V86" s="1440">
        <f t="shared" si="63"/>
        <v>367.50000000000006</v>
      </c>
      <c r="W86" s="1440">
        <f t="shared" si="63"/>
        <v>490.00000000000006</v>
      </c>
    </row>
    <row r="87" spans="1:23">
      <c r="B87" s="1431" t="s">
        <v>805</v>
      </c>
      <c r="C87" s="1410">
        <f>C78</f>
        <v>0</v>
      </c>
      <c r="D87" s="1440">
        <f>D78</f>
        <v>0</v>
      </c>
      <c r="E87" s="1440">
        <f t="shared" ref="E87:J87" si="64">E78</f>
        <v>0</v>
      </c>
      <c r="F87" s="1440">
        <f t="shared" si="64"/>
        <v>0</v>
      </c>
      <c r="G87" s="1440">
        <f t="shared" si="64"/>
        <v>0</v>
      </c>
      <c r="H87" s="1440">
        <f t="shared" si="64"/>
        <v>0</v>
      </c>
      <c r="I87" s="1440">
        <f t="shared" si="64"/>
        <v>0</v>
      </c>
      <c r="J87" s="1440">
        <f t="shared" si="64"/>
        <v>0</v>
      </c>
      <c r="K87" s="1440">
        <f t="shared" ref="K87:Q87" si="65">K78</f>
        <v>0</v>
      </c>
      <c r="L87" s="1440">
        <f t="shared" si="65"/>
        <v>0</v>
      </c>
      <c r="M87" s="1440">
        <f t="shared" si="65"/>
        <v>0</v>
      </c>
      <c r="N87" s="1440">
        <f t="shared" si="65"/>
        <v>0</v>
      </c>
      <c r="O87" s="1440">
        <f t="shared" si="65"/>
        <v>0</v>
      </c>
      <c r="P87" s="1440">
        <f t="shared" si="65"/>
        <v>0</v>
      </c>
      <c r="Q87" s="1440">
        <f t="shared" si="65"/>
        <v>0</v>
      </c>
      <c r="R87" s="1440">
        <f t="shared" ref="R87:W87" si="66">R78</f>
        <v>0</v>
      </c>
      <c r="S87" s="1440">
        <f t="shared" si="66"/>
        <v>0</v>
      </c>
      <c r="T87" s="1440">
        <f t="shared" si="66"/>
        <v>0</v>
      </c>
      <c r="U87" s="1440">
        <f t="shared" si="66"/>
        <v>0</v>
      </c>
      <c r="V87" s="1440">
        <f t="shared" si="66"/>
        <v>0</v>
      </c>
      <c r="W87" s="1440">
        <f t="shared" si="66"/>
        <v>0</v>
      </c>
    </row>
    <row r="88" spans="1:23">
      <c r="B88" s="1431" t="s">
        <v>822</v>
      </c>
      <c r="C88" s="1440">
        <f>C85-C86-C87</f>
        <v>2443.4375</v>
      </c>
      <c r="D88" s="1440">
        <f t="shared" ref="D88:M88" si="67">D85-D86-D87</f>
        <v>0</v>
      </c>
      <c r="E88" s="1440">
        <f t="shared" si="67"/>
        <v>0</v>
      </c>
      <c r="F88" s="1440">
        <f t="shared" si="67"/>
        <v>0</v>
      </c>
      <c r="G88" s="1440">
        <f t="shared" si="67"/>
        <v>0</v>
      </c>
      <c r="H88" s="1440">
        <f t="shared" si="67"/>
        <v>0</v>
      </c>
      <c r="I88" s="1440">
        <f t="shared" si="67"/>
        <v>0</v>
      </c>
      <c r="J88" s="1440">
        <f t="shared" si="67"/>
        <v>0</v>
      </c>
      <c r="K88" s="1440">
        <f t="shared" si="67"/>
        <v>0</v>
      </c>
      <c r="L88" s="1440">
        <f t="shared" si="67"/>
        <v>0</v>
      </c>
      <c r="M88" s="1440">
        <f t="shared" si="67"/>
        <v>0</v>
      </c>
      <c r="N88" s="1440">
        <f>N85-N86-N87</f>
        <v>0</v>
      </c>
      <c r="O88" s="1440">
        <f>O85-O86-O87</f>
        <v>0</v>
      </c>
      <c r="P88" s="1440">
        <f>P85-P86-P87</f>
        <v>0</v>
      </c>
      <c r="Q88" s="1440">
        <f>Q85-Q86-Q87</f>
        <v>0</v>
      </c>
      <c r="R88" s="1440">
        <f t="shared" ref="R88:W88" si="68">R85-R86-R87</f>
        <v>0</v>
      </c>
      <c r="S88" s="1440">
        <f t="shared" si="68"/>
        <v>0</v>
      </c>
      <c r="T88" s="1440">
        <f t="shared" si="68"/>
        <v>0</v>
      </c>
      <c r="U88" s="1440">
        <f t="shared" si="68"/>
        <v>733.03125</v>
      </c>
      <c r="V88" s="1440">
        <f t="shared" si="68"/>
        <v>733.03125</v>
      </c>
      <c r="W88" s="1440">
        <f t="shared" si="68"/>
        <v>977.375</v>
      </c>
    </row>
    <row r="89" spans="1:23">
      <c r="B89" s="1431" t="s">
        <v>290</v>
      </c>
      <c r="C89" s="1440">
        <f>SUM(D89:W89)</f>
        <v>488.68750000000006</v>
      </c>
      <c r="D89" s="1410">
        <f t="shared" ref="D89:M89" si="69">D88*D22</f>
        <v>0</v>
      </c>
      <c r="E89" s="1410">
        <f t="shared" si="69"/>
        <v>0</v>
      </c>
      <c r="F89" s="1410">
        <f t="shared" si="69"/>
        <v>0</v>
      </c>
      <c r="G89" s="1410">
        <f t="shared" si="69"/>
        <v>0</v>
      </c>
      <c r="H89" s="1410">
        <f t="shared" si="69"/>
        <v>0</v>
      </c>
      <c r="I89" s="1410">
        <f t="shared" si="69"/>
        <v>0</v>
      </c>
      <c r="J89" s="1410">
        <f t="shared" si="69"/>
        <v>0</v>
      </c>
      <c r="K89" s="1410">
        <f t="shared" si="69"/>
        <v>0</v>
      </c>
      <c r="L89" s="1410">
        <f t="shared" si="69"/>
        <v>0</v>
      </c>
      <c r="M89" s="1410">
        <f t="shared" si="69"/>
        <v>0</v>
      </c>
      <c r="N89" s="1410">
        <f>N88*N22</f>
        <v>0</v>
      </c>
      <c r="O89" s="1410">
        <f>O88*O22</f>
        <v>0</v>
      </c>
      <c r="P89" s="1410">
        <f>P88*P22</f>
        <v>0</v>
      </c>
      <c r="Q89" s="1410">
        <f>Q88*Q22</f>
        <v>0</v>
      </c>
      <c r="R89" s="1410">
        <f t="shared" ref="R89:W89" si="70">R88*R22</f>
        <v>0</v>
      </c>
      <c r="S89" s="1410">
        <f t="shared" si="70"/>
        <v>0</v>
      </c>
      <c r="T89" s="1410">
        <f t="shared" si="70"/>
        <v>0</v>
      </c>
      <c r="U89" s="1410">
        <f t="shared" si="70"/>
        <v>146.60625000000002</v>
      </c>
      <c r="V89" s="1410">
        <f t="shared" si="70"/>
        <v>146.60625000000002</v>
      </c>
      <c r="W89" s="1410">
        <f t="shared" si="70"/>
        <v>195.47500000000002</v>
      </c>
    </row>
    <row r="90" spans="1:23">
      <c r="B90" s="1431" t="s">
        <v>661</v>
      </c>
      <c r="C90" s="1440">
        <f>SUM(D90:W90)</f>
        <v>1954.75</v>
      </c>
      <c r="D90" s="1440">
        <f>D88-D89</f>
        <v>0</v>
      </c>
      <c r="E90" s="1440">
        <f t="shared" ref="E90:J90" si="71">E88-E89</f>
        <v>0</v>
      </c>
      <c r="F90" s="1440">
        <f t="shared" si="71"/>
        <v>0</v>
      </c>
      <c r="G90" s="1440">
        <f t="shared" si="71"/>
        <v>0</v>
      </c>
      <c r="H90" s="1440">
        <f t="shared" si="71"/>
        <v>0</v>
      </c>
      <c r="I90" s="1440">
        <f t="shared" si="71"/>
        <v>0</v>
      </c>
      <c r="J90" s="1440">
        <f t="shared" si="71"/>
        <v>0</v>
      </c>
      <c r="K90" s="1440">
        <f t="shared" ref="K90:Q90" si="72">K88-K89</f>
        <v>0</v>
      </c>
      <c r="L90" s="1440">
        <f t="shared" si="72"/>
        <v>0</v>
      </c>
      <c r="M90" s="1440">
        <f t="shared" si="72"/>
        <v>0</v>
      </c>
      <c r="N90" s="1440">
        <f t="shared" si="72"/>
        <v>0</v>
      </c>
      <c r="O90" s="1440">
        <f t="shared" si="72"/>
        <v>0</v>
      </c>
      <c r="P90" s="1440">
        <f t="shared" si="72"/>
        <v>0</v>
      </c>
      <c r="Q90" s="1440">
        <f t="shared" si="72"/>
        <v>0</v>
      </c>
      <c r="R90" s="1440">
        <f t="shared" ref="R90:W90" si="73">R88-R89</f>
        <v>0</v>
      </c>
      <c r="S90" s="1440">
        <f t="shared" si="73"/>
        <v>0</v>
      </c>
      <c r="T90" s="1440">
        <f t="shared" si="73"/>
        <v>0</v>
      </c>
      <c r="U90" s="1440">
        <f t="shared" si="73"/>
        <v>586.42499999999995</v>
      </c>
      <c r="V90" s="1440">
        <f t="shared" si="73"/>
        <v>586.42499999999995</v>
      </c>
      <c r="W90" s="1440">
        <f t="shared" si="73"/>
        <v>781.9</v>
      </c>
    </row>
    <row r="91" spans="1:23">
      <c r="B91" s="1428" t="s">
        <v>197</v>
      </c>
      <c r="C91" s="1429">
        <f>IF(C83&lt;&gt;0,1-C84/C83,"")</f>
        <v>0.41925000000000001</v>
      </c>
      <c r="D91" s="1429" t="str">
        <f t="shared" ref="D91:J91" si="74">IF(D83&lt;&gt;0,1-D84/D83,"")</f>
        <v/>
      </c>
      <c r="E91" s="1429" t="str">
        <f t="shared" si="74"/>
        <v/>
      </c>
      <c r="F91" s="1429" t="str">
        <f t="shared" si="74"/>
        <v/>
      </c>
      <c r="G91" s="1429" t="str">
        <f t="shared" si="74"/>
        <v/>
      </c>
      <c r="H91" s="1429" t="str">
        <f t="shared" si="74"/>
        <v/>
      </c>
      <c r="I91" s="1429" t="str">
        <f t="shared" si="74"/>
        <v/>
      </c>
      <c r="J91" s="1429" t="str">
        <f t="shared" si="74"/>
        <v/>
      </c>
      <c r="K91" s="1429" t="str">
        <f t="shared" ref="K91:Q91" si="75">IF(K83&lt;&gt;0,1-K84/K83,"")</f>
        <v/>
      </c>
      <c r="L91" s="1429" t="str">
        <f t="shared" si="75"/>
        <v/>
      </c>
      <c r="M91" s="1429" t="str">
        <f t="shared" si="75"/>
        <v/>
      </c>
      <c r="N91" s="1429" t="str">
        <f t="shared" si="75"/>
        <v/>
      </c>
      <c r="O91" s="1429" t="str">
        <f t="shared" si="75"/>
        <v/>
      </c>
      <c r="P91" s="1429" t="str">
        <f t="shared" si="75"/>
        <v/>
      </c>
      <c r="Q91" s="1429" t="str">
        <f t="shared" si="75"/>
        <v/>
      </c>
      <c r="R91" s="1429" t="str">
        <f t="shared" ref="R91:W91" si="76">IF(R83&lt;&gt;0,1-R84/R83,"")</f>
        <v/>
      </c>
      <c r="S91" s="1429" t="str">
        <f t="shared" si="76"/>
        <v/>
      </c>
      <c r="T91" s="1429" t="str">
        <f t="shared" si="76"/>
        <v/>
      </c>
      <c r="U91" s="1429">
        <f t="shared" si="76"/>
        <v>0.41925000000000001</v>
      </c>
      <c r="V91" s="1429">
        <f t="shared" si="76"/>
        <v>0.41925000000000001</v>
      </c>
      <c r="W91" s="1429">
        <f t="shared" si="76"/>
        <v>0.41925000000000001</v>
      </c>
    </row>
    <row r="92" spans="1:23">
      <c r="B92" s="1428" t="s">
        <v>1779</v>
      </c>
      <c r="C92" s="1429">
        <f>IF(C83&lt;&gt;0,C90/C83,"")</f>
        <v>0.22339999999999999</v>
      </c>
      <c r="D92" s="1429" t="str">
        <f t="shared" ref="D92:M92" si="77">IF(D83&lt;&gt;0,D90/D83,"")</f>
        <v/>
      </c>
      <c r="E92" s="1429" t="str">
        <f t="shared" si="77"/>
        <v/>
      </c>
      <c r="F92" s="1429" t="str">
        <f t="shared" si="77"/>
        <v/>
      </c>
      <c r="G92" s="1429" t="str">
        <f t="shared" si="77"/>
        <v/>
      </c>
      <c r="H92" s="1429" t="str">
        <f t="shared" si="77"/>
        <v/>
      </c>
      <c r="I92" s="1429" t="str">
        <f t="shared" si="77"/>
        <v/>
      </c>
      <c r="J92" s="1429" t="str">
        <f t="shared" si="77"/>
        <v/>
      </c>
      <c r="K92" s="1429" t="str">
        <f t="shared" si="77"/>
        <v/>
      </c>
      <c r="L92" s="1429" t="str">
        <f t="shared" si="77"/>
        <v/>
      </c>
      <c r="M92" s="1429" t="str">
        <f t="shared" si="77"/>
        <v/>
      </c>
      <c r="N92" s="1429" t="str">
        <f>IF(N83&lt;&gt;0,N90/N83,"")</f>
        <v/>
      </c>
      <c r="O92" s="1429" t="str">
        <f>IF(O83&lt;&gt;0,O90/O83,"")</f>
        <v/>
      </c>
      <c r="P92" s="1429" t="str">
        <f>IF(P83&lt;&gt;0,P90/P83,"")</f>
        <v/>
      </c>
      <c r="Q92" s="1429" t="str">
        <f>IF(Q83&lt;&gt;0,Q90/Q83,"")</f>
        <v/>
      </c>
      <c r="R92" s="1429" t="str">
        <f t="shared" ref="R92:W92" si="78">IF(R83&lt;&gt;0,R90/R83,"")</f>
        <v/>
      </c>
      <c r="S92" s="1429" t="str">
        <f t="shared" si="78"/>
        <v/>
      </c>
      <c r="T92" s="1429" t="str">
        <f t="shared" si="78"/>
        <v/>
      </c>
      <c r="U92" s="1429">
        <f t="shared" si="78"/>
        <v>0.22339999999999999</v>
      </c>
      <c r="V92" s="1429">
        <f t="shared" si="78"/>
        <v>0.22339999999999999</v>
      </c>
      <c r="W92" s="1429">
        <f t="shared" si="78"/>
        <v>0.22339999999999999</v>
      </c>
    </row>
    <row r="93" spans="1:23">
      <c r="B93" s="1428"/>
      <c r="C93" s="1429"/>
      <c r="D93" s="1429"/>
      <c r="E93" s="1429"/>
      <c r="F93" s="1429"/>
      <c r="G93" s="1429"/>
      <c r="H93" s="1429"/>
    </row>
    <row r="94" spans="1:23">
      <c r="D94" s="1440"/>
      <c r="E94" s="1440"/>
      <c r="F94" s="1440"/>
      <c r="G94" s="1440"/>
    </row>
    <row r="95" spans="1:23" s="1407" customFormat="1">
      <c r="A95" s="1406">
        <v>7</v>
      </c>
      <c r="B95" s="1407" t="s">
        <v>1589</v>
      </c>
      <c r="C95" s="1440" t="s">
        <v>642</v>
      </c>
      <c r="D95" s="1431">
        <f t="shared" ref="D95:J95" si="79">D82</f>
        <v>2013</v>
      </c>
      <c r="E95" s="1431">
        <f t="shared" si="79"/>
        <v>2014</v>
      </c>
      <c r="F95" s="1431">
        <f t="shared" si="79"/>
        <v>2015</v>
      </c>
      <c r="G95" s="1431">
        <f t="shared" si="79"/>
        <v>2016</v>
      </c>
      <c r="H95" s="1431">
        <f t="shared" si="79"/>
        <v>2017</v>
      </c>
      <c r="I95" s="1431">
        <f t="shared" si="79"/>
        <v>2018</v>
      </c>
      <c r="J95" s="1431">
        <f t="shared" si="79"/>
        <v>2019</v>
      </c>
      <c r="K95" s="1431">
        <f t="shared" ref="K95:Q95" si="80">K82</f>
        <v>2020</v>
      </c>
      <c r="L95" s="1431">
        <f t="shared" si="80"/>
        <v>2021</v>
      </c>
      <c r="M95" s="1431">
        <f t="shared" si="80"/>
        <v>2022</v>
      </c>
      <c r="N95" s="1431">
        <f t="shared" si="80"/>
        <v>2023</v>
      </c>
      <c r="O95" s="1431">
        <f t="shared" si="80"/>
        <v>2024</v>
      </c>
      <c r="P95" s="1431">
        <f t="shared" si="80"/>
        <v>2025</v>
      </c>
      <c r="Q95" s="1431">
        <f t="shared" si="80"/>
        <v>2026</v>
      </c>
      <c r="R95" s="1431">
        <f t="shared" ref="R95:W95" si="81">R82</f>
        <v>2027</v>
      </c>
      <c r="S95" s="1431">
        <f t="shared" si="81"/>
        <v>2028</v>
      </c>
      <c r="T95" s="1431">
        <f t="shared" si="81"/>
        <v>2029</v>
      </c>
      <c r="U95" s="1431">
        <f t="shared" si="81"/>
        <v>2030</v>
      </c>
      <c r="V95" s="1431">
        <f t="shared" si="81"/>
        <v>2031</v>
      </c>
      <c r="W95" s="1431">
        <f t="shared" si="81"/>
        <v>2032</v>
      </c>
    </row>
    <row r="96" spans="1:23">
      <c r="B96" s="1419" t="s">
        <v>850</v>
      </c>
      <c r="C96" s="1441">
        <f>C63</f>
        <v>8750</v>
      </c>
      <c r="D96" s="1441">
        <f t="shared" ref="D96:J96" si="82">D63</f>
        <v>0</v>
      </c>
      <c r="E96" s="1441">
        <f t="shared" si="82"/>
        <v>0</v>
      </c>
      <c r="F96" s="1441">
        <f t="shared" si="82"/>
        <v>0</v>
      </c>
      <c r="G96" s="1441">
        <f t="shared" si="82"/>
        <v>0</v>
      </c>
      <c r="H96" s="1441">
        <f t="shared" si="82"/>
        <v>0</v>
      </c>
      <c r="I96" s="1441">
        <f t="shared" si="82"/>
        <v>0</v>
      </c>
      <c r="J96" s="1441">
        <f t="shared" si="82"/>
        <v>0</v>
      </c>
      <c r="K96" s="1441">
        <f t="shared" ref="K96:Q96" si="83">K63</f>
        <v>0</v>
      </c>
      <c r="L96" s="1441">
        <f t="shared" si="83"/>
        <v>0</v>
      </c>
      <c r="M96" s="1441">
        <f t="shared" si="83"/>
        <v>0</v>
      </c>
      <c r="N96" s="1441">
        <f t="shared" si="83"/>
        <v>0</v>
      </c>
      <c r="O96" s="1441">
        <f t="shared" si="83"/>
        <v>0</v>
      </c>
      <c r="P96" s="1441">
        <f t="shared" si="83"/>
        <v>0</v>
      </c>
      <c r="Q96" s="1441">
        <f t="shared" si="83"/>
        <v>0</v>
      </c>
      <c r="R96" s="1441">
        <f t="shared" ref="R96:W96" si="84">R63</f>
        <v>0</v>
      </c>
      <c r="S96" s="1441">
        <f t="shared" si="84"/>
        <v>0</v>
      </c>
      <c r="T96" s="1441">
        <f t="shared" si="84"/>
        <v>1312.5</v>
      </c>
      <c r="U96" s="1441">
        <f t="shared" si="84"/>
        <v>2625</v>
      </c>
      <c r="V96" s="1441">
        <f t="shared" si="84"/>
        <v>3062.5</v>
      </c>
      <c r="W96" s="1441">
        <f t="shared" si="84"/>
        <v>1750</v>
      </c>
    </row>
    <row r="97" spans="1:23">
      <c r="B97" s="1407"/>
      <c r="C97" s="1440"/>
      <c r="D97" s="1440"/>
      <c r="E97" s="1440"/>
      <c r="F97" s="1440"/>
      <c r="G97" s="1440"/>
      <c r="H97" s="1440"/>
      <c r="I97" s="1440"/>
      <c r="J97" s="1440"/>
      <c r="K97" s="1440"/>
      <c r="L97" s="1440"/>
      <c r="M97" s="1440"/>
      <c r="N97" s="1440"/>
      <c r="O97" s="1440"/>
      <c r="P97" s="1440"/>
      <c r="Q97" s="1440"/>
      <c r="R97" s="1440"/>
      <c r="S97" s="1440"/>
      <c r="T97" s="1440"/>
      <c r="U97" s="1440"/>
      <c r="V97" s="1440"/>
      <c r="W97" s="1440"/>
    </row>
    <row r="98" spans="1:23">
      <c r="B98" s="1407" t="s">
        <v>851</v>
      </c>
      <c r="C98" s="1440">
        <f t="shared" ref="C98:J98" si="85">SUM(C99:C102)</f>
        <v>5913.6875</v>
      </c>
      <c r="D98" s="1440">
        <f t="shared" si="85"/>
        <v>0</v>
      </c>
      <c r="E98" s="1440">
        <f t="shared" si="85"/>
        <v>0</v>
      </c>
      <c r="F98" s="1440">
        <f t="shared" si="85"/>
        <v>0</v>
      </c>
      <c r="G98" s="1440">
        <f t="shared" si="85"/>
        <v>0</v>
      </c>
      <c r="H98" s="1440">
        <f t="shared" si="85"/>
        <v>0</v>
      </c>
      <c r="I98" s="1440">
        <f t="shared" si="85"/>
        <v>0</v>
      </c>
      <c r="J98" s="1440">
        <f t="shared" si="85"/>
        <v>0</v>
      </c>
      <c r="K98" s="1440">
        <f t="shared" ref="K98:Q98" si="86">SUM(K99:K102)</f>
        <v>0</v>
      </c>
      <c r="L98" s="1440">
        <f t="shared" si="86"/>
        <v>0</v>
      </c>
      <c r="M98" s="1440">
        <f t="shared" si="86"/>
        <v>0</v>
      </c>
      <c r="N98" s="1440">
        <f t="shared" si="86"/>
        <v>0</v>
      </c>
      <c r="O98" s="1440">
        <f t="shared" si="86"/>
        <v>0</v>
      </c>
      <c r="P98" s="1440">
        <f t="shared" si="86"/>
        <v>0</v>
      </c>
      <c r="Q98" s="1440">
        <f t="shared" si="86"/>
        <v>0</v>
      </c>
      <c r="R98" s="1440">
        <f t="shared" ref="R98:W98" si="87">SUM(R99:R102)</f>
        <v>0</v>
      </c>
      <c r="S98" s="1440">
        <f t="shared" si="87"/>
        <v>1200</v>
      </c>
      <c r="T98" s="1440">
        <f t="shared" si="87"/>
        <v>900</v>
      </c>
      <c r="U98" s="1440">
        <f t="shared" si="87"/>
        <v>1414.10625</v>
      </c>
      <c r="V98" s="1440">
        <f t="shared" si="87"/>
        <v>1114.10625</v>
      </c>
      <c r="W98" s="1440">
        <f t="shared" si="87"/>
        <v>1285.4749999999999</v>
      </c>
    </row>
    <row r="99" spans="1:23">
      <c r="B99" s="1431" t="s">
        <v>852</v>
      </c>
      <c r="C99" s="1440">
        <f t="shared" ref="C99:J99" si="88">C35</f>
        <v>1200</v>
      </c>
      <c r="D99" s="1440">
        <f t="shared" si="88"/>
        <v>0</v>
      </c>
      <c r="E99" s="1440">
        <f t="shared" si="88"/>
        <v>0</v>
      </c>
      <c r="F99" s="1440">
        <f t="shared" si="88"/>
        <v>0</v>
      </c>
      <c r="G99" s="1440">
        <f t="shared" si="88"/>
        <v>0</v>
      </c>
      <c r="H99" s="1440">
        <f t="shared" si="88"/>
        <v>0</v>
      </c>
      <c r="I99" s="1440">
        <f t="shared" si="88"/>
        <v>0</v>
      </c>
      <c r="J99" s="1440">
        <f t="shared" si="88"/>
        <v>0</v>
      </c>
      <c r="K99" s="1440">
        <f t="shared" ref="K99:Q99" si="89">K35</f>
        <v>0</v>
      </c>
      <c r="L99" s="1440">
        <f t="shared" si="89"/>
        <v>0</v>
      </c>
      <c r="M99" s="1440">
        <f t="shared" si="89"/>
        <v>0</v>
      </c>
      <c r="N99" s="1440">
        <f t="shared" si="89"/>
        <v>0</v>
      </c>
      <c r="O99" s="1440">
        <f t="shared" si="89"/>
        <v>0</v>
      </c>
      <c r="P99" s="1440">
        <f t="shared" si="89"/>
        <v>0</v>
      </c>
      <c r="Q99" s="1440">
        <f t="shared" si="89"/>
        <v>0</v>
      </c>
      <c r="R99" s="1440">
        <f t="shared" ref="R99:W99" si="90">R35</f>
        <v>0</v>
      </c>
      <c r="S99" s="1440">
        <f t="shared" si="90"/>
        <v>1200</v>
      </c>
      <c r="T99" s="1440">
        <f t="shared" si="90"/>
        <v>0</v>
      </c>
      <c r="U99" s="1440">
        <f t="shared" si="90"/>
        <v>0</v>
      </c>
      <c r="V99" s="1440">
        <f t="shared" si="90"/>
        <v>0</v>
      </c>
      <c r="W99" s="1440">
        <f t="shared" si="90"/>
        <v>0</v>
      </c>
    </row>
    <row r="100" spans="1:23">
      <c r="B100" s="1431" t="s">
        <v>788</v>
      </c>
      <c r="C100" s="1440">
        <f t="shared" ref="C100:J100" si="91">C70</f>
        <v>3000</v>
      </c>
      <c r="D100" s="1440">
        <f t="shared" si="91"/>
        <v>0</v>
      </c>
      <c r="E100" s="1440">
        <f t="shared" si="91"/>
        <v>0</v>
      </c>
      <c r="F100" s="1440">
        <f t="shared" si="91"/>
        <v>0</v>
      </c>
      <c r="G100" s="1440">
        <f t="shared" si="91"/>
        <v>0</v>
      </c>
      <c r="H100" s="1440">
        <f t="shared" si="91"/>
        <v>0</v>
      </c>
      <c r="I100" s="1440">
        <f t="shared" si="91"/>
        <v>0</v>
      </c>
      <c r="J100" s="1440">
        <f t="shared" si="91"/>
        <v>0</v>
      </c>
      <c r="K100" s="1440">
        <f t="shared" ref="K100:Q100" si="92">K70</f>
        <v>0</v>
      </c>
      <c r="L100" s="1440">
        <f t="shared" si="92"/>
        <v>0</v>
      </c>
      <c r="M100" s="1440">
        <f t="shared" si="92"/>
        <v>0</v>
      </c>
      <c r="N100" s="1440">
        <f t="shared" si="92"/>
        <v>0</v>
      </c>
      <c r="O100" s="1440">
        <f t="shared" si="92"/>
        <v>0</v>
      </c>
      <c r="P100" s="1440">
        <f t="shared" si="92"/>
        <v>0</v>
      </c>
      <c r="Q100" s="1440">
        <f t="shared" si="92"/>
        <v>0</v>
      </c>
      <c r="R100" s="1440">
        <f t="shared" ref="R100:W100" si="93">R70</f>
        <v>0</v>
      </c>
      <c r="S100" s="1440">
        <f t="shared" si="93"/>
        <v>0</v>
      </c>
      <c r="T100" s="1440">
        <f t="shared" si="93"/>
        <v>900</v>
      </c>
      <c r="U100" s="1440">
        <f t="shared" si="93"/>
        <v>900</v>
      </c>
      <c r="V100" s="1440">
        <f t="shared" si="93"/>
        <v>600</v>
      </c>
      <c r="W100" s="1440">
        <f t="shared" si="93"/>
        <v>600</v>
      </c>
    </row>
    <row r="101" spans="1:23">
      <c r="B101" s="1431" t="s">
        <v>656</v>
      </c>
      <c r="C101" s="1440">
        <f t="shared" ref="C101:J101" si="94">C79</f>
        <v>1225.0000000000002</v>
      </c>
      <c r="D101" s="1440">
        <f t="shared" si="94"/>
        <v>0</v>
      </c>
      <c r="E101" s="1440">
        <f t="shared" si="94"/>
        <v>0</v>
      </c>
      <c r="F101" s="1440">
        <f t="shared" si="94"/>
        <v>0</v>
      </c>
      <c r="G101" s="1440">
        <f t="shared" si="94"/>
        <v>0</v>
      </c>
      <c r="H101" s="1440">
        <f t="shared" si="94"/>
        <v>0</v>
      </c>
      <c r="I101" s="1440">
        <f t="shared" si="94"/>
        <v>0</v>
      </c>
      <c r="J101" s="1440">
        <f t="shared" si="94"/>
        <v>0</v>
      </c>
      <c r="K101" s="1440">
        <f t="shared" ref="K101:Q101" si="95">K79</f>
        <v>0</v>
      </c>
      <c r="L101" s="1440">
        <f t="shared" si="95"/>
        <v>0</v>
      </c>
      <c r="M101" s="1440">
        <f t="shared" si="95"/>
        <v>0</v>
      </c>
      <c r="N101" s="1440">
        <f t="shared" si="95"/>
        <v>0</v>
      </c>
      <c r="O101" s="1440">
        <f t="shared" si="95"/>
        <v>0</v>
      </c>
      <c r="P101" s="1440">
        <f t="shared" si="95"/>
        <v>0</v>
      </c>
      <c r="Q101" s="1440">
        <f t="shared" si="95"/>
        <v>0</v>
      </c>
      <c r="R101" s="1440">
        <f t="shared" ref="R101:W101" si="96">R79</f>
        <v>0</v>
      </c>
      <c r="S101" s="1440">
        <f t="shared" si="96"/>
        <v>0</v>
      </c>
      <c r="T101" s="1440">
        <f t="shared" si="96"/>
        <v>0</v>
      </c>
      <c r="U101" s="1440">
        <f t="shared" si="96"/>
        <v>367.50000000000006</v>
      </c>
      <c r="V101" s="1440">
        <f t="shared" si="96"/>
        <v>367.50000000000006</v>
      </c>
      <c r="W101" s="1440">
        <f t="shared" si="96"/>
        <v>490.00000000000006</v>
      </c>
    </row>
    <row r="102" spans="1:23">
      <c r="B102" s="1431" t="s">
        <v>854</v>
      </c>
      <c r="C102" s="1440">
        <f t="shared" ref="C102:J102" si="97">C89</f>
        <v>488.68750000000006</v>
      </c>
      <c r="D102" s="1440">
        <f t="shared" si="97"/>
        <v>0</v>
      </c>
      <c r="E102" s="1440">
        <f t="shared" si="97"/>
        <v>0</v>
      </c>
      <c r="F102" s="1440">
        <f t="shared" si="97"/>
        <v>0</v>
      </c>
      <c r="G102" s="1440">
        <f t="shared" si="97"/>
        <v>0</v>
      </c>
      <c r="H102" s="1440">
        <f t="shared" si="97"/>
        <v>0</v>
      </c>
      <c r="I102" s="1440">
        <f t="shared" si="97"/>
        <v>0</v>
      </c>
      <c r="J102" s="1440">
        <f t="shared" si="97"/>
        <v>0</v>
      </c>
      <c r="K102" s="1440">
        <f t="shared" ref="K102:Q102" si="98">K89</f>
        <v>0</v>
      </c>
      <c r="L102" s="1440">
        <f t="shared" si="98"/>
        <v>0</v>
      </c>
      <c r="M102" s="1440">
        <f t="shared" si="98"/>
        <v>0</v>
      </c>
      <c r="N102" s="1440">
        <f t="shared" si="98"/>
        <v>0</v>
      </c>
      <c r="O102" s="1440">
        <f t="shared" si="98"/>
        <v>0</v>
      </c>
      <c r="P102" s="1440">
        <f t="shared" si="98"/>
        <v>0</v>
      </c>
      <c r="Q102" s="1440">
        <f t="shared" si="98"/>
        <v>0</v>
      </c>
      <c r="R102" s="1440">
        <f t="shared" ref="R102:W102" si="99">R89</f>
        <v>0</v>
      </c>
      <c r="S102" s="1440">
        <f t="shared" si="99"/>
        <v>0</v>
      </c>
      <c r="T102" s="1440">
        <f t="shared" si="99"/>
        <v>0</v>
      </c>
      <c r="U102" s="1440">
        <f t="shared" si="99"/>
        <v>146.60625000000002</v>
      </c>
      <c r="V102" s="1440">
        <f t="shared" si="99"/>
        <v>146.60625000000002</v>
      </c>
      <c r="W102" s="1440">
        <f t="shared" si="99"/>
        <v>195.47500000000002</v>
      </c>
    </row>
    <row r="103" spans="1:23">
      <c r="A103" s="1444"/>
      <c r="B103" s="1431" t="s">
        <v>855</v>
      </c>
      <c r="C103" s="1440">
        <f t="shared" ref="C103:J103" si="100">C96-C98</f>
        <v>2836.3125</v>
      </c>
      <c r="D103" s="1656">
        <f t="shared" si="100"/>
        <v>0</v>
      </c>
      <c r="E103" s="1440">
        <f t="shared" si="100"/>
        <v>0</v>
      </c>
      <c r="F103" s="1440">
        <f t="shared" si="100"/>
        <v>0</v>
      </c>
      <c r="G103" s="1440">
        <f t="shared" si="100"/>
        <v>0</v>
      </c>
      <c r="H103" s="1440">
        <f t="shared" si="100"/>
        <v>0</v>
      </c>
      <c r="I103" s="1440">
        <f t="shared" si="100"/>
        <v>0</v>
      </c>
      <c r="J103" s="1440">
        <f t="shared" si="100"/>
        <v>0</v>
      </c>
      <c r="K103" s="1440">
        <f t="shared" ref="K103:Q103" si="101">K96-K98</f>
        <v>0</v>
      </c>
      <c r="L103" s="1440">
        <f t="shared" si="101"/>
        <v>0</v>
      </c>
      <c r="M103" s="1440">
        <f t="shared" si="101"/>
        <v>0</v>
      </c>
      <c r="N103" s="1440">
        <f t="shared" si="101"/>
        <v>0</v>
      </c>
      <c r="O103" s="1440">
        <f t="shared" si="101"/>
        <v>0</v>
      </c>
      <c r="P103" s="1440">
        <f t="shared" si="101"/>
        <v>0</v>
      </c>
      <c r="Q103" s="1440">
        <f t="shared" si="101"/>
        <v>0</v>
      </c>
      <c r="R103" s="1440">
        <f t="shared" ref="R103:W103" si="102">R96-R98</f>
        <v>0</v>
      </c>
      <c r="S103" s="1440">
        <f t="shared" si="102"/>
        <v>-1200</v>
      </c>
      <c r="T103" s="1440">
        <f t="shared" si="102"/>
        <v>412.5</v>
      </c>
      <c r="U103" s="1440">
        <f t="shared" si="102"/>
        <v>1210.89375</v>
      </c>
      <c r="V103" s="1440">
        <f t="shared" si="102"/>
        <v>1948.39375</v>
      </c>
      <c r="W103" s="1440">
        <f t="shared" si="102"/>
        <v>464.52500000000009</v>
      </c>
    </row>
    <row r="104" spans="1:23">
      <c r="B104" s="1431" t="s">
        <v>1570</v>
      </c>
      <c r="D104" s="1452">
        <f t="shared" ref="D104:M104" si="103">IF(D95&gt;$D$12,(1+D23)^(D95-$D$12),0)</f>
        <v>0</v>
      </c>
      <c r="E104" s="1452">
        <f t="shared" si="103"/>
        <v>0</v>
      </c>
      <c r="F104" s="1452">
        <f t="shared" si="103"/>
        <v>0</v>
      </c>
      <c r="G104" s="1452">
        <f t="shared" si="103"/>
        <v>0</v>
      </c>
      <c r="H104" s="1452">
        <f t="shared" si="103"/>
        <v>0</v>
      </c>
      <c r="I104" s="1452">
        <f t="shared" si="103"/>
        <v>0</v>
      </c>
      <c r="J104" s="1452">
        <f t="shared" si="103"/>
        <v>0</v>
      </c>
      <c r="K104" s="1452">
        <f t="shared" si="103"/>
        <v>0</v>
      </c>
      <c r="L104" s="1452">
        <f t="shared" si="103"/>
        <v>0</v>
      </c>
      <c r="M104" s="1452">
        <f t="shared" si="103"/>
        <v>0</v>
      </c>
      <c r="N104" s="1452">
        <f>IF(N95&gt;$D$12,(1+N23)^(N95-$D$12),0)</f>
        <v>1.125</v>
      </c>
      <c r="O104" s="1452">
        <f>IF(O95&gt;$D$12,(1+O23)^(O95-$D$12),0)</f>
        <v>1.265625</v>
      </c>
      <c r="P104" s="1452">
        <f>IF(P95&gt;$D$12,(1+P23)^(P95-$D$12),0)</f>
        <v>1.423828125</v>
      </c>
      <c r="Q104" s="1452">
        <f>IF(Q95&gt;$D$12,(1+Q23)^(Q95-$D$12),0)</f>
        <v>1.601806640625</v>
      </c>
      <c r="R104" s="1452">
        <f t="shared" ref="R104:W104" si="104">IF(R95&gt;$D$12,(1+R23)^(R95-$D$12),0)</f>
        <v>1.802032470703125</v>
      </c>
      <c r="S104" s="1452">
        <f t="shared" si="104"/>
        <v>2.0272865295410156</v>
      </c>
      <c r="T104" s="1452">
        <f t="shared" si="104"/>
        <v>2.2806973457336426</v>
      </c>
      <c r="U104" s="1452">
        <f t="shared" si="104"/>
        <v>2.5657845139503479</v>
      </c>
      <c r="V104" s="1452">
        <f t="shared" si="104"/>
        <v>2.8865075781941414</v>
      </c>
      <c r="W104" s="1452">
        <f t="shared" si="104"/>
        <v>3.2473210254684091</v>
      </c>
    </row>
    <row r="105" spans="1:23">
      <c r="B105" s="1431" t="s">
        <v>1452</v>
      </c>
      <c r="C105" s="1440">
        <f>SUMIF(D95:W95,"&gt;"&amp;D12,D105:W105)</f>
        <v>878.92957965082985</v>
      </c>
      <c r="D105" s="1440" t="str">
        <f t="shared" ref="D105:M105" si="105">IF(D104&lt;&gt;0,D103/D104,"")</f>
        <v/>
      </c>
      <c r="E105" s="1440" t="str">
        <f t="shared" si="105"/>
        <v/>
      </c>
      <c r="F105" s="1440" t="str">
        <f t="shared" si="105"/>
        <v/>
      </c>
      <c r="G105" s="1440" t="str">
        <f t="shared" si="105"/>
        <v/>
      </c>
      <c r="H105" s="1440" t="str">
        <f t="shared" si="105"/>
        <v/>
      </c>
      <c r="I105" s="1440" t="str">
        <f t="shared" si="105"/>
        <v/>
      </c>
      <c r="J105" s="1440" t="str">
        <f t="shared" si="105"/>
        <v/>
      </c>
      <c r="K105" s="1440" t="str">
        <f t="shared" si="105"/>
        <v/>
      </c>
      <c r="L105" s="1440" t="str">
        <f t="shared" si="105"/>
        <v/>
      </c>
      <c r="M105" s="1440" t="str">
        <f t="shared" si="105"/>
        <v/>
      </c>
      <c r="N105" s="1440">
        <f>IF(N104&lt;&gt;0,N103/N104,"")</f>
        <v>0</v>
      </c>
      <c r="O105" s="1440">
        <f>IF(O104&lt;&gt;0,O103/O104,"")</f>
        <v>0</v>
      </c>
      <c r="P105" s="1440">
        <f>IF(P104&lt;&gt;0,P103/P104,"")</f>
        <v>0</v>
      </c>
      <c r="Q105" s="1440">
        <f>IF(Q104&lt;&gt;0,Q103/Q104,"")</f>
        <v>0</v>
      </c>
      <c r="R105" s="1440">
        <f t="shared" ref="R105:W105" si="106">IF(R104&lt;&gt;0,R103/R104,"")</f>
        <v>0</v>
      </c>
      <c r="S105" s="1440">
        <f t="shared" si="106"/>
        <v>-591.92422112708653</v>
      </c>
      <c r="T105" s="1440">
        <f t="shared" si="106"/>
        <v>180.86573423327644</v>
      </c>
      <c r="U105" s="1440">
        <f t="shared" si="106"/>
        <v>471.938989192696</v>
      </c>
      <c r="V105" s="1440">
        <f t="shared" si="106"/>
        <v>675.00039311137209</v>
      </c>
      <c r="W105" s="1440">
        <f t="shared" si="106"/>
        <v>143.04868424057176</v>
      </c>
    </row>
    <row r="106" spans="1:23">
      <c r="B106" s="1407" t="s">
        <v>1590</v>
      </c>
      <c r="C106" s="1427">
        <f>C105*I5</f>
        <v>878.92957965082985</v>
      </c>
    </row>
    <row r="107" spans="1:23">
      <c r="B107" s="1407"/>
      <c r="C107" s="1427"/>
    </row>
    <row r="108" spans="1:23">
      <c r="B108" s="1407" t="s">
        <v>1588</v>
      </c>
      <c r="C108" s="1440"/>
      <c r="D108" s="1431">
        <f t="shared" ref="D108:J108" si="107">D95</f>
        <v>2013</v>
      </c>
      <c r="E108" s="1431">
        <f t="shared" si="107"/>
        <v>2014</v>
      </c>
      <c r="F108" s="1431">
        <f t="shared" si="107"/>
        <v>2015</v>
      </c>
      <c r="G108" s="1431">
        <f t="shared" si="107"/>
        <v>2016</v>
      </c>
      <c r="H108" s="1431">
        <f t="shared" si="107"/>
        <v>2017</v>
      </c>
      <c r="I108" s="1431">
        <f t="shared" si="107"/>
        <v>2018</v>
      </c>
      <c r="J108" s="1431">
        <f t="shared" si="107"/>
        <v>2019</v>
      </c>
      <c r="K108" s="1431">
        <f t="shared" ref="K108:Q108" si="108">K95</f>
        <v>2020</v>
      </c>
      <c r="L108" s="1431">
        <f t="shared" si="108"/>
        <v>2021</v>
      </c>
      <c r="M108" s="1431">
        <f t="shared" si="108"/>
        <v>2022</v>
      </c>
      <c r="N108" s="1431">
        <f t="shared" si="108"/>
        <v>2023</v>
      </c>
      <c r="O108" s="1431">
        <f t="shared" si="108"/>
        <v>2024</v>
      </c>
      <c r="P108" s="1431">
        <f t="shared" si="108"/>
        <v>2025</v>
      </c>
      <c r="Q108" s="1431">
        <f t="shared" si="108"/>
        <v>2026</v>
      </c>
      <c r="R108" s="1431">
        <f t="shared" ref="R108:W108" si="109">R95</f>
        <v>2027</v>
      </c>
      <c r="S108" s="1431">
        <f t="shared" si="109"/>
        <v>2028</v>
      </c>
      <c r="T108" s="1431">
        <f t="shared" si="109"/>
        <v>2029</v>
      </c>
      <c r="U108" s="1431">
        <f t="shared" si="109"/>
        <v>2030</v>
      </c>
      <c r="V108" s="1431">
        <f t="shared" si="109"/>
        <v>2031</v>
      </c>
      <c r="W108" s="1431">
        <f t="shared" si="109"/>
        <v>2032</v>
      </c>
    </row>
    <row r="109" spans="1:23" s="1447" customFormat="1">
      <c r="A109" s="1459"/>
      <c r="B109" s="1460">
        <f>IRR(D109:W109)</f>
        <v>0.64462441289326411</v>
      </c>
      <c r="C109" s="1408"/>
      <c r="D109" s="1408">
        <f>D103</f>
        <v>0</v>
      </c>
      <c r="E109" s="1408">
        <f t="shared" ref="E109:J109" si="110">E103</f>
        <v>0</v>
      </c>
      <c r="F109" s="1408">
        <f t="shared" si="110"/>
        <v>0</v>
      </c>
      <c r="G109" s="1408">
        <f t="shared" si="110"/>
        <v>0</v>
      </c>
      <c r="H109" s="1408">
        <f t="shared" si="110"/>
        <v>0</v>
      </c>
      <c r="I109" s="1408">
        <f t="shared" si="110"/>
        <v>0</v>
      </c>
      <c r="J109" s="1408">
        <f t="shared" si="110"/>
        <v>0</v>
      </c>
      <c r="K109" s="1408">
        <f t="shared" ref="K109:Q109" si="111">K103</f>
        <v>0</v>
      </c>
      <c r="L109" s="1408">
        <f t="shared" si="111"/>
        <v>0</v>
      </c>
      <c r="M109" s="1408">
        <f t="shared" si="111"/>
        <v>0</v>
      </c>
      <c r="N109" s="1408">
        <f t="shared" si="111"/>
        <v>0</v>
      </c>
      <c r="O109" s="1408">
        <f t="shared" si="111"/>
        <v>0</v>
      </c>
      <c r="P109" s="1408">
        <f t="shared" si="111"/>
        <v>0</v>
      </c>
      <c r="Q109" s="1408">
        <f t="shared" si="111"/>
        <v>0</v>
      </c>
      <c r="R109" s="1408">
        <f t="shared" ref="R109:W109" si="112">R103</f>
        <v>0</v>
      </c>
      <c r="S109" s="1408">
        <f t="shared" si="112"/>
        <v>-1200</v>
      </c>
      <c r="T109" s="1408">
        <f t="shared" si="112"/>
        <v>412.5</v>
      </c>
      <c r="U109" s="1408">
        <f t="shared" si="112"/>
        <v>1210.89375</v>
      </c>
      <c r="V109" s="1408">
        <f t="shared" si="112"/>
        <v>1948.39375</v>
      </c>
      <c r="W109" s="1408">
        <f t="shared" si="112"/>
        <v>464.52500000000009</v>
      </c>
    </row>
    <row r="110" spans="1:23">
      <c r="B110" s="1407" t="s">
        <v>1789</v>
      </c>
      <c r="C110" s="1440"/>
      <c r="D110" s="1656">
        <f t="shared" ref="D110:M110" si="113">D103+D116-D118</f>
        <v>0</v>
      </c>
      <c r="E110" s="1656">
        <f t="shared" si="113"/>
        <v>0</v>
      </c>
      <c r="F110" s="1656">
        <f t="shared" si="113"/>
        <v>0</v>
      </c>
      <c r="G110" s="1656">
        <f t="shared" si="113"/>
        <v>0</v>
      </c>
      <c r="H110" s="1656">
        <f t="shared" si="113"/>
        <v>0</v>
      </c>
      <c r="I110" s="1656">
        <f t="shared" si="113"/>
        <v>0</v>
      </c>
      <c r="J110" s="1656">
        <f t="shared" si="113"/>
        <v>0</v>
      </c>
      <c r="K110" s="1656">
        <f t="shared" si="113"/>
        <v>0</v>
      </c>
      <c r="L110" s="1656">
        <f t="shared" si="113"/>
        <v>0</v>
      </c>
      <c r="M110" s="1656">
        <f t="shared" si="113"/>
        <v>0</v>
      </c>
      <c r="N110" s="1656">
        <f>N103+N116-N118</f>
        <v>0</v>
      </c>
      <c r="O110" s="1656">
        <f>O103+O116-O118</f>
        <v>0</v>
      </c>
      <c r="P110" s="1656">
        <f>P103+P116-P118</f>
        <v>0</v>
      </c>
      <c r="Q110" s="1656">
        <f>Q103+Q116-Q118</f>
        <v>0</v>
      </c>
      <c r="R110" s="1656">
        <f t="shared" ref="R110:W110" si="114">R103+R116-R118</f>
        <v>0</v>
      </c>
      <c r="S110" s="1656">
        <f t="shared" si="114"/>
        <v>1512.5</v>
      </c>
      <c r="T110" s="1656">
        <f t="shared" si="114"/>
        <v>-943.75</v>
      </c>
      <c r="U110" s="1656">
        <f t="shared" si="114"/>
        <v>-145.35625000000005</v>
      </c>
      <c r="V110" s="1656">
        <f t="shared" si="114"/>
        <v>1948.39375</v>
      </c>
      <c r="W110" s="1656">
        <f t="shared" si="114"/>
        <v>464.52500000000009</v>
      </c>
    </row>
    <row r="111" spans="1:23">
      <c r="B111" s="1407"/>
      <c r="C111" s="1427"/>
      <c r="D111" s="1454"/>
      <c r="E111" s="1454"/>
      <c r="F111" s="1454"/>
      <c r="G111" s="1454"/>
      <c r="H111" s="1454"/>
      <c r="I111" s="1454"/>
      <c r="J111" s="1454"/>
      <c r="K111" s="1454"/>
      <c r="L111" s="1454"/>
      <c r="M111" s="1454"/>
      <c r="N111" s="1454"/>
      <c r="O111" s="1454"/>
      <c r="P111" s="1454"/>
      <c r="Q111" s="1454"/>
      <c r="R111" s="1454"/>
      <c r="S111" s="1454"/>
      <c r="T111" s="1454"/>
      <c r="U111" s="1454"/>
      <c r="V111" s="1454"/>
      <c r="W111" s="1454"/>
    </row>
    <row r="112" spans="1:23">
      <c r="B112" s="1407"/>
      <c r="C112" s="1427"/>
    </row>
    <row r="113" spans="1:23" s="1407" customFormat="1">
      <c r="A113" s="1406">
        <v>8</v>
      </c>
      <c r="B113" s="1407" t="s">
        <v>1592</v>
      </c>
      <c r="C113" s="1440"/>
      <c r="D113" s="1431">
        <f t="shared" ref="D113:I113" si="115">D95</f>
        <v>2013</v>
      </c>
      <c r="E113" s="1431">
        <f t="shared" si="115"/>
        <v>2014</v>
      </c>
      <c r="F113" s="1431">
        <f t="shared" si="115"/>
        <v>2015</v>
      </c>
      <c r="G113" s="1431">
        <f t="shared" si="115"/>
        <v>2016</v>
      </c>
      <c r="H113" s="1431">
        <f t="shared" si="115"/>
        <v>2017</v>
      </c>
      <c r="I113" s="1431">
        <f t="shared" si="115"/>
        <v>2018</v>
      </c>
      <c r="J113" s="1431">
        <f t="shared" ref="J113:W113" si="116">I113+1</f>
        <v>2019</v>
      </c>
      <c r="K113" s="1431">
        <f t="shared" si="116"/>
        <v>2020</v>
      </c>
      <c r="L113" s="1431">
        <f t="shared" si="116"/>
        <v>2021</v>
      </c>
      <c r="M113" s="1431">
        <f t="shared" si="116"/>
        <v>2022</v>
      </c>
      <c r="N113" s="1431">
        <f t="shared" si="116"/>
        <v>2023</v>
      </c>
      <c r="O113" s="1431">
        <f t="shared" si="116"/>
        <v>2024</v>
      </c>
      <c r="P113" s="1431">
        <f t="shared" si="116"/>
        <v>2025</v>
      </c>
      <c r="Q113" s="1431">
        <f t="shared" si="116"/>
        <v>2026</v>
      </c>
      <c r="R113" s="1431">
        <f t="shared" si="116"/>
        <v>2027</v>
      </c>
      <c r="S113" s="1431">
        <f t="shared" si="116"/>
        <v>2028</v>
      </c>
      <c r="T113" s="1431">
        <f t="shared" si="116"/>
        <v>2029</v>
      </c>
      <c r="U113" s="1431">
        <f t="shared" si="116"/>
        <v>2030</v>
      </c>
      <c r="V113" s="1431">
        <f t="shared" si="116"/>
        <v>2031</v>
      </c>
      <c r="W113" s="1431">
        <f t="shared" si="116"/>
        <v>2032</v>
      </c>
    </row>
    <row r="114" spans="1:23">
      <c r="B114" s="1432" t="s">
        <v>1571</v>
      </c>
      <c r="C114" s="1441">
        <f>D5*I6</f>
        <v>2712.5</v>
      </c>
      <c r="D114" s="1432"/>
      <c r="E114" s="1432"/>
      <c r="F114" s="1432"/>
      <c r="G114" s="1432"/>
      <c r="H114" s="1432"/>
      <c r="I114" s="1432"/>
      <c r="J114" s="1456"/>
      <c r="K114" s="1456"/>
      <c r="L114" s="1456"/>
      <c r="M114" s="1456"/>
      <c r="N114" s="1456"/>
      <c r="O114" s="1456"/>
      <c r="P114" s="1456"/>
      <c r="Q114" s="1456"/>
      <c r="R114" s="1456"/>
      <c r="S114" s="1456"/>
      <c r="T114" s="1456"/>
      <c r="U114" s="1456"/>
      <c r="V114" s="1456"/>
      <c r="W114" s="1456"/>
    </row>
    <row r="115" spans="1:23">
      <c r="B115" s="1431" t="s">
        <v>1572</v>
      </c>
      <c r="C115" s="1436">
        <f>SUM(D115:W115)</f>
        <v>1</v>
      </c>
      <c r="D115" s="1416">
        <v>0</v>
      </c>
      <c r="E115" s="1416">
        <v>0</v>
      </c>
      <c r="F115" s="1416">
        <v>0</v>
      </c>
      <c r="G115" s="1416">
        <v>0</v>
      </c>
      <c r="H115" s="1411">
        <v>0</v>
      </c>
      <c r="I115" s="1411">
        <v>0</v>
      </c>
      <c r="J115" s="1411">
        <v>0</v>
      </c>
      <c r="K115" s="1411">
        <v>0</v>
      </c>
      <c r="L115" s="1411">
        <v>0</v>
      </c>
      <c r="M115" s="1411">
        <v>0</v>
      </c>
      <c r="N115" s="1411">
        <v>0</v>
      </c>
      <c r="O115" s="1411">
        <v>0</v>
      </c>
      <c r="P115" s="1411">
        <v>0</v>
      </c>
      <c r="Q115" s="1411">
        <v>0</v>
      </c>
      <c r="R115" s="1411">
        <v>0</v>
      </c>
      <c r="S115" s="1411">
        <v>1</v>
      </c>
      <c r="T115" s="1411">
        <v>0</v>
      </c>
      <c r="U115" s="1411">
        <v>0</v>
      </c>
      <c r="V115" s="1411">
        <v>0</v>
      </c>
      <c r="W115" s="1411">
        <v>0</v>
      </c>
    </row>
    <row r="116" spans="1:23">
      <c r="B116" s="1431" t="s">
        <v>1573</v>
      </c>
      <c r="C116" s="1440">
        <f>SUM(D116:W116)</f>
        <v>2712.5</v>
      </c>
      <c r="D116" s="1410">
        <f t="shared" ref="D116:M116" si="117">D115*$C$114</f>
        <v>0</v>
      </c>
      <c r="E116" s="1410">
        <f t="shared" si="117"/>
        <v>0</v>
      </c>
      <c r="F116" s="1410">
        <f t="shared" si="117"/>
        <v>0</v>
      </c>
      <c r="G116" s="1410">
        <f t="shared" si="117"/>
        <v>0</v>
      </c>
      <c r="H116" s="1410">
        <f t="shared" si="117"/>
        <v>0</v>
      </c>
      <c r="I116" s="1410">
        <f t="shared" si="117"/>
        <v>0</v>
      </c>
      <c r="J116" s="1410">
        <f t="shared" si="117"/>
        <v>0</v>
      </c>
      <c r="K116" s="1410">
        <f t="shared" si="117"/>
        <v>0</v>
      </c>
      <c r="L116" s="1410">
        <f t="shared" si="117"/>
        <v>0</v>
      </c>
      <c r="M116" s="1410">
        <f t="shared" si="117"/>
        <v>0</v>
      </c>
      <c r="N116" s="1410">
        <f>N115*$C$114</f>
        <v>0</v>
      </c>
      <c r="O116" s="1410">
        <f>O115*$C$114</f>
        <v>0</v>
      </c>
      <c r="P116" s="1410">
        <f>P115*$C$114</f>
        <v>0</v>
      </c>
      <c r="Q116" s="1410">
        <f>Q115*$C$114</f>
        <v>0</v>
      </c>
      <c r="R116" s="1410">
        <f t="shared" ref="R116:W116" si="118">R115*$C$114</f>
        <v>0</v>
      </c>
      <c r="S116" s="1410">
        <f t="shared" si="118"/>
        <v>2712.5</v>
      </c>
      <c r="T116" s="1410">
        <f t="shared" si="118"/>
        <v>0</v>
      </c>
      <c r="U116" s="1410">
        <f t="shared" si="118"/>
        <v>0</v>
      </c>
      <c r="V116" s="1410">
        <f t="shared" si="118"/>
        <v>0</v>
      </c>
      <c r="W116" s="1410">
        <f t="shared" si="118"/>
        <v>0</v>
      </c>
    </row>
    <row r="117" spans="1:23">
      <c r="B117" s="1431" t="s">
        <v>868</v>
      </c>
      <c r="C117" s="1440"/>
      <c r="D117" s="1440">
        <f>D116</f>
        <v>0</v>
      </c>
      <c r="E117" s="1440">
        <f>E116</f>
        <v>0</v>
      </c>
      <c r="F117" s="1440">
        <f>F116</f>
        <v>0</v>
      </c>
      <c r="G117" s="1440">
        <f t="shared" ref="G117:W117" si="119">F120+G116</f>
        <v>0</v>
      </c>
      <c r="H117" s="1440">
        <f t="shared" si="119"/>
        <v>0</v>
      </c>
      <c r="I117" s="1440">
        <f t="shared" si="119"/>
        <v>0</v>
      </c>
      <c r="J117" s="1440">
        <f t="shared" si="119"/>
        <v>0</v>
      </c>
      <c r="K117" s="1440">
        <f t="shared" si="119"/>
        <v>0</v>
      </c>
      <c r="L117" s="1440">
        <f t="shared" si="119"/>
        <v>0</v>
      </c>
      <c r="M117" s="1440">
        <f t="shared" si="119"/>
        <v>0</v>
      </c>
      <c r="N117" s="1440">
        <f t="shared" si="119"/>
        <v>0</v>
      </c>
      <c r="O117" s="1440">
        <f t="shared" si="119"/>
        <v>0</v>
      </c>
      <c r="P117" s="1440">
        <f t="shared" si="119"/>
        <v>0</v>
      </c>
      <c r="Q117" s="1440">
        <f t="shared" si="119"/>
        <v>0</v>
      </c>
      <c r="R117" s="1440">
        <f t="shared" si="119"/>
        <v>0</v>
      </c>
      <c r="S117" s="1440">
        <f t="shared" si="119"/>
        <v>2712.5</v>
      </c>
      <c r="T117" s="1440">
        <f t="shared" si="119"/>
        <v>2712.5</v>
      </c>
      <c r="U117" s="1440">
        <f t="shared" si="119"/>
        <v>1356.25</v>
      </c>
      <c r="V117" s="1440">
        <f t="shared" si="119"/>
        <v>0</v>
      </c>
      <c r="W117" s="1440">
        <f t="shared" si="119"/>
        <v>0</v>
      </c>
    </row>
    <row r="118" spans="1:23">
      <c r="B118" s="1431" t="s">
        <v>1574</v>
      </c>
      <c r="C118" s="1440">
        <f>SUM(D118:W118)</f>
        <v>2712.5</v>
      </c>
      <c r="D118" s="1423"/>
      <c r="E118" s="1423"/>
      <c r="F118" s="1423"/>
      <c r="G118" s="1423"/>
      <c r="H118" s="1423"/>
      <c r="I118" s="1410"/>
      <c r="J118" s="1410"/>
      <c r="K118" s="1423"/>
      <c r="L118" s="1423"/>
      <c r="M118" s="1423">
        <v>0</v>
      </c>
      <c r="N118" s="1423">
        <f t="shared" ref="N118:S118" si="120">D114</f>
        <v>0</v>
      </c>
      <c r="O118" s="1423">
        <f t="shared" si="120"/>
        <v>0</v>
      </c>
      <c r="P118" s="1423">
        <f t="shared" si="120"/>
        <v>0</v>
      </c>
      <c r="Q118" s="1423">
        <f t="shared" si="120"/>
        <v>0</v>
      </c>
      <c r="R118" s="1423">
        <f t="shared" si="120"/>
        <v>0</v>
      </c>
      <c r="S118" s="1423">
        <f t="shared" si="120"/>
        <v>0</v>
      </c>
      <c r="T118" s="1423">
        <f>C114/2</f>
        <v>1356.25</v>
      </c>
      <c r="U118" s="1423">
        <f>T118</f>
        <v>1356.25</v>
      </c>
      <c r="V118" s="1423">
        <f>L114</f>
        <v>0</v>
      </c>
      <c r="W118" s="1423">
        <f>M114</f>
        <v>0</v>
      </c>
    </row>
    <row r="119" spans="1:23">
      <c r="B119" s="1431" t="s">
        <v>869</v>
      </c>
      <c r="C119" s="1440">
        <f>SUM(D119:W119)</f>
        <v>881.5625</v>
      </c>
      <c r="D119" s="1440">
        <f t="shared" ref="D119:M119" si="121">D117*D21</f>
        <v>0</v>
      </c>
      <c r="E119" s="1440">
        <f t="shared" si="121"/>
        <v>0</v>
      </c>
      <c r="F119" s="1440">
        <f t="shared" si="121"/>
        <v>0</v>
      </c>
      <c r="G119" s="1440">
        <f t="shared" si="121"/>
        <v>0</v>
      </c>
      <c r="H119" s="1440">
        <f t="shared" si="121"/>
        <v>0</v>
      </c>
      <c r="I119" s="1440">
        <f t="shared" si="121"/>
        <v>0</v>
      </c>
      <c r="J119" s="1440">
        <f t="shared" si="121"/>
        <v>0</v>
      </c>
      <c r="K119" s="1440">
        <f t="shared" si="121"/>
        <v>0</v>
      </c>
      <c r="L119" s="1440">
        <f t="shared" si="121"/>
        <v>0</v>
      </c>
      <c r="M119" s="1440">
        <f t="shared" si="121"/>
        <v>0</v>
      </c>
      <c r="N119" s="1440">
        <f>N117*N21</f>
        <v>0</v>
      </c>
      <c r="O119" s="1440">
        <f>O117*O21</f>
        <v>0</v>
      </c>
      <c r="P119" s="1440">
        <f>P117*P21</f>
        <v>0</v>
      </c>
      <c r="Q119" s="1440">
        <f>Q117*Q21</f>
        <v>0</v>
      </c>
      <c r="R119" s="1440">
        <f t="shared" ref="R119:W119" si="122">R117*R21</f>
        <v>0</v>
      </c>
      <c r="S119" s="1440">
        <f t="shared" si="122"/>
        <v>352.625</v>
      </c>
      <c r="T119" s="1440">
        <f t="shared" si="122"/>
        <v>352.625</v>
      </c>
      <c r="U119" s="1440">
        <f t="shared" si="122"/>
        <v>176.3125</v>
      </c>
      <c r="V119" s="1440">
        <f t="shared" si="122"/>
        <v>0</v>
      </c>
      <c r="W119" s="1440">
        <f t="shared" si="122"/>
        <v>0</v>
      </c>
    </row>
    <row r="120" spans="1:23">
      <c r="B120" s="1431" t="s">
        <v>874</v>
      </c>
      <c r="C120" s="1440"/>
      <c r="D120" s="1440">
        <f t="shared" ref="D120:M120" si="123">D117-D118</f>
        <v>0</v>
      </c>
      <c r="E120" s="1440">
        <f t="shared" si="123"/>
        <v>0</v>
      </c>
      <c r="F120" s="1440">
        <f t="shared" si="123"/>
        <v>0</v>
      </c>
      <c r="G120" s="1440">
        <f t="shared" si="123"/>
        <v>0</v>
      </c>
      <c r="H120" s="1440">
        <f t="shared" si="123"/>
        <v>0</v>
      </c>
      <c r="I120" s="1440">
        <f t="shared" si="123"/>
        <v>0</v>
      </c>
      <c r="J120" s="1440">
        <f t="shared" si="123"/>
        <v>0</v>
      </c>
      <c r="K120" s="1440">
        <f t="shared" si="123"/>
        <v>0</v>
      </c>
      <c r="L120" s="1440">
        <f t="shared" si="123"/>
        <v>0</v>
      </c>
      <c r="M120" s="1440">
        <f t="shared" si="123"/>
        <v>0</v>
      </c>
      <c r="N120" s="1440">
        <f>N117-N118</f>
        <v>0</v>
      </c>
      <c r="O120" s="1440">
        <f>O117-O118</f>
        <v>0</v>
      </c>
      <c r="P120" s="1440">
        <f>P117-P118</f>
        <v>0</v>
      </c>
      <c r="Q120" s="1440">
        <f>Q117-Q118</f>
        <v>0</v>
      </c>
      <c r="R120" s="1440">
        <f t="shared" ref="R120:W120" si="124">R117-R118</f>
        <v>0</v>
      </c>
      <c r="S120" s="1440">
        <f t="shared" si="124"/>
        <v>2712.5</v>
      </c>
      <c r="T120" s="1440">
        <f t="shared" si="124"/>
        <v>1356.25</v>
      </c>
      <c r="U120" s="1440">
        <f t="shared" si="124"/>
        <v>0</v>
      </c>
      <c r="V120" s="1440">
        <f t="shared" si="124"/>
        <v>0</v>
      </c>
      <c r="W120" s="1440">
        <f t="shared" si="124"/>
        <v>0</v>
      </c>
    </row>
    <row r="121" spans="1:23">
      <c r="C121" s="1440"/>
      <c r="D121" s="1412"/>
      <c r="E121" s="1440"/>
      <c r="F121" s="1440"/>
      <c r="G121" s="1440"/>
      <c r="H121" s="1440"/>
    </row>
    <row r="122" spans="1:23">
      <c r="C122" s="1440"/>
    </row>
    <row r="123" spans="1:23" s="1407" customFormat="1">
      <c r="A123" s="1406">
        <v>9</v>
      </c>
      <c r="B123" s="1407" t="s">
        <v>350</v>
      </c>
      <c r="C123" s="1440"/>
      <c r="D123" s="1431">
        <f t="shared" ref="D123:J123" si="125">D95</f>
        <v>2013</v>
      </c>
      <c r="E123" s="1431">
        <f t="shared" si="125"/>
        <v>2014</v>
      </c>
      <c r="F123" s="1431">
        <f t="shared" si="125"/>
        <v>2015</v>
      </c>
      <c r="G123" s="1431">
        <f t="shared" si="125"/>
        <v>2016</v>
      </c>
      <c r="H123" s="1431">
        <f t="shared" si="125"/>
        <v>2017</v>
      </c>
      <c r="I123" s="1431">
        <f t="shared" si="125"/>
        <v>2018</v>
      </c>
      <c r="J123" s="1431">
        <f t="shared" si="125"/>
        <v>2019</v>
      </c>
      <c r="K123" s="1431">
        <f t="shared" ref="K123:Q123" si="126">K95</f>
        <v>2020</v>
      </c>
      <c r="L123" s="1431">
        <f t="shared" si="126"/>
        <v>2021</v>
      </c>
      <c r="M123" s="1431">
        <f t="shared" si="126"/>
        <v>2022</v>
      </c>
      <c r="N123" s="1431">
        <f t="shared" si="126"/>
        <v>2023</v>
      </c>
      <c r="O123" s="1431">
        <f t="shared" si="126"/>
        <v>2024</v>
      </c>
      <c r="P123" s="1431">
        <f t="shared" si="126"/>
        <v>2025</v>
      </c>
      <c r="Q123" s="1431">
        <f t="shared" si="126"/>
        <v>2026</v>
      </c>
      <c r="R123" s="1431">
        <f t="shared" ref="R123:W123" si="127">R95</f>
        <v>2027</v>
      </c>
      <c r="S123" s="1431">
        <f t="shared" si="127"/>
        <v>2028</v>
      </c>
      <c r="T123" s="1431">
        <f t="shared" si="127"/>
        <v>2029</v>
      </c>
      <c r="U123" s="1431">
        <f t="shared" si="127"/>
        <v>2030</v>
      </c>
      <c r="V123" s="1431">
        <f t="shared" si="127"/>
        <v>2031</v>
      </c>
      <c r="W123" s="1431">
        <f t="shared" si="127"/>
        <v>2032</v>
      </c>
    </row>
    <row r="124" spans="1:23">
      <c r="B124" s="1432" t="s">
        <v>1575</v>
      </c>
      <c r="C124" s="1441"/>
      <c r="D124" s="1441">
        <f>D63</f>
        <v>0</v>
      </c>
      <c r="E124" s="1408">
        <f t="shared" ref="E124:M124" si="128">D124+E63</f>
        <v>0</v>
      </c>
      <c r="F124" s="1408">
        <f t="shared" si="128"/>
        <v>0</v>
      </c>
      <c r="G124" s="1408">
        <f t="shared" si="128"/>
        <v>0</v>
      </c>
      <c r="H124" s="1408">
        <f t="shared" si="128"/>
        <v>0</v>
      </c>
      <c r="I124" s="1408">
        <f t="shared" si="128"/>
        <v>0</v>
      </c>
      <c r="J124" s="1408">
        <f t="shared" si="128"/>
        <v>0</v>
      </c>
      <c r="K124" s="1408">
        <f t="shared" si="128"/>
        <v>0</v>
      </c>
      <c r="L124" s="1408">
        <f t="shared" si="128"/>
        <v>0</v>
      </c>
      <c r="M124" s="1408">
        <f t="shared" si="128"/>
        <v>0</v>
      </c>
      <c r="N124" s="1408">
        <f t="shared" ref="N124:W124" si="129">M124+N63</f>
        <v>0</v>
      </c>
      <c r="O124" s="1408">
        <f t="shared" si="129"/>
        <v>0</v>
      </c>
      <c r="P124" s="1408">
        <f t="shared" si="129"/>
        <v>0</v>
      </c>
      <c r="Q124" s="1408">
        <f t="shared" si="129"/>
        <v>0</v>
      </c>
      <c r="R124" s="1408">
        <f t="shared" si="129"/>
        <v>0</v>
      </c>
      <c r="S124" s="1408">
        <f t="shared" si="129"/>
        <v>0</v>
      </c>
      <c r="T124" s="1408">
        <f t="shared" si="129"/>
        <v>1312.5</v>
      </c>
      <c r="U124" s="1408">
        <f t="shared" si="129"/>
        <v>3937.5</v>
      </c>
      <c r="V124" s="1408">
        <f t="shared" si="129"/>
        <v>7000</v>
      </c>
      <c r="W124" s="1408">
        <f t="shared" si="129"/>
        <v>8750</v>
      </c>
    </row>
    <row r="125" spans="1:23">
      <c r="B125" s="1431" t="s">
        <v>1576</v>
      </c>
      <c r="C125" s="1440"/>
      <c r="D125" s="1440">
        <f>D57</f>
        <v>0</v>
      </c>
      <c r="E125" s="1440">
        <f t="shared" ref="E125:M125" si="130">D125+E57</f>
        <v>0</v>
      </c>
      <c r="F125" s="1440">
        <f t="shared" si="130"/>
        <v>0</v>
      </c>
      <c r="G125" s="1440">
        <f t="shared" si="130"/>
        <v>0</v>
      </c>
      <c r="H125" s="1440">
        <f t="shared" si="130"/>
        <v>0</v>
      </c>
      <c r="I125" s="1440">
        <f t="shared" si="130"/>
        <v>0</v>
      </c>
      <c r="J125" s="1440">
        <f t="shared" si="130"/>
        <v>0</v>
      </c>
      <c r="K125" s="1440">
        <f t="shared" si="130"/>
        <v>0</v>
      </c>
      <c r="L125" s="1440">
        <f t="shared" si="130"/>
        <v>0</v>
      </c>
      <c r="M125" s="1440">
        <f t="shared" si="130"/>
        <v>0</v>
      </c>
      <c r="N125" s="1440">
        <f t="shared" ref="N125:W125" si="131">M125+N57</f>
        <v>0</v>
      </c>
      <c r="O125" s="1440">
        <f t="shared" si="131"/>
        <v>0</v>
      </c>
      <c r="P125" s="1440">
        <f t="shared" si="131"/>
        <v>0</v>
      </c>
      <c r="Q125" s="1440">
        <f t="shared" si="131"/>
        <v>0</v>
      </c>
      <c r="R125" s="1440">
        <f t="shared" si="131"/>
        <v>0</v>
      </c>
      <c r="S125" s="1440">
        <f t="shared" si="131"/>
        <v>0</v>
      </c>
      <c r="T125" s="1440">
        <f t="shared" si="131"/>
        <v>0</v>
      </c>
      <c r="U125" s="1440">
        <f t="shared" si="131"/>
        <v>2625</v>
      </c>
      <c r="V125" s="1440">
        <f t="shared" si="131"/>
        <v>5250</v>
      </c>
      <c r="W125" s="1440">
        <f t="shared" si="131"/>
        <v>8750</v>
      </c>
    </row>
    <row r="126" spans="1:23">
      <c r="B126" s="1431" t="s">
        <v>1577</v>
      </c>
      <c r="C126" s="1440"/>
      <c r="D126" s="1440">
        <f>D50</f>
        <v>0</v>
      </c>
      <c r="E126" s="1440">
        <f t="shared" ref="E126:M126" si="132">D126+E50</f>
        <v>0</v>
      </c>
      <c r="F126" s="1440">
        <f t="shared" si="132"/>
        <v>0</v>
      </c>
      <c r="G126" s="1440">
        <f t="shared" si="132"/>
        <v>0</v>
      </c>
      <c r="H126" s="1440">
        <f t="shared" si="132"/>
        <v>0</v>
      </c>
      <c r="I126" s="1440">
        <f t="shared" si="132"/>
        <v>0</v>
      </c>
      <c r="J126" s="1440">
        <f t="shared" si="132"/>
        <v>0</v>
      </c>
      <c r="K126" s="1440">
        <f t="shared" si="132"/>
        <v>0</v>
      </c>
      <c r="L126" s="1440">
        <f t="shared" si="132"/>
        <v>0</v>
      </c>
      <c r="M126" s="1440">
        <f t="shared" si="132"/>
        <v>0</v>
      </c>
      <c r="N126" s="1440">
        <f t="shared" ref="N126:W126" si="133">M126+N50</f>
        <v>0</v>
      </c>
      <c r="O126" s="1440">
        <f t="shared" si="133"/>
        <v>0</v>
      </c>
      <c r="P126" s="1440">
        <f t="shared" si="133"/>
        <v>0</v>
      </c>
      <c r="Q126" s="1440">
        <f t="shared" si="133"/>
        <v>0</v>
      </c>
      <c r="R126" s="1440">
        <f t="shared" si="133"/>
        <v>0</v>
      </c>
      <c r="S126" s="1440">
        <f t="shared" si="133"/>
        <v>0</v>
      </c>
      <c r="T126" s="1440">
        <f t="shared" si="133"/>
        <v>2625</v>
      </c>
      <c r="U126" s="1440">
        <f t="shared" si="133"/>
        <v>5250</v>
      </c>
      <c r="V126" s="1440">
        <f t="shared" si="133"/>
        <v>8750</v>
      </c>
      <c r="W126" s="1440">
        <f t="shared" si="133"/>
        <v>8750</v>
      </c>
    </row>
    <row r="127" spans="1:23">
      <c r="B127" s="1431" t="s">
        <v>1578</v>
      </c>
      <c r="C127" s="1440"/>
      <c r="D127" s="1436" t="str">
        <f t="shared" ref="D127:J127" si="134">IF(D124&lt;&gt;0,D124/D126,"")</f>
        <v/>
      </c>
      <c r="E127" s="1436" t="str">
        <f t="shared" si="134"/>
        <v/>
      </c>
      <c r="F127" s="1436" t="str">
        <f t="shared" si="134"/>
        <v/>
      </c>
      <c r="G127" s="1436" t="str">
        <f t="shared" si="134"/>
        <v/>
      </c>
      <c r="H127" s="1436" t="str">
        <f t="shared" si="134"/>
        <v/>
      </c>
      <c r="I127" s="1436" t="str">
        <f t="shared" si="134"/>
        <v/>
      </c>
      <c r="J127" s="1436" t="str">
        <f t="shared" si="134"/>
        <v/>
      </c>
      <c r="K127" s="1436" t="str">
        <f t="shared" ref="K127:Q127" si="135">IF(K124&lt;&gt;0,K124/K126,"")</f>
        <v/>
      </c>
      <c r="L127" s="1436" t="str">
        <f t="shared" si="135"/>
        <v/>
      </c>
      <c r="M127" s="1436" t="str">
        <f t="shared" si="135"/>
        <v/>
      </c>
      <c r="N127" s="1436" t="str">
        <f t="shared" si="135"/>
        <v/>
      </c>
      <c r="O127" s="1436" t="str">
        <f t="shared" si="135"/>
        <v/>
      </c>
      <c r="P127" s="1436" t="str">
        <f t="shared" si="135"/>
        <v/>
      </c>
      <c r="Q127" s="1436" t="str">
        <f t="shared" si="135"/>
        <v/>
      </c>
      <c r="R127" s="1436" t="str">
        <f t="shared" ref="R127:W127" si="136">IF(R124&lt;&gt;0,R124/R126,"")</f>
        <v/>
      </c>
      <c r="S127" s="1436" t="str">
        <f t="shared" si="136"/>
        <v/>
      </c>
      <c r="T127" s="1436">
        <f t="shared" si="136"/>
        <v>0.5</v>
      </c>
      <c r="U127" s="1436">
        <f t="shared" si="136"/>
        <v>0.75</v>
      </c>
      <c r="V127" s="1436">
        <f t="shared" si="136"/>
        <v>0.8</v>
      </c>
      <c r="W127" s="1436">
        <f t="shared" si="136"/>
        <v>1</v>
      </c>
    </row>
    <row r="128" spans="1:23">
      <c r="B128" s="1431" t="s">
        <v>1579</v>
      </c>
      <c r="C128" s="1440"/>
      <c r="D128" s="1410">
        <f t="shared" ref="D128:J128" si="137">IF(D124&gt;D125,D124-D125,0)</f>
        <v>0</v>
      </c>
      <c r="E128" s="1410">
        <f t="shared" si="137"/>
        <v>0</v>
      </c>
      <c r="F128" s="1410">
        <f t="shared" si="137"/>
        <v>0</v>
      </c>
      <c r="G128" s="1410">
        <f t="shared" si="137"/>
        <v>0</v>
      </c>
      <c r="H128" s="1410">
        <f t="shared" si="137"/>
        <v>0</v>
      </c>
      <c r="I128" s="1410">
        <f t="shared" si="137"/>
        <v>0</v>
      </c>
      <c r="J128" s="1410">
        <f t="shared" si="137"/>
        <v>0</v>
      </c>
      <c r="K128" s="1410">
        <f t="shared" ref="K128:Q128" si="138">IF(K124&gt;K125,K124-K125,0)</f>
        <v>0</v>
      </c>
      <c r="L128" s="1410">
        <f t="shared" si="138"/>
        <v>0</v>
      </c>
      <c r="M128" s="1410">
        <f t="shared" si="138"/>
        <v>0</v>
      </c>
      <c r="N128" s="1410">
        <f t="shared" si="138"/>
        <v>0</v>
      </c>
      <c r="O128" s="1410">
        <f t="shared" si="138"/>
        <v>0</v>
      </c>
      <c r="P128" s="1410">
        <f t="shared" si="138"/>
        <v>0</v>
      </c>
      <c r="Q128" s="1410">
        <f t="shared" si="138"/>
        <v>0</v>
      </c>
      <c r="R128" s="1410">
        <f t="shared" ref="R128:W128" si="139">IF(R124&gt;R125,R124-R125,0)</f>
        <v>0</v>
      </c>
      <c r="S128" s="1410">
        <f t="shared" si="139"/>
        <v>0</v>
      </c>
      <c r="T128" s="1410">
        <f t="shared" si="139"/>
        <v>1312.5</v>
      </c>
      <c r="U128" s="1410">
        <f t="shared" si="139"/>
        <v>1312.5</v>
      </c>
      <c r="V128" s="1410">
        <f t="shared" si="139"/>
        <v>1750</v>
      </c>
      <c r="W128" s="1410">
        <f t="shared" si="139"/>
        <v>0</v>
      </c>
    </row>
    <row r="129" spans="1:23" s="1407" customFormat="1">
      <c r="A129" s="1406"/>
      <c r="B129" s="1431" t="s">
        <v>1580</v>
      </c>
      <c r="C129" s="1440"/>
      <c r="D129" s="1410">
        <f t="shared" ref="D129:J129" si="140">IF(D125&gt;D124,D125-D124,0)</f>
        <v>0</v>
      </c>
      <c r="E129" s="1410">
        <f t="shared" si="140"/>
        <v>0</v>
      </c>
      <c r="F129" s="1410">
        <f t="shared" si="140"/>
        <v>0</v>
      </c>
      <c r="G129" s="1410">
        <f t="shared" si="140"/>
        <v>0</v>
      </c>
      <c r="H129" s="1410">
        <f t="shared" si="140"/>
        <v>0</v>
      </c>
      <c r="I129" s="1410">
        <f t="shared" si="140"/>
        <v>0</v>
      </c>
      <c r="J129" s="1410">
        <f t="shared" si="140"/>
        <v>0</v>
      </c>
      <c r="K129" s="1410">
        <f t="shared" ref="K129:Q129" si="141">IF(K125&gt;K124,K125-K124,0)</f>
        <v>0</v>
      </c>
      <c r="L129" s="1410">
        <f t="shared" si="141"/>
        <v>0</v>
      </c>
      <c r="M129" s="1410">
        <f t="shared" si="141"/>
        <v>0</v>
      </c>
      <c r="N129" s="1410">
        <f t="shared" si="141"/>
        <v>0</v>
      </c>
      <c r="O129" s="1410">
        <f t="shared" si="141"/>
        <v>0</v>
      </c>
      <c r="P129" s="1410">
        <f t="shared" si="141"/>
        <v>0</v>
      </c>
      <c r="Q129" s="1410">
        <f t="shared" si="141"/>
        <v>0</v>
      </c>
      <c r="R129" s="1410">
        <f t="shared" ref="R129:W129" si="142">IF(R125&gt;R124,R125-R124,0)</f>
        <v>0</v>
      </c>
      <c r="S129" s="1410">
        <f t="shared" si="142"/>
        <v>0</v>
      </c>
      <c r="T129" s="1410">
        <f t="shared" si="142"/>
        <v>0</v>
      </c>
      <c r="U129" s="1410">
        <f t="shared" si="142"/>
        <v>0</v>
      </c>
      <c r="V129" s="1410">
        <f t="shared" si="142"/>
        <v>0</v>
      </c>
      <c r="W129" s="1410">
        <f t="shared" si="142"/>
        <v>0</v>
      </c>
    </row>
    <row r="130" spans="1:23">
      <c r="B130" s="1407"/>
      <c r="E130" s="1440"/>
      <c r="F130" s="1440"/>
      <c r="G130" s="1440"/>
      <c r="H130" s="1440"/>
      <c r="I130" s="1440"/>
      <c r="J130" s="1440"/>
      <c r="K130" s="1440"/>
      <c r="L130" s="1440"/>
      <c r="M130" s="1440"/>
      <c r="N130" s="1440"/>
      <c r="O130" s="1440"/>
      <c r="P130" s="1440"/>
      <c r="Q130" s="1440"/>
      <c r="R130" s="1440"/>
      <c r="S130" s="1440"/>
      <c r="T130" s="1440"/>
      <c r="U130" s="1440"/>
      <c r="V130" s="1440"/>
      <c r="W130" s="1440"/>
    </row>
    <row r="131" spans="1:23">
      <c r="B131" s="1407" t="s">
        <v>1492</v>
      </c>
      <c r="E131" s="1440"/>
      <c r="F131" s="1440"/>
      <c r="G131" s="1440"/>
      <c r="H131" s="1440"/>
      <c r="I131" s="1440"/>
      <c r="J131" s="1440"/>
      <c r="K131" s="1440"/>
      <c r="L131" s="1440"/>
      <c r="M131" s="1440"/>
      <c r="N131" s="1440"/>
      <c r="O131" s="1440"/>
      <c r="P131" s="1440"/>
      <c r="Q131" s="1440"/>
      <c r="R131" s="1440"/>
      <c r="S131" s="1440"/>
      <c r="T131" s="1440"/>
      <c r="U131" s="1440"/>
      <c r="V131" s="1440"/>
      <c r="W131" s="1440"/>
    </row>
    <row r="132" spans="1:23">
      <c r="B132" s="1431" t="s">
        <v>1581</v>
      </c>
      <c r="D132" s="1412">
        <v>0</v>
      </c>
      <c r="E132" s="1410">
        <f t="shared" ref="E132:J132" si="143">D136</f>
        <v>0</v>
      </c>
      <c r="F132" s="1440">
        <f t="shared" si="143"/>
        <v>0</v>
      </c>
      <c r="G132" s="1440">
        <f t="shared" si="143"/>
        <v>0</v>
      </c>
      <c r="H132" s="1440">
        <f t="shared" si="143"/>
        <v>0</v>
      </c>
      <c r="I132" s="1440">
        <f t="shared" si="143"/>
        <v>0</v>
      </c>
      <c r="J132" s="1440">
        <f t="shared" si="143"/>
        <v>0</v>
      </c>
      <c r="K132" s="1440">
        <f t="shared" ref="K132:W132" si="144">J136</f>
        <v>0</v>
      </c>
      <c r="L132" s="1440">
        <f t="shared" si="144"/>
        <v>0</v>
      </c>
      <c r="M132" s="1440">
        <f t="shared" si="144"/>
        <v>0</v>
      </c>
      <c r="N132" s="1440">
        <f t="shared" si="144"/>
        <v>0</v>
      </c>
      <c r="O132" s="1440">
        <f t="shared" si="144"/>
        <v>0</v>
      </c>
      <c r="P132" s="1440">
        <f t="shared" si="144"/>
        <v>0</v>
      </c>
      <c r="Q132" s="1440">
        <f t="shared" si="144"/>
        <v>0</v>
      </c>
      <c r="R132" s="1440">
        <f t="shared" si="144"/>
        <v>0</v>
      </c>
      <c r="S132" s="1440">
        <f t="shared" si="144"/>
        <v>0</v>
      </c>
      <c r="T132" s="1440">
        <f t="shared" si="144"/>
        <v>1200</v>
      </c>
      <c r="U132" s="1440">
        <f t="shared" si="144"/>
        <v>2100</v>
      </c>
      <c r="V132" s="1440">
        <f t="shared" si="144"/>
        <v>1740</v>
      </c>
      <c r="W132" s="1440">
        <f t="shared" si="144"/>
        <v>1080</v>
      </c>
    </row>
    <row r="133" spans="1:23">
      <c r="B133" s="1431" t="s">
        <v>994</v>
      </c>
      <c r="D133" s="1440">
        <f t="shared" ref="D133:M133" si="145">SUM(D99:D100)</f>
        <v>0</v>
      </c>
      <c r="E133" s="1440">
        <f t="shared" si="145"/>
        <v>0</v>
      </c>
      <c r="F133" s="1440">
        <f t="shared" si="145"/>
        <v>0</v>
      </c>
      <c r="G133" s="1440">
        <f t="shared" si="145"/>
        <v>0</v>
      </c>
      <c r="H133" s="1440">
        <f t="shared" si="145"/>
        <v>0</v>
      </c>
      <c r="I133" s="1440">
        <f t="shared" si="145"/>
        <v>0</v>
      </c>
      <c r="J133" s="1440">
        <f t="shared" si="145"/>
        <v>0</v>
      </c>
      <c r="K133" s="1440">
        <f t="shared" si="145"/>
        <v>0</v>
      </c>
      <c r="L133" s="1440">
        <f t="shared" si="145"/>
        <v>0</v>
      </c>
      <c r="M133" s="1440">
        <f t="shared" si="145"/>
        <v>0</v>
      </c>
      <c r="N133" s="1440">
        <f>SUM(N99:N100)</f>
        <v>0</v>
      </c>
      <c r="O133" s="1440">
        <f>SUM(O99:O100)</f>
        <v>0</v>
      </c>
      <c r="P133" s="1440">
        <f>SUM(P99:P100)</f>
        <v>0</v>
      </c>
      <c r="Q133" s="1440">
        <f>SUM(Q99:Q100)</f>
        <v>0</v>
      </c>
      <c r="R133" s="1440">
        <f t="shared" ref="R133:W133" si="146">SUM(R99:R100)</f>
        <v>0</v>
      </c>
      <c r="S133" s="1440">
        <f t="shared" si="146"/>
        <v>1200</v>
      </c>
      <c r="T133" s="1440">
        <f t="shared" si="146"/>
        <v>900</v>
      </c>
      <c r="U133" s="1440">
        <f t="shared" si="146"/>
        <v>900</v>
      </c>
      <c r="V133" s="1440">
        <f t="shared" si="146"/>
        <v>600</v>
      </c>
      <c r="W133" s="1440">
        <f t="shared" si="146"/>
        <v>600</v>
      </c>
    </row>
    <row r="134" spans="1:23">
      <c r="B134" s="1431" t="s">
        <v>1582</v>
      </c>
      <c r="D134" s="1431">
        <f t="shared" ref="D134:J134" si="147">$C$77*D58</f>
        <v>0</v>
      </c>
      <c r="E134" s="1431">
        <f t="shared" si="147"/>
        <v>0</v>
      </c>
      <c r="F134" s="1440">
        <f t="shared" si="147"/>
        <v>0</v>
      </c>
      <c r="G134" s="1440">
        <f t="shared" si="147"/>
        <v>0</v>
      </c>
      <c r="H134" s="1440">
        <f t="shared" si="147"/>
        <v>0</v>
      </c>
      <c r="I134" s="1440">
        <f t="shared" si="147"/>
        <v>0</v>
      </c>
      <c r="J134" s="1440">
        <f t="shared" si="147"/>
        <v>0</v>
      </c>
      <c r="K134" s="1440">
        <f t="shared" ref="K134:Q134" si="148">$C$77*K58</f>
        <v>0</v>
      </c>
      <c r="L134" s="1440">
        <f t="shared" si="148"/>
        <v>0</v>
      </c>
      <c r="M134" s="1440">
        <f t="shared" si="148"/>
        <v>0</v>
      </c>
      <c r="N134" s="1440">
        <f t="shared" si="148"/>
        <v>0</v>
      </c>
      <c r="O134" s="1440">
        <f t="shared" si="148"/>
        <v>0</v>
      </c>
      <c r="P134" s="1440">
        <f t="shared" si="148"/>
        <v>0</v>
      </c>
      <c r="Q134" s="1440">
        <f t="shared" si="148"/>
        <v>0</v>
      </c>
      <c r="R134" s="1440">
        <f t="shared" ref="R134:W134" si="149">$C$77*R58</f>
        <v>0</v>
      </c>
      <c r="S134" s="1440">
        <f t="shared" si="149"/>
        <v>0</v>
      </c>
      <c r="T134" s="1440">
        <f t="shared" si="149"/>
        <v>0</v>
      </c>
      <c r="U134" s="1440">
        <f t="shared" si="149"/>
        <v>264.46875</v>
      </c>
      <c r="V134" s="1440">
        <f t="shared" si="149"/>
        <v>264.46875</v>
      </c>
      <c r="W134" s="1440">
        <f t="shared" si="149"/>
        <v>352.625</v>
      </c>
    </row>
    <row r="135" spans="1:23">
      <c r="B135" s="1431" t="s">
        <v>1583</v>
      </c>
      <c r="D135" s="1440">
        <f t="shared" ref="D135:J135" si="150">SUM(D75:D77)</f>
        <v>0</v>
      </c>
      <c r="E135" s="1440">
        <f t="shared" si="150"/>
        <v>0</v>
      </c>
      <c r="F135" s="1440">
        <f t="shared" si="150"/>
        <v>0</v>
      </c>
      <c r="G135" s="1440">
        <f t="shared" si="150"/>
        <v>0</v>
      </c>
      <c r="H135" s="1440">
        <f t="shared" si="150"/>
        <v>0</v>
      </c>
      <c r="I135" s="1440">
        <f t="shared" si="150"/>
        <v>0</v>
      </c>
      <c r="J135" s="1440">
        <f t="shared" si="150"/>
        <v>0</v>
      </c>
      <c r="K135" s="1440">
        <f t="shared" ref="K135:Q135" si="151">SUM(K75:K77)</f>
        <v>0</v>
      </c>
      <c r="L135" s="1440">
        <f t="shared" si="151"/>
        <v>0</v>
      </c>
      <c r="M135" s="1440">
        <f t="shared" si="151"/>
        <v>0</v>
      </c>
      <c r="N135" s="1440">
        <f t="shared" si="151"/>
        <v>0</v>
      </c>
      <c r="O135" s="1440">
        <f t="shared" si="151"/>
        <v>0</v>
      </c>
      <c r="P135" s="1440">
        <f t="shared" si="151"/>
        <v>0</v>
      </c>
      <c r="Q135" s="1440">
        <f t="shared" si="151"/>
        <v>0</v>
      </c>
      <c r="R135" s="1440">
        <f t="shared" ref="R135:W135" si="152">SUM(R75:R77)</f>
        <v>0</v>
      </c>
      <c r="S135" s="1440">
        <f t="shared" si="152"/>
        <v>0</v>
      </c>
      <c r="T135" s="1440">
        <f t="shared" si="152"/>
        <v>0</v>
      </c>
      <c r="U135" s="1440">
        <f t="shared" si="152"/>
        <v>1524.46875</v>
      </c>
      <c r="V135" s="1440">
        <f t="shared" si="152"/>
        <v>1524.46875</v>
      </c>
      <c r="W135" s="1440">
        <f t="shared" si="152"/>
        <v>2032.625</v>
      </c>
    </row>
    <row r="136" spans="1:23">
      <c r="B136" s="1431" t="s">
        <v>874</v>
      </c>
      <c r="D136" s="1440">
        <f t="shared" ref="D136:M136" si="153">SUM(D132:D134)-D135</f>
        <v>0</v>
      </c>
      <c r="E136" s="1440">
        <f t="shared" si="153"/>
        <v>0</v>
      </c>
      <c r="F136" s="1440">
        <f t="shared" si="153"/>
        <v>0</v>
      </c>
      <c r="G136" s="1440">
        <f t="shared" si="153"/>
        <v>0</v>
      </c>
      <c r="H136" s="1440">
        <f t="shared" si="153"/>
        <v>0</v>
      </c>
      <c r="I136" s="1440">
        <f t="shared" si="153"/>
        <v>0</v>
      </c>
      <c r="J136" s="1440">
        <f t="shared" si="153"/>
        <v>0</v>
      </c>
      <c r="K136" s="1440">
        <f t="shared" si="153"/>
        <v>0</v>
      </c>
      <c r="L136" s="1440">
        <f t="shared" si="153"/>
        <v>0</v>
      </c>
      <c r="M136" s="1440">
        <f t="shared" si="153"/>
        <v>0</v>
      </c>
      <c r="N136" s="1440">
        <f>SUM(N132:N134)-N135</f>
        <v>0</v>
      </c>
      <c r="O136" s="1440">
        <f>SUM(O132:O134)-O135</f>
        <v>0</v>
      </c>
      <c r="P136" s="1440">
        <f>SUM(P132:P134)-P135</f>
        <v>0</v>
      </c>
      <c r="Q136" s="1440">
        <f>SUM(Q132:Q134)-Q135</f>
        <v>0</v>
      </c>
      <c r="R136" s="1440">
        <f t="shared" ref="R136:W136" si="154">SUM(R132:R134)-R135</f>
        <v>0</v>
      </c>
      <c r="S136" s="1440">
        <f t="shared" si="154"/>
        <v>1200</v>
      </c>
      <c r="T136" s="1440">
        <f t="shared" si="154"/>
        <v>2100</v>
      </c>
      <c r="U136" s="1440">
        <f t="shared" si="154"/>
        <v>1740</v>
      </c>
      <c r="V136" s="1440">
        <f t="shared" si="154"/>
        <v>1080</v>
      </c>
      <c r="W136" s="1440">
        <f t="shared" si="154"/>
        <v>0</v>
      </c>
    </row>
    <row r="137" spans="1:23">
      <c r="A137" s="1430" t="s">
        <v>1584</v>
      </c>
      <c r="B137" s="1432"/>
      <c r="C137" s="1432"/>
      <c r="D137" s="1432"/>
      <c r="E137" s="1432"/>
      <c r="F137" s="1432"/>
      <c r="G137" s="1432"/>
      <c r="H137" s="1432"/>
      <c r="I137" s="1432"/>
      <c r="J137" s="1432"/>
      <c r="K137" s="1432"/>
      <c r="L137" s="1432"/>
      <c r="M137" s="1432"/>
      <c r="N137" s="1432"/>
      <c r="O137" s="1432"/>
      <c r="P137" s="1432"/>
      <c r="Q137" s="1432"/>
      <c r="R137" s="1432"/>
      <c r="S137" s="1432"/>
      <c r="T137" s="1432"/>
      <c r="U137" s="1432"/>
      <c r="V137" s="1432"/>
      <c r="W137" s="1432"/>
    </row>
  </sheetData>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W137"/>
  <sheetViews>
    <sheetView topLeftCell="A18" zoomScaleNormal="100" workbookViewId="0">
      <selection activeCell="N9" sqref="N9"/>
    </sheetView>
  </sheetViews>
  <sheetFormatPr defaultColWidth="9.140625" defaultRowHeight="12"/>
  <cols>
    <col min="1" max="1" width="5.85546875" style="1406" customWidth="1"/>
    <col min="2" max="2" width="27.140625" style="1431" customWidth="1"/>
    <col min="3" max="13" width="9.140625" style="1431" customWidth="1"/>
    <col min="14" max="14" width="9.140625" style="1431" bestFit="1" customWidth="1"/>
    <col min="15" max="16384" width="9.140625" style="1431"/>
  </cols>
  <sheetData>
    <row r="1" spans="1:23" ht="21">
      <c r="A1" s="1404" t="s">
        <v>2432</v>
      </c>
    </row>
    <row r="2" spans="1:23">
      <c r="A2" s="1405" t="s">
        <v>1776</v>
      </c>
    </row>
    <row r="4" spans="1:23">
      <c r="B4" s="1407" t="s">
        <v>1539</v>
      </c>
      <c r="F4" s="1407" t="s">
        <v>1540</v>
      </c>
      <c r="K4" s="1407" t="s">
        <v>1595</v>
      </c>
      <c r="P4" s="1407" t="s">
        <v>1783</v>
      </c>
    </row>
    <row r="5" spans="1:23">
      <c r="B5" s="1432" t="s">
        <v>748</v>
      </c>
      <c r="C5" s="1432"/>
      <c r="D5" s="1408">
        <f>SUM(D6:D8)</f>
        <v>1998</v>
      </c>
      <c r="F5" s="1432" t="s">
        <v>636</v>
      </c>
      <c r="G5" s="1432"/>
      <c r="H5" s="1432"/>
      <c r="I5" s="1409">
        <v>1</v>
      </c>
      <c r="K5" s="1432" t="s">
        <v>26</v>
      </c>
      <c r="L5" s="1432"/>
      <c r="M5" s="1432"/>
      <c r="N5" s="1441">
        <f>C83</f>
        <v>3264.0000000000005</v>
      </c>
      <c r="P5" s="1432" t="s">
        <v>1777</v>
      </c>
      <c r="Q5" s="1432"/>
      <c r="R5" s="1432"/>
      <c r="S5" s="1422">
        <v>765</v>
      </c>
    </row>
    <row r="6" spans="1:23">
      <c r="B6" s="1431" t="s">
        <v>678</v>
      </c>
      <c r="D6" s="1410">
        <f>SUM(E31:E32)</f>
        <v>341.04</v>
      </c>
      <c r="F6" s="1431" t="s">
        <v>1542</v>
      </c>
      <c r="I6" s="1586">
        <v>0.5</v>
      </c>
      <c r="K6" s="1431" t="s">
        <v>197</v>
      </c>
      <c r="N6" s="1436">
        <f>C91</f>
        <v>0.52786764705882361</v>
      </c>
      <c r="P6" s="1431" t="s">
        <v>1778</v>
      </c>
      <c r="S6" s="1440">
        <f>D42/S5</f>
        <v>71.111111111111114</v>
      </c>
    </row>
    <row r="7" spans="1:23">
      <c r="B7" s="1431" t="s">
        <v>750</v>
      </c>
      <c r="D7" s="1410">
        <f>C70</f>
        <v>1200</v>
      </c>
      <c r="F7" s="1431" t="s">
        <v>759</v>
      </c>
      <c r="I7" s="1440">
        <f>C114</f>
        <v>999</v>
      </c>
      <c r="K7" s="1431" t="s">
        <v>1779</v>
      </c>
      <c r="N7" s="1436">
        <f>C92</f>
        <v>0.31029411764705889</v>
      </c>
      <c r="P7" s="1431" t="s">
        <v>1792</v>
      </c>
      <c r="S7" s="1412">
        <v>60</v>
      </c>
    </row>
    <row r="8" spans="1:23">
      <c r="B8" s="1431" t="s">
        <v>656</v>
      </c>
      <c r="D8" s="1440">
        <f>C79</f>
        <v>456.96000000000009</v>
      </c>
      <c r="F8" s="1431" t="s">
        <v>1544</v>
      </c>
      <c r="I8" s="1433">
        <f>G23</f>
        <v>0.1105</v>
      </c>
      <c r="K8" s="1431" t="s">
        <v>1720</v>
      </c>
      <c r="N8" s="1440">
        <f>C105</f>
        <v>454.12525485327836</v>
      </c>
      <c r="P8" s="1431" t="s">
        <v>1784</v>
      </c>
      <c r="S8" s="1423">
        <v>40</v>
      </c>
    </row>
    <row r="9" spans="1:23">
      <c r="B9" s="1431" t="s">
        <v>869</v>
      </c>
      <c r="D9" s="1440">
        <f>C119</f>
        <v>454.54500000000002</v>
      </c>
      <c r="F9" s="1431" t="s">
        <v>1588</v>
      </c>
      <c r="I9" s="1425">
        <f>B109</f>
        <v>2.740690673456462</v>
      </c>
      <c r="K9" s="1431" t="s">
        <v>1601</v>
      </c>
      <c r="N9" s="1410">
        <f>C90</f>
        <v>1012.8000000000004</v>
      </c>
      <c r="P9" s="1431" t="s">
        <v>1560</v>
      </c>
      <c r="S9" s="1416">
        <v>0.68</v>
      </c>
    </row>
    <row r="10" spans="1:23">
      <c r="B10" s="1431" t="s">
        <v>1543</v>
      </c>
      <c r="D10" s="1412">
        <v>2028</v>
      </c>
      <c r="F10" s="1431" t="s">
        <v>1781</v>
      </c>
      <c r="I10" s="1436">
        <f>C105/C90</f>
        <v>0.44838591513949266</v>
      </c>
      <c r="K10" s="1431" t="s">
        <v>1141</v>
      </c>
      <c r="N10" s="1423">
        <v>8526</v>
      </c>
      <c r="P10" s="1431" t="s">
        <v>1785</v>
      </c>
      <c r="S10" s="1423">
        <v>15</v>
      </c>
    </row>
    <row r="11" spans="1:23">
      <c r="B11" s="1431" t="s">
        <v>751</v>
      </c>
      <c r="D11" s="1412">
        <v>2032</v>
      </c>
      <c r="F11" s="1431" t="s">
        <v>1782</v>
      </c>
      <c r="I11" s="1436">
        <f>C70/C50</f>
        <v>0.36764705882352938</v>
      </c>
      <c r="K11" s="1431" t="s">
        <v>686</v>
      </c>
      <c r="N11" s="1643">
        <v>80000</v>
      </c>
      <c r="P11" s="1431" t="s">
        <v>1786</v>
      </c>
      <c r="S11" s="1596">
        <f>'Opal Central Park'!$S$11</f>
        <v>0.14000000000000001</v>
      </c>
    </row>
    <row r="12" spans="1:23">
      <c r="B12" s="1431" t="s">
        <v>1545</v>
      </c>
      <c r="D12" s="1594">
        <v>2022</v>
      </c>
      <c r="F12" s="1431" t="s">
        <v>1780</v>
      </c>
      <c r="I12" s="1436">
        <f>E32/C50</f>
        <v>0.10448529411764705</v>
      </c>
      <c r="K12" s="1431" t="s">
        <v>1790</v>
      </c>
      <c r="N12" s="1599">
        <v>7</v>
      </c>
      <c r="P12" s="1431" t="s">
        <v>1791</v>
      </c>
      <c r="S12" s="1423"/>
    </row>
    <row r="13" spans="1:23">
      <c r="E13" s="1412"/>
      <c r="J13" s="1413"/>
    </row>
    <row r="14" spans="1:23">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c r="R14" s="1447">
        <f>'Opal Riverside'!R14</f>
        <v>2027</v>
      </c>
      <c r="S14" s="1447">
        <f>'Opal Riverside'!S14</f>
        <v>2028</v>
      </c>
      <c r="T14" s="1447">
        <f>'Opal Riverside'!T14</f>
        <v>2029</v>
      </c>
      <c r="U14" s="1447">
        <f>'Opal Riverside'!U14</f>
        <v>2030</v>
      </c>
      <c r="V14" s="1447">
        <f>'Opal Riverside'!V14</f>
        <v>2031</v>
      </c>
      <c r="W14" s="1447">
        <f>'Opal Riverside'!W14</f>
        <v>2032</v>
      </c>
    </row>
    <row r="15" spans="1:23">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c r="R15" s="1434">
        <f t="shared" ref="R15:W18" si="1">Q15</f>
        <v>0.5</v>
      </c>
      <c r="S15" s="1434">
        <f t="shared" si="1"/>
        <v>0.5</v>
      </c>
      <c r="T15" s="1434">
        <f t="shared" si="1"/>
        <v>0.5</v>
      </c>
      <c r="U15" s="1434">
        <f t="shared" si="1"/>
        <v>0.5</v>
      </c>
      <c r="V15" s="1434">
        <f t="shared" si="1"/>
        <v>0.5</v>
      </c>
      <c r="W15" s="1434">
        <f t="shared" si="1"/>
        <v>0.5</v>
      </c>
    </row>
    <row r="16" spans="1:23">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c r="R16" s="1431">
        <v>1.3</v>
      </c>
      <c r="S16" s="1431">
        <v>1.3</v>
      </c>
      <c r="T16" s="1431">
        <v>1.3</v>
      </c>
      <c r="U16" s="1431">
        <v>1.3</v>
      </c>
      <c r="V16" s="1431">
        <v>1.3</v>
      </c>
      <c r="W16" s="1431">
        <v>1.3</v>
      </c>
    </row>
    <row r="17" spans="1:23">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c r="R17" s="1435">
        <f t="shared" si="1"/>
        <v>5.5E-2</v>
      </c>
      <c r="S17" s="1435">
        <f t="shared" si="1"/>
        <v>5.5E-2</v>
      </c>
      <c r="T17" s="1435">
        <f t="shared" si="1"/>
        <v>5.5E-2</v>
      </c>
      <c r="U17" s="1435">
        <f t="shared" si="1"/>
        <v>5.5E-2</v>
      </c>
      <c r="V17" s="1435">
        <f t="shared" si="1"/>
        <v>5.5E-2</v>
      </c>
      <c r="W17" s="1435">
        <f t="shared" si="1"/>
        <v>5.5E-2</v>
      </c>
    </row>
    <row r="18" spans="1:23">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c r="R18" s="1435">
        <f t="shared" si="1"/>
        <v>7.0000000000000007E-2</v>
      </c>
      <c r="S18" s="1435">
        <f t="shared" si="1"/>
        <v>7.0000000000000007E-2</v>
      </c>
      <c r="T18" s="1435">
        <f t="shared" si="1"/>
        <v>7.0000000000000007E-2</v>
      </c>
      <c r="U18" s="1435">
        <f t="shared" si="1"/>
        <v>7.0000000000000007E-2</v>
      </c>
      <c r="V18" s="1435">
        <f t="shared" si="1"/>
        <v>7.0000000000000007E-2</v>
      </c>
      <c r="W18" s="1435">
        <f t="shared" si="1"/>
        <v>7.0000000000000007E-2</v>
      </c>
    </row>
    <row r="19" spans="1:23">
      <c r="B19" s="1431" t="s">
        <v>758</v>
      </c>
      <c r="D19" s="1433">
        <f t="shared" ref="D19:Q19" si="2">D17+D16*D18</f>
        <v>0.125</v>
      </c>
      <c r="E19" s="1433">
        <f t="shared" si="2"/>
        <v>0.125</v>
      </c>
      <c r="F19" s="1433">
        <f t="shared" si="2"/>
        <v>0.125</v>
      </c>
      <c r="G19" s="1433">
        <f t="shared" si="2"/>
        <v>0.125</v>
      </c>
      <c r="H19" s="1433">
        <f t="shared" si="2"/>
        <v>0.125</v>
      </c>
      <c r="I19" s="1433">
        <f t="shared" si="2"/>
        <v>0.125</v>
      </c>
      <c r="J19" s="1433">
        <f t="shared" si="2"/>
        <v>0.125</v>
      </c>
      <c r="K19" s="1433">
        <f t="shared" si="2"/>
        <v>0.125</v>
      </c>
      <c r="L19" s="1433">
        <f t="shared" si="2"/>
        <v>0.125</v>
      </c>
      <c r="M19" s="1433">
        <f t="shared" si="2"/>
        <v>0.125</v>
      </c>
      <c r="N19" s="1433">
        <f t="shared" si="2"/>
        <v>0.14600000000000002</v>
      </c>
      <c r="O19" s="1433">
        <f t="shared" si="2"/>
        <v>0.14600000000000002</v>
      </c>
      <c r="P19" s="1433">
        <f t="shared" si="2"/>
        <v>0.14600000000000002</v>
      </c>
      <c r="Q19" s="1433">
        <f t="shared" si="2"/>
        <v>0.14600000000000002</v>
      </c>
      <c r="R19" s="1433">
        <f t="shared" ref="R19:W19" si="3">R17+R16*R18</f>
        <v>0.14600000000000002</v>
      </c>
      <c r="S19" s="1433">
        <f t="shared" si="3"/>
        <v>0.14600000000000002</v>
      </c>
      <c r="T19" s="1433">
        <f t="shared" si="3"/>
        <v>0.14600000000000002</v>
      </c>
      <c r="U19" s="1433">
        <f t="shared" si="3"/>
        <v>0.14600000000000002</v>
      </c>
      <c r="V19" s="1433">
        <f t="shared" si="3"/>
        <v>0.14600000000000002</v>
      </c>
      <c r="W19" s="1433">
        <f t="shared" si="3"/>
        <v>0.14600000000000002</v>
      </c>
    </row>
    <row r="20" spans="1:23">
      <c r="B20" s="1431" t="s">
        <v>1542</v>
      </c>
      <c r="D20" s="1436">
        <f t="shared" ref="D20:W20" si="4">$I$6</f>
        <v>0.5</v>
      </c>
      <c r="E20" s="1436">
        <f t="shared" si="4"/>
        <v>0.5</v>
      </c>
      <c r="F20" s="1436">
        <f t="shared" si="4"/>
        <v>0.5</v>
      </c>
      <c r="G20" s="1436">
        <f t="shared" si="4"/>
        <v>0.5</v>
      </c>
      <c r="H20" s="1436">
        <f t="shared" si="4"/>
        <v>0.5</v>
      </c>
      <c r="I20" s="1436">
        <f t="shared" si="4"/>
        <v>0.5</v>
      </c>
      <c r="J20" s="1436">
        <f t="shared" si="4"/>
        <v>0.5</v>
      </c>
      <c r="K20" s="1436">
        <f t="shared" si="4"/>
        <v>0.5</v>
      </c>
      <c r="L20" s="1436">
        <f t="shared" si="4"/>
        <v>0.5</v>
      </c>
      <c r="M20" s="1436">
        <f t="shared" si="4"/>
        <v>0.5</v>
      </c>
      <c r="N20" s="1436">
        <f t="shared" si="4"/>
        <v>0.5</v>
      </c>
      <c r="O20" s="1436">
        <f t="shared" si="4"/>
        <v>0.5</v>
      </c>
      <c r="P20" s="1436">
        <f t="shared" si="4"/>
        <v>0.5</v>
      </c>
      <c r="Q20" s="1436">
        <f t="shared" si="4"/>
        <v>0.5</v>
      </c>
      <c r="R20" s="1436">
        <f t="shared" si="4"/>
        <v>0.5</v>
      </c>
      <c r="S20" s="1436">
        <f t="shared" si="4"/>
        <v>0.5</v>
      </c>
      <c r="T20" s="1436">
        <f t="shared" si="4"/>
        <v>0.5</v>
      </c>
      <c r="U20" s="1436">
        <f t="shared" si="4"/>
        <v>0.5</v>
      </c>
      <c r="V20" s="1436">
        <f t="shared" si="4"/>
        <v>0.5</v>
      </c>
      <c r="W20" s="1436">
        <f t="shared" si="4"/>
        <v>0.5</v>
      </c>
    </row>
    <row r="21" spans="1:23">
      <c r="B21" s="1431" t="s">
        <v>760</v>
      </c>
      <c r="D21" s="1581">
        <f>'Opal Central Park'!D21</f>
        <v>0.14000000000000001</v>
      </c>
      <c r="E21" s="1581">
        <f>'Opal Central Park'!E21</f>
        <v>0.13</v>
      </c>
      <c r="F21" s="1581">
        <f>'Opal Central Park'!F21</f>
        <v>0.1</v>
      </c>
      <c r="G21" s="1581">
        <f>'Opal Central Park'!G21</f>
        <v>0.12</v>
      </c>
      <c r="H21" s="1425">
        <f>G21</f>
        <v>0.12</v>
      </c>
      <c r="I21" s="1418">
        <f t="shared" ref="H21:Q22" si="5">H21</f>
        <v>0.12</v>
      </c>
      <c r="J21" s="1418">
        <f t="shared" si="5"/>
        <v>0.12</v>
      </c>
      <c r="K21" s="1418">
        <f t="shared" si="5"/>
        <v>0.12</v>
      </c>
      <c r="L21" s="1418">
        <f t="shared" si="5"/>
        <v>0.12</v>
      </c>
      <c r="M21" s="1418">
        <f t="shared" si="5"/>
        <v>0.12</v>
      </c>
      <c r="N21" s="1418">
        <v>0.13</v>
      </c>
      <c r="O21" s="1418">
        <v>0.13</v>
      </c>
      <c r="P21" s="1418">
        <v>0.13</v>
      </c>
      <c r="Q21" s="1418">
        <v>0.13</v>
      </c>
      <c r="R21" s="1418">
        <v>0.13</v>
      </c>
      <c r="S21" s="1418">
        <v>0.13</v>
      </c>
      <c r="T21" s="1418">
        <v>0.13</v>
      </c>
      <c r="U21" s="1418">
        <v>0.13</v>
      </c>
      <c r="V21" s="1418">
        <v>0.13</v>
      </c>
      <c r="W21" s="1418">
        <v>0.13</v>
      </c>
    </row>
    <row r="22" spans="1:23">
      <c r="B22" s="1431" t="s">
        <v>846</v>
      </c>
      <c r="D22" s="1596">
        <f>'Opal Central Park'!D22</f>
        <v>0.22</v>
      </c>
      <c r="E22" s="1596">
        <f>'Opal Central Park'!E22</f>
        <v>0.22</v>
      </c>
      <c r="F22" s="1596">
        <f>'Opal Central Park'!F22</f>
        <v>0.22</v>
      </c>
      <c r="G22" s="1596">
        <f>'Opal Central Park'!G22</f>
        <v>0.2</v>
      </c>
      <c r="H22" s="1417">
        <f t="shared" si="5"/>
        <v>0.2</v>
      </c>
      <c r="I22" s="1417">
        <f t="shared" si="5"/>
        <v>0.2</v>
      </c>
      <c r="J22" s="1417">
        <f t="shared" si="5"/>
        <v>0.2</v>
      </c>
      <c r="K22" s="1417">
        <f t="shared" si="5"/>
        <v>0.2</v>
      </c>
      <c r="L22" s="1417">
        <f t="shared" si="5"/>
        <v>0.2</v>
      </c>
      <c r="M22" s="1417">
        <f t="shared" si="5"/>
        <v>0.2</v>
      </c>
      <c r="N22" s="1417">
        <f t="shared" si="5"/>
        <v>0.2</v>
      </c>
      <c r="O22" s="1417">
        <f t="shared" si="5"/>
        <v>0.2</v>
      </c>
      <c r="P22" s="1417">
        <f t="shared" si="5"/>
        <v>0.2</v>
      </c>
      <c r="Q22" s="1417">
        <f t="shared" si="5"/>
        <v>0.2</v>
      </c>
      <c r="R22" s="1417">
        <f t="shared" ref="R22:W22" si="6">Q22</f>
        <v>0.2</v>
      </c>
      <c r="S22" s="1417">
        <f t="shared" si="6"/>
        <v>0.2</v>
      </c>
      <c r="T22" s="1417">
        <f t="shared" si="6"/>
        <v>0.2</v>
      </c>
      <c r="U22" s="1417">
        <f t="shared" si="6"/>
        <v>0.2</v>
      </c>
      <c r="V22" s="1417">
        <f t="shared" si="6"/>
        <v>0.2</v>
      </c>
      <c r="W22" s="1417">
        <f t="shared" si="6"/>
        <v>0.2</v>
      </c>
    </row>
    <row r="23" spans="1:23">
      <c r="B23" s="1419" t="s">
        <v>14</v>
      </c>
      <c r="C23" s="1432"/>
      <c r="D23" s="1437">
        <f>D19*D15+D21*D20*(1-D22)</f>
        <v>0.11710000000000001</v>
      </c>
      <c r="E23" s="1437">
        <f t="shared" ref="E23:Q23" si="7">E19*E15+E21*E20*(1-E22)</f>
        <v>0.1132</v>
      </c>
      <c r="F23" s="1437">
        <f>F19*F15+F21*F20*(1-F22)</f>
        <v>0.10150000000000001</v>
      </c>
      <c r="G23" s="1437">
        <f>G19*G15+G21*G20*(1-G22)</f>
        <v>0.1105</v>
      </c>
      <c r="H23" s="1437">
        <f>H19*H15+H21*H20*(1-H22)</f>
        <v>0.1105</v>
      </c>
      <c r="I23" s="1437">
        <f>I19*I15+I21*I20*(1-I22)</f>
        <v>0.1105</v>
      </c>
      <c r="J23" s="1437">
        <f t="shared" si="7"/>
        <v>0.1105</v>
      </c>
      <c r="K23" s="1437">
        <f t="shared" si="7"/>
        <v>0.1105</v>
      </c>
      <c r="L23" s="1437">
        <f t="shared" si="7"/>
        <v>0.1105</v>
      </c>
      <c r="M23" s="1437">
        <f t="shared" si="7"/>
        <v>0.1105</v>
      </c>
      <c r="N23" s="1437">
        <f t="shared" si="7"/>
        <v>0.125</v>
      </c>
      <c r="O23" s="1437">
        <f t="shared" si="7"/>
        <v>0.125</v>
      </c>
      <c r="P23" s="1437">
        <f t="shared" si="7"/>
        <v>0.125</v>
      </c>
      <c r="Q23" s="1437">
        <f t="shared" si="7"/>
        <v>0.125</v>
      </c>
      <c r="R23" s="1437">
        <f t="shared" ref="R23:W23" si="8">R19*R15+R21*R20*(1-R22)</f>
        <v>0.125</v>
      </c>
      <c r="S23" s="1437">
        <f t="shared" si="8"/>
        <v>0.125</v>
      </c>
      <c r="T23" s="1437">
        <f t="shared" si="8"/>
        <v>0.125</v>
      </c>
      <c r="U23" s="1437">
        <f t="shared" si="8"/>
        <v>0.125</v>
      </c>
      <c r="V23" s="1437">
        <f t="shared" si="8"/>
        <v>0.125</v>
      </c>
      <c r="W23" s="1437">
        <f t="shared" si="8"/>
        <v>0.125</v>
      </c>
    </row>
    <row r="24" spans="1:23">
      <c r="E24" s="1412"/>
      <c r="J24" s="1413"/>
    </row>
    <row r="25" spans="1:23">
      <c r="E25" s="1412"/>
      <c r="J25" s="1413"/>
    </row>
    <row r="26" spans="1:23" ht="15.75">
      <c r="A26" s="1420" t="s">
        <v>1548</v>
      </c>
      <c r="B26" s="1438"/>
    </row>
    <row r="28" spans="1:23" s="1407" customFormat="1">
      <c r="A28" s="1406" t="s">
        <v>762</v>
      </c>
      <c r="B28" s="1407" t="s">
        <v>1459</v>
      </c>
      <c r="C28" s="1407" t="s">
        <v>764</v>
      </c>
      <c r="D28" s="1407" t="s">
        <v>1549</v>
      </c>
      <c r="E28" s="1407" t="s">
        <v>1550</v>
      </c>
    </row>
    <row r="29" spans="1:23">
      <c r="A29" s="1421"/>
      <c r="B29" s="1432" t="s">
        <v>1551</v>
      </c>
      <c r="C29" s="1432" t="s">
        <v>1552</v>
      </c>
      <c r="D29" s="1432"/>
      <c r="E29" s="1408">
        <f>N10</f>
        <v>8526</v>
      </c>
    </row>
    <row r="30" spans="1:23">
      <c r="B30" s="1431" t="s">
        <v>1553</v>
      </c>
      <c r="C30" s="1431" t="s">
        <v>1552</v>
      </c>
      <c r="E30" s="1410">
        <f>E29</f>
        <v>8526</v>
      </c>
    </row>
    <row r="31" spans="1:23">
      <c r="B31" s="1431" t="s">
        <v>1554</v>
      </c>
      <c r="C31" s="1431" t="s">
        <v>1555</v>
      </c>
      <c r="D31" s="1446"/>
      <c r="E31" s="1410">
        <f>E29*D31</f>
        <v>0</v>
      </c>
    </row>
    <row r="32" spans="1:23">
      <c r="B32" s="1431" t="s">
        <v>1556</v>
      </c>
      <c r="C32" s="1431" t="s">
        <v>1555</v>
      </c>
      <c r="D32" s="1654">
        <f>S8</f>
        <v>40</v>
      </c>
      <c r="E32" s="1440">
        <f>D32*E29/1000</f>
        <v>341.04</v>
      </c>
    </row>
    <row r="34" spans="1:23">
      <c r="B34" s="1407" t="s">
        <v>773</v>
      </c>
      <c r="C34" s="1431" t="s">
        <v>642</v>
      </c>
      <c r="D34" s="1447">
        <f t="shared" ref="D34:O34" si="9">D14</f>
        <v>2013</v>
      </c>
      <c r="E34" s="1447">
        <f t="shared" si="9"/>
        <v>2014</v>
      </c>
      <c r="F34" s="1447">
        <f t="shared" si="9"/>
        <v>2015</v>
      </c>
      <c r="G34" s="1447">
        <f t="shared" si="9"/>
        <v>2016</v>
      </c>
      <c r="H34" s="1447">
        <f t="shared" si="9"/>
        <v>2017</v>
      </c>
      <c r="I34" s="1447">
        <f t="shared" si="9"/>
        <v>2018</v>
      </c>
      <c r="J34" s="1447">
        <f t="shared" si="9"/>
        <v>2019</v>
      </c>
      <c r="K34" s="1447">
        <f t="shared" si="9"/>
        <v>2020</v>
      </c>
      <c r="L34" s="1447">
        <f t="shared" si="9"/>
        <v>2021</v>
      </c>
      <c r="M34" s="1447">
        <f t="shared" si="9"/>
        <v>2022</v>
      </c>
      <c r="N34" s="1447">
        <f t="shared" si="9"/>
        <v>2023</v>
      </c>
      <c r="O34" s="1447">
        <f t="shared" si="9"/>
        <v>2024</v>
      </c>
      <c r="P34" s="1447">
        <f t="shared" ref="P34:W34" si="10">P14</f>
        <v>2025</v>
      </c>
      <c r="Q34" s="1447">
        <f t="shared" si="10"/>
        <v>2026</v>
      </c>
      <c r="R34" s="1447">
        <f t="shared" si="10"/>
        <v>2027</v>
      </c>
      <c r="S34" s="1447">
        <f t="shared" si="10"/>
        <v>2028</v>
      </c>
      <c r="T34" s="1447">
        <f t="shared" si="10"/>
        <v>2029</v>
      </c>
      <c r="U34" s="1447">
        <f t="shared" si="10"/>
        <v>2030</v>
      </c>
      <c r="V34" s="1447">
        <f t="shared" si="10"/>
        <v>2031</v>
      </c>
      <c r="W34" s="1447">
        <f t="shared" si="10"/>
        <v>2032</v>
      </c>
    </row>
    <row r="35" spans="1:23">
      <c r="B35" s="1432"/>
      <c r="C35" s="1441">
        <f>E32</f>
        <v>341.04</v>
      </c>
      <c r="D35" s="1408">
        <f>$C$35*D36</f>
        <v>0</v>
      </c>
      <c r="E35" s="1408">
        <f>$C$35*E36</f>
        <v>0</v>
      </c>
      <c r="F35" s="1408">
        <f>$C$35*F36</f>
        <v>0</v>
      </c>
      <c r="G35" s="1408">
        <f>$C$35*G36</f>
        <v>0</v>
      </c>
      <c r="H35" s="1408">
        <f>$C$35*H36</f>
        <v>0</v>
      </c>
      <c r="I35" s="1408">
        <f t="shared" ref="I35:W35" si="11">$C$35*I36</f>
        <v>0</v>
      </c>
      <c r="J35" s="1408">
        <f t="shared" si="11"/>
        <v>0</v>
      </c>
      <c r="K35" s="1408">
        <f t="shared" si="11"/>
        <v>0</v>
      </c>
      <c r="L35" s="1408">
        <f t="shared" si="11"/>
        <v>0</v>
      </c>
      <c r="M35" s="1408">
        <f t="shared" si="11"/>
        <v>0</v>
      </c>
      <c r="N35" s="1408">
        <f t="shared" si="11"/>
        <v>0</v>
      </c>
      <c r="O35" s="1408">
        <f t="shared" si="11"/>
        <v>0</v>
      </c>
      <c r="P35" s="1408">
        <f t="shared" si="11"/>
        <v>0</v>
      </c>
      <c r="Q35" s="1408">
        <f t="shared" si="11"/>
        <v>0</v>
      </c>
      <c r="R35" s="1408">
        <f t="shared" si="11"/>
        <v>0</v>
      </c>
      <c r="S35" s="1408">
        <f t="shared" si="11"/>
        <v>341.04</v>
      </c>
      <c r="T35" s="1408">
        <f t="shared" si="11"/>
        <v>0</v>
      </c>
      <c r="U35" s="1408">
        <f t="shared" si="11"/>
        <v>0</v>
      </c>
      <c r="V35" s="1408">
        <f t="shared" si="11"/>
        <v>0</v>
      </c>
      <c r="W35" s="1408">
        <f t="shared" si="11"/>
        <v>0</v>
      </c>
    </row>
    <row r="36" spans="1:23">
      <c r="B36" s="1442" t="s">
        <v>1559</v>
      </c>
      <c r="C36" s="1436">
        <f>SUM(D36:W36)</f>
        <v>1</v>
      </c>
      <c r="D36" s="1416">
        <v>0</v>
      </c>
      <c r="E36" s="1416">
        <v>0</v>
      </c>
      <c r="F36" s="1416">
        <v>0</v>
      </c>
      <c r="G36" s="1416">
        <v>0</v>
      </c>
      <c r="H36" s="1416">
        <v>0</v>
      </c>
      <c r="I36" s="1416">
        <v>0</v>
      </c>
      <c r="J36" s="1416">
        <v>0</v>
      </c>
      <c r="K36" s="1416">
        <v>0</v>
      </c>
      <c r="L36" s="1416">
        <v>0</v>
      </c>
      <c r="M36" s="1416">
        <v>0</v>
      </c>
      <c r="N36" s="1416">
        <v>0</v>
      </c>
      <c r="O36" s="1416">
        <v>0</v>
      </c>
      <c r="P36" s="1416">
        <v>0</v>
      </c>
      <c r="Q36" s="1416">
        <v>0</v>
      </c>
      <c r="R36" s="1416">
        <v>0</v>
      </c>
      <c r="S36" s="1416">
        <v>1</v>
      </c>
      <c r="T36" s="1416">
        <v>0</v>
      </c>
      <c r="U36" s="1416">
        <v>0</v>
      </c>
      <c r="V36" s="1416">
        <v>0</v>
      </c>
      <c r="W36" s="1416">
        <v>0</v>
      </c>
    </row>
    <row r="39" spans="1:23" s="1407" customFormat="1">
      <c r="A39" s="1406" t="s">
        <v>777</v>
      </c>
      <c r="B39" s="1407" t="s">
        <v>1585</v>
      </c>
      <c r="C39" s="1407" t="s">
        <v>764</v>
      </c>
      <c r="D39" s="1407" t="s">
        <v>1549</v>
      </c>
    </row>
    <row r="40" spans="1:23">
      <c r="A40" s="1421"/>
      <c r="B40" s="1432" t="s">
        <v>686</v>
      </c>
      <c r="C40" s="1432" t="s">
        <v>1552</v>
      </c>
      <c r="D40" s="1426">
        <f>N11</f>
        <v>80000</v>
      </c>
      <c r="F40" s="1440"/>
      <c r="G40" s="1410"/>
    </row>
    <row r="41" spans="1:23">
      <c r="B41" s="1431" t="s">
        <v>1560</v>
      </c>
      <c r="C41" s="1431" t="s">
        <v>780</v>
      </c>
      <c r="D41" s="1448">
        <f>S9</f>
        <v>0.68</v>
      </c>
      <c r="G41" s="1440"/>
    </row>
    <row r="42" spans="1:23">
      <c r="B42" s="1431" t="s">
        <v>781</v>
      </c>
      <c r="C42" s="1431" t="s">
        <v>1552</v>
      </c>
      <c r="D42" s="1410">
        <f>D40*D41</f>
        <v>54400.000000000007</v>
      </c>
    </row>
    <row r="43" spans="1:23">
      <c r="B43" s="1431" t="s">
        <v>1787</v>
      </c>
      <c r="C43" s="1431" t="s">
        <v>1555</v>
      </c>
      <c r="D43" s="1654">
        <f>S7</f>
        <v>60</v>
      </c>
    </row>
    <row r="44" spans="1:23">
      <c r="B44" s="1431" t="s">
        <v>1587</v>
      </c>
      <c r="C44" s="1431" t="s">
        <v>1555</v>
      </c>
      <c r="D44" s="1655">
        <f>S10</f>
        <v>15</v>
      </c>
    </row>
    <row r="45" spans="1:23">
      <c r="B45" s="1431" t="s">
        <v>787</v>
      </c>
      <c r="C45" s="1431" t="s">
        <v>780</v>
      </c>
      <c r="D45" s="1411">
        <v>0</v>
      </c>
    </row>
    <row r="46" spans="1:23">
      <c r="B46" s="1431" t="s">
        <v>1562</v>
      </c>
      <c r="C46" s="1431" t="s">
        <v>780</v>
      </c>
      <c r="D46" s="1448">
        <f>S11</f>
        <v>0.14000000000000001</v>
      </c>
    </row>
    <row r="47" spans="1:23">
      <c r="B47" s="1431" t="s">
        <v>1563</v>
      </c>
      <c r="C47" s="1431" t="s">
        <v>780</v>
      </c>
      <c r="D47" s="1411">
        <v>0</v>
      </c>
    </row>
    <row r="49" spans="1:23" s="1407" customFormat="1">
      <c r="A49" s="1406">
        <v>1</v>
      </c>
      <c r="B49" s="1407" t="s">
        <v>1564</v>
      </c>
      <c r="C49" s="1431" t="str">
        <f>C34</f>
        <v>Total</v>
      </c>
      <c r="D49" s="1431">
        <f>D34</f>
        <v>2013</v>
      </c>
      <c r="E49" s="1431">
        <f>E34</f>
        <v>2014</v>
      </c>
      <c r="F49" s="1431">
        <f>F34</f>
        <v>2015</v>
      </c>
      <c r="G49" s="1431">
        <f t="shared" ref="G49:W49" si="12">F49+1</f>
        <v>2016</v>
      </c>
      <c r="H49" s="1431">
        <f t="shared" si="12"/>
        <v>2017</v>
      </c>
      <c r="I49" s="1431">
        <f t="shared" si="12"/>
        <v>2018</v>
      </c>
      <c r="J49" s="1431">
        <f t="shared" si="12"/>
        <v>2019</v>
      </c>
      <c r="K49" s="1431">
        <f t="shared" si="12"/>
        <v>2020</v>
      </c>
      <c r="L49" s="1431">
        <f t="shared" si="12"/>
        <v>2021</v>
      </c>
      <c r="M49" s="1431">
        <f t="shared" si="12"/>
        <v>2022</v>
      </c>
      <c r="N49" s="1431">
        <f t="shared" si="12"/>
        <v>2023</v>
      </c>
      <c r="O49" s="1431">
        <f t="shared" si="12"/>
        <v>2024</v>
      </c>
      <c r="P49" s="1431">
        <f t="shared" si="12"/>
        <v>2025</v>
      </c>
      <c r="Q49" s="1431">
        <f t="shared" si="12"/>
        <v>2026</v>
      </c>
      <c r="R49" s="1431">
        <f t="shared" si="12"/>
        <v>2027</v>
      </c>
      <c r="S49" s="1431">
        <f t="shared" si="12"/>
        <v>2028</v>
      </c>
      <c r="T49" s="1431">
        <f t="shared" si="12"/>
        <v>2029</v>
      </c>
      <c r="U49" s="1431">
        <f t="shared" si="12"/>
        <v>2030</v>
      </c>
      <c r="V49" s="1431">
        <f t="shared" si="12"/>
        <v>2031</v>
      </c>
      <c r="W49" s="1431">
        <f t="shared" si="12"/>
        <v>2032</v>
      </c>
    </row>
    <row r="50" spans="1:23">
      <c r="B50" s="1432" t="s">
        <v>791</v>
      </c>
      <c r="C50" s="1441">
        <f>SUM(D50:W50)</f>
        <v>3264.0000000000005</v>
      </c>
      <c r="D50" s="1441">
        <f>$D$42*D52*D51/1000</f>
        <v>0</v>
      </c>
      <c r="E50" s="1441">
        <f t="shared" ref="E50:M50" si="13">$D$42*E52*E51/1000</f>
        <v>0</v>
      </c>
      <c r="F50" s="1441">
        <f t="shared" si="13"/>
        <v>0</v>
      </c>
      <c r="G50" s="1441">
        <f t="shared" si="13"/>
        <v>0</v>
      </c>
      <c r="H50" s="1441">
        <f t="shared" si="13"/>
        <v>0</v>
      </c>
      <c r="I50" s="1441">
        <f t="shared" si="13"/>
        <v>0</v>
      </c>
      <c r="J50" s="1441">
        <f t="shared" si="13"/>
        <v>0</v>
      </c>
      <c r="K50" s="1441">
        <f t="shared" si="13"/>
        <v>0</v>
      </c>
      <c r="L50" s="1441">
        <f t="shared" si="13"/>
        <v>0</v>
      </c>
      <c r="M50" s="1441">
        <f t="shared" si="13"/>
        <v>0</v>
      </c>
      <c r="N50" s="1441">
        <f>$D$42*N52*N51/1000</f>
        <v>0</v>
      </c>
      <c r="O50" s="1441">
        <f>$D$42*O52*O51/1000</f>
        <v>0</v>
      </c>
      <c r="P50" s="1441">
        <f t="shared" ref="P50:W50" si="14">$D$42*P52*P51/1000</f>
        <v>0</v>
      </c>
      <c r="Q50" s="1441">
        <f t="shared" si="14"/>
        <v>0</v>
      </c>
      <c r="R50" s="1441">
        <f t="shared" si="14"/>
        <v>0</v>
      </c>
      <c r="S50" s="1441">
        <f t="shared" si="14"/>
        <v>0</v>
      </c>
      <c r="T50" s="1441">
        <f t="shared" si="14"/>
        <v>1632.0000000000002</v>
      </c>
      <c r="U50" s="1441">
        <f t="shared" si="14"/>
        <v>1632.0000000000002</v>
      </c>
      <c r="V50" s="1441">
        <f t="shared" si="14"/>
        <v>0</v>
      </c>
      <c r="W50" s="1441">
        <f t="shared" si="14"/>
        <v>0</v>
      </c>
    </row>
    <row r="51" spans="1:23">
      <c r="B51" s="1444" t="s">
        <v>792</v>
      </c>
      <c r="C51" s="1436">
        <f>SUM(D51:W51)</f>
        <v>1</v>
      </c>
      <c r="D51" s="1416">
        <v>0</v>
      </c>
      <c r="E51" s="1416">
        <v>0</v>
      </c>
      <c r="F51" s="1416">
        <v>0</v>
      </c>
      <c r="G51" s="1416">
        <v>0</v>
      </c>
      <c r="H51" s="1416">
        <v>0</v>
      </c>
      <c r="I51" s="1416">
        <v>0</v>
      </c>
      <c r="J51" s="1416">
        <v>0</v>
      </c>
      <c r="K51" s="1416">
        <v>0</v>
      </c>
      <c r="L51" s="1416">
        <v>0</v>
      </c>
      <c r="M51" s="1416">
        <v>0</v>
      </c>
      <c r="N51" s="1416">
        <v>0</v>
      </c>
      <c r="O51" s="1416">
        <v>0</v>
      </c>
      <c r="P51" s="1416">
        <v>0</v>
      </c>
      <c r="Q51" s="1416">
        <v>0</v>
      </c>
      <c r="R51" s="1416">
        <v>0</v>
      </c>
      <c r="S51" s="1416">
        <v>0</v>
      </c>
      <c r="T51" s="1416">
        <v>0.5</v>
      </c>
      <c r="U51" s="1416">
        <v>0.5</v>
      </c>
      <c r="V51" s="1416">
        <v>0</v>
      </c>
      <c r="W51" s="1416">
        <v>0</v>
      </c>
    </row>
    <row r="52" spans="1:23">
      <c r="B52" s="1444" t="s">
        <v>1565</v>
      </c>
      <c r="D52" s="1439">
        <f>D43</f>
        <v>60</v>
      </c>
      <c r="E52" s="1439">
        <f t="shared" ref="E52:M52" si="15">D52*(1+E53)</f>
        <v>60</v>
      </c>
      <c r="F52" s="1439">
        <f t="shared" si="15"/>
        <v>60</v>
      </c>
      <c r="G52" s="1439">
        <f t="shared" si="15"/>
        <v>60</v>
      </c>
      <c r="H52" s="1439">
        <f t="shared" si="15"/>
        <v>60</v>
      </c>
      <c r="I52" s="1439">
        <f t="shared" si="15"/>
        <v>60</v>
      </c>
      <c r="J52" s="1439">
        <f t="shared" si="15"/>
        <v>60</v>
      </c>
      <c r="K52" s="1439">
        <f t="shared" si="15"/>
        <v>60</v>
      </c>
      <c r="L52" s="1439">
        <f t="shared" si="15"/>
        <v>60</v>
      </c>
      <c r="M52" s="1439">
        <f t="shared" si="15"/>
        <v>60</v>
      </c>
      <c r="N52" s="1439">
        <f t="shared" ref="N52:W52" si="16">M52*(1+N53)</f>
        <v>60</v>
      </c>
      <c r="O52" s="1439">
        <f t="shared" si="16"/>
        <v>60</v>
      </c>
      <c r="P52" s="1439">
        <f t="shared" si="16"/>
        <v>60</v>
      </c>
      <c r="Q52" s="1439">
        <f t="shared" si="16"/>
        <v>60</v>
      </c>
      <c r="R52" s="1439">
        <f t="shared" si="16"/>
        <v>60</v>
      </c>
      <c r="S52" s="1439">
        <f t="shared" si="16"/>
        <v>60</v>
      </c>
      <c r="T52" s="1439">
        <f t="shared" si="16"/>
        <v>60</v>
      </c>
      <c r="U52" s="1439">
        <f t="shared" si="16"/>
        <v>60</v>
      </c>
      <c r="V52" s="1439">
        <f t="shared" si="16"/>
        <v>60</v>
      </c>
      <c r="W52" s="1439">
        <f t="shared" si="16"/>
        <v>60</v>
      </c>
    </row>
    <row r="53" spans="1:23">
      <c r="B53" s="1444" t="s">
        <v>1563</v>
      </c>
      <c r="E53" s="1443">
        <f t="shared" ref="E53:J53" si="17">D47</f>
        <v>0</v>
      </c>
      <c r="F53" s="1443">
        <f t="shared" si="17"/>
        <v>0</v>
      </c>
      <c r="G53" s="1443">
        <f t="shared" si="17"/>
        <v>0</v>
      </c>
      <c r="H53" s="1443">
        <f t="shared" si="17"/>
        <v>0</v>
      </c>
      <c r="I53" s="1443">
        <f t="shared" si="17"/>
        <v>0</v>
      </c>
      <c r="J53" s="1443">
        <f t="shared" si="17"/>
        <v>0</v>
      </c>
      <c r="K53" s="1443">
        <f t="shared" ref="K53:W53" si="18">J47</f>
        <v>0</v>
      </c>
      <c r="L53" s="1443">
        <f t="shared" si="18"/>
        <v>0</v>
      </c>
      <c r="M53" s="1443">
        <f t="shared" si="18"/>
        <v>0</v>
      </c>
      <c r="N53" s="1443">
        <f t="shared" si="18"/>
        <v>0</v>
      </c>
      <c r="O53" s="1443">
        <f t="shared" si="18"/>
        <v>0</v>
      </c>
      <c r="P53" s="1443">
        <f t="shared" si="18"/>
        <v>0</v>
      </c>
      <c r="Q53" s="1443">
        <f t="shared" si="18"/>
        <v>0</v>
      </c>
      <c r="R53" s="1443">
        <f t="shared" si="18"/>
        <v>0</v>
      </c>
      <c r="S53" s="1443">
        <f t="shared" si="18"/>
        <v>0</v>
      </c>
      <c r="T53" s="1443">
        <f t="shared" si="18"/>
        <v>0</v>
      </c>
      <c r="U53" s="1443">
        <f t="shared" si="18"/>
        <v>0</v>
      </c>
      <c r="V53" s="1443">
        <f t="shared" si="18"/>
        <v>0</v>
      </c>
      <c r="W53" s="1443">
        <f t="shared" si="18"/>
        <v>0</v>
      </c>
    </row>
    <row r="54" spans="1:23">
      <c r="B54" s="1444" t="s">
        <v>1788</v>
      </c>
      <c r="C54" s="1440">
        <f>S5</f>
        <v>765</v>
      </c>
      <c r="D54" s="1440">
        <f>D51*$C$54</f>
        <v>0</v>
      </c>
      <c r="E54" s="1440">
        <f t="shared" ref="E54:M54" si="19">E51*$C$54</f>
        <v>0</v>
      </c>
      <c r="F54" s="1440">
        <f t="shared" si="19"/>
        <v>0</v>
      </c>
      <c r="G54" s="1440">
        <f t="shared" si="19"/>
        <v>0</v>
      </c>
      <c r="H54" s="1440">
        <f t="shared" si="19"/>
        <v>0</v>
      </c>
      <c r="I54" s="1440">
        <f t="shared" si="19"/>
        <v>0</v>
      </c>
      <c r="J54" s="1440">
        <f t="shared" si="19"/>
        <v>0</v>
      </c>
      <c r="K54" s="1440">
        <f t="shared" si="19"/>
        <v>0</v>
      </c>
      <c r="L54" s="1440">
        <f t="shared" si="19"/>
        <v>0</v>
      </c>
      <c r="M54" s="1440">
        <f t="shared" si="19"/>
        <v>0</v>
      </c>
      <c r="N54" s="1440">
        <f>N51*$C$54</f>
        <v>0</v>
      </c>
      <c r="O54" s="1440">
        <f>O51*$C$54</f>
        <v>0</v>
      </c>
      <c r="P54" s="1440">
        <f t="shared" ref="P54:W54" si="20">P51*$C$54</f>
        <v>0</v>
      </c>
      <c r="Q54" s="1440">
        <f t="shared" si="20"/>
        <v>0</v>
      </c>
      <c r="R54" s="1440">
        <f t="shared" si="20"/>
        <v>0</v>
      </c>
      <c r="S54" s="1440">
        <f t="shared" si="20"/>
        <v>0</v>
      </c>
      <c r="T54" s="1440">
        <f t="shared" si="20"/>
        <v>382.5</v>
      </c>
      <c r="U54" s="1440">
        <f t="shared" si="20"/>
        <v>382.5</v>
      </c>
      <c r="V54" s="1440">
        <f t="shared" si="20"/>
        <v>0</v>
      </c>
      <c r="W54" s="1440">
        <f t="shared" si="20"/>
        <v>0</v>
      </c>
    </row>
    <row r="55" spans="1:23">
      <c r="B55" s="1444"/>
      <c r="F55" s="1443"/>
      <c r="G55" s="1443"/>
    </row>
    <row r="56" spans="1:23" s="1407" customFormat="1">
      <c r="A56" s="1406">
        <v>2</v>
      </c>
      <c r="B56" s="1407" t="s">
        <v>794</v>
      </c>
      <c r="C56" s="1431" t="str">
        <f>C49</f>
        <v>Total</v>
      </c>
      <c r="D56" s="1431">
        <f t="shared" ref="D56:J56" si="21">D49</f>
        <v>2013</v>
      </c>
      <c r="E56" s="1431">
        <f t="shared" si="21"/>
        <v>2014</v>
      </c>
      <c r="F56" s="1431">
        <f t="shared" si="21"/>
        <v>2015</v>
      </c>
      <c r="G56" s="1431">
        <f t="shared" si="21"/>
        <v>2016</v>
      </c>
      <c r="H56" s="1431">
        <f t="shared" si="21"/>
        <v>2017</v>
      </c>
      <c r="I56" s="1431">
        <f t="shared" si="21"/>
        <v>2018</v>
      </c>
      <c r="J56" s="1431">
        <f t="shared" si="21"/>
        <v>2019</v>
      </c>
      <c r="K56" s="1431">
        <f>K49</f>
        <v>2020</v>
      </c>
      <c r="L56" s="1431">
        <f>L49</f>
        <v>2021</v>
      </c>
      <c r="M56" s="1431">
        <f>M49</f>
        <v>2022</v>
      </c>
      <c r="N56" s="1431">
        <f>N49</f>
        <v>2023</v>
      </c>
      <c r="O56" s="1431">
        <f>O49</f>
        <v>2024</v>
      </c>
      <c r="P56" s="1431">
        <f t="shared" ref="P56:W56" si="22">P49</f>
        <v>2025</v>
      </c>
      <c r="Q56" s="1431">
        <f t="shared" si="22"/>
        <v>2026</v>
      </c>
      <c r="R56" s="1431">
        <f t="shared" si="22"/>
        <v>2027</v>
      </c>
      <c r="S56" s="1431">
        <f t="shared" si="22"/>
        <v>2028</v>
      </c>
      <c r="T56" s="1431">
        <f t="shared" si="22"/>
        <v>2029</v>
      </c>
      <c r="U56" s="1431">
        <f t="shared" si="22"/>
        <v>2030</v>
      </c>
      <c r="V56" s="1431">
        <f t="shared" si="22"/>
        <v>2031</v>
      </c>
      <c r="W56" s="1431">
        <f t="shared" si="22"/>
        <v>2032</v>
      </c>
    </row>
    <row r="57" spans="1:23">
      <c r="B57" s="1432" t="s">
        <v>1586</v>
      </c>
      <c r="C57" s="1408">
        <f>C50</f>
        <v>3264.0000000000005</v>
      </c>
      <c r="D57" s="1441">
        <f>$C$57*D58</f>
        <v>0</v>
      </c>
      <c r="E57" s="1441">
        <f t="shared" ref="E57:W57" si="23">$C$57*E58</f>
        <v>0</v>
      </c>
      <c r="F57" s="1441">
        <f t="shared" si="23"/>
        <v>0</v>
      </c>
      <c r="G57" s="1441">
        <f t="shared" si="23"/>
        <v>0</v>
      </c>
      <c r="H57" s="1441">
        <f t="shared" si="23"/>
        <v>0</v>
      </c>
      <c r="I57" s="1441">
        <f t="shared" si="23"/>
        <v>0</v>
      </c>
      <c r="J57" s="1441">
        <f t="shared" si="23"/>
        <v>0</v>
      </c>
      <c r="K57" s="1441">
        <f t="shared" si="23"/>
        <v>0</v>
      </c>
      <c r="L57" s="1441">
        <f t="shared" si="23"/>
        <v>0</v>
      </c>
      <c r="M57" s="1441">
        <f t="shared" si="23"/>
        <v>0</v>
      </c>
      <c r="N57" s="1441">
        <f t="shared" si="23"/>
        <v>0</v>
      </c>
      <c r="O57" s="1441">
        <f t="shared" si="23"/>
        <v>0</v>
      </c>
      <c r="P57" s="1441">
        <f t="shared" si="23"/>
        <v>0</v>
      </c>
      <c r="Q57" s="1441">
        <f t="shared" si="23"/>
        <v>0</v>
      </c>
      <c r="R57" s="1441">
        <f t="shared" si="23"/>
        <v>0</v>
      </c>
      <c r="S57" s="1441">
        <f t="shared" si="23"/>
        <v>0</v>
      </c>
      <c r="T57" s="1441">
        <f t="shared" si="23"/>
        <v>0</v>
      </c>
      <c r="U57" s="1441">
        <f t="shared" si="23"/>
        <v>0</v>
      </c>
      <c r="V57" s="1441">
        <f t="shared" si="23"/>
        <v>1632.0000000000002</v>
      </c>
      <c r="W57" s="1441">
        <f t="shared" si="23"/>
        <v>1632.0000000000002</v>
      </c>
    </row>
    <row r="58" spans="1:23">
      <c r="B58" s="1442" t="s">
        <v>794</v>
      </c>
      <c r="C58" s="1417">
        <f>SUM(D58:W58)</f>
        <v>1</v>
      </c>
      <c r="D58" s="1411">
        <v>0</v>
      </c>
      <c r="E58" s="1411">
        <v>0</v>
      </c>
      <c r="F58" s="1411">
        <v>0</v>
      </c>
      <c r="G58" s="1411">
        <v>0</v>
      </c>
      <c r="H58" s="1411">
        <v>0</v>
      </c>
      <c r="I58" s="1411">
        <v>0</v>
      </c>
      <c r="J58" s="1411">
        <v>0</v>
      </c>
      <c r="K58" s="1411">
        <v>0</v>
      </c>
      <c r="L58" s="1411">
        <v>0</v>
      </c>
      <c r="M58" s="1411">
        <v>0</v>
      </c>
      <c r="N58" s="1411">
        <v>0</v>
      </c>
      <c r="O58" s="1411">
        <v>0</v>
      </c>
      <c r="P58" s="1411">
        <v>0</v>
      </c>
      <c r="Q58" s="1411">
        <v>0</v>
      </c>
      <c r="R58" s="1411">
        <v>0</v>
      </c>
      <c r="S58" s="1411">
        <v>0</v>
      </c>
      <c r="T58" s="1411">
        <v>0</v>
      </c>
      <c r="U58" s="1411">
        <v>0</v>
      </c>
      <c r="V58" s="1411">
        <v>0.5</v>
      </c>
      <c r="W58" s="1411">
        <v>0.5</v>
      </c>
    </row>
    <row r="59" spans="1:23">
      <c r="B59" s="1442" t="s">
        <v>1777</v>
      </c>
      <c r="C59" s="1410">
        <f>C54</f>
        <v>765</v>
      </c>
      <c r="D59" s="1410">
        <f>D58*$C$59</f>
        <v>0</v>
      </c>
      <c r="E59" s="1410">
        <f t="shared" ref="E59:M59" si="24">E58*$C$59</f>
        <v>0</v>
      </c>
      <c r="F59" s="1410">
        <f t="shared" si="24"/>
        <v>0</v>
      </c>
      <c r="G59" s="1410">
        <f t="shared" si="24"/>
        <v>0</v>
      </c>
      <c r="H59" s="1410">
        <f t="shared" si="24"/>
        <v>0</v>
      </c>
      <c r="I59" s="1410">
        <f t="shared" si="24"/>
        <v>0</v>
      </c>
      <c r="J59" s="1410">
        <f t="shared" si="24"/>
        <v>0</v>
      </c>
      <c r="K59" s="1410">
        <f t="shared" si="24"/>
        <v>0</v>
      </c>
      <c r="L59" s="1410">
        <f t="shared" si="24"/>
        <v>0</v>
      </c>
      <c r="M59" s="1410">
        <f t="shared" si="24"/>
        <v>0</v>
      </c>
      <c r="N59" s="1410">
        <f>N58*$C$59</f>
        <v>0</v>
      </c>
      <c r="O59" s="1410">
        <f>O58*$C$59</f>
        <v>0</v>
      </c>
      <c r="P59" s="1410">
        <f t="shared" ref="P59:W59" si="25">P58*$C$59</f>
        <v>0</v>
      </c>
      <c r="Q59" s="1410">
        <f t="shared" si="25"/>
        <v>0</v>
      </c>
      <c r="R59" s="1410">
        <f t="shared" si="25"/>
        <v>0</v>
      </c>
      <c r="S59" s="1410">
        <f t="shared" si="25"/>
        <v>0</v>
      </c>
      <c r="T59" s="1410">
        <f t="shared" si="25"/>
        <v>0</v>
      </c>
      <c r="U59" s="1410">
        <f t="shared" si="25"/>
        <v>0</v>
      </c>
      <c r="V59" s="1410">
        <f t="shared" si="25"/>
        <v>382.5</v>
      </c>
      <c r="W59" s="1410">
        <f t="shared" si="25"/>
        <v>382.5</v>
      </c>
    </row>
    <row r="60" spans="1:23">
      <c r="B60" s="1444"/>
      <c r="C60" s="1425"/>
      <c r="D60" s="1433"/>
      <c r="E60" s="1433"/>
      <c r="F60" s="1433"/>
      <c r="G60" s="1433"/>
    </row>
    <row r="61" spans="1:23">
      <c r="C61" s="1440"/>
      <c r="D61" s="1440"/>
      <c r="E61" s="1440"/>
      <c r="F61" s="1440"/>
      <c r="G61" s="1440"/>
    </row>
    <row r="62" spans="1:23" s="1407" customFormat="1">
      <c r="A62" s="1406">
        <v>3</v>
      </c>
      <c r="B62" s="1407" t="s">
        <v>1175</v>
      </c>
      <c r="C62" s="1431" t="str">
        <f>C56</f>
        <v>Total</v>
      </c>
      <c r="D62" s="1431">
        <f t="shared" ref="D62:J62" si="26">D56</f>
        <v>2013</v>
      </c>
      <c r="E62" s="1431">
        <f t="shared" si="26"/>
        <v>2014</v>
      </c>
      <c r="F62" s="1431">
        <f t="shared" si="26"/>
        <v>2015</v>
      </c>
      <c r="G62" s="1431">
        <f t="shared" si="26"/>
        <v>2016</v>
      </c>
      <c r="H62" s="1431">
        <f t="shared" si="26"/>
        <v>2017</v>
      </c>
      <c r="I62" s="1431">
        <f t="shared" si="26"/>
        <v>2018</v>
      </c>
      <c r="J62" s="1431">
        <f t="shared" si="26"/>
        <v>2019</v>
      </c>
      <c r="K62" s="1431">
        <f>K56</f>
        <v>2020</v>
      </c>
      <c r="L62" s="1431">
        <f>L56</f>
        <v>2021</v>
      </c>
      <c r="M62" s="1431">
        <f>M56</f>
        <v>2022</v>
      </c>
      <c r="N62" s="1431">
        <f>N56</f>
        <v>2023</v>
      </c>
      <c r="O62" s="1431">
        <f>O56</f>
        <v>2024</v>
      </c>
      <c r="P62" s="1431">
        <f t="shared" ref="P62:W62" si="27">P56</f>
        <v>2025</v>
      </c>
      <c r="Q62" s="1431">
        <f t="shared" si="27"/>
        <v>2026</v>
      </c>
      <c r="R62" s="1431">
        <f t="shared" si="27"/>
        <v>2027</v>
      </c>
      <c r="S62" s="1431">
        <f t="shared" si="27"/>
        <v>2028</v>
      </c>
      <c r="T62" s="1431">
        <f t="shared" si="27"/>
        <v>2029</v>
      </c>
      <c r="U62" s="1431">
        <f t="shared" si="27"/>
        <v>2030</v>
      </c>
      <c r="V62" s="1431">
        <f t="shared" si="27"/>
        <v>2031</v>
      </c>
      <c r="W62" s="1431">
        <f t="shared" si="27"/>
        <v>2032</v>
      </c>
    </row>
    <row r="63" spans="1:23">
      <c r="B63" s="1432"/>
      <c r="C63" s="1441">
        <f>SUM(D63:O63)</f>
        <v>0</v>
      </c>
      <c r="D63" s="1408"/>
      <c r="E63" s="1408"/>
      <c r="F63" s="1408">
        <f>D50*$D66+E50*$D65+F50*$D64</f>
        <v>0</v>
      </c>
      <c r="G63" s="1408">
        <f>E50*$D66+F50*$D65+G50*$D64</f>
        <v>0</v>
      </c>
      <c r="H63" s="1408">
        <f t="shared" ref="H63:M63" si="28">F50*$D66+G50*$D65+H50*$D64</f>
        <v>0</v>
      </c>
      <c r="I63" s="1408">
        <f t="shared" si="28"/>
        <v>0</v>
      </c>
      <c r="J63" s="1408">
        <f t="shared" si="28"/>
        <v>0</v>
      </c>
      <c r="K63" s="1408">
        <f t="shared" si="28"/>
        <v>0</v>
      </c>
      <c r="L63" s="1408">
        <f t="shared" si="28"/>
        <v>0</v>
      </c>
      <c r="M63" s="1408">
        <f t="shared" si="28"/>
        <v>0</v>
      </c>
      <c r="N63" s="1408">
        <f t="shared" ref="N63:W63" si="29">L50*$D66+M50*$D65+N50*$D64</f>
        <v>0</v>
      </c>
      <c r="O63" s="1408">
        <f t="shared" si="29"/>
        <v>0</v>
      </c>
      <c r="P63" s="1408">
        <f t="shared" si="29"/>
        <v>0</v>
      </c>
      <c r="Q63" s="1408">
        <f t="shared" si="29"/>
        <v>0</v>
      </c>
      <c r="R63" s="1408">
        <f t="shared" si="29"/>
        <v>0</v>
      </c>
      <c r="S63" s="1408">
        <f t="shared" si="29"/>
        <v>0</v>
      </c>
      <c r="T63" s="1408">
        <f t="shared" si="29"/>
        <v>1632.0000000000002</v>
      </c>
      <c r="U63" s="1408">
        <f t="shared" si="29"/>
        <v>1632.0000000000002</v>
      </c>
      <c r="V63" s="1408">
        <f t="shared" si="29"/>
        <v>0</v>
      </c>
      <c r="W63" s="1408">
        <f t="shared" si="29"/>
        <v>0</v>
      </c>
    </row>
    <row r="64" spans="1:23">
      <c r="B64" s="1431" t="s">
        <v>797</v>
      </c>
      <c r="C64" s="1440" t="s">
        <v>798</v>
      </c>
      <c r="D64" s="1416">
        <v>1</v>
      </c>
      <c r="E64" s="1440"/>
      <c r="F64" s="1440"/>
      <c r="G64" s="1440"/>
    </row>
    <row r="65" spans="1:23">
      <c r="C65" s="1440" t="s">
        <v>799</v>
      </c>
      <c r="D65" s="1416">
        <v>0</v>
      </c>
      <c r="E65" s="1440"/>
      <c r="F65" s="1440"/>
      <c r="G65" s="1440"/>
    </row>
    <row r="66" spans="1:23">
      <c r="C66" s="1440" t="s">
        <v>800</v>
      </c>
      <c r="D66" s="1417">
        <f>1-SUM(D64:D65)</f>
        <v>0</v>
      </c>
      <c r="E66" s="1440"/>
      <c r="F66" s="1440"/>
      <c r="G66" s="1440"/>
    </row>
    <row r="67" spans="1:23">
      <c r="C67" s="1440"/>
      <c r="D67" s="1416"/>
      <c r="E67" s="1440"/>
      <c r="F67" s="1440"/>
      <c r="G67" s="1440"/>
    </row>
    <row r="68" spans="1:23">
      <c r="C68" s="1440"/>
      <c r="D68" s="1416"/>
      <c r="E68" s="1440"/>
      <c r="F68" s="1440"/>
      <c r="G68" s="1440"/>
    </row>
    <row r="69" spans="1:23" s="1407" customFormat="1">
      <c r="A69" s="1406">
        <v>4</v>
      </c>
      <c r="B69" s="1407" t="s">
        <v>1462</v>
      </c>
      <c r="C69" s="1440" t="str">
        <f>C62</f>
        <v>Total</v>
      </c>
      <c r="D69" s="1431">
        <f t="shared" ref="D69:J69" si="30">D62</f>
        <v>2013</v>
      </c>
      <c r="E69" s="1431">
        <f t="shared" si="30"/>
        <v>2014</v>
      </c>
      <c r="F69" s="1431">
        <f t="shared" si="30"/>
        <v>2015</v>
      </c>
      <c r="G69" s="1431">
        <f t="shared" si="30"/>
        <v>2016</v>
      </c>
      <c r="H69" s="1431">
        <f t="shared" si="30"/>
        <v>2017</v>
      </c>
      <c r="I69" s="1431">
        <f t="shared" si="30"/>
        <v>2018</v>
      </c>
      <c r="J69" s="1431">
        <f t="shared" si="30"/>
        <v>2019</v>
      </c>
      <c r="K69" s="1431">
        <f>K62</f>
        <v>2020</v>
      </c>
      <c r="L69" s="1431">
        <f>L62</f>
        <v>2021</v>
      </c>
      <c r="M69" s="1431">
        <f>M62</f>
        <v>2022</v>
      </c>
      <c r="N69" s="1431">
        <f>N62</f>
        <v>2023</v>
      </c>
      <c r="O69" s="1431">
        <f>O62</f>
        <v>2024</v>
      </c>
      <c r="P69" s="1431">
        <f t="shared" ref="P69:W69" si="31">P62</f>
        <v>2025</v>
      </c>
      <c r="Q69" s="1431">
        <f t="shared" si="31"/>
        <v>2026</v>
      </c>
      <c r="R69" s="1431">
        <f t="shared" si="31"/>
        <v>2027</v>
      </c>
      <c r="S69" s="1431">
        <f t="shared" si="31"/>
        <v>2028</v>
      </c>
      <c r="T69" s="1431">
        <f t="shared" si="31"/>
        <v>2029</v>
      </c>
      <c r="U69" s="1431">
        <f t="shared" si="31"/>
        <v>2030</v>
      </c>
      <c r="V69" s="1431">
        <f t="shared" si="31"/>
        <v>2031</v>
      </c>
      <c r="W69" s="1431">
        <f t="shared" si="31"/>
        <v>2032</v>
      </c>
    </row>
    <row r="70" spans="1:23">
      <c r="B70" s="1432" t="s">
        <v>1566</v>
      </c>
      <c r="C70" s="1441">
        <f>D40*D44/1000</f>
        <v>1200</v>
      </c>
      <c r="D70" s="1408">
        <f>$C$70*D71</f>
        <v>0</v>
      </c>
      <c r="E70" s="1408">
        <f t="shared" ref="E70:W70" si="32">$C$70*E71</f>
        <v>0</v>
      </c>
      <c r="F70" s="1408">
        <f t="shared" si="32"/>
        <v>0</v>
      </c>
      <c r="G70" s="1408">
        <f t="shared" si="32"/>
        <v>0</v>
      </c>
      <c r="H70" s="1408">
        <f t="shared" si="32"/>
        <v>0</v>
      </c>
      <c r="I70" s="1408">
        <f t="shared" si="32"/>
        <v>0</v>
      </c>
      <c r="J70" s="1408">
        <f t="shared" si="32"/>
        <v>0</v>
      </c>
      <c r="K70" s="1408">
        <f t="shared" si="32"/>
        <v>0</v>
      </c>
      <c r="L70" s="1408">
        <f t="shared" si="32"/>
        <v>0</v>
      </c>
      <c r="M70" s="1408">
        <f t="shared" si="32"/>
        <v>0</v>
      </c>
      <c r="N70" s="1408">
        <f t="shared" si="32"/>
        <v>0</v>
      </c>
      <c r="O70" s="1408">
        <f t="shared" si="32"/>
        <v>0</v>
      </c>
      <c r="P70" s="1408">
        <f t="shared" si="32"/>
        <v>0</v>
      </c>
      <c r="Q70" s="1408">
        <f t="shared" si="32"/>
        <v>0</v>
      </c>
      <c r="R70" s="1408">
        <f t="shared" si="32"/>
        <v>0</v>
      </c>
      <c r="S70" s="1408">
        <f t="shared" si="32"/>
        <v>0</v>
      </c>
      <c r="T70" s="1408">
        <f t="shared" si="32"/>
        <v>600</v>
      </c>
      <c r="U70" s="1408">
        <f t="shared" si="32"/>
        <v>600</v>
      </c>
      <c r="V70" s="1408">
        <f t="shared" si="32"/>
        <v>0</v>
      </c>
      <c r="W70" s="1408">
        <f t="shared" si="32"/>
        <v>0</v>
      </c>
    </row>
    <row r="71" spans="1:23">
      <c r="B71" s="1431" t="s">
        <v>1559</v>
      </c>
      <c r="C71" s="1436">
        <f>SUM(D71:W71)</f>
        <v>1</v>
      </c>
      <c r="D71" s="1416">
        <v>0</v>
      </c>
      <c r="E71" s="1416">
        <v>0</v>
      </c>
      <c r="F71" s="1416">
        <v>0</v>
      </c>
      <c r="G71" s="1416">
        <v>0</v>
      </c>
      <c r="H71" s="1416">
        <v>0</v>
      </c>
      <c r="I71" s="1416">
        <v>0</v>
      </c>
      <c r="J71" s="1416">
        <v>0</v>
      </c>
      <c r="K71" s="1416">
        <v>0</v>
      </c>
      <c r="L71" s="1416">
        <v>0</v>
      </c>
      <c r="M71" s="1416">
        <v>0</v>
      </c>
      <c r="N71" s="1416">
        <v>0</v>
      </c>
      <c r="O71" s="1416">
        <v>0</v>
      </c>
      <c r="P71" s="1416">
        <v>0</v>
      </c>
      <c r="Q71" s="1416">
        <v>0</v>
      </c>
      <c r="R71" s="1416">
        <v>0</v>
      </c>
      <c r="S71" s="1416">
        <v>0</v>
      </c>
      <c r="T71" s="1416">
        <v>0.5</v>
      </c>
      <c r="U71" s="1416">
        <v>0.5</v>
      </c>
      <c r="V71" s="1416">
        <v>0</v>
      </c>
      <c r="W71" s="1416">
        <v>0</v>
      </c>
    </row>
    <row r="72" spans="1:23">
      <c r="C72" s="1433"/>
      <c r="D72" s="1425"/>
      <c r="E72" s="1425"/>
      <c r="F72" s="1424"/>
      <c r="G72" s="1424"/>
      <c r="H72" s="1435"/>
    </row>
    <row r="73" spans="1:23">
      <c r="C73" s="1433"/>
      <c r="D73" s="1424"/>
      <c r="E73" s="1424"/>
      <c r="F73" s="1424"/>
      <c r="G73" s="1424"/>
    </row>
    <row r="74" spans="1:23">
      <c r="A74" s="1406">
        <v>5</v>
      </c>
      <c r="B74" s="1407" t="s">
        <v>1466</v>
      </c>
      <c r="C74" s="1431" t="str">
        <f>C69</f>
        <v>Total</v>
      </c>
      <c r="D74" s="1431">
        <f t="shared" ref="D74:I74" si="33">D69</f>
        <v>2013</v>
      </c>
      <c r="E74" s="1431">
        <f t="shared" si="33"/>
        <v>2014</v>
      </c>
      <c r="F74" s="1431">
        <f t="shared" si="33"/>
        <v>2015</v>
      </c>
      <c r="G74" s="1431">
        <f t="shared" si="33"/>
        <v>2016</v>
      </c>
      <c r="H74" s="1431">
        <f t="shared" si="33"/>
        <v>2017</v>
      </c>
      <c r="I74" s="1431">
        <f t="shared" si="33"/>
        <v>2018</v>
      </c>
      <c r="J74" s="1431">
        <f t="shared" ref="J74:W74" si="34">I74+1</f>
        <v>2019</v>
      </c>
      <c r="K74" s="1431">
        <f t="shared" si="34"/>
        <v>2020</v>
      </c>
      <c r="L74" s="1431">
        <f t="shared" si="34"/>
        <v>2021</v>
      </c>
      <c r="M74" s="1431">
        <f t="shared" si="34"/>
        <v>2022</v>
      </c>
      <c r="N74" s="1431">
        <f t="shared" si="34"/>
        <v>2023</v>
      </c>
      <c r="O74" s="1431">
        <f t="shared" si="34"/>
        <v>2024</v>
      </c>
      <c r="P74" s="1431">
        <f t="shared" si="34"/>
        <v>2025</v>
      </c>
      <c r="Q74" s="1431">
        <f t="shared" si="34"/>
        <v>2026</v>
      </c>
      <c r="R74" s="1431">
        <f t="shared" si="34"/>
        <v>2027</v>
      </c>
      <c r="S74" s="1431">
        <f t="shared" si="34"/>
        <v>2028</v>
      </c>
      <c r="T74" s="1431">
        <f t="shared" si="34"/>
        <v>2029</v>
      </c>
      <c r="U74" s="1431">
        <f t="shared" si="34"/>
        <v>2030</v>
      </c>
      <c r="V74" s="1431">
        <f t="shared" si="34"/>
        <v>2031</v>
      </c>
      <c r="W74" s="1431">
        <f t="shared" si="34"/>
        <v>2032</v>
      </c>
    </row>
    <row r="75" spans="1:23">
      <c r="B75" s="1432" t="s">
        <v>1567</v>
      </c>
      <c r="C75" s="1441">
        <f>$C$70*C58</f>
        <v>1200</v>
      </c>
      <c r="D75" s="1441">
        <f t="shared" ref="D75:M75" si="35">$C$70*D58</f>
        <v>0</v>
      </c>
      <c r="E75" s="1441">
        <f t="shared" si="35"/>
        <v>0</v>
      </c>
      <c r="F75" s="1441">
        <f t="shared" si="35"/>
        <v>0</v>
      </c>
      <c r="G75" s="1441">
        <f t="shared" si="35"/>
        <v>0</v>
      </c>
      <c r="H75" s="1441">
        <f t="shared" si="35"/>
        <v>0</v>
      </c>
      <c r="I75" s="1441">
        <f t="shared" si="35"/>
        <v>0</v>
      </c>
      <c r="J75" s="1441">
        <f t="shared" si="35"/>
        <v>0</v>
      </c>
      <c r="K75" s="1441">
        <f t="shared" si="35"/>
        <v>0</v>
      </c>
      <c r="L75" s="1441">
        <f t="shared" si="35"/>
        <v>0</v>
      </c>
      <c r="M75" s="1441">
        <f t="shared" si="35"/>
        <v>0</v>
      </c>
      <c r="N75" s="1441">
        <f>$C$70*N58</f>
        <v>0</v>
      </c>
      <c r="O75" s="1441">
        <f>$C$70*O58</f>
        <v>0</v>
      </c>
      <c r="P75" s="1441">
        <f t="shared" ref="P75:W75" si="36">$C$70*P58</f>
        <v>0</v>
      </c>
      <c r="Q75" s="1441">
        <f t="shared" si="36"/>
        <v>0</v>
      </c>
      <c r="R75" s="1441">
        <f t="shared" si="36"/>
        <v>0</v>
      </c>
      <c r="S75" s="1441">
        <f t="shared" si="36"/>
        <v>0</v>
      </c>
      <c r="T75" s="1441">
        <f t="shared" si="36"/>
        <v>0</v>
      </c>
      <c r="U75" s="1441">
        <f t="shared" si="36"/>
        <v>0</v>
      </c>
      <c r="V75" s="1441">
        <f t="shared" si="36"/>
        <v>600</v>
      </c>
      <c r="W75" s="1441">
        <f t="shared" si="36"/>
        <v>600</v>
      </c>
    </row>
    <row r="76" spans="1:23">
      <c r="B76" s="1431" t="s">
        <v>803</v>
      </c>
      <c r="C76" s="1440">
        <f>$E$32*C58</f>
        <v>341.04</v>
      </c>
      <c r="D76" s="1440">
        <f t="shared" ref="D76:M76" si="37">$E$32*D58</f>
        <v>0</v>
      </c>
      <c r="E76" s="1440">
        <f t="shared" si="37"/>
        <v>0</v>
      </c>
      <c r="F76" s="1440">
        <f t="shared" si="37"/>
        <v>0</v>
      </c>
      <c r="G76" s="1440">
        <f t="shared" si="37"/>
        <v>0</v>
      </c>
      <c r="H76" s="1440">
        <f t="shared" si="37"/>
        <v>0</v>
      </c>
      <c r="I76" s="1440">
        <f t="shared" si="37"/>
        <v>0</v>
      </c>
      <c r="J76" s="1440">
        <f t="shared" si="37"/>
        <v>0</v>
      </c>
      <c r="K76" s="1440">
        <f t="shared" si="37"/>
        <v>0</v>
      </c>
      <c r="L76" s="1440">
        <f t="shared" si="37"/>
        <v>0</v>
      </c>
      <c r="M76" s="1440">
        <f t="shared" si="37"/>
        <v>0</v>
      </c>
      <c r="N76" s="1440">
        <f>$E$32*N58</f>
        <v>0</v>
      </c>
      <c r="O76" s="1440">
        <f>$E$32*O58</f>
        <v>0</v>
      </c>
      <c r="P76" s="1440">
        <f t="shared" ref="P76:W76" si="38">$E$32*P58</f>
        <v>0</v>
      </c>
      <c r="Q76" s="1440">
        <f t="shared" si="38"/>
        <v>0</v>
      </c>
      <c r="R76" s="1440">
        <f t="shared" si="38"/>
        <v>0</v>
      </c>
      <c r="S76" s="1440">
        <f t="shared" si="38"/>
        <v>0</v>
      </c>
      <c r="T76" s="1440">
        <f t="shared" si="38"/>
        <v>0</v>
      </c>
      <c r="U76" s="1440">
        <f t="shared" si="38"/>
        <v>0</v>
      </c>
      <c r="V76" s="1440">
        <f t="shared" si="38"/>
        <v>170.52</v>
      </c>
      <c r="W76" s="1440">
        <f t="shared" si="38"/>
        <v>170.52</v>
      </c>
    </row>
    <row r="77" spans="1:23" s="1447" customFormat="1">
      <c r="A77" s="1459"/>
      <c r="B77" s="1447" t="s">
        <v>804</v>
      </c>
      <c r="C77" s="1458">
        <f>SUMIF(D113:M113,"&lt;="&amp;D11,D119:M119)</f>
        <v>0</v>
      </c>
      <c r="D77" s="1410">
        <f t="shared" ref="D77:J77" si="39">$C$77*D58</f>
        <v>0</v>
      </c>
      <c r="E77" s="1410">
        <f t="shared" si="39"/>
        <v>0</v>
      </c>
      <c r="F77" s="1410">
        <f t="shared" si="39"/>
        <v>0</v>
      </c>
      <c r="G77" s="1410">
        <f t="shared" si="39"/>
        <v>0</v>
      </c>
      <c r="H77" s="1410">
        <f t="shared" si="39"/>
        <v>0</v>
      </c>
      <c r="I77" s="1410">
        <f t="shared" si="39"/>
        <v>0</v>
      </c>
      <c r="J77" s="1410">
        <f t="shared" si="39"/>
        <v>0</v>
      </c>
      <c r="K77" s="1410">
        <f>$C$77*K58</f>
        <v>0</v>
      </c>
      <c r="L77" s="1410">
        <f>$C$77*L58</f>
        <v>0</v>
      </c>
      <c r="M77" s="1410">
        <f>$C$77*M58</f>
        <v>0</v>
      </c>
      <c r="N77" s="1410">
        <f>$C$77*N58</f>
        <v>0</v>
      </c>
      <c r="O77" s="1410">
        <f>$C$77*O58</f>
        <v>0</v>
      </c>
      <c r="P77" s="1410">
        <f t="shared" ref="P77:W77" si="40">$C$77*P58</f>
        <v>0</v>
      </c>
      <c r="Q77" s="1410">
        <f t="shared" si="40"/>
        <v>0</v>
      </c>
      <c r="R77" s="1410">
        <f t="shared" si="40"/>
        <v>0</v>
      </c>
      <c r="S77" s="1410">
        <f t="shared" si="40"/>
        <v>0</v>
      </c>
      <c r="T77" s="1410">
        <f t="shared" si="40"/>
        <v>0</v>
      </c>
      <c r="U77" s="1410">
        <f t="shared" si="40"/>
        <v>0</v>
      </c>
      <c r="V77" s="1410">
        <f t="shared" si="40"/>
        <v>0</v>
      </c>
      <c r="W77" s="1410">
        <f t="shared" si="40"/>
        <v>0</v>
      </c>
    </row>
    <row r="78" spans="1:23" s="1447" customFormat="1">
      <c r="A78" s="1459"/>
      <c r="B78" s="1447" t="s">
        <v>805</v>
      </c>
      <c r="C78" s="1410">
        <f>SUM(D78:W78)</f>
        <v>0</v>
      </c>
      <c r="D78" s="1410">
        <f t="shared" ref="D78:M78" si="41">IF(D74&gt;$D$11,D119,0)</f>
        <v>0</v>
      </c>
      <c r="E78" s="1410">
        <f t="shared" si="41"/>
        <v>0</v>
      </c>
      <c r="F78" s="1410">
        <f t="shared" si="41"/>
        <v>0</v>
      </c>
      <c r="G78" s="1410">
        <f t="shared" si="41"/>
        <v>0</v>
      </c>
      <c r="H78" s="1410">
        <f t="shared" si="41"/>
        <v>0</v>
      </c>
      <c r="I78" s="1410">
        <f t="shared" si="41"/>
        <v>0</v>
      </c>
      <c r="J78" s="1410">
        <f t="shared" si="41"/>
        <v>0</v>
      </c>
      <c r="K78" s="1410">
        <f t="shared" si="41"/>
        <v>0</v>
      </c>
      <c r="L78" s="1410">
        <f t="shared" si="41"/>
        <v>0</v>
      </c>
      <c r="M78" s="1410">
        <f t="shared" si="41"/>
        <v>0</v>
      </c>
      <c r="N78" s="1410">
        <f>IF(N74&gt;$D$11,N119,0)</f>
        <v>0</v>
      </c>
      <c r="O78" s="1410">
        <f>IF(O74&gt;$D$11,O119,0)</f>
        <v>0</v>
      </c>
      <c r="P78" s="1410">
        <f t="shared" ref="P78:W78" si="42">IF(P74&gt;$D$11,P119,0)</f>
        <v>0</v>
      </c>
      <c r="Q78" s="1410">
        <f t="shared" si="42"/>
        <v>0</v>
      </c>
      <c r="R78" s="1410">
        <f t="shared" si="42"/>
        <v>0</v>
      </c>
      <c r="S78" s="1410">
        <f t="shared" si="42"/>
        <v>0</v>
      </c>
      <c r="T78" s="1410">
        <f t="shared" si="42"/>
        <v>0</v>
      </c>
      <c r="U78" s="1410">
        <f t="shared" si="42"/>
        <v>0</v>
      </c>
      <c r="V78" s="1410">
        <f t="shared" si="42"/>
        <v>0</v>
      </c>
      <c r="W78" s="1410">
        <f t="shared" si="42"/>
        <v>0</v>
      </c>
    </row>
    <row r="79" spans="1:23">
      <c r="B79" s="1431" t="s">
        <v>656</v>
      </c>
      <c r="C79" s="1440">
        <f>$D$46*C57</f>
        <v>456.96000000000009</v>
      </c>
      <c r="D79" s="1440">
        <f t="shared" ref="D79:J79" si="43">$D$46*D57</f>
        <v>0</v>
      </c>
      <c r="E79" s="1440">
        <f t="shared" si="43"/>
        <v>0</v>
      </c>
      <c r="F79" s="1440">
        <f t="shared" si="43"/>
        <v>0</v>
      </c>
      <c r="G79" s="1440">
        <f t="shared" si="43"/>
        <v>0</v>
      </c>
      <c r="H79" s="1440">
        <f t="shared" si="43"/>
        <v>0</v>
      </c>
      <c r="I79" s="1440">
        <f t="shared" si="43"/>
        <v>0</v>
      </c>
      <c r="J79" s="1440">
        <f t="shared" si="43"/>
        <v>0</v>
      </c>
      <c r="K79" s="1440">
        <f>$D$46*K57</f>
        <v>0</v>
      </c>
      <c r="L79" s="1440">
        <f>$D$46*L57</f>
        <v>0</v>
      </c>
      <c r="M79" s="1440">
        <f>$D$46*M57</f>
        <v>0</v>
      </c>
      <c r="N79" s="1440">
        <f>$D$46*N57</f>
        <v>0</v>
      </c>
      <c r="O79" s="1440">
        <f>$D$46*O57</f>
        <v>0</v>
      </c>
      <c r="P79" s="1440">
        <f t="shared" ref="P79:W79" si="44">$D$46*P57</f>
        <v>0</v>
      </c>
      <c r="Q79" s="1440">
        <f t="shared" si="44"/>
        <v>0</v>
      </c>
      <c r="R79" s="1440">
        <f t="shared" si="44"/>
        <v>0</v>
      </c>
      <c r="S79" s="1440">
        <f t="shared" si="44"/>
        <v>0</v>
      </c>
      <c r="T79" s="1440">
        <f t="shared" si="44"/>
        <v>0</v>
      </c>
      <c r="U79" s="1440">
        <f t="shared" si="44"/>
        <v>0</v>
      </c>
      <c r="V79" s="1440">
        <f t="shared" si="44"/>
        <v>228.48000000000005</v>
      </c>
      <c r="W79" s="1440">
        <f t="shared" si="44"/>
        <v>228.48000000000005</v>
      </c>
    </row>
    <row r="80" spans="1:23">
      <c r="C80" s="1440"/>
      <c r="D80" s="1440"/>
      <c r="E80" s="1440"/>
      <c r="F80" s="1440"/>
      <c r="G80" s="1440"/>
    </row>
    <row r="82" spans="1:23" s="1407" customFormat="1">
      <c r="A82" s="1406">
        <v>6</v>
      </c>
      <c r="B82" s="1407" t="s">
        <v>878</v>
      </c>
      <c r="C82" s="1431" t="str">
        <f>C74</f>
        <v>Total</v>
      </c>
      <c r="D82" s="1431">
        <f t="shared" ref="D82:J82" si="45">D74</f>
        <v>2013</v>
      </c>
      <c r="E82" s="1431">
        <f t="shared" si="45"/>
        <v>2014</v>
      </c>
      <c r="F82" s="1431">
        <f t="shared" si="45"/>
        <v>2015</v>
      </c>
      <c r="G82" s="1431">
        <f t="shared" si="45"/>
        <v>2016</v>
      </c>
      <c r="H82" s="1431">
        <f t="shared" si="45"/>
        <v>2017</v>
      </c>
      <c r="I82" s="1431">
        <f t="shared" si="45"/>
        <v>2018</v>
      </c>
      <c r="J82" s="1431">
        <f t="shared" si="45"/>
        <v>2019</v>
      </c>
      <c r="K82" s="1431">
        <f>K74</f>
        <v>2020</v>
      </c>
      <c r="L82" s="1431">
        <f>L74</f>
        <v>2021</v>
      </c>
      <c r="M82" s="1431">
        <f>M74</f>
        <v>2022</v>
      </c>
      <c r="N82" s="1431">
        <f>N74</f>
        <v>2023</v>
      </c>
      <c r="O82" s="1431">
        <f>O74</f>
        <v>2024</v>
      </c>
      <c r="P82" s="1431">
        <f t="shared" ref="P82:W82" si="46">P74</f>
        <v>2025</v>
      </c>
      <c r="Q82" s="1431">
        <f t="shared" si="46"/>
        <v>2026</v>
      </c>
      <c r="R82" s="1431">
        <f t="shared" si="46"/>
        <v>2027</v>
      </c>
      <c r="S82" s="1431">
        <f t="shared" si="46"/>
        <v>2028</v>
      </c>
      <c r="T82" s="1431">
        <f t="shared" si="46"/>
        <v>2029</v>
      </c>
      <c r="U82" s="1431">
        <f t="shared" si="46"/>
        <v>2030</v>
      </c>
      <c r="V82" s="1431">
        <f t="shared" si="46"/>
        <v>2031</v>
      </c>
      <c r="W82" s="1431">
        <f t="shared" si="46"/>
        <v>2032</v>
      </c>
    </row>
    <row r="83" spans="1:23">
      <c r="B83" s="1432" t="s">
        <v>26</v>
      </c>
      <c r="C83" s="1441">
        <f t="shared" ref="C83:J83" si="47">C57</f>
        <v>3264.0000000000005</v>
      </c>
      <c r="D83" s="1441">
        <f t="shared" si="47"/>
        <v>0</v>
      </c>
      <c r="E83" s="1441">
        <f t="shared" si="47"/>
        <v>0</v>
      </c>
      <c r="F83" s="1441">
        <f t="shared" si="47"/>
        <v>0</v>
      </c>
      <c r="G83" s="1441">
        <f t="shared" si="47"/>
        <v>0</v>
      </c>
      <c r="H83" s="1441">
        <f t="shared" si="47"/>
        <v>0</v>
      </c>
      <c r="I83" s="1441">
        <f t="shared" si="47"/>
        <v>0</v>
      </c>
      <c r="J83" s="1441">
        <f t="shared" si="47"/>
        <v>0</v>
      </c>
      <c r="K83" s="1441">
        <f>K57</f>
        <v>0</v>
      </c>
      <c r="L83" s="1441">
        <f>L57</f>
        <v>0</v>
      </c>
      <c r="M83" s="1441">
        <f>M57</f>
        <v>0</v>
      </c>
      <c r="N83" s="1441">
        <f>N57</f>
        <v>0</v>
      </c>
      <c r="O83" s="1441">
        <f>O57</f>
        <v>0</v>
      </c>
      <c r="P83" s="1441">
        <f t="shared" ref="P83:W83" si="48">P57</f>
        <v>0</v>
      </c>
      <c r="Q83" s="1441">
        <f t="shared" si="48"/>
        <v>0</v>
      </c>
      <c r="R83" s="1441">
        <f t="shared" si="48"/>
        <v>0</v>
      </c>
      <c r="S83" s="1441">
        <f t="shared" si="48"/>
        <v>0</v>
      </c>
      <c r="T83" s="1441">
        <f t="shared" si="48"/>
        <v>0</v>
      </c>
      <c r="U83" s="1441">
        <f t="shared" si="48"/>
        <v>0</v>
      </c>
      <c r="V83" s="1441">
        <f t="shared" si="48"/>
        <v>1632.0000000000002</v>
      </c>
      <c r="W83" s="1441">
        <f t="shared" si="48"/>
        <v>1632.0000000000002</v>
      </c>
    </row>
    <row r="84" spans="1:23">
      <c r="B84" s="1431" t="s">
        <v>432</v>
      </c>
      <c r="C84" s="1440">
        <f>SUM(C75:C77)</f>
        <v>1541.04</v>
      </c>
      <c r="D84" s="1440">
        <f>SUM(D75:D77)</f>
        <v>0</v>
      </c>
      <c r="E84" s="1440">
        <f t="shared" ref="E84:J84" si="49">SUM(E75:E77)</f>
        <v>0</v>
      </c>
      <c r="F84" s="1440">
        <f t="shared" si="49"/>
        <v>0</v>
      </c>
      <c r="G84" s="1440">
        <f t="shared" si="49"/>
        <v>0</v>
      </c>
      <c r="H84" s="1440">
        <f t="shared" si="49"/>
        <v>0</v>
      </c>
      <c r="I84" s="1440">
        <f t="shared" si="49"/>
        <v>0</v>
      </c>
      <c r="J84" s="1440">
        <f t="shared" si="49"/>
        <v>0</v>
      </c>
      <c r="K84" s="1440">
        <f>SUM(K75:K77)</f>
        <v>0</v>
      </c>
      <c r="L84" s="1440">
        <f>SUM(L75:L77)</f>
        <v>0</v>
      </c>
      <c r="M84" s="1440">
        <f>SUM(M75:M77)</f>
        <v>0</v>
      </c>
      <c r="N84" s="1440">
        <f>SUM(N75:N77)</f>
        <v>0</v>
      </c>
      <c r="O84" s="1440">
        <f>SUM(O75:O77)</f>
        <v>0</v>
      </c>
      <c r="P84" s="1440">
        <f t="shared" ref="P84:W84" si="50">SUM(P75:P77)</f>
        <v>0</v>
      </c>
      <c r="Q84" s="1440">
        <f t="shared" si="50"/>
        <v>0</v>
      </c>
      <c r="R84" s="1440">
        <f t="shared" si="50"/>
        <v>0</v>
      </c>
      <c r="S84" s="1440">
        <f t="shared" si="50"/>
        <v>0</v>
      </c>
      <c r="T84" s="1440">
        <f t="shared" si="50"/>
        <v>0</v>
      </c>
      <c r="U84" s="1440">
        <f t="shared" si="50"/>
        <v>0</v>
      </c>
      <c r="V84" s="1440">
        <f t="shared" si="50"/>
        <v>770.52</v>
      </c>
      <c r="W84" s="1440">
        <f t="shared" si="50"/>
        <v>770.52</v>
      </c>
    </row>
    <row r="85" spans="1:23">
      <c r="B85" s="1431" t="s">
        <v>28</v>
      </c>
      <c r="C85" s="1440">
        <f>C83-C84</f>
        <v>1722.9600000000005</v>
      </c>
      <c r="D85" s="1440">
        <f t="shared" ref="D85:M85" si="51">D83-D84</f>
        <v>0</v>
      </c>
      <c r="E85" s="1440">
        <f t="shared" si="51"/>
        <v>0</v>
      </c>
      <c r="F85" s="1440">
        <f t="shared" si="51"/>
        <v>0</v>
      </c>
      <c r="G85" s="1440">
        <f t="shared" si="51"/>
        <v>0</v>
      </c>
      <c r="H85" s="1440">
        <f t="shared" si="51"/>
        <v>0</v>
      </c>
      <c r="I85" s="1440">
        <f t="shared" si="51"/>
        <v>0</v>
      </c>
      <c r="J85" s="1440">
        <f t="shared" si="51"/>
        <v>0</v>
      </c>
      <c r="K85" s="1440">
        <f t="shared" si="51"/>
        <v>0</v>
      </c>
      <c r="L85" s="1440">
        <f t="shared" si="51"/>
        <v>0</v>
      </c>
      <c r="M85" s="1440">
        <f t="shared" si="51"/>
        <v>0</v>
      </c>
      <c r="N85" s="1440">
        <f>N83-N84</f>
        <v>0</v>
      </c>
      <c r="O85" s="1440">
        <f>O83-O84</f>
        <v>0</v>
      </c>
      <c r="P85" s="1440">
        <f t="shared" ref="P85:W85" si="52">P83-P84</f>
        <v>0</v>
      </c>
      <c r="Q85" s="1440">
        <f t="shared" si="52"/>
        <v>0</v>
      </c>
      <c r="R85" s="1440">
        <f t="shared" si="52"/>
        <v>0</v>
      </c>
      <c r="S85" s="1440">
        <f t="shared" si="52"/>
        <v>0</v>
      </c>
      <c r="T85" s="1440">
        <f t="shared" si="52"/>
        <v>0</v>
      </c>
      <c r="U85" s="1440">
        <f t="shared" si="52"/>
        <v>0</v>
      </c>
      <c r="V85" s="1440">
        <f t="shared" si="52"/>
        <v>861.48000000000025</v>
      </c>
      <c r="W85" s="1440">
        <f t="shared" si="52"/>
        <v>861.48000000000025</v>
      </c>
    </row>
    <row r="86" spans="1:23">
      <c r="B86" s="1431" t="s">
        <v>656</v>
      </c>
      <c r="C86" s="1440">
        <f>C79</f>
        <v>456.96000000000009</v>
      </c>
      <c r="D86" s="1440">
        <f>D79</f>
        <v>0</v>
      </c>
      <c r="E86" s="1440">
        <f t="shared" ref="E86:J86" si="53">E79</f>
        <v>0</v>
      </c>
      <c r="F86" s="1440">
        <f t="shared" si="53"/>
        <v>0</v>
      </c>
      <c r="G86" s="1440">
        <f t="shared" si="53"/>
        <v>0</v>
      </c>
      <c r="H86" s="1440">
        <f t="shared" si="53"/>
        <v>0</v>
      </c>
      <c r="I86" s="1440">
        <f t="shared" si="53"/>
        <v>0</v>
      </c>
      <c r="J86" s="1440">
        <f t="shared" si="53"/>
        <v>0</v>
      </c>
      <c r="K86" s="1440">
        <f>K79</f>
        <v>0</v>
      </c>
      <c r="L86" s="1440">
        <f>L79</f>
        <v>0</v>
      </c>
      <c r="M86" s="1440">
        <f>M79</f>
        <v>0</v>
      </c>
      <c r="N86" s="1440">
        <f>N79</f>
        <v>0</v>
      </c>
      <c r="O86" s="1440">
        <f>O79</f>
        <v>0</v>
      </c>
      <c r="P86" s="1440">
        <f t="shared" ref="P86:W86" si="54">P79</f>
        <v>0</v>
      </c>
      <c r="Q86" s="1440">
        <f t="shared" si="54"/>
        <v>0</v>
      </c>
      <c r="R86" s="1440">
        <f t="shared" si="54"/>
        <v>0</v>
      </c>
      <c r="S86" s="1440">
        <f t="shared" si="54"/>
        <v>0</v>
      </c>
      <c r="T86" s="1440">
        <f t="shared" si="54"/>
        <v>0</v>
      </c>
      <c r="U86" s="1440">
        <f t="shared" si="54"/>
        <v>0</v>
      </c>
      <c r="V86" s="1440">
        <f t="shared" si="54"/>
        <v>228.48000000000005</v>
      </c>
      <c r="W86" s="1440">
        <f t="shared" si="54"/>
        <v>228.48000000000005</v>
      </c>
    </row>
    <row r="87" spans="1:23">
      <c r="B87" s="1431" t="s">
        <v>805</v>
      </c>
      <c r="C87" s="1410">
        <f>C78</f>
        <v>0</v>
      </c>
      <c r="D87" s="1440">
        <f>D78</f>
        <v>0</v>
      </c>
      <c r="E87" s="1440">
        <f t="shared" ref="E87:J87" si="55">E78</f>
        <v>0</v>
      </c>
      <c r="F87" s="1440">
        <f t="shared" si="55"/>
        <v>0</v>
      </c>
      <c r="G87" s="1440">
        <f t="shared" si="55"/>
        <v>0</v>
      </c>
      <c r="H87" s="1440">
        <f t="shared" si="55"/>
        <v>0</v>
      </c>
      <c r="I87" s="1440">
        <f t="shared" si="55"/>
        <v>0</v>
      </c>
      <c r="J87" s="1440">
        <f t="shared" si="55"/>
        <v>0</v>
      </c>
      <c r="K87" s="1440">
        <f>K78</f>
        <v>0</v>
      </c>
      <c r="L87" s="1440">
        <f>L78</f>
        <v>0</v>
      </c>
      <c r="M87" s="1440">
        <f>M78</f>
        <v>0</v>
      </c>
      <c r="N87" s="1440">
        <f>N78</f>
        <v>0</v>
      </c>
      <c r="O87" s="1440">
        <f>O78</f>
        <v>0</v>
      </c>
      <c r="P87" s="1440">
        <f t="shared" ref="P87:W87" si="56">P78</f>
        <v>0</v>
      </c>
      <c r="Q87" s="1440">
        <f t="shared" si="56"/>
        <v>0</v>
      </c>
      <c r="R87" s="1440">
        <f t="shared" si="56"/>
        <v>0</v>
      </c>
      <c r="S87" s="1440">
        <f t="shared" si="56"/>
        <v>0</v>
      </c>
      <c r="T87" s="1440">
        <f t="shared" si="56"/>
        <v>0</v>
      </c>
      <c r="U87" s="1440">
        <f t="shared" si="56"/>
        <v>0</v>
      </c>
      <c r="V87" s="1440">
        <f t="shared" si="56"/>
        <v>0</v>
      </c>
      <c r="W87" s="1440">
        <f t="shared" si="56"/>
        <v>0</v>
      </c>
    </row>
    <row r="88" spans="1:23">
      <c r="B88" s="1431" t="s">
        <v>822</v>
      </c>
      <c r="C88" s="1440">
        <f>C85-C86-C87</f>
        <v>1266.0000000000005</v>
      </c>
      <c r="D88" s="1440">
        <f t="shared" ref="D88:M88" si="57">D85-D86-D87</f>
        <v>0</v>
      </c>
      <c r="E88" s="1440">
        <f t="shared" si="57"/>
        <v>0</v>
      </c>
      <c r="F88" s="1440">
        <f t="shared" si="57"/>
        <v>0</v>
      </c>
      <c r="G88" s="1440">
        <f t="shared" si="57"/>
        <v>0</v>
      </c>
      <c r="H88" s="1440">
        <f t="shared" si="57"/>
        <v>0</v>
      </c>
      <c r="I88" s="1440">
        <f t="shared" si="57"/>
        <v>0</v>
      </c>
      <c r="J88" s="1440">
        <f t="shared" si="57"/>
        <v>0</v>
      </c>
      <c r="K88" s="1440">
        <f t="shared" si="57"/>
        <v>0</v>
      </c>
      <c r="L88" s="1440">
        <f t="shared" si="57"/>
        <v>0</v>
      </c>
      <c r="M88" s="1440">
        <f t="shared" si="57"/>
        <v>0</v>
      </c>
      <c r="N88" s="1440">
        <f>N85-N86-N87</f>
        <v>0</v>
      </c>
      <c r="O88" s="1440">
        <f>O85-O86-O87</f>
        <v>0</v>
      </c>
      <c r="P88" s="1440">
        <f t="shared" ref="P88:W88" si="58">P85-P86-P87</f>
        <v>0</v>
      </c>
      <c r="Q88" s="1440">
        <f t="shared" si="58"/>
        <v>0</v>
      </c>
      <c r="R88" s="1440">
        <f t="shared" si="58"/>
        <v>0</v>
      </c>
      <c r="S88" s="1440">
        <f t="shared" si="58"/>
        <v>0</v>
      </c>
      <c r="T88" s="1440">
        <f t="shared" si="58"/>
        <v>0</v>
      </c>
      <c r="U88" s="1440">
        <f t="shared" si="58"/>
        <v>0</v>
      </c>
      <c r="V88" s="1440">
        <f t="shared" si="58"/>
        <v>633.00000000000023</v>
      </c>
      <c r="W88" s="1440">
        <f t="shared" si="58"/>
        <v>633.00000000000023</v>
      </c>
    </row>
    <row r="89" spans="1:23">
      <c r="B89" s="1431" t="s">
        <v>290</v>
      </c>
      <c r="C89" s="1440">
        <f>SUM(D89:W89)</f>
        <v>253.2000000000001</v>
      </c>
      <c r="D89" s="1410">
        <f t="shared" ref="D89:M89" si="59">D88*D22</f>
        <v>0</v>
      </c>
      <c r="E89" s="1410">
        <f t="shared" si="59"/>
        <v>0</v>
      </c>
      <c r="F89" s="1410">
        <f t="shared" si="59"/>
        <v>0</v>
      </c>
      <c r="G89" s="1410">
        <f t="shared" si="59"/>
        <v>0</v>
      </c>
      <c r="H89" s="1410">
        <f t="shared" si="59"/>
        <v>0</v>
      </c>
      <c r="I89" s="1410">
        <f t="shared" si="59"/>
        <v>0</v>
      </c>
      <c r="J89" s="1410">
        <f t="shared" si="59"/>
        <v>0</v>
      </c>
      <c r="K89" s="1410">
        <f t="shared" si="59"/>
        <v>0</v>
      </c>
      <c r="L89" s="1410">
        <f t="shared" si="59"/>
        <v>0</v>
      </c>
      <c r="M89" s="1410">
        <f t="shared" si="59"/>
        <v>0</v>
      </c>
      <c r="N89" s="1410">
        <f>N88*N22</f>
        <v>0</v>
      </c>
      <c r="O89" s="1410">
        <f>O88*O22</f>
        <v>0</v>
      </c>
      <c r="P89" s="1410">
        <f t="shared" ref="P89:W89" si="60">P88*P22</f>
        <v>0</v>
      </c>
      <c r="Q89" s="1410">
        <f t="shared" si="60"/>
        <v>0</v>
      </c>
      <c r="R89" s="1410">
        <f t="shared" si="60"/>
        <v>0</v>
      </c>
      <c r="S89" s="1410">
        <f t="shared" si="60"/>
        <v>0</v>
      </c>
      <c r="T89" s="1410">
        <f t="shared" si="60"/>
        <v>0</v>
      </c>
      <c r="U89" s="1410">
        <f t="shared" si="60"/>
        <v>0</v>
      </c>
      <c r="V89" s="1410">
        <f t="shared" si="60"/>
        <v>126.60000000000005</v>
      </c>
      <c r="W89" s="1410">
        <f t="shared" si="60"/>
        <v>126.60000000000005</v>
      </c>
    </row>
    <row r="90" spans="1:23">
      <c r="B90" s="1431" t="s">
        <v>661</v>
      </c>
      <c r="C90" s="1440">
        <f>SUM(D90:W90)</f>
        <v>1012.8000000000004</v>
      </c>
      <c r="D90" s="1440">
        <f>D88-D89</f>
        <v>0</v>
      </c>
      <c r="E90" s="1440">
        <f t="shared" ref="E90:J90" si="61">E88-E89</f>
        <v>0</v>
      </c>
      <c r="F90" s="1440">
        <f t="shared" si="61"/>
        <v>0</v>
      </c>
      <c r="G90" s="1440">
        <f t="shared" si="61"/>
        <v>0</v>
      </c>
      <c r="H90" s="1440">
        <f t="shared" si="61"/>
        <v>0</v>
      </c>
      <c r="I90" s="1440">
        <f t="shared" si="61"/>
        <v>0</v>
      </c>
      <c r="J90" s="1440">
        <f t="shared" si="61"/>
        <v>0</v>
      </c>
      <c r="K90" s="1440">
        <f>K88-K89</f>
        <v>0</v>
      </c>
      <c r="L90" s="1440">
        <f>L88-L89</f>
        <v>0</v>
      </c>
      <c r="M90" s="1440">
        <f>M88-M89</f>
        <v>0</v>
      </c>
      <c r="N90" s="1440">
        <f>N88-N89</f>
        <v>0</v>
      </c>
      <c r="O90" s="1440">
        <f>O88-O89</f>
        <v>0</v>
      </c>
      <c r="P90" s="1440">
        <f t="shared" ref="P90:W90" si="62">P88-P89</f>
        <v>0</v>
      </c>
      <c r="Q90" s="1440">
        <f t="shared" si="62"/>
        <v>0</v>
      </c>
      <c r="R90" s="1440">
        <f t="shared" si="62"/>
        <v>0</v>
      </c>
      <c r="S90" s="1440">
        <f t="shared" si="62"/>
        <v>0</v>
      </c>
      <c r="T90" s="1440">
        <f t="shared" si="62"/>
        <v>0</v>
      </c>
      <c r="U90" s="1440">
        <f t="shared" si="62"/>
        <v>0</v>
      </c>
      <c r="V90" s="1440">
        <f t="shared" si="62"/>
        <v>506.4000000000002</v>
      </c>
      <c r="W90" s="1440">
        <f t="shared" si="62"/>
        <v>506.4000000000002</v>
      </c>
    </row>
    <row r="91" spans="1:23">
      <c r="B91" s="1428" t="s">
        <v>197</v>
      </c>
      <c r="C91" s="1429">
        <f>IF(C83&lt;&gt;0,1-C84/C83,"")</f>
        <v>0.52786764705882361</v>
      </c>
      <c r="D91" s="1429" t="str">
        <f t="shared" ref="D91:J91" si="63">IF(D83&lt;&gt;0,1-D84/D83,"")</f>
        <v/>
      </c>
      <c r="E91" s="1429" t="str">
        <f t="shared" si="63"/>
        <v/>
      </c>
      <c r="F91" s="1429" t="str">
        <f t="shared" si="63"/>
        <v/>
      </c>
      <c r="G91" s="1429" t="str">
        <f t="shared" si="63"/>
        <v/>
      </c>
      <c r="H91" s="1429" t="str">
        <f t="shared" si="63"/>
        <v/>
      </c>
      <c r="I91" s="1429" t="str">
        <f t="shared" si="63"/>
        <v/>
      </c>
      <c r="J91" s="1429" t="str">
        <f t="shared" si="63"/>
        <v/>
      </c>
      <c r="K91" s="1429" t="str">
        <f>IF(K83&lt;&gt;0,1-K84/K83,"")</f>
        <v/>
      </c>
      <c r="L91" s="1429" t="str">
        <f>IF(L83&lt;&gt;0,1-L84/L83,"")</f>
        <v/>
      </c>
      <c r="M91" s="1429" t="str">
        <f>IF(M83&lt;&gt;0,1-M84/M83,"")</f>
        <v/>
      </c>
      <c r="N91" s="1429" t="str">
        <f>IF(N83&lt;&gt;0,1-N84/N83,"")</f>
        <v/>
      </c>
      <c r="O91" s="1429" t="str">
        <f>IF(O83&lt;&gt;0,1-O84/O83,"")</f>
        <v/>
      </c>
      <c r="P91" s="1429" t="str">
        <f t="shared" ref="P91:W91" si="64">IF(P83&lt;&gt;0,1-P84/P83,"")</f>
        <v/>
      </c>
      <c r="Q91" s="1429" t="str">
        <f t="shared" si="64"/>
        <v/>
      </c>
      <c r="R91" s="1429" t="str">
        <f t="shared" si="64"/>
        <v/>
      </c>
      <c r="S91" s="1429" t="str">
        <f t="shared" si="64"/>
        <v/>
      </c>
      <c r="T91" s="1429" t="str">
        <f t="shared" si="64"/>
        <v/>
      </c>
      <c r="U91" s="1429" t="str">
        <f t="shared" si="64"/>
        <v/>
      </c>
      <c r="V91" s="1429">
        <f t="shared" si="64"/>
        <v>0.52786764705882361</v>
      </c>
      <c r="W91" s="1429">
        <f t="shared" si="64"/>
        <v>0.52786764705882361</v>
      </c>
    </row>
    <row r="92" spans="1:23">
      <c r="B92" s="1428" t="s">
        <v>1779</v>
      </c>
      <c r="C92" s="1429">
        <f>IF(C83&lt;&gt;0,C90/C83,"")</f>
        <v>0.31029411764705889</v>
      </c>
      <c r="D92" s="1429" t="str">
        <f t="shared" ref="D92:M92" si="65">IF(D83&lt;&gt;0,D90/D83,"")</f>
        <v/>
      </c>
      <c r="E92" s="1429" t="str">
        <f t="shared" si="65"/>
        <v/>
      </c>
      <c r="F92" s="1429" t="str">
        <f t="shared" si="65"/>
        <v/>
      </c>
      <c r="G92" s="1429" t="str">
        <f t="shared" si="65"/>
        <v/>
      </c>
      <c r="H92" s="1429" t="str">
        <f t="shared" si="65"/>
        <v/>
      </c>
      <c r="I92" s="1429" t="str">
        <f t="shared" si="65"/>
        <v/>
      </c>
      <c r="J92" s="1429" t="str">
        <f t="shared" si="65"/>
        <v/>
      </c>
      <c r="K92" s="1429" t="str">
        <f t="shared" si="65"/>
        <v/>
      </c>
      <c r="L92" s="1429" t="str">
        <f t="shared" si="65"/>
        <v/>
      </c>
      <c r="M92" s="1429" t="str">
        <f t="shared" si="65"/>
        <v/>
      </c>
      <c r="N92" s="1429" t="str">
        <f>IF(N83&lt;&gt;0,N90/N83,"")</f>
        <v/>
      </c>
      <c r="O92" s="1429" t="str">
        <f>IF(O83&lt;&gt;0,O90/O83,"")</f>
        <v/>
      </c>
      <c r="P92" s="1429" t="str">
        <f t="shared" ref="P92:W92" si="66">IF(P83&lt;&gt;0,P90/P83,"")</f>
        <v/>
      </c>
      <c r="Q92" s="1429" t="str">
        <f t="shared" si="66"/>
        <v/>
      </c>
      <c r="R92" s="1429" t="str">
        <f t="shared" si="66"/>
        <v/>
      </c>
      <c r="S92" s="1429" t="str">
        <f t="shared" si="66"/>
        <v/>
      </c>
      <c r="T92" s="1429" t="str">
        <f t="shared" si="66"/>
        <v/>
      </c>
      <c r="U92" s="1429" t="str">
        <f t="shared" si="66"/>
        <v/>
      </c>
      <c r="V92" s="1429">
        <f t="shared" si="66"/>
        <v>0.31029411764705889</v>
      </c>
      <c r="W92" s="1429">
        <f t="shared" si="66"/>
        <v>0.31029411764705889</v>
      </c>
    </row>
    <row r="93" spans="1:23">
      <c r="B93" s="1428"/>
      <c r="C93" s="1429"/>
      <c r="D93" s="1429"/>
      <c r="E93" s="1429"/>
      <c r="F93" s="1429"/>
      <c r="G93" s="1429"/>
      <c r="H93" s="1429"/>
    </row>
    <row r="94" spans="1:23">
      <c r="D94" s="1440"/>
      <c r="E94" s="1440"/>
      <c r="F94" s="1440"/>
      <c r="G94" s="1440"/>
    </row>
    <row r="95" spans="1:23" s="1407" customFormat="1">
      <c r="A95" s="1406">
        <v>7</v>
      </c>
      <c r="B95" s="1407" t="s">
        <v>1589</v>
      </c>
      <c r="C95" s="1440" t="s">
        <v>642</v>
      </c>
      <c r="D95" s="1431">
        <f t="shared" ref="D95:J95" si="67">D82</f>
        <v>2013</v>
      </c>
      <c r="E95" s="1431">
        <f t="shared" si="67"/>
        <v>2014</v>
      </c>
      <c r="F95" s="1431">
        <f t="shared" si="67"/>
        <v>2015</v>
      </c>
      <c r="G95" s="1431">
        <f t="shared" si="67"/>
        <v>2016</v>
      </c>
      <c r="H95" s="1431">
        <f t="shared" si="67"/>
        <v>2017</v>
      </c>
      <c r="I95" s="1431">
        <f t="shared" si="67"/>
        <v>2018</v>
      </c>
      <c r="J95" s="1431">
        <f t="shared" si="67"/>
        <v>2019</v>
      </c>
      <c r="K95" s="1431">
        <f>K82</f>
        <v>2020</v>
      </c>
      <c r="L95" s="1431">
        <f>L82</f>
        <v>2021</v>
      </c>
      <c r="M95" s="1431">
        <f>M82</f>
        <v>2022</v>
      </c>
      <c r="N95" s="1431">
        <f>N82</f>
        <v>2023</v>
      </c>
      <c r="O95" s="1431">
        <f>O82</f>
        <v>2024</v>
      </c>
      <c r="P95" s="1431">
        <f t="shared" ref="P95:W95" si="68">P82</f>
        <v>2025</v>
      </c>
      <c r="Q95" s="1431">
        <f t="shared" si="68"/>
        <v>2026</v>
      </c>
      <c r="R95" s="1431">
        <f t="shared" si="68"/>
        <v>2027</v>
      </c>
      <c r="S95" s="1431">
        <f t="shared" si="68"/>
        <v>2028</v>
      </c>
      <c r="T95" s="1431">
        <f t="shared" si="68"/>
        <v>2029</v>
      </c>
      <c r="U95" s="1431">
        <f t="shared" si="68"/>
        <v>2030</v>
      </c>
      <c r="V95" s="1431">
        <f t="shared" si="68"/>
        <v>2031</v>
      </c>
      <c r="W95" s="1431">
        <f t="shared" si="68"/>
        <v>2032</v>
      </c>
    </row>
    <row r="96" spans="1:23">
      <c r="B96" s="1419" t="s">
        <v>850</v>
      </c>
      <c r="C96" s="1441">
        <f>C63</f>
        <v>0</v>
      </c>
      <c r="D96" s="1441">
        <f t="shared" ref="D96:J96" si="69">D63</f>
        <v>0</v>
      </c>
      <c r="E96" s="1441">
        <f t="shared" si="69"/>
        <v>0</v>
      </c>
      <c r="F96" s="1441">
        <f t="shared" si="69"/>
        <v>0</v>
      </c>
      <c r="G96" s="1441">
        <f t="shared" si="69"/>
        <v>0</v>
      </c>
      <c r="H96" s="1441">
        <f t="shared" si="69"/>
        <v>0</v>
      </c>
      <c r="I96" s="1441">
        <f t="shared" si="69"/>
        <v>0</v>
      </c>
      <c r="J96" s="1441">
        <f t="shared" si="69"/>
        <v>0</v>
      </c>
      <c r="K96" s="1441">
        <f>K63</f>
        <v>0</v>
      </c>
      <c r="L96" s="1441">
        <f>L63</f>
        <v>0</v>
      </c>
      <c r="M96" s="1441">
        <f>M63</f>
        <v>0</v>
      </c>
      <c r="N96" s="1441">
        <f>N63</f>
        <v>0</v>
      </c>
      <c r="O96" s="1441">
        <f>O63</f>
        <v>0</v>
      </c>
      <c r="P96" s="1441">
        <f t="shared" ref="P96:W96" si="70">P63</f>
        <v>0</v>
      </c>
      <c r="Q96" s="1441">
        <f t="shared" si="70"/>
        <v>0</v>
      </c>
      <c r="R96" s="1441">
        <f t="shared" si="70"/>
        <v>0</v>
      </c>
      <c r="S96" s="1441">
        <f t="shared" si="70"/>
        <v>0</v>
      </c>
      <c r="T96" s="1441">
        <f t="shared" si="70"/>
        <v>1632.0000000000002</v>
      </c>
      <c r="U96" s="1441">
        <f t="shared" si="70"/>
        <v>1632.0000000000002</v>
      </c>
      <c r="V96" s="1441">
        <f t="shared" si="70"/>
        <v>0</v>
      </c>
      <c r="W96" s="1441">
        <f t="shared" si="70"/>
        <v>0</v>
      </c>
    </row>
    <row r="97" spans="1:23">
      <c r="B97" s="1407"/>
      <c r="C97" s="1440"/>
      <c r="D97" s="1440"/>
      <c r="E97" s="1440"/>
      <c r="F97" s="1440"/>
      <c r="G97" s="1440"/>
      <c r="H97" s="1440"/>
      <c r="I97" s="1440"/>
      <c r="J97" s="1440"/>
      <c r="K97" s="1440"/>
      <c r="L97" s="1440"/>
      <c r="M97" s="1440"/>
      <c r="N97" s="1440"/>
      <c r="O97" s="1440"/>
      <c r="P97" s="1440"/>
      <c r="Q97" s="1440"/>
      <c r="R97" s="1440"/>
      <c r="S97" s="1440"/>
      <c r="T97" s="1440"/>
      <c r="U97" s="1440"/>
      <c r="V97" s="1440"/>
      <c r="W97" s="1440"/>
    </row>
    <row r="98" spans="1:23">
      <c r="B98" s="1407" t="s">
        <v>851</v>
      </c>
      <c r="C98" s="1440">
        <f t="shared" ref="C98:J98" si="71">SUM(C99:C102)</f>
        <v>2251.2000000000003</v>
      </c>
      <c r="D98" s="1440">
        <f t="shared" si="71"/>
        <v>0</v>
      </c>
      <c r="E98" s="1440">
        <f t="shared" si="71"/>
        <v>0</v>
      </c>
      <c r="F98" s="1440">
        <f t="shared" si="71"/>
        <v>0</v>
      </c>
      <c r="G98" s="1440">
        <f t="shared" si="71"/>
        <v>0</v>
      </c>
      <c r="H98" s="1440">
        <f t="shared" si="71"/>
        <v>0</v>
      </c>
      <c r="I98" s="1440">
        <f t="shared" si="71"/>
        <v>0</v>
      </c>
      <c r="J98" s="1440">
        <f t="shared" si="71"/>
        <v>0</v>
      </c>
      <c r="K98" s="1440">
        <f>SUM(K99:K102)</f>
        <v>0</v>
      </c>
      <c r="L98" s="1440">
        <f>SUM(L99:L102)</f>
        <v>0</v>
      </c>
      <c r="M98" s="1440">
        <f>SUM(M99:M102)</f>
        <v>0</v>
      </c>
      <c r="N98" s="1440">
        <f>SUM(N99:N102)</f>
        <v>0</v>
      </c>
      <c r="O98" s="1440">
        <f>SUM(O99:O102)</f>
        <v>0</v>
      </c>
      <c r="P98" s="1440">
        <f t="shared" ref="P98:W98" si="72">SUM(P99:P102)</f>
        <v>0</v>
      </c>
      <c r="Q98" s="1440">
        <f t="shared" si="72"/>
        <v>0</v>
      </c>
      <c r="R98" s="1440">
        <f t="shared" si="72"/>
        <v>0</v>
      </c>
      <c r="S98" s="1440">
        <f t="shared" si="72"/>
        <v>341.04</v>
      </c>
      <c r="T98" s="1440">
        <f t="shared" si="72"/>
        <v>600</v>
      </c>
      <c r="U98" s="1440">
        <f t="shared" si="72"/>
        <v>600</v>
      </c>
      <c r="V98" s="1440">
        <f t="shared" si="72"/>
        <v>355.0800000000001</v>
      </c>
      <c r="W98" s="1440">
        <f t="shared" si="72"/>
        <v>355.0800000000001</v>
      </c>
    </row>
    <row r="99" spans="1:23">
      <c r="B99" s="1431" t="s">
        <v>852</v>
      </c>
      <c r="C99" s="1440">
        <f t="shared" ref="C99:J99" si="73">C35</f>
        <v>341.04</v>
      </c>
      <c r="D99" s="1440">
        <f t="shared" si="73"/>
        <v>0</v>
      </c>
      <c r="E99" s="1440">
        <f t="shared" si="73"/>
        <v>0</v>
      </c>
      <c r="F99" s="1440">
        <f t="shared" si="73"/>
        <v>0</v>
      </c>
      <c r="G99" s="1440">
        <f t="shared" si="73"/>
        <v>0</v>
      </c>
      <c r="H99" s="1440">
        <f t="shared" si="73"/>
        <v>0</v>
      </c>
      <c r="I99" s="1440">
        <f t="shared" si="73"/>
        <v>0</v>
      </c>
      <c r="J99" s="1440">
        <f t="shared" si="73"/>
        <v>0</v>
      </c>
      <c r="K99" s="1440">
        <f>K35</f>
        <v>0</v>
      </c>
      <c r="L99" s="1440">
        <f>L35</f>
        <v>0</v>
      </c>
      <c r="M99" s="1440">
        <f>M35</f>
        <v>0</v>
      </c>
      <c r="N99" s="1440">
        <f>N35</f>
        <v>0</v>
      </c>
      <c r="O99" s="1440">
        <f>O35</f>
        <v>0</v>
      </c>
      <c r="P99" s="1440">
        <f t="shared" ref="P99:W99" si="74">P35</f>
        <v>0</v>
      </c>
      <c r="Q99" s="1440">
        <f t="shared" si="74"/>
        <v>0</v>
      </c>
      <c r="R99" s="1440">
        <f t="shared" si="74"/>
        <v>0</v>
      </c>
      <c r="S99" s="1440">
        <f t="shared" si="74"/>
        <v>341.04</v>
      </c>
      <c r="T99" s="1440">
        <f t="shared" si="74"/>
        <v>0</v>
      </c>
      <c r="U99" s="1440">
        <f t="shared" si="74"/>
        <v>0</v>
      </c>
      <c r="V99" s="1440">
        <f t="shared" si="74"/>
        <v>0</v>
      </c>
      <c r="W99" s="1440">
        <f t="shared" si="74"/>
        <v>0</v>
      </c>
    </row>
    <row r="100" spans="1:23">
      <c r="B100" s="1431" t="s">
        <v>788</v>
      </c>
      <c r="C100" s="1440">
        <f t="shared" ref="C100:J100" si="75">C70</f>
        <v>1200</v>
      </c>
      <c r="D100" s="1440">
        <f t="shared" si="75"/>
        <v>0</v>
      </c>
      <c r="E100" s="1440">
        <f t="shared" si="75"/>
        <v>0</v>
      </c>
      <c r="F100" s="1440">
        <f t="shared" si="75"/>
        <v>0</v>
      </c>
      <c r="G100" s="1440">
        <f t="shared" si="75"/>
        <v>0</v>
      </c>
      <c r="H100" s="1440">
        <f t="shared" si="75"/>
        <v>0</v>
      </c>
      <c r="I100" s="1440">
        <f t="shared" si="75"/>
        <v>0</v>
      </c>
      <c r="J100" s="1440">
        <f t="shared" si="75"/>
        <v>0</v>
      </c>
      <c r="K100" s="1440">
        <f>K70</f>
        <v>0</v>
      </c>
      <c r="L100" s="1440">
        <f>L70</f>
        <v>0</v>
      </c>
      <c r="M100" s="1440">
        <f>M70</f>
        <v>0</v>
      </c>
      <c r="N100" s="1440">
        <f>N70</f>
        <v>0</v>
      </c>
      <c r="O100" s="1440">
        <f>O70</f>
        <v>0</v>
      </c>
      <c r="P100" s="1440">
        <f t="shared" ref="P100:W100" si="76">P70</f>
        <v>0</v>
      </c>
      <c r="Q100" s="1440">
        <f t="shared" si="76"/>
        <v>0</v>
      </c>
      <c r="R100" s="1440">
        <f t="shared" si="76"/>
        <v>0</v>
      </c>
      <c r="S100" s="1440">
        <f t="shared" si="76"/>
        <v>0</v>
      </c>
      <c r="T100" s="1440">
        <f t="shared" si="76"/>
        <v>600</v>
      </c>
      <c r="U100" s="1440">
        <f t="shared" si="76"/>
        <v>600</v>
      </c>
      <c r="V100" s="1440">
        <f t="shared" si="76"/>
        <v>0</v>
      </c>
      <c r="W100" s="1440">
        <f t="shared" si="76"/>
        <v>0</v>
      </c>
    </row>
    <row r="101" spans="1:23">
      <c r="B101" s="1431" t="s">
        <v>656</v>
      </c>
      <c r="C101" s="1440">
        <f t="shared" ref="C101:J101" si="77">C79</f>
        <v>456.96000000000009</v>
      </c>
      <c r="D101" s="1440">
        <f t="shared" si="77"/>
        <v>0</v>
      </c>
      <c r="E101" s="1440">
        <f t="shared" si="77"/>
        <v>0</v>
      </c>
      <c r="F101" s="1440">
        <f t="shared" si="77"/>
        <v>0</v>
      </c>
      <c r="G101" s="1440">
        <f t="shared" si="77"/>
        <v>0</v>
      </c>
      <c r="H101" s="1440">
        <f t="shared" si="77"/>
        <v>0</v>
      </c>
      <c r="I101" s="1440">
        <f t="shared" si="77"/>
        <v>0</v>
      </c>
      <c r="J101" s="1440">
        <f t="shared" si="77"/>
        <v>0</v>
      </c>
      <c r="K101" s="1440">
        <f>K79</f>
        <v>0</v>
      </c>
      <c r="L101" s="1440">
        <f>L79</f>
        <v>0</v>
      </c>
      <c r="M101" s="1440">
        <f>M79</f>
        <v>0</v>
      </c>
      <c r="N101" s="1440">
        <f>N79</f>
        <v>0</v>
      </c>
      <c r="O101" s="1440">
        <f>O79</f>
        <v>0</v>
      </c>
      <c r="P101" s="1440">
        <f t="shared" ref="P101:W101" si="78">P79</f>
        <v>0</v>
      </c>
      <c r="Q101" s="1440">
        <f t="shared" si="78"/>
        <v>0</v>
      </c>
      <c r="R101" s="1440">
        <f t="shared" si="78"/>
        <v>0</v>
      </c>
      <c r="S101" s="1440">
        <f t="shared" si="78"/>
        <v>0</v>
      </c>
      <c r="T101" s="1440">
        <f t="shared" si="78"/>
        <v>0</v>
      </c>
      <c r="U101" s="1440">
        <f t="shared" si="78"/>
        <v>0</v>
      </c>
      <c r="V101" s="1440">
        <f t="shared" si="78"/>
        <v>228.48000000000005</v>
      </c>
      <c r="W101" s="1440">
        <f t="shared" si="78"/>
        <v>228.48000000000005</v>
      </c>
    </row>
    <row r="102" spans="1:23">
      <c r="B102" s="1431" t="s">
        <v>854</v>
      </c>
      <c r="C102" s="1440">
        <f t="shared" ref="C102:J102" si="79">C89</f>
        <v>253.2000000000001</v>
      </c>
      <c r="D102" s="1440">
        <f t="shared" si="79"/>
        <v>0</v>
      </c>
      <c r="E102" s="1440">
        <f t="shared" si="79"/>
        <v>0</v>
      </c>
      <c r="F102" s="1440">
        <f t="shared" si="79"/>
        <v>0</v>
      </c>
      <c r="G102" s="1440">
        <f t="shared" si="79"/>
        <v>0</v>
      </c>
      <c r="H102" s="1440">
        <f t="shared" si="79"/>
        <v>0</v>
      </c>
      <c r="I102" s="1440">
        <f t="shared" si="79"/>
        <v>0</v>
      </c>
      <c r="J102" s="1440">
        <f t="shared" si="79"/>
        <v>0</v>
      </c>
      <c r="K102" s="1440">
        <f>K89</f>
        <v>0</v>
      </c>
      <c r="L102" s="1440">
        <f>L89</f>
        <v>0</v>
      </c>
      <c r="M102" s="1440">
        <f>M89</f>
        <v>0</v>
      </c>
      <c r="N102" s="1440">
        <f>N89</f>
        <v>0</v>
      </c>
      <c r="O102" s="1440">
        <f>O89</f>
        <v>0</v>
      </c>
      <c r="P102" s="1440">
        <f t="shared" ref="P102:W102" si="80">P89</f>
        <v>0</v>
      </c>
      <c r="Q102" s="1440">
        <f t="shared" si="80"/>
        <v>0</v>
      </c>
      <c r="R102" s="1440">
        <f t="shared" si="80"/>
        <v>0</v>
      </c>
      <c r="S102" s="1440">
        <f t="shared" si="80"/>
        <v>0</v>
      </c>
      <c r="T102" s="1440">
        <f t="shared" si="80"/>
        <v>0</v>
      </c>
      <c r="U102" s="1440">
        <f t="shared" si="80"/>
        <v>0</v>
      </c>
      <c r="V102" s="1440">
        <f t="shared" si="80"/>
        <v>126.60000000000005</v>
      </c>
      <c r="W102" s="1440">
        <f t="shared" si="80"/>
        <v>126.60000000000005</v>
      </c>
    </row>
    <row r="103" spans="1:23">
      <c r="A103" s="1444"/>
      <c r="B103" s="1431" t="s">
        <v>855</v>
      </c>
      <c r="C103" s="1440">
        <f t="shared" ref="C103:J103" si="81">C96-C98</f>
        <v>-2251.2000000000003</v>
      </c>
      <c r="D103" s="1656">
        <f t="shared" si="81"/>
        <v>0</v>
      </c>
      <c r="E103" s="1440">
        <f t="shared" si="81"/>
        <v>0</v>
      </c>
      <c r="F103" s="1440">
        <f t="shared" si="81"/>
        <v>0</v>
      </c>
      <c r="G103" s="1440">
        <f t="shared" si="81"/>
        <v>0</v>
      </c>
      <c r="H103" s="1440">
        <f t="shared" si="81"/>
        <v>0</v>
      </c>
      <c r="I103" s="1440">
        <f t="shared" si="81"/>
        <v>0</v>
      </c>
      <c r="J103" s="1440">
        <f t="shared" si="81"/>
        <v>0</v>
      </c>
      <c r="K103" s="1440">
        <f>K96-K98</f>
        <v>0</v>
      </c>
      <c r="L103" s="1440">
        <f>L96-L98</f>
        <v>0</v>
      </c>
      <c r="M103" s="1440">
        <f>M96-M98</f>
        <v>0</v>
      </c>
      <c r="N103" s="1440">
        <f>N96-N98</f>
        <v>0</v>
      </c>
      <c r="O103" s="1440">
        <f>O96-O98</f>
        <v>0</v>
      </c>
      <c r="P103" s="1440">
        <f t="shared" ref="P103:W103" si="82">P96-P98</f>
        <v>0</v>
      </c>
      <c r="Q103" s="1440">
        <f t="shared" si="82"/>
        <v>0</v>
      </c>
      <c r="R103" s="1440">
        <f t="shared" si="82"/>
        <v>0</v>
      </c>
      <c r="S103" s="1440">
        <f t="shared" si="82"/>
        <v>-341.04</v>
      </c>
      <c r="T103" s="1440">
        <f t="shared" si="82"/>
        <v>1032.0000000000002</v>
      </c>
      <c r="U103" s="1440">
        <f t="shared" si="82"/>
        <v>1032.0000000000002</v>
      </c>
      <c r="V103" s="1440">
        <f t="shared" si="82"/>
        <v>-355.0800000000001</v>
      </c>
      <c r="W103" s="1440">
        <f t="shared" si="82"/>
        <v>-355.0800000000001</v>
      </c>
    </row>
    <row r="104" spans="1:23">
      <c r="B104" s="1431" t="s">
        <v>1570</v>
      </c>
      <c r="D104" s="1452">
        <f t="shared" ref="D104:M104" si="83">IF(D95&gt;$D$12,(1+D23)^(D95-$D$12),0)</f>
        <v>0</v>
      </c>
      <c r="E104" s="1452">
        <f t="shared" si="83"/>
        <v>0</v>
      </c>
      <c r="F104" s="1452">
        <f t="shared" si="83"/>
        <v>0</v>
      </c>
      <c r="G104" s="1452">
        <f t="shared" si="83"/>
        <v>0</v>
      </c>
      <c r="H104" s="1452">
        <f t="shared" si="83"/>
        <v>0</v>
      </c>
      <c r="I104" s="1452">
        <f t="shared" si="83"/>
        <v>0</v>
      </c>
      <c r="J104" s="1452">
        <f t="shared" si="83"/>
        <v>0</v>
      </c>
      <c r="K104" s="1452">
        <f t="shared" si="83"/>
        <v>0</v>
      </c>
      <c r="L104" s="1452">
        <f t="shared" si="83"/>
        <v>0</v>
      </c>
      <c r="M104" s="1452">
        <f t="shared" si="83"/>
        <v>0</v>
      </c>
      <c r="N104" s="1452">
        <f>IF(N95&gt;$D$12,(1+N23)^(N95-$D$12),0)</f>
        <v>1.125</v>
      </c>
      <c r="O104" s="1452">
        <f>IF(O95&gt;$D$12,(1+O23)^(O95-$D$12),0)</f>
        <v>1.265625</v>
      </c>
      <c r="P104" s="1452">
        <f t="shared" ref="P104:W104" si="84">IF(P95&gt;$D$12,(1+P23)^(P95-$D$12),0)</f>
        <v>1.423828125</v>
      </c>
      <c r="Q104" s="1452">
        <f t="shared" si="84"/>
        <v>1.601806640625</v>
      </c>
      <c r="R104" s="1452">
        <f t="shared" si="84"/>
        <v>1.802032470703125</v>
      </c>
      <c r="S104" s="1452">
        <f t="shared" si="84"/>
        <v>2.0272865295410156</v>
      </c>
      <c r="T104" s="1452">
        <f t="shared" si="84"/>
        <v>2.2806973457336426</v>
      </c>
      <c r="U104" s="1452">
        <f t="shared" si="84"/>
        <v>2.5657845139503479</v>
      </c>
      <c r="V104" s="1452">
        <f t="shared" si="84"/>
        <v>2.8865075781941414</v>
      </c>
      <c r="W104" s="1452">
        <f t="shared" si="84"/>
        <v>3.2473210254684091</v>
      </c>
    </row>
    <row r="105" spans="1:23">
      <c r="B105" s="1431" t="s">
        <v>1452</v>
      </c>
      <c r="C105" s="1440">
        <f>SUMIF(D95:W95,"&gt;"&amp;D12,D105:W105)</f>
        <v>454.12525485327836</v>
      </c>
      <c r="D105" s="1440" t="str">
        <f t="shared" ref="D105:M105" si="85">IF(D104&lt;&gt;0,D103/D104,"")</f>
        <v/>
      </c>
      <c r="E105" s="1440" t="str">
        <f t="shared" si="85"/>
        <v/>
      </c>
      <c r="F105" s="1440" t="str">
        <f t="shared" si="85"/>
        <v/>
      </c>
      <c r="G105" s="1440" t="str">
        <f t="shared" si="85"/>
        <v/>
      </c>
      <c r="H105" s="1440" t="str">
        <f t="shared" si="85"/>
        <v/>
      </c>
      <c r="I105" s="1440" t="str">
        <f t="shared" si="85"/>
        <v/>
      </c>
      <c r="J105" s="1440" t="str">
        <f t="shared" si="85"/>
        <v/>
      </c>
      <c r="K105" s="1440" t="str">
        <f t="shared" si="85"/>
        <v/>
      </c>
      <c r="L105" s="1440" t="str">
        <f t="shared" si="85"/>
        <v/>
      </c>
      <c r="M105" s="1440" t="str">
        <f t="shared" si="85"/>
        <v/>
      </c>
      <c r="N105" s="1440">
        <f>IF(N104&lt;&gt;0,N103/N104,"")</f>
        <v>0</v>
      </c>
      <c r="O105" s="1440">
        <f>IF(O104&lt;&gt;0,O103/O104,"")</f>
        <v>0</v>
      </c>
      <c r="P105" s="1440">
        <f t="shared" ref="P105:W105" si="86">IF(P104&lt;&gt;0,P103/P104,"")</f>
        <v>0</v>
      </c>
      <c r="Q105" s="1440">
        <f t="shared" si="86"/>
        <v>0</v>
      </c>
      <c r="R105" s="1440">
        <f t="shared" si="86"/>
        <v>0</v>
      </c>
      <c r="S105" s="1440">
        <f t="shared" si="86"/>
        <v>-168.22486364431799</v>
      </c>
      <c r="T105" s="1440">
        <f t="shared" si="86"/>
        <v>452.49318237270626</v>
      </c>
      <c r="U105" s="1440">
        <f t="shared" si="86"/>
        <v>402.21616210907223</v>
      </c>
      <c r="V105" s="1440">
        <f t="shared" si="86"/>
        <v>-123.01370787397879</v>
      </c>
      <c r="W105" s="1440">
        <f t="shared" si="86"/>
        <v>-109.34551811020337</v>
      </c>
    </row>
    <row r="106" spans="1:23">
      <c r="B106" s="1407" t="s">
        <v>1590</v>
      </c>
      <c r="C106" s="1427">
        <f>C105*I5</f>
        <v>454.12525485327836</v>
      </c>
    </row>
    <row r="107" spans="1:23">
      <c r="B107" s="1407"/>
      <c r="C107" s="1427"/>
    </row>
    <row r="108" spans="1:23">
      <c r="B108" s="1407" t="s">
        <v>1588</v>
      </c>
      <c r="C108" s="1440"/>
      <c r="D108" s="1431">
        <f t="shared" ref="D108:J108" si="87">D95</f>
        <v>2013</v>
      </c>
      <c r="E108" s="1431">
        <f t="shared" si="87"/>
        <v>2014</v>
      </c>
      <c r="F108" s="1431">
        <f t="shared" si="87"/>
        <v>2015</v>
      </c>
      <c r="G108" s="1431">
        <f t="shared" si="87"/>
        <v>2016</v>
      </c>
      <c r="H108" s="1431">
        <f t="shared" si="87"/>
        <v>2017</v>
      </c>
      <c r="I108" s="1431">
        <f t="shared" si="87"/>
        <v>2018</v>
      </c>
      <c r="J108" s="1431">
        <f t="shared" si="87"/>
        <v>2019</v>
      </c>
      <c r="K108" s="1431">
        <f>K95</f>
        <v>2020</v>
      </c>
      <c r="L108" s="1431">
        <f>L95</f>
        <v>2021</v>
      </c>
      <c r="M108" s="1431">
        <f>M95</f>
        <v>2022</v>
      </c>
      <c r="N108" s="1431">
        <f>N95</f>
        <v>2023</v>
      </c>
      <c r="O108" s="1431">
        <f>O95</f>
        <v>2024</v>
      </c>
      <c r="P108" s="1431">
        <f t="shared" ref="P108:W108" si="88">P95</f>
        <v>2025</v>
      </c>
      <c r="Q108" s="1431">
        <f t="shared" si="88"/>
        <v>2026</v>
      </c>
      <c r="R108" s="1431">
        <f t="shared" si="88"/>
        <v>2027</v>
      </c>
      <c r="S108" s="1431">
        <f t="shared" si="88"/>
        <v>2028</v>
      </c>
      <c r="T108" s="1431">
        <f t="shared" si="88"/>
        <v>2029</v>
      </c>
      <c r="U108" s="1431">
        <f t="shared" si="88"/>
        <v>2030</v>
      </c>
      <c r="V108" s="1431">
        <f t="shared" si="88"/>
        <v>2031</v>
      </c>
      <c r="W108" s="1431">
        <f t="shared" si="88"/>
        <v>2032</v>
      </c>
    </row>
    <row r="109" spans="1:23" s="1447" customFormat="1">
      <c r="A109" s="1459"/>
      <c r="B109" s="1460">
        <f>IRR(D109:W109)</f>
        <v>2.740690673456462</v>
      </c>
      <c r="C109" s="1408"/>
      <c r="D109" s="1408">
        <f>D103</f>
        <v>0</v>
      </c>
      <c r="E109" s="1408">
        <f t="shared" ref="E109:J109" si="89">E103</f>
        <v>0</v>
      </c>
      <c r="F109" s="1408">
        <f t="shared" si="89"/>
        <v>0</v>
      </c>
      <c r="G109" s="1408">
        <f t="shared" si="89"/>
        <v>0</v>
      </c>
      <c r="H109" s="1408">
        <f t="shared" si="89"/>
        <v>0</v>
      </c>
      <c r="I109" s="1408">
        <f t="shared" si="89"/>
        <v>0</v>
      </c>
      <c r="J109" s="1408">
        <f t="shared" si="89"/>
        <v>0</v>
      </c>
      <c r="K109" s="1408">
        <f>K103</f>
        <v>0</v>
      </c>
      <c r="L109" s="1408">
        <f>L103</f>
        <v>0</v>
      </c>
      <c r="M109" s="1408">
        <f>M103</f>
        <v>0</v>
      </c>
      <c r="N109" s="1408">
        <f>N103</f>
        <v>0</v>
      </c>
      <c r="O109" s="1408">
        <f>O103</f>
        <v>0</v>
      </c>
      <c r="P109" s="1408">
        <f t="shared" ref="P109:W109" si="90">P103</f>
        <v>0</v>
      </c>
      <c r="Q109" s="1408">
        <f t="shared" si="90"/>
        <v>0</v>
      </c>
      <c r="R109" s="1408">
        <f t="shared" si="90"/>
        <v>0</v>
      </c>
      <c r="S109" s="1408">
        <f t="shared" si="90"/>
        <v>-341.04</v>
      </c>
      <c r="T109" s="1408">
        <f t="shared" si="90"/>
        <v>1032.0000000000002</v>
      </c>
      <c r="U109" s="1408">
        <f t="shared" si="90"/>
        <v>1032.0000000000002</v>
      </c>
      <c r="V109" s="1408">
        <f t="shared" si="90"/>
        <v>-355.0800000000001</v>
      </c>
      <c r="W109" s="1408">
        <f t="shared" si="90"/>
        <v>-355.0800000000001</v>
      </c>
    </row>
    <row r="110" spans="1:23">
      <c r="B110" s="1407" t="s">
        <v>1789</v>
      </c>
      <c r="C110" s="1440"/>
      <c r="D110" s="1656">
        <f t="shared" ref="D110:M110" si="91">D103+D116-D118</f>
        <v>0</v>
      </c>
      <c r="E110" s="1656">
        <f t="shared" si="91"/>
        <v>0</v>
      </c>
      <c r="F110" s="1656">
        <f t="shared" si="91"/>
        <v>0</v>
      </c>
      <c r="G110" s="1656">
        <f t="shared" si="91"/>
        <v>0</v>
      </c>
      <c r="H110" s="1656">
        <f t="shared" si="91"/>
        <v>0</v>
      </c>
      <c r="I110" s="1656">
        <f t="shared" si="91"/>
        <v>0</v>
      </c>
      <c r="J110" s="1656">
        <f t="shared" si="91"/>
        <v>0</v>
      </c>
      <c r="K110" s="1656">
        <f t="shared" si="91"/>
        <v>0</v>
      </c>
      <c r="L110" s="1656">
        <f t="shared" si="91"/>
        <v>0</v>
      </c>
      <c r="M110" s="1656">
        <f t="shared" si="91"/>
        <v>0</v>
      </c>
      <c r="N110" s="1656">
        <f>N103+N116-N118</f>
        <v>0</v>
      </c>
      <c r="O110" s="1656">
        <f>O103+O116-O118</f>
        <v>0</v>
      </c>
      <c r="P110" s="1656">
        <f t="shared" ref="P110:W110" si="92">P103+P116-P118</f>
        <v>0</v>
      </c>
      <c r="Q110" s="1656">
        <f t="shared" si="92"/>
        <v>0</v>
      </c>
      <c r="R110" s="1656">
        <f t="shared" si="92"/>
        <v>0</v>
      </c>
      <c r="S110" s="1656">
        <f t="shared" si="92"/>
        <v>657.96</v>
      </c>
      <c r="T110" s="1656">
        <f t="shared" si="92"/>
        <v>1032.0000000000002</v>
      </c>
      <c r="U110" s="1656">
        <f t="shared" si="92"/>
        <v>532.50000000000023</v>
      </c>
      <c r="V110" s="1656">
        <f t="shared" si="92"/>
        <v>-854.58000000000015</v>
      </c>
      <c r="W110" s="1656">
        <f t="shared" si="92"/>
        <v>-355.0800000000001</v>
      </c>
    </row>
    <row r="111" spans="1:23">
      <c r="B111" s="1407"/>
      <c r="C111" s="1427"/>
      <c r="D111" s="1454"/>
      <c r="E111" s="1454"/>
      <c r="F111" s="1454"/>
      <c r="G111" s="1454"/>
      <c r="H111" s="1454"/>
      <c r="I111" s="1454"/>
      <c r="J111" s="1454"/>
      <c r="K111" s="1454"/>
      <c r="L111" s="1454"/>
      <c r="M111" s="1454"/>
      <c r="N111" s="1454"/>
      <c r="O111" s="1454"/>
      <c r="P111" s="1454"/>
      <c r="Q111" s="1454"/>
      <c r="R111" s="1454"/>
      <c r="S111" s="1454"/>
      <c r="T111" s="1454"/>
      <c r="U111" s="1454"/>
      <c r="V111" s="1454"/>
      <c r="W111" s="1454"/>
    </row>
    <row r="112" spans="1:23">
      <c r="B112" s="1407"/>
      <c r="C112" s="1427"/>
    </row>
    <row r="113" spans="1:23" s="1407" customFormat="1">
      <c r="A113" s="1406">
        <v>8</v>
      </c>
      <c r="B113" s="1407" t="s">
        <v>1592</v>
      </c>
      <c r="C113" s="1440"/>
      <c r="D113" s="1431">
        <f t="shared" ref="D113:I113" si="93">D95</f>
        <v>2013</v>
      </c>
      <c r="E113" s="1431">
        <f t="shared" si="93"/>
        <v>2014</v>
      </c>
      <c r="F113" s="1431">
        <f t="shared" si="93"/>
        <v>2015</v>
      </c>
      <c r="G113" s="1431">
        <f t="shared" si="93"/>
        <v>2016</v>
      </c>
      <c r="H113" s="1431">
        <f t="shared" si="93"/>
        <v>2017</v>
      </c>
      <c r="I113" s="1431">
        <f t="shared" si="93"/>
        <v>2018</v>
      </c>
      <c r="J113" s="1431">
        <f t="shared" ref="J113:W113" si="94">I113+1</f>
        <v>2019</v>
      </c>
      <c r="K113" s="1431">
        <f t="shared" si="94"/>
        <v>2020</v>
      </c>
      <c r="L113" s="1431">
        <f t="shared" si="94"/>
        <v>2021</v>
      </c>
      <c r="M113" s="1431">
        <f t="shared" si="94"/>
        <v>2022</v>
      </c>
      <c r="N113" s="1431">
        <f t="shared" si="94"/>
        <v>2023</v>
      </c>
      <c r="O113" s="1431">
        <f t="shared" si="94"/>
        <v>2024</v>
      </c>
      <c r="P113" s="1431">
        <f t="shared" si="94"/>
        <v>2025</v>
      </c>
      <c r="Q113" s="1431">
        <f t="shared" si="94"/>
        <v>2026</v>
      </c>
      <c r="R113" s="1431">
        <f t="shared" si="94"/>
        <v>2027</v>
      </c>
      <c r="S113" s="1431">
        <f t="shared" si="94"/>
        <v>2028</v>
      </c>
      <c r="T113" s="1431">
        <f t="shared" si="94"/>
        <v>2029</v>
      </c>
      <c r="U113" s="1431">
        <f t="shared" si="94"/>
        <v>2030</v>
      </c>
      <c r="V113" s="1431">
        <f t="shared" si="94"/>
        <v>2031</v>
      </c>
      <c r="W113" s="1431">
        <f t="shared" si="94"/>
        <v>2032</v>
      </c>
    </row>
    <row r="114" spans="1:23">
      <c r="B114" s="1432" t="s">
        <v>1571</v>
      </c>
      <c r="C114" s="1441">
        <f>D5*I6</f>
        <v>999</v>
      </c>
      <c r="D114" s="1432"/>
      <c r="E114" s="1432"/>
      <c r="F114" s="1432"/>
      <c r="G114" s="1432"/>
      <c r="H114" s="1432"/>
      <c r="I114" s="1432"/>
      <c r="J114" s="1456"/>
      <c r="K114" s="1456"/>
      <c r="L114" s="1456"/>
      <c r="M114" s="1456"/>
      <c r="N114" s="1456"/>
      <c r="O114" s="1456"/>
      <c r="P114" s="1456"/>
      <c r="Q114" s="1456"/>
      <c r="R114" s="1456"/>
      <c r="S114" s="1456"/>
      <c r="T114" s="1456"/>
      <c r="U114" s="1456"/>
      <c r="V114" s="1456"/>
      <c r="W114" s="1456"/>
    </row>
    <row r="115" spans="1:23">
      <c r="B115" s="1431" t="s">
        <v>1572</v>
      </c>
      <c r="C115" s="1436">
        <f>SUM(D115:W115)</f>
        <v>1</v>
      </c>
      <c r="D115" s="1416">
        <v>0</v>
      </c>
      <c r="E115" s="1416">
        <v>0</v>
      </c>
      <c r="F115" s="1416">
        <v>0</v>
      </c>
      <c r="G115" s="1416">
        <v>0</v>
      </c>
      <c r="H115" s="1411">
        <v>0</v>
      </c>
      <c r="I115" s="1411">
        <v>0</v>
      </c>
      <c r="J115" s="1411">
        <v>0</v>
      </c>
      <c r="K115" s="1411">
        <v>0</v>
      </c>
      <c r="L115" s="1411">
        <v>0</v>
      </c>
      <c r="M115" s="1411">
        <v>0</v>
      </c>
      <c r="N115" s="1411">
        <v>0</v>
      </c>
      <c r="O115" s="1411">
        <v>0</v>
      </c>
      <c r="P115" s="1411">
        <v>0</v>
      </c>
      <c r="Q115" s="1411">
        <v>0</v>
      </c>
      <c r="R115" s="1411">
        <v>0</v>
      </c>
      <c r="S115" s="1411">
        <v>1</v>
      </c>
      <c r="T115" s="1411">
        <v>0</v>
      </c>
      <c r="U115" s="1411">
        <v>0</v>
      </c>
      <c r="V115" s="1411">
        <v>0</v>
      </c>
      <c r="W115" s="1411">
        <v>0</v>
      </c>
    </row>
    <row r="116" spans="1:23">
      <c r="B116" s="1431" t="s">
        <v>1573</v>
      </c>
      <c r="C116" s="1440">
        <f>SUM(D116:W116)</f>
        <v>999</v>
      </c>
      <c r="D116" s="1410">
        <f t="shared" ref="D116:M116" si="95">D115*$C$114</f>
        <v>0</v>
      </c>
      <c r="E116" s="1410">
        <f t="shared" si="95"/>
        <v>0</v>
      </c>
      <c r="F116" s="1410">
        <f t="shared" si="95"/>
        <v>0</v>
      </c>
      <c r="G116" s="1410">
        <f t="shared" si="95"/>
        <v>0</v>
      </c>
      <c r="H116" s="1410">
        <f t="shared" si="95"/>
        <v>0</v>
      </c>
      <c r="I116" s="1410">
        <f t="shared" si="95"/>
        <v>0</v>
      </c>
      <c r="J116" s="1410">
        <f t="shared" si="95"/>
        <v>0</v>
      </c>
      <c r="K116" s="1410">
        <f t="shared" si="95"/>
        <v>0</v>
      </c>
      <c r="L116" s="1410">
        <f t="shared" si="95"/>
        <v>0</v>
      </c>
      <c r="M116" s="1410">
        <f t="shared" si="95"/>
        <v>0</v>
      </c>
      <c r="N116" s="1410">
        <f>N115*$C$114</f>
        <v>0</v>
      </c>
      <c r="O116" s="1410">
        <f>O115*$C$114</f>
        <v>0</v>
      </c>
      <c r="P116" s="1410">
        <f t="shared" ref="P116:W116" si="96">P115*$C$114</f>
        <v>0</v>
      </c>
      <c r="Q116" s="1410">
        <f t="shared" si="96"/>
        <v>0</v>
      </c>
      <c r="R116" s="1410">
        <f t="shared" si="96"/>
        <v>0</v>
      </c>
      <c r="S116" s="1410">
        <f t="shared" si="96"/>
        <v>999</v>
      </c>
      <c r="T116" s="1410">
        <f t="shared" si="96"/>
        <v>0</v>
      </c>
      <c r="U116" s="1410">
        <f t="shared" si="96"/>
        <v>0</v>
      </c>
      <c r="V116" s="1410">
        <f t="shared" si="96"/>
        <v>0</v>
      </c>
      <c r="W116" s="1410">
        <f t="shared" si="96"/>
        <v>0</v>
      </c>
    </row>
    <row r="117" spans="1:23">
      <c r="B117" s="1431" t="s">
        <v>868</v>
      </c>
      <c r="C117" s="1440"/>
      <c r="D117" s="1440">
        <f>D116</f>
        <v>0</v>
      </c>
      <c r="E117" s="1440">
        <f>E116</f>
        <v>0</v>
      </c>
      <c r="F117" s="1440">
        <f>F116</f>
        <v>0</v>
      </c>
      <c r="G117" s="1440">
        <f t="shared" ref="G117:W117" si="97">F120+G116</f>
        <v>0</v>
      </c>
      <c r="H117" s="1440">
        <f t="shared" si="97"/>
        <v>0</v>
      </c>
      <c r="I117" s="1440">
        <f t="shared" si="97"/>
        <v>0</v>
      </c>
      <c r="J117" s="1440">
        <f t="shared" si="97"/>
        <v>0</v>
      </c>
      <c r="K117" s="1440">
        <f t="shared" si="97"/>
        <v>0</v>
      </c>
      <c r="L117" s="1440">
        <f t="shared" si="97"/>
        <v>0</v>
      </c>
      <c r="M117" s="1440">
        <f t="shared" si="97"/>
        <v>0</v>
      </c>
      <c r="N117" s="1440">
        <f t="shared" si="97"/>
        <v>0</v>
      </c>
      <c r="O117" s="1440">
        <f t="shared" si="97"/>
        <v>0</v>
      </c>
      <c r="P117" s="1440">
        <f t="shared" si="97"/>
        <v>0</v>
      </c>
      <c r="Q117" s="1440">
        <f t="shared" si="97"/>
        <v>0</v>
      </c>
      <c r="R117" s="1440">
        <f t="shared" si="97"/>
        <v>0</v>
      </c>
      <c r="S117" s="1440">
        <f t="shared" si="97"/>
        <v>999</v>
      </c>
      <c r="T117" s="1440">
        <f t="shared" si="97"/>
        <v>999</v>
      </c>
      <c r="U117" s="1440">
        <f t="shared" si="97"/>
        <v>999</v>
      </c>
      <c r="V117" s="1440">
        <f t="shared" si="97"/>
        <v>499.5</v>
      </c>
      <c r="W117" s="1440">
        <f t="shared" si="97"/>
        <v>0</v>
      </c>
    </row>
    <row r="118" spans="1:23">
      <c r="B118" s="1431" t="s">
        <v>1574</v>
      </c>
      <c r="C118" s="1440">
        <f>SUM(D118:W118)</f>
        <v>999</v>
      </c>
      <c r="D118" s="1423"/>
      <c r="E118" s="1423"/>
      <c r="F118" s="1423"/>
      <c r="G118" s="1423"/>
      <c r="H118" s="1423"/>
      <c r="I118" s="1410"/>
      <c r="J118" s="1423"/>
      <c r="K118" s="1410"/>
      <c r="L118" s="1423"/>
      <c r="M118" s="1423"/>
      <c r="N118" s="1423"/>
      <c r="O118" s="1423">
        <v>0</v>
      </c>
      <c r="P118" s="1423">
        <f t="shared" ref="P118:S118" si="98">D114</f>
        <v>0</v>
      </c>
      <c r="Q118" s="1423">
        <f t="shared" si="98"/>
        <v>0</v>
      </c>
      <c r="R118" s="1423">
        <f t="shared" si="98"/>
        <v>0</v>
      </c>
      <c r="S118" s="1423">
        <f t="shared" si="98"/>
        <v>0</v>
      </c>
      <c r="T118" s="1423"/>
      <c r="U118" s="1423">
        <f>C114/2</f>
        <v>499.5</v>
      </c>
      <c r="V118" s="1423">
        <f>U118</f>
        <v>499.5</v>
      </c>
      <c r="W118" s="1423">
        <v>0</v>
      </c>
    </row>
    <row r="119" spans="1:23">
      <c r="B119" s="1431" t="s">
        <v>869</v>
      </c>
      <c r="C119" s="1440">
        <f>SUM(D119:W119)</f>
        <v>454.54500000000002</v>
      </c>
      <c r="D119" s="1440">
        <f t="shared" ref="D119:M119" si="99">D117*D21</f>
        <v>0</v>
      </c>
      <c r="E119" s="1440">
        <f t="shared" si="99"/>
        <v>0</v>
      </c>
      <c r="F119" s="1440">
        <f t="shared" si="99"/>
        <v>0</v>
      </c>
      <c r="G119" s="1440">
        <f t="shared" si="99"/>
        <v>0</v>
      </c>
      <c r="H119" s="1440">
        <f t="shared" si="99"/>
        <v>0</v>
      </c>
      <c r="I119" s="1440">
        <f t="shared" si="99"/>
        <v>0</v>
      </c>
      <c r="J119" s="1440">
        <f t="shared" si="99"/>
        <v>0</v>
      </c>
      <c r="K119" s="1440">
        <f t="shared" si="99"/>
        <v>0</v>
      </c>
      <c r="L119" s="1440">
        <f t="shared" si="99"/>
        <v>0</v>
      </c>
      <c r="M119" s="1440">
        <f t="shared" si="99"/>
        <v>0</v>
      </c>
      <c r="N119" s="1440">
        <f>N117*N21</f>
        <v>0</v>
      </c>
      <c r="O119" s="1440">
        <f>O117*O21</f>
        <v>0</v>
      </c>
      <c r="P119" s="1440">
        <f t="shared" ref="P119:W119" si="100">P117*P21</f>
        <v>0</v>
      </c>
      <c r="Q119" s="1440">
        <f t="shared" si="100"/>
        <v>0</v>
      </c>
      <c r="R119" s="1440">
        <f t="shared" si="100"/>
        <v>0</v>
      </c>
      <c r="S119" s="1440">
        <f t="shared" si="100"/>
        <v>129.87</v>
      </c>
      <c r="T119" s="1440">
        <f t="shared" si="100"/>
        <v>129.87</v>
      </c>
      <c r="U119" s="1440">
        <f t="shared" si="100"/>
        <v>129.87</v>
      </c>
      <c r="V119" s="1440">
        <f t="shared" si="100"/>
        <v>64.935000000000002</v>
      </c>
      <c r="W119" s="1440">
        <f t="shared" si="100"/>
        <v>0</v>
      </c>
    </row>
    <row r="120" spans="1:23">
      <c r="B120" s="1431" t="s">
        <v>874</v>
      </c>
      <c r="C120" s="1440"/>
      <c r="D120" s="1440">
        <f t="shared" ref="D120:M120" si="101">D117-D118</f>
        <v>0</v>
      </c>
      <c r="E120" s="1440">
        <f t="shared" si="101"/>
        <v>0</v>
      </c>
      <c r="F120" s="1440">
        <f t="shared" si="101"/>
        <v>0</v>
      </c>
      <c r="G120" s="1440">
        <f t="shared" si="101"/>
        <v>0</v>
      </c>
      <c r="H120" s="1440">
        <f t="shared" si="101"/>
        <v>0</v>
      </c>
      <c r="I120" s="1440">
        <f t="shared" si="101"/>
        <v>0</v>
      </c>
      <c r="J120" s="1440">
        <f t="shared" si="101"/>
        <v>0</v>
      </c>
      <c r="K120" s="1440">
        <f t="shared" si="101"/>
        <v>0</v>
      </c>
      <c r="L120" s="1440">
        <f t="shared" si="101"/>
        <v>0</v>
      </c>
      <c r="M120" s="1440">
        <f t="shared" si="101"/>
        <v>0</v>
      </c>
      <c r="N120" s="1440">
        <f>N117-N118</f>
        <v>0</v>
      </c>
      <c r="O120" s="1440">
        <f>O117-O118</f>
        <v>0</v>
      </c>
      <c r="P120" s="1440">
        <f t="shared" ref="P120:W120" si="102">P117-P118</f>
        <v>0</v>
      </c>
      <c r="Q120" s="1440">
        <f t="shared" si="102"/>
        <v>0</v>
      </c>
      <c r="R120" s="1440">
        <f t="shared" si="102"/>
        <v>0</v>
      </c>
      <c r="S120" s="1440">
        <f t="shared" si="102"/>
        <v>999</v>
      </c>
      <c r="T120" s="1440">
        <f t="shared" si="102"/>
        <v>999</v>
      </c>
      <c r="U120" s="1440">
        <f t="shared" si="102"/>
        <v>499.5</v>
      </c>
      <c r="V120" s="1440">
        <f t="shared" si="102"/>
        <v>0</v>
      </c>
      <c r="W120" s="1440">
        <f t="shared" si="102"/>
        <v>0</v>
      </c>
    </row>
    <row r="121" spans="1:23">
      <c r="C121" s="1440"/>
      <c r="D121" s="1412"/>
      <c r="E121" s="1440"/>
      <c r="F121" s="1440"/>
      <c r="G121" s="1440"/>
      <c r="H121" s="1440"/>
    </row>
    <row r="122" spans="1:23">
      <c r="C122" s="1440"/>
    </row>
    <row r="123" spans="1:23" s="1407" customFormat="1">
      <c r="A123" s="1406">
        <v>9</v>
      </c>
      <c r="B123" s="1407" t="s">
        <v>350</v>
      </c>
      <c r="C123" s="1440"/>
      <c r="D123" s="1431">
        <f t="shared" ref="D123:J123" si="103">D95</f>
        <v>2013</v>
      </c>
      <c r="E123" s="1431">
        <f t="shared" si="103"/>
        <v>2014</v>
      </c>
      <c r="F123" s="1431">
        <f t="shared" si="103"/>
        <v>2015</v>
      </c>
      <c r="G123" s="1431">
        <f t="shared" si="103"/>
        <v>2016</v>
      </c>
      <c r="H123" s="1431">
        <f t="shared" si="103"/>
        <v>2017</v>
      </c>
      <c r="I123" s="1431">
        <f t="shared" si="103"/>
        <v>2018</v>
      </c>
      <c r="J123" s="1431">
        <f t="shared" si="103"/>
        <v>2019</v>
      </c>
      <c r="K123" s="1431">
        <f>K95</f>
        <v>2020</v>
      </c>
      <c r="L123" s="1431">
        <f>L95</f>
        <v>2021</v>
      </c>
      <c r="M123" s="1431">
        <f>M95</f>
        <v>2022</v>
      </c>
      <c r="N123" s="1431">
        <f>N95</f>
        <v>2023</v>
      </c>
      <c r="O123" s="1431">
        <f>O95</f>
        <v>2024</v>
      </c>
      <c r="P123" s="1431">
        <f t="shared" ref="P123:W123" si="104">P95</f>
        <v>2025</v>
      </c>
      <c r="Q123" s="1431">
        <f t="shared" si="104"/>
        <v>2026</v>
      </c>
      <c r="R123" s="1431">
        <f t="shared" si="104"/>
        <v>2027</v>
      </c>
      <c r="S123" s="1431">
        <f t="shared" si="104"/>
        <v>2028</v>
      </c>
      <c r="T123" s="1431">
        <f t="shared" si="104"/>
        <v>2029</v>
      </c>
      <c r="U123" s="1431">
        <f t="shared" si="104"/>
        <v>2030</v>
      </c>
      <c r="V123" s="1431">
        <f t="shared" si="104"/>
        <v>2031</v>
      </c>
      <c r="W123" s="1431">
        <f t="shared" si="104"/>
        <v>2032</v>
      </c>
    </row>
    <row r="124" spans="1:23">
      <c r="B124" s="1432" t="s">
        <v>1575</v>
      </c>
      <c r="C124" s="1441"/>
      <c r="D124" s="1441">
        <f>D63</f>
        <v>0</v>
      </c>
      <c r="E124" s="1408">
        <f t="shared" ref="E124:M124" si="105">D124+E63</f>
        <v>0</v>
      </c>
      <c r="F124" s="1408">
        <f t="shared" si="105"/>
        <v>0</v>
      </c>
      <c r="G124" s="1408">
        <f t="shared" si="105"/>
        <v>0</v>
      </c>
      <c r="H124" s="1408">
        <f t="shared" si="105"/>
        <v>0</v>
      </c>
      <c r="I124" s="1408">
        <f t="shared" si="105"/>
        <v>0</v>
      </c>
      <c r="J124" s="1408">
        <f t="shared" si="105"/>
        <v>0</v>
      </c>
      <c r="K124" s="1408">
        <f t="shared" si="105"/>
        <v>0</v>
      </c>
      <c r="L124" s="1408">
        <f t="shared" si="105"/>
        <v>0</v>
      </c>
      <c r="M124" s="1408">
        <f t="shared" si="105"/>
        <v>0</v>
      </c>
      <c r="N124" s="1408">
        <f t="shared" ref="N124:W124" si="106">M124+N63</f>
        <v>0</v>
      </c>
      <c r="O124" s="1408">
        <f t="shared" si="106"/>
        <v>0</v>
      </c>
      <c r="P124" s="1408">
        <f t="shared" si="106"/>
        <v>0</v>
      </c>
      <c r="Q124" s="1408">
        <f t="shared" si="106"/>
        <v>0</v>
      </c>
      <c r="R124" s="1408">
        <f t="shared" si="106"/>
        <v>0</v>
      </c>
      <c r="S124" s="1408">
        <f t="shared" si="106"/>
        <v>0</v>
      </c>
      <c r="T124" s="1408">
        <f t="shared" si="106"/>
        <v>1632.0000000000002</v>
      </c>
      <c r="U124" s="1408">
        <f t="shared" si="106"/>
        <v>3264.0000000000005</v>
      </c>
      <c r="V124" s="1408">
        <f t="shared" si="106"/>
        <v>3264.0000000000005</v>
      </c>
      <c r="W124" s="1408">
        <f t="shared" si="106"/>
        <v>3264.0000000000005</v>
      </c>
    </row>
    <row r="125" spans="1:23">
      <c r="B125" s="1431" t="s">
        <v>1576</v>
      </c>
      <c r="C125" s="1440"/>
      <c r="D125" s="1440">
        <f>D57</f>
        <v>0</v>
      </c>
      <c r="E125" s="1440">
        <f t="shared" ref="E125:M125" si="107">D125+E57</f>
        <v>0</v>
      </c>
      <c r="F125" s="1440">
        <f t="shared" si="107"/>
        <v>0</v>
      </c>
      <c r="G125" s="1440">
        <f t="shared" si="107"/>
        <v>0</v>
      </c>
      <c r="H125" s="1440">
        <f t="shared" si="107"/>
        <v>0</v>
      </c>
      <c r="I125" s="1440">
        <f t="shared" si="107"/>
        <v>0</v>
      </c>
      <c r="J125" s="1440">
        <f t="shared" si="107"/>
        <v>0</v>
      </c>
      <c r="K125" s="1440">
        <f t="shared" si="107"/>
        <v>0</v>
      </c>
      <c r="L125" s="1440">
        <f t="shared" si="107"/>
        <v>0</v>
      </c>
      <c r="M125" s="1440">
        <f t="shared" si="107"/>
        <v>0</v>
      </c>
      <c r="N125" s="1440">
        <f t="shared" ref="N125:W125" si="108">M125+N57</f>
        <v>0</v>
      </c>
      <c r="O125" s="1440">
        <f t="shared" si="108"/>
        <v>0</v>
      </c>
      <c r="P125" s="1440">
        <f t="shared" si="108"/>
        <v>0</v>
      </c>
      <c r="Q125" s="1440">
        <f t="shared" si="108"/>
        <v>0</v>
      </c>
      <c r="R125" s="1440">
        <f t="shared" si="108"/>
        <v>0</v>
      </c>
      <c r="S125" s="1440">
        <f t="shared" si="108"/>
        <v>0</v>
      </c>
      <c r="T125" s="1440">
        <f t="shared" si="108"/>
        <v>0</v>
      </c>
      <c r="U125" s="1440">
        <f t="shared" si="108"/>
        <v>0</v>
      </c>
      <c r="V125" s="1440">
        <f t="shared" si="108"/>
        <v>1632.0000000000002</v>
      </c>
      <c r="W125" s="1440">
        <f t="shared" si="108"/>
        <v>3264.0000000000005</v>
      </c>
    </row>
    <row r="126" spans="1:23">
      <c r="B126" s="1431" t="s">
        <v>1577</v>
      </c>
      <c r="C126" s="1440"/>
      <c r="D126" s="1440">
        <f>D50</f>
        <v>0</v>
      </c>
      <c r="E126" s="1440">
        <f t="shared" ref="E126:M126" si="109">D126+E50</f>
        <v>0</v>
      </c>
      <c r="F126" s="1440">
        <f t="shared" si="109"/>
        <v>0</v>
      </c>
      <c r="G126" s="1440">
        <f t="shared" si="109"/>
        <v>0</v>
      </c>
      <c r="H126" s="1440">
        <f t="shared" si="109"/>
        <v>0</v>
      </c>
      <c r="I126" s="1440">
        <f t="shared" si="109"/>
        <v>0</v>
      </c>
      <c r="J126" s="1440">
        <f t="shared" si="109"/>
        <v>0</v>
      </c>
      <c r="K126" s="1440">
        <f t="shared" si="109"/>
        <v>0</v>
      </c>
      <c r="L126" s="1440">
        <f t="shared" si="109"/>
        <v>0</v>
      </c>
      <c r="M126" s="1440">
        <f t="shared" si="109"/>
        <v>0</v>
      </c>
      <c r="N126" s="1440">
        <f t="shared" ref="N126:W126" si="110">M126+N50</f>
        <v>0</v>
      </c>
      <c r="O126" s="1440">
        <f t="shared" si="110"/>
        <v>0</v>
      </c>
      <c r="P126" s="1440">
        <f t="shared" si="110"/>
        <v>0</v>
      </c>
      <c r="Q126" s="1440">
        <f t="shared" si="110"/>
        <v>0</v>
      </c>
      <c r="R126" s="1440">
        <f t="shared" si="110"/>
        <v>0</v>
      </c>
      <c r="S126" s="1440">
        <f t="shared" si="110"/>
        <v>0</v>
      </c>
      <c r="T126" s="1440">
        <f t="shared" si="110"/>
        <v>1632.0000000000002</v>
      </c>
      <c r="U126" s="1440">
        <f t="shared" si="110"/>
        <v>3264.0000000000005</v>
      </c>
      <c r="V126" s="1440">
        <f t="shared" si="110"/>
        <v>3264.0000000000005</v>
      </c>
      <c r="W126" s="1440">
        <f t="shared" si="110"/>
        <v>3264.0000000000005</v>
      </c>
    </row>
    <row r="127" spans="1:23">
      <c r="B127" s="1431" t="s">
        <v>1578</v>
      </c>
      <c r="C127" s="1440"/>
      <c r="D127" s="1436" t="str">
        <f t="shared" ref="D127:J127" si="111">IF(D124&lt;&gt;0,D124/D126,"")</f>
        <v/>
      </c>
      <c r="E127" s="1436" t="str">
        <f t="shared" si="111"/>
        <v/>
      </c>
      <c r="F127" s="1436" t="str">
        <f t="shared" si="111"/>
        <v/>
      </c>
      <c r="G127" s="1436" t="str">
        <f t="shared" si="111"/>
        <v/>
      </c>
      <c r="H127" s="1436" t="str">
        <f t="shared" si="111"/>
        <v/>
      </c>
      <c r="I127" s="1436" t="str">
        <f t="shared" si="111"/>
        <v/>
      </c>
      <c r="J127" s="1436" t="str">
        <f t="shared" si="111"/>
        <v/>
      </c>
      <c r="K127" s="1436" t="str">
        <f>IF(K124&lt;&gt;0,K124/K126,"")</f>
        <v/>
      </c>
      <c r="L127" s="1436" t="str">
        <f>IF(L124&lt;&gt;0,L124/L126,"")</f>
        <v/>
      </c>
      <c r="M127" s="1436" t="str">
        <f>IF(M124&lt;&gt;0,M124/M126,"")</f>
        <v/>
      </c>
      <c r="N127" s="1436" t="str">
        <f>IF(N124&lt;&gt;0,N124/N126,"")</f>
        <v/>
      </c>
      <c r="O127" s="1436" t="str">
        <f>IF(O124&lt;&gt;0,O124/O126,"")</f>
        <v/>
      </c>
      <c r="P127" s="1436" t="str">
        <f t="shared" ref="P127:W127" si="112">IF(P124&lt;&gt;0,P124/P126,"")</f>
        <v/>
      </c>
      <c r="Q127" s="1436" t="str">
        <f t="shared" si="112"/>
        <v/>
      </c>
      <c r="R127" s="1436" t="str">
        <f t="shared" si="112"/>
        <v/>
      </c>
      <c r="S127" s="1436" t="str">
        <f t="shared" si="112"/>
        <v/>
      </c>
      <c r="T127" s="1436">
        <f t="shared" si="112"/>
        <v>1</v>
      </c>
      <c r="U127" s="1436">
        <f t="shared" si="112"/>
        <v>1</v>
      </c>
      <c r="V127" s="1436">
        <f t="shared" si="112"/>
        <v>1</v>
      </c>
      <c r="W127" s="1436">
        <f t="shared" si="112"/>
        <v>1</v>
      </c>
    </row>
    <row r="128" spans="1:23">
      <c r="B128" s="1431" t="s">
        <v>1579</v>
      </c>
      <c r="C128" s="1440"/>
      <c r="D128" s="1410">
        <f t="shared" ref="D128:J128" si="113">IF(D124&gt;D125,D124-D125,0)</f>
        <v>0</v>
      </c>
      <c r="E128" s="1410">
        <f t="shared" si="113"/>
        <v>0</v>
      </c>
      <c r="F128" s="1410">
        <f t="shared" si="113"/>
        <v>0</v>
      </c>
      <c r="G128" s="1410">
        <f t="shared" si="113"/>
        <v>0</v>
      </c>
      <c r="H128" s="1410">
        <f t="shared" si="113"/>
        <v>0</v>
      </c>
      <c r="I128" s="1410">
        <f t="shared" si="113"/>
        <v>0</v>
      </c>
      <c r="J128" s="1410">
        <f t="shared" si="113"/>
        <v>0</v>
      </c>
      <c r="K128" s="1410">
        <f>IF(K124&gt;K125,K124-K125,0)</f>
        <v>0</v>
      </c>
      <c r="L128" s="1410">
        <f>IF(L124&gt;L125,L124-L125,0)</f>
        <v>0</v>
      </c>
      <c r="M128" s="1410">
        <f>IF(M124&gt;M125,M124-M125,0)</f>
        <v>0</v>
      </c>
      <c r="N128" s="1410">
        <f>IF(N124&gt;N125,N124-N125,0)</f>
        <v>0</v>
      </c>
      <c r="O128" s="1410">
        <f>IF(O124&gt;O125,O124-O125,0)</f>
        <v>0</v>
      </c>
      <c r="P128" s="1410">
        <f t="shared" ref="P128:W128" si="114">IF(P124&gt;P125,P124-P125,0)</f>
        <v>0</v>
      </c>
      <c r="Q128" s="1410">
        <f t="shared" si="114"/>
        <v>0</v>
      </c>
      <c r="R128" s="1410">
        <f t="shared" si="114"/>
        <v>0</v>
      </c>
      <c r="S128" s="1410">
        <f t="shared" si="114"/>
        <v>0</v>
      </c>
      <c r="T128" s="1410">
        <f t="shared" si="114"/>
        <v>1632.0000000000002</v>
      </c>
      <c r="U128" s="1410">
        <f t="shared" si="114"/>
        <v>3264.0000000000005</v>
      </c>
      <c r="V128" s="1410">
        <f t="shared" si="114"/>
        <v>1632.0000000000002</v>
      </c>
      <c r="W128" s="1410">
        <f t="shared" si="114"/>
        <v>0</v>
      </c>
    </row>
    <row r="129" spans="1:23" s="1407" customFormat="1">
      <c r="A129" s="1406"/>
      <c r="B129" s="1431" t="s">
        <v>1580</v>
      </c>
      <c r="C129" s="1440"/>
      <c r="D129" s="1410">
        <f t="shared" ref="D129:J129" si="115">IF(D125&gt;D124,D125-D124,0)</f>
        <v>0</v>
      </c>
      <c r="E129" s="1410">
        <f t="shared" si="115"/>
        <v>0</v>
      </c>
      <c r="F129" s="1410">
        <f t="shared" si="115"/>
        <v>0</v>
      </c>
      <c r="G129" s="1410">
        <f t="shared" si="115"/>
        <v>0</v>
      </c>
      <c r="H129" s="1410">
        <f t="shared" si="115"/>
        <v>0</v>
      </c>
      <c r="I129" s="1410">
        <f t="shared" si="115"/>
        <v>0</v>
      </c>
      <c r="J129" s="1410">
        <f t="shared" si="115"/>
        <v>0</v>
      </c>
      <c r="K129" s="1410">
        <f>IF(K125&gt;K124,K125-K124,0)</f>
        <v>0</v>
      </c>
      <c r="L129" s="1410">
        <f>IF(L125&gt;L124,L125-L124,0)</f>
        <v>0</v>
      </c>
      <c r="M129" s="1410">
        <f>IF(M125&gt;M124,M125-M124,0)</f>
        <v>0</v>
      </c>
      <c r="N129" s="1410">
        <f>IF(N125&gt;N124,N125-N124,0)</f>
        <v>0</v>
      </c>
      <c r="O129" s="1410">
        <f>IF(O125&gt;O124,O125-O124,0)</f>
        <v>0</v>
      </c>
      <c r="P129" s="1410">
        <f t="shared" ref="P129:W129" si="116">IF(P125&gt;P124,P125-P124,0)</f>
        <v>0</v>
      </c>
      <c r="Q129" s="1410">
        <f t="shared" si="116"/>
        <v>0</v>
      </c>
      <c r="R129" s="1410">
        <f t="shared" si="116"/>
        <v>0</v>
      </c>
      <c r="S129" s="1410">
        <f t="shared" si="116"/>
        <v>0</v>
      </c>
      <c r="T129" s="1410">
        <f t="shared" si="116"/>
        <v>0</v>
      </c>
      <c r="U129" s="1410">
        <f t="shared" si="116"/>
        <v>0</v>
      </c>
      <c r="V129" s="1410">
        <f t="shared" si="116"/>
        <v>0</v>
      </c>
      <c r="W129" s="1410">
        <f t="shared" si="116"/>
        <v>0</v>
      </c>
    </row>
    <row r="130" spans="1:23">
      <c r="B130" s="1407"/>
      <c r="E130" s="1440"/>
      <c r="F130" s="1440"/>
      <c r="G130" s="1440"/>
      <c r="H130" s="1440"/>
      <c r="I130" s="1440"/>
      <c r="J130" s="1440"/>
      <c r="K130" s="1440"/>
      <c r="L130" s="1440"/>
      <c r="M130" s="1440"/>
      <c r="N130" s="1440"/>
      <c r="O130" s="1440"/>
      <c r="P130" s="1440"/>
      <c r="Q130" s="1440"/>
      <c r="R130" s="1440"/>
      <c r="S130" s="1440"/>
      <c r="T130" s="1440"/>
      <c r="U130" s="1440"/>
      <c r="V130" s="1440"/>
      <c r="W130" s="1440"/>
    </row>
    <row r="131" spans="1:23">
      <c r="B131" s="1407" t="s">
        <v>1492</v>
      </c>
      <c r="E131" s="1440"/>
      <c r="F131" s="1440"/>
      <c r="G131" s="1440"/>
      <c r="H131" s="1440"/>
      <c r="I131" s="1440"/>
      <c r="J131" s="1440"/>
      <c r="K131" s="1440"/>
      <c r="L131" s="1440"/>
      <c r="M131" s="1440"/>
      <c r="N131" s="1440"/>
      <c r="O131" s="1440"/>
      <c r="P131" s="1440"/>
      <c r="Q131" s="1440"/>
      <c r="R131" s="1440"/>
      <c r="S131" s="1440"/>
      <c r="T131" s="1440"/>
      <c r="U131" s="1440"/>
      <c r="V131" s="1440"/>
      <c r="W131" s="1440"/>
    </row>
    <row r="132" spans="1:23">
      <c r="B132" s="1431" t="s">
        <v>1581</v>
      </c>
      <c r="D132" s="1412">
        <v>0</v>
      </c>
      <c r="E132" s="1410">
        <f t="shared" ref="E132:J132" si="117">D136</f>
        <v>0</v>
      </c>
      <c r="F132" s="1440">
        <f t="shared" si="117"/>
        <v>0</v>
      </c>
      <c r="G132" s="1440">
        <f t="shared" si="117"/>
        <v>0</v>
      </c>
      <c r="H132" s="1440">
        <f t="shared" si="117"/>
        <v>0</v>
      </c>
      <c r="I132" s="1440">
        <f t="shared" si="117"/>
        <v>0</v>
      </c>
      <c r="J132" s="1440">
        <f t="shared" si="117"/>
        <v>0</v>
      </c>
      <c r="K132" s="1440">
        <f t="shared" ref="K132:W132" si="118">J136</f>
        <v>0</v>
      </c>
      <c r="L132" s="1440">
        <f t="shared" si="118"/>
        <v>0</v>
      </c>
      <c r="M132" s="1440">
        <f t="shared" si="118"/>
        <v>0</v>
      </c>
      <c r="N132" s="1440">
        <f t="shared" si="118"/>
        <v>0</v>
      </c>
      <c r="O132" s="1440">
        <f t="shared" si="118"/>
        <v>0</v>
      </c>
      <c r="P132" s="1440">
        <f t="shared" si="118"/>
        <v>0</v>
      </c>
      <c r="Q132" s="1440">
        <f t="shared" si="118"/>
        <v>0</v>
      </c>
      <c r="R132" s="1440">
        <f t="shared" si="118"/>
        <v>0</v>
      </c>
      <c r="S132" s="1440">
        <f t="shared" si="118"/>
        <v>0</v>
      </c>
      <c r="T132" s="1440">
        <f t="shared" si="118"/>
        <v>341.04</v>
      </c>
      <c r="U132" s="1440">
        <f t="shared" si="118"/>
        <v>941.04</v>
      </c>
      <c r="V132" s="1440">
        <f t="shared" si="118"/>
        <v>1541.04</v>
      </c>
      <c r="W132" s="1440">
        <f t="shared" si="118"/>
        <v>770.52</v>
      </c>
    </row>
    <row r="133" spans="1:23">
      <c r="B133" s="1431" t="s">
        <v>994</v>
      </c>
      <c r="D133" s="1440">
        <f t="shared" ref="D133:M133" si="119">SUM(D99:D100)</f>
        <v>0</v>
      </c>
      <c r="E133" s="1440">
        <f t="shared" si="119"/>
        <v>0</v>
      </c>
      <c r="F133" s="1440">
        <f t="shared" si="119"/>
        <v>0</v>
      </c>
      <c r="G133" s="1440">
        <f t="shared" si="119"/>
        <v>0</v>
      </c>
      <c r="H133" s="1440">
        <f t="shared" si="119"/>
        <v>0</v>
      </c>
      <c r="I133" s="1440">
        <f t="shared" si="119"/>
        <v>0</v>
      </c>
      <c r="J133" s="1440">
        <f t="shared" si="119"/>
        <v>0</v>
      </c>
      <c r="K133" s="1440">
        <f t="shared" si="119"/>
        <v>0</v>
      </c>
      <c r="L133" s="1440">
        <f t="shared" si="119"/>
        <v>0</v>
      </c>
      <c r="M133" s="1440">
        <f t="shared" si="119"/>
        <v>0</v>
      </c>
      <c r="N133" s="1440">
        <f>SUM(N99:N100)</f>
        <v>0</v>
      </c>
      <c r="O133" s="1440">
        <f>SUM(O99:O100)</f>
        <v>0</v>
      </c>
      <c r="P133" s="1440">
        <f t="shared" ref="P133:W133" si="120">SUM(P99:P100)</f>
        <v>0</v>
      </c>
      <c r="Q133" s="1440">
        <f t="shared" si="120"/>
        <v>0</v>
      </c>
      <c r="R133" s="1440">
        <f t="shared" si="120"/>
        <v>0</v>
      </c>
      <c r="S133" s="1440">
        <f t="shared" si="120"/>
        <v>341.04</v>
      </c>
      <c r="T133" s="1440">
        <f t="shared" si="120"/>
        <v>600</v>
      </c>
      <c r="U133" s="1440">
        <f t="shared" si="120"/>
        <v>600</v>
      </c>
      <c r="V133" s="1440">
        <f t="shared" si="120"/>
        <v>0</v>
      </c>
      <c r="W133" s="1440">
        <f t="shared" si="120"/>
        <v>0</v>
      </c>
    </row>
    <row r="134" spans="1:23">
      <c r="B134" s="1431" t="s">
        <v>1582</v>
      </c>
      <c r="D134" s="1431">
        <f t="shared" ref="D134:J134" si="121">$C$77*D58</f>
        <v>0</v>
      </c>
      <c r="E134" s="1431">
        <f t="shared" si="121"/>
        <v>0</v>
      </c>
      <c r="F134" s="1440">
        <f t="shared" si="121"/>
        <v>0</v>
      </c>
      <c r="G134" s="1440">
        <f t="shared" si="121"/>
        <v>0</v>
      </c>
      <c r="H134" s="1440">
        <f t="shared" si="121"/>
        <v>0</v>
      </c>
      <c r="I134" s="1440">
        <f t="shared" si="121"/>
        <v>0</v>
      </c>
      <c r="J134" s="1440">
        <f t="shared" si="121"/>
        <v>0</v>
      </c>
      <c r="K134" s="1440">
        <f>$C$77*K58</f>
        <v>0</v>
      </c>
      <c r="L134" s="1440">
        <f>$C$77*L58</f>
        <v>0</v>
      </c>
      <c r="M134" s="1440">
        <f>$C$77*M58</f>
        <v>0</v>
      </c>
      <c r="N134" s="1440">
        <f>$C$77*N58</f>
        <v>0</v>
      </c>
      <c r="O134" s="1440">
        <f>$C$77*O58</f>
        <v>0</v>
      </c>
      <c r="P134" s="1440">
        <f t="shared" ref="P134:W134" si="122">$C$77*P58</f>
        <v>0</v>
      </c>
      <c r="Q134" s="1440">
        <f t="shared" si="122"/>
        <v>0</v>
      </c>
      <c r="R134" s="1440">
        <f t="shared" si="122"/>
        <v>0</v>
      </c>
      <c r="S134" s="1440">
        <f t="shared" si="122"/>
        <v>0</v>
      </c>
      <c r="T134" s="1440">
        <f t="shared" si="122"/>
        <v>0</v>
      </c>
      <c r="U134" s="1440">
        <f t="shared" si="122"/>
        <v>0</v>
      </c>
      <c r="V134" s="1440">
        <f t="shared" si="122"/>
        <v>0</v>
      </c>
      <c r="W134" s="1440">
        <f t="shared" si="122"/>
        <v>0</v>
      </c>
    </row>
    <row r="135" spans="1:23">
      <c r="B135" s="1431" t="s">
        <v>1583</v>
      </c>
      <c r="D135" s="1440">
        <f t="shared" ref="D135:J135" si="123">SUM(D75:D77)</f>
        <v>0</v>
      </c>
      <c r="E135" s="1440">
        <f t="shared" si="123"/>
        <v>0</v>
      </c>
      <c r="F135" s="1440">
        <f t="shared" si="123"/>
        <v>0</v>
      </c>
      <c r="G135" s="1440">
        <f t="shared" si="123"/>
        <v>0</v>
      </c>
      <c r="H135" s="1440">
        <f t="shared" si="123"/>
        <v>0</v>
      </c>
      <c r="I135" s="1440">
        <f t="shared" si="123"/>
        <v>0</v>
      </c>
      <c r="J135" s="1440">
        <f t="shared" si="123"/>
        <v>0</v>
      </c>
      <c r="K135" s="1440">
        <f>SUM(K75:K77)</f>
        <v>0</v>
      </c>
      <c r="L135" s="1440">
        <f>SUM(L75:L77)</f>
        <v>0</v>
      </c>
      <c r="M135" s="1440">
        <f>SUM(M75:M77)</f>
        <v>0</v>
      </c>
      <c r="N135" s="1440">
        <f>SUM(N75:N77)</f>
        <v>0</v>
      </c>
      <c r="O135" s="1440">
        <f>SUM(O75:O77)</f>
        <v>0</v>
      </c>
      <c r="P135" s="1440">
        <f t="shared" ref="P135:W135" si="124">SUM(P75:P77)</f>
        <v>0</v>
      </c>
      <c r="Q135" s="1440">
        <f t="shared" si="124"/>
        <v>0</v>
      </c>
      <c r="R135" s="1440">
        <f t="shared" si="124"/>
        <v>0</v>
      </c>
      <c r="S135" s="1440">
        <f t="shared" si="124"/>
        <v>0</v>
      </c>
      <c r="T135" s="1440">
        <f t="shared" si="124"/>
        <v>0</v>
      </c>
      <c r="U135" s="1440">
        <f t="shared" si="124"/>
        <v>0</v>
      </c>
      <c r="V135" s="1440">
        <f t="shared" si="124"/>
        <v>770.52</v>
      </c>
      <c r="W135" s="1440">
        <f t="shared" si="124"/>
        <v>770.52</v>
      </c>
    </row>
    <row r="136" spans="1:23">
      <c r="B136" s="1431" t="s">
        <v>874</v>
      </c>
      <c r="D136" s="1440">
        <f t="shared" ref="D136:M136" si="125">SUM(D132:D134)-D135</f>
        <v>0</v>
      </c>
      <c r="E136" s="1440">
        <f t="shared" si="125"/>
        <v>0</v>
      </c>
      <c r="F136" s="1440">
        <f t="shared" si="125"/>
        <v>0</v>
      </c>
      <c r="G136" s="1440">
        <f t="shared" si="125"/>
        <v>0</v>
      </c>
      <c r="H136" s="1440">
        <f t="shared" si="125"/>
        <v>0</v>
      </c>
      <c r="I136" s="1440">
        <f t="shared" si="125"/>
        <v>0</v>
      </c>
      <c r="J136" s="1440">
        <f t="shared" si="125"/>
        <v>0</v>
      </c>
      <c r="K136" s="1440">
        <f t="shared" si="125"/>
        <v>0</v>
      </c>
      <c r="L136" s="1440">
        <f t="shared" si="125"/>
        <v>0</v>
      </c>
      <c r="M136" s="1440">
        <f t="shared" si="125"/>
        <v>0</v>
      </c>
      <c r="N136" s="1440">
        <f>SUM(N132:N134)-N135</f>
        <v>0</v>
      </c>
      <c r="O136" s="1440">
        <f>SUM(O132:O134)-O135</f>
        <v>0</v>
      </c>
      <c r="P136" s="1440">
        <f t="shared" ref="P136:W136" si="126">SUM(P132:P134)-P135</f>
        <v>0</v>
      </c>
      <c r="Q136" s="1440">
        <f t="shared" si="126"/>
        <v>0</v>
      </c>
      <c r="R136" s="1440">
        <f t="shared" si="126"/>
        <v>0</v>
      </c>
      <c r="S136" s="1440">
        <f t="shared" si="126"/>
        <v>341.04</v>
      </c>
      <c r="T136" s="1440">
        <f t="shared" si="126"/>
        <v>941.04</v>
      </c>
      <c r="U136" s="1440">
        <f t="shared" si="126"/>
        <v>1541.04</v>
      </c>
      <c r="V136" s="1440">
        <f t="shared" si="126"/>
        <v>770.52</v>
      </c>
      <c r="W136" s="1440">
        <f t="shared" si="126"/>
        <v>0</v>
      </c>
    </row>
    <row r="137" spans="1:23">
      <c r="A137" s="1430" t="s">
        <v>1584</v>
      </c>
      <c r="B137" s="1432"/>
      <c r="C137" s="1432"/>
      <c r="D137" s="1432"/>
      <c r="E137" s="1432"/>
      <c r="F137" s="1432"/>
      <c r="G137" s="1432"/>
      <c r="H137" s="1432"/>
      <c r="I137" s="1432"/>
      <c r="J137" s="1432"/>
      <c r="K137" s="1432"/>
      <c r="L137" s="1432"/>
      <c r="M137" s="1432"/>
      <c r="N137" s="1432"/>
      <c r="O137" s="1432"/>
      <c r="P137" s="1432"/>
      <c r="Q137" s="1432"/>
      <c r="R137" s="1432"/>
      <c r="S137" s="1432"/>
      <c r="T137" s="1432"/>
      <c r="U137" s="1432"/>
      <c r="V137" s="1432"/>
      <c r="W137" s="1432"/>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V137"/>
  <sheetViews>
    <sheetView zoomScaleNormal="100" workbookViewId="0">
      <selection activeCell="N8" sqref="N8"/>
    </sheetView>
  </sheetViews>
  <sheetFormatPr defaultColWidth="9.140625" defaultRowHeight="12"/>
  <cols>
    <col min="1" max="1" width="5.85546875" style="1406" customWidth="1"/>
    <col min="2" max="2" width="27.140625" style="1431" customWidth="1"/>
    <col min="3" max="13" width="9.140625" style="1431" customWidth="1"/>
    <col min="14" max="14" width="9.140625" style="1431" bestFit="1" customWidth="1"/>
    <col min="15" max="16384" width="9.140625" style="1431"/>
  </cols>
  <sheetData>
    <row r="1" spans="1:22" ht="21">
      <c r="A1" s="1404" t="s">
        <v>2434</v>
      </c>
    </row>
    <row r="2" spans="1:22">
      <c r="A2" s="1405" t="s">
        <v>1776</v>
      </c>
    </row>
    <row r="4" spans="1:22">
      <c r="B4" s="1407" t="s">
        <v>1539</v>
      </c>
      <c r="F4" s="1407" t="s">
        <v>1540</v>
      </c>
      <c r="K4" s="1407" t="s">
        <v>1595</v>
      </c>
      <c r="P4" s="1407" t="s">
        <v>1783</v>
      </c>
    </row>
    <row r="5" spans="1:22">
      <c r="B5" s="1432" t="s">
        <v>748</v>
      </c>
      <c r="C5" s="1432"/>
      <c r="D5" s="1408">
        <f>SUM(D6:D8)</f>
        <v>6311.2128894255329</v>
      </c>
      <c r="F5" s="1432" t="s">
        <v>636</v>
      </c>
      <c r="G5" s="1432"/>
      <c r="H5" s="1432"/>
      <c r="I5" s="1409">
        <v>1</v>
      </c>
      <c r="K5" s="1432" t="s">
        <v>26</v>
      </c>
      <c r="L5" s="1432"/>
      <c r="M5" s="1432"/>
      <c r="N5" s="1441">
        <f>C83</f>
        <v>12291.37778161095</v>
      </c>
      <c r="P5" s="1432" t="s">
        <v>1777</v>
      </c>
      <c r="Q5" s="1432"/>
      <c r="R5" s="1432"/>
      <c r="S5" s="1422">
        <v>2500</v>
      </c>
    </row>
    <row r="6" spans="1:22">
      <c r="B6" s="1431" t="s">
        <v>678</v>
      </c>
      <c r="D6" s="1410">
        <f>SUM(E31:E32)</f>
        <v>1230.42</v>
      </c>
      <c r="F6" s="1431" t="s">
        <v>1542</v>
      </c>
      <c r="I6" s="1586">
        <v>0.5</v>
      </c>
      <c r="K6" s="1431" t="s">
        <v>197</v>
      </c>
      <c r="N6" s="1436">
        <f>C91</f>
        <v>0.52640732252596623</v>
      </c>
      <c r="P6" s="1431" t="s">
        <v>1778</v>
      </c>
      <c r="S6" s="1440">
        <f>D42/S5</f>
        <v>67.2</v>
      </c>
    </row>
    <row r="7" spans="1:22">
      <c r="B7" s="1431" t="s">
        <v>750</v>
      </c>
      <c r="D7" s="1410">
        <f>C70</f>
        <v>3360</v>
      </c>
      <c r="F7" s="1431" t="s">
        <v>759</v>
      </c>
      <c r="I7" s="1440">
        <f>C114</f>
        <v>3155.6064447127665</v>
      </c>
      <c r="K7" s="1431" t="s">
        <v>1779</v>
      </c>
      <c r="N7" s="1436">
        <f>C92</f>
        <v>0.30912585802077303</v>
      </c>
      <c r="P7" s="1431" t="s">
        <v>1792</v>
      </c>
      <c r="S7" s="1412">
        <v>65</v>
      </c>
    </row>
    <row r="8" spans="1:22">
      <c r="B8" s="1431" t="s">
        <v>656</v>
      </c>
      <c r="D8" s="1440">
        <f>C79</f>
        <v>1720.7928894255333</v>
      </c>
      <c r="F8" s="1431" t="s">
        <v>1544</v>
      </c>
      <c r="I8" s="1433">
        <f>G23</f>
        <v>0.1105</v>
      </c>
      <c r="K8" s="1431" t="s">
        <v>1720</v>
      </c>
      <c r="N8" s="1440">
        <f>C105</f>
        <v>2560.0609542581233</v>
      </c>
      <c r="P8" s="1431" t="s">
        <v>1784</v>
      </c>
      <c r="S8" s="1423">
        <v>20</v>
      </c>
    </row>
    <row r="9" spans="1:22">
      <c r="B9" s="1431" t="s">
        <v>869</v>
      </c>
      <c r="D9" s="1440">
        <f>C119</f>
        <v>1230.6865134379791</v>
      </c>
      <c r="F9" s="1431" t="s">
        <v>1588</v>
      </c>
      <c r="I9" s="1425" t="e">
        <f>B109</f>
        <v>#NUM!</v>
      </c>
      <c r="K9" s="1431" t="s">
        <v>1601</v>
      </c>
      <c r="N9" s="1410">
        <f>C90</f>
        <v>3799.5827029979509</v>
      </c>
      <c r="P9" s="1431" t="s">
        <v>1560</v>
      </c>
      <c r="S9" s="1416">
        <v>0.7</v>
      </c>
    </row>
    <row r="10" spans="1:22">
      <c r="B10" s="1431" t="s">
        <v>1543</v>
      </c>
      <c r="D10" s="1412">
        <v>2027</v>
      </c>
      <c r="F10" s="1431" t="s">
        <v>1781</v>
      </c>
      <c r="I10" s="1436">
        <f>C105/C90</f>
        <v>0.67377424163926769</v>
      </c>
      <c r="K10" s="1431" t="s">
        <v>1141</v>
      </c>
      <c r="N10" s="1423">
        <v>61521</v>
      </c>
      <c r="P10" s="1431" t="s">
        <v>1785</v>
      </c>
      <c r="S10" s="1423">
        <v>14</v>
      </c>
    </row>
    <row r="11" spans="1:22">
      <c r="B11" s="1431" t="s">
        <v>751</v>
      </c>
      <c r="D11" s="1412">
        <v>2031</v>
      </c>
      <c r="F11" s="1431" t="s">
        <v>1782</v>
      </c>
      <c r="I11" s="1436">
        <f>C70/C50</f>
        <v>0.27336235690573873</v>
      </c>
      <c r="K11" s="1431" t="s">
        <v>686</v>
      </c>
      <c r="N11" s="1643">
        <v>240000</v>
      </c>
      <c r="P11" s="1431" t="s">
        <v>1786</v>
      </c>
      <c r="S11" s="1596">
        <f>'Opal Central Park'!$S$11</f>
        <v>0.14000000000000001</v>
      </c>
    </row>
    <row r="12" spans="1:22">
      <c r="B12" s="1431" t="s">
        <v>1545</v>
      </c>
      <c r="D12" s="1594">
        <v>2022</v>
      </c>
      <c r="F12" s="1431" t="s">
        <v>1780</v>
      </c>
      <c r="I12" s="1436">
        <f>E32/C50</f>
        <v>0.10010431880474972</v>
      </c>
      <c r="K12" s="1431" t="s">
        <v>1790</v>
      </c>
      <c r="N12" s="1599">
        <v>9</v>
      </c>
      <c r="P12" s="1431" t="s">
        <v>1791</v>
      </c>
      <c r="S12" s="1423"/>
    </row>
    <row r="13" spans="1:22">
      <c r="E13" s="1412"/>
      <c r="J13" s="1413"/>
    </row>
    <row r="14" spans="1:22">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c r="R14" s="1447">
        <f>'Opal Riverside'!R14</f>
        <v>2027</v>
      </c>
      <c r="S14" s="1447">
        <f>'Opal Riverside'!S14</f>
        <v>2028</v>
      </c>
      <c r="T14" s="1447">
        <f>'Opal Riverside'!T14</f>
        <v>2029</v>
      </c>
      <c r="U14" s="1447">
        <f>'Opal Riverside'!U14</f>
        <v>2030</v>
      </c>
      <c r="V14" s="1447">
        <f>'Opal Riverside'!V14</f>
        <v>2031</v>
      </c>
    </row>
    <row r="15" spans="1:22">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c r="R15" s="1434">
        <f t="shared" ref="R15:V18" si="1">Q15</f>
        <v>0.5</v>
      </c>
      <c r="S15" s="1434">
        <f t="shared" si="1"/>
        <v>0.5</v>
      </c>
      <c r="T15" s="1434">
        <f t="shared" si="1"/>
        <v>0.5</v>
      </c>
      <c r="U15" s="1434">
        <f t="shared" si="1"/>
        <v>0.5</v>
      </c>
      <c r="V15" s="1434">
        <f t="shared" si="1"/>
        <v>0.5</v>
      </c>
    </row>
    <row r="16" spans="1:22">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c r="R16" s="1431">
        <v>1.3</v>
      </c>
      <c r="S16" s="1431">
        <v>1.3</v>
      </c>
      <c r="T16" s="1431">
        <v>1.3</v>
      </c>
      <c r="U16" s="1431">
        <v>1.3</v>
      </c>
      <c r="V16" s="1431">
        <v>1.3</v>
      </c>
    </row>
    <row r="17" spans="1:22">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c r="R17" s="1435">
        <f t="shared" si="1"/>
        <v>5.5E-2</v>
      </c>
      <c r="S17" s="1435">
        <f t="shared" si="1"/>
        <v>5.5E-2</v>
      </c>
      <c r="T17" s="1435">
        <f t="shared" si="1"/>
        <v>5.5E-2</v>
      </c>
      <c r="U17" s="1435">
        <f t="shared" si="1"/>
        <v>5.5E-2</v>
      </c>
      <c r="V17" s="1435">
        <f t="shared" si="1"/>
        <v>5.5E-2</v>
      </c>
    </row>
    <row r="18" spans="1:22">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c r="R18" s="1435">
        <f t="shared" si="1"/>
        <v>7.0000000000000007E-2</v>
      </c>
      <c r="S18" s="1435">
        <f t="shared" si="1"/>
        <v>7.0000000000000007E-2</v>
      </c>
      <c r="T18" s="1435">
        <f t="shared" si="1"/>
        <v>7.0000000000000007E-2</v>
      </c>
      <c r="U18" s="1435">
        <f t="shared" si="1"/>
        <v>7.0000000000000007E-2</v>
      </c>
      <c r="V18" s="1435">
        <f t="shared" si="1"/>
        <v>7.0000000000000007E-2</v>
      </c>
    </row>
    <row r="19" spans="1:22">
      <c r="B19" s="1431" t="s">
        <v>758</v>
      </c>
      <c r="D19" s="1433">
        <f t="shared" ref="D19:Q19" si="2">D17+D16*D18</f>
        <v>0.125</v>
      </c>
      <c r="E19" s="1433">
        <f t="shared" si="2"/>
        <v>0.125</v>
      </c>
      <c r="F19" s="1433">
        <f t="shared" si="2"/>
        <v>0.125</v>
      </c>
      <c r="G19" s="1433">
        <f t="shared" si="2"/>
        <v>0.125</v>
      </c>
      <c r="H19" s="1433">
        <f t="shared" si="2"/>
        <v>0.125</v>
      </c>
      <c r="I19" s="1433">
        <f t="shared" si="2"/>
        <v>0.125</v>
      </c>
      <c r="J19" s="1433">
        <f t="shared" si="2"/>
        <v>0.125</v>
      </c>
      <c r="K19" s="1433">
        <f t="shared" si="2"/>
        <v>0.125</v>
      </c>
      <c r="L19" s="1433">
        <f t="shared" si="2"/>
        <v>0.125</v>
      </c>
      <c r="M19" s="1433">
        <f t="shared" si="2"/>
        <v>0.125</v>
      </c>
      <c r="N19" s="1433">
        <f t="shared" si="2"/>
        <v>0.14600000000000002</v>
      </c>
      <c r="O19" s="1433">
        <f t="shared" si="2"/>
        <v>0.14600000000000002</v>
      </c>
      <c r="P19" s="1433">
        <f t="shared" si="2"/>
        <v>0.14600000000000002</v>
      </c>
      <c r="Q19" s="1433">
        <f t="shared" si="2"/>
        <v>0.14600000000000002</v>
      </c>
      <c r="R19" s="1433">
        <f>R17+R16*R18</f>
        <v>0.14600000000000002</v>
      </c>
      <c r="S19" s="1433">
        <f>S17+S16*S18</f>
        <v>0.14600000000000002</v>
      </c>
      <c r="T19" s="1433">
        <f>T17+T16*T18</f>
        <v>0.14600000000000002</v>
      </c>
      <c r="U19" s="1433">
        <f>U17+U16*U18</f>
        <v>0.14600000000000002</v>
      </c>
      <c r="V19" s="1433">
        <f>V17+V16*V18</f>
        <v>0.14600000000000002</v>
      </c>
    </row>
    <row r="20" spans="1:22">
      <c r="B20" s="1431" t="s">
        <v>1542</v>
      </c>
      <c r="D20" s="1436">
        <f t="shared" ref="D20:V20" si="3">$I$6</f>
        <v>0.5</v>
      </c>
      <c r="E20" s="1436">
        <f t="shared" si="3"/>
        <v>0.5</v>
      </c>
      <c r="F20" s="1436">
        <f t="shared" si="3"/>
        <v>0.5</v>
      </c>
      <c r="G20" s="1436">
        <f t="shared" si="3"/>
        <v>0.5</v>
      </c>
      <c r="H20" s="1436">
        <f t="shared" si="3"/>
        <v>0.5</v>
      </c>
      <c r="I20" s="1436">
        <f t="shared" si="3"/>
        <v>0.5</v>
      </c>
      <c r="J20" s="1436">
        <f t="shared" si="3"/>
        <v>0.5</v>
      </c>
      <c r="K20" s="1436">
        <f t="shared" si="3"/>
        <v>0.5</v>
      </c>
      <c r="L20" s="1436">
        <f t="shared" si="3"/>
        <v>0.5</v>
      </c>
      <c r="M20" s="1436">
        <f t="shared" si="3"/>
        <v>0.5</v>
      </c>
      <c r="N20" s="1436">
        <f t="shared" si="3"/>
        <v>0.5</v>
      </c>
      <c r="O20" s="1436">
        <f t="shared" si="3"/>
        <v>0.5</v>
      </c>
      <c r="P20" s="1436">
        <f t="shared" si="3"/>
        <v>0.5</v>
      </c>
      <c r="Q20" s="1436">
        <f t="shared" si="3"/>
        <v>0.5</v>
      </c>
      <c r="R20" s="1436">
        <f t="shared" si="3"/>
        <v>0.5</v>
      </c>
      <c r="S20" s="1436">
        <f t="shared" si="3"/>
        <v>0.5</v>
      </c>
      <c r="T20" s="1436">
        <f t="shared" si="3"/>
        <v>0.5</v>
      </c>
      <c r="U20" s="1436">
        <f t="shared" si="3"/>
        <v>0.5</v>
      </c>
      <c r="V20" s="1436">
        <f t="shared" si="3"/>
        <v>0.5</v>
      </c>
    </row>
    <row r="21" spans="1:22">
      <c r="B21" s="1431" t="s">
        <v>760</v>
      </c>
      <c r="D21" s="1581">
        <f>'Opal Central Park'!D21</f>
        <v>0.14000000000000001</v>
      </c>
      <c r="E21" s="1581">
        <f>'Opal Central Park'!E21</f>
        <v>0.13</v>
      </c>
      <c r="F21" s="1581">
        <f>'Opal Central Park'!F21</f>
        <v>0.1</v>
      </c>
      <c r="G21" s="1581">
        <f>'Opal Central Park'!G21</f>
        <v>0.12</v>
      </c>
      <c r="H21" s="1425">
        <f>G21</f>
        <v>0.12</v>
      </c>
      <c r="I21" s="1418">
        <f t="shared" ref="H21:Q22" si="4">H21</f>
        <v>0.12</v>
      </c>
      <c r="J21" s="1418">
        <f t="shared" si="4"/>
        <v>0.12</v>
      </c>
      <c r="K21" s="1418">
        <f t="shared" si="4"/>
        <v>0.12</v>
      </c>
      <c r="L21" s="1418">
        <f t="shared" si="4"/>
        <v>0.12</v>
      </c>
      <c r="M21" s="1418">
        <f t="shared" si="4"/>
        <v>0.12</v>
      </c>
      <c r="N21" s="2182">
        <v>0.13</v>
      </c>
      <c r="O21" s="2182">
        <v>0.13</v>
      </c>
      <c r="P21" s="2182">
        <v>0.13</v>
      </c>
      <c r="Q21" s="2182">
        <v>0.13</v>
      </c>
      <c r="R21" s="2182">
        <v>0.13</v>
      </c>
      <c r="S21" s="2182">
        <v>0.13</v>
      </c>
      <c r="T21" s="2182">
        <v>0.13</v>
      </c>
      <c r="U21" s="2182">
        <v>0.13</v>
      </c>
      <c r="V21" s="2182">
        <v>0.13</v>
      </c>
    </row>
    <row r="22" spans="1:22">
      <c r="B22" s="1431" t="s">
        <v>846</v>
      </c>
      <c r="D22" s="1596">
        <f>'Opal Central Park'!D22</f>
        <v>0.22</v>
      </c>
      <c r="E22" s="1596">
        <f>'Opal Central Park'!E22</f>
        <v>0.22</v>
      </c>
      <c r="F22" s="1596">
        <f>'Opal Central Park'!F22</f>
        <v>0.22</v>
      </c>
      <c r="G22" s="1596">
        <f>'Opal Central Park'!G22</f>
        <v>0.2</v>
      </c>
      <c r="H22" s="1417">
        <f t="shared" si="4"/>
        <v>0.2</v>
      </c>
      <c r="I22" s="1417">
        <f t="shared" si="4"/>
        <v>0.2</v>
      </c>
      <c r="J22" s="1417">
        <f t="shared" si="4"/>
        <v>0.2</v>
      </c>
      <c r="K22" s="1417">
        <f t="shared" si="4"/>
        <v>0.2</v>
      </c>
      <c r="L22" s="1417">
        <f t="shared" si="4"/>
        <v>0.2</v>
      </c>
      <c r="M22" s="1417">
        <f t="shared" si="4"/>
        <v>0.2</v>
      </c>
      <c r="N22" s="1417">
        <f t="shared" si="4"/>
        <v>0.2</v>
      </c>
      <c r="O22" s="1417">
        <f t="shared" si="4"/>
        <v>0.2</v>
      </c>
      <c r="P22" s="1417">
        <f t="shared" si="4"/>
        <v>0.2</v>
      </c>
      <c r="Q22" s="1417">
        <f t="shared" si="4"/>
        <v>0.2</v>
      </c>
      <c r="R22" s="1417">
        <f>Q22</f>
        <v>0.2</v>
      </c>
      <c r="S22" s="1417">
        <f>R22</f>
        <v>0.2</v>
      </c>
      <c r="T22" s="1417">
        <f>S22</f>
        <v>0.2</v>
      </c>
      <c r="U22" s="1417">
        <f>T22</f>
        <v>0.2</v>
      </c>
      <c r="V22" s="1417">
        <f>U22</f>
        <v>0.2</v>
      </c>
    </row>
    <row r="23" spans="1:22">
      <c r="B23" s="1419" t="s">
        <v>14</v>
      </c>
      <c r="C23" s="1432"/>
      <c r="D23" s="1437">
        <f>D19*D15+D21*D20*(1-D22)</f>
        <v>0.11710000000000001</v>
      </c>
      <c r="E23" s="1437">
        <f t="shared" ref="E23:Q23" si="5">E19*E15+E21*E20*(1-E22)</f>
        <v>0.1132</v>
      </c>
      <c r="F23" s="1437">
        <f>F19*F15+F21*F20*(1-F22)</f>
        <v>0.10150000000000001</v>
      </c>
      <c r="G23" s="1437">
        <f>G19*G15+G21*G20*(1-G22)</f>
        <v>0.1105</v>
      </c>
      <c r="H23" s="1437">
        <f>H19*H15+H21*H20*(1-H22)</f>
        <v>0.1105</v>
      </c>
      <c r="I23" s="1437">
        <f>I19*I15+I21*I20*(1-I22)</f>
        <v>0.1105</v>
      </c>
      <c r="J23" s="1437">
        <f t="shared" si="5"/>
        <v>0.1105</v>
      </c>
      <c r="K23" s="1437">
        <f t="shared" si="5"/>
        <v>0.1105</v>
      </c>
      <c r="L23" s="1437">
        <f t="shared" si="5"/>
        <v>0.1105</v>
      </c>
      <c r="M23" s="1437">
        <f t="shared" si="5"/>
        <v>0.1105</v>
      </c>
      <c r="N23" s="1437">
        <f t="shared" si="5"/>
        <v>0.125</v>
      </c>
      <c r="O23" s="1437">
        <f t="shared" si="5"/>
        <v>0.125</v>
      </c>
      <c r="P23" s="1437">
        <f t="shared" si="5"/>
        <v>0.125</v>
      </c>
      <c r="Q23" s="1437">
        <f t="shared" si="5"/>
        <v>0.125</v>
      </c>
      <c r="R23" s="1437">
        <f>R19*R15+R21*R20*(1-R22)</f>
        <v>0.125</v>
      </c>
      <c r="S23" s="1437">
        <f>S19*S15+S21*S20*(1-S22)</f>
        <v>0.125</v>
      </c>
      <c r="T23" s="1437">
        <f>T19*T15+T21*T20*(1-T22)</f>
        <v>0.125</v>
      </c>
      <c r="U23" s="1437">
        <f>U19*U15+U21*U20*(1-U22)</f>
        <v>0.125</v>
      </c>
      <c r="V23" s="1437">
        <f>V19*V15+V21*V20*(1-V22)</f>
        <v>0.125</v>
      </c>
    </row>
    <row r="24" spans="1:22">
      <c r="E24" s="1412"/>
      <c r="J24" s="1413"/>
    </row>
    <row r="25" spans="1:22">
      <c r="E25" s="1412"/>
      <c r="J25" s="1413"/>
    </row>
    <row r="26" spans="1:22" ht="15.75">
      <c r="A26" s="1420" t="s">
        <v>1548</v>
      </c>
      <c r="B26" s="1438"/>
    </row>
    <row r="28" spans="1:22" s="1407" customFormat="1">
      <c r="A28" s="1406" t="s">
        <v>762</v>
      </c>
      <c r="B28" s="1407" t="s">
        <v>1459</v>
      </c>
      <c r="C28" s="1407" t="s">
        <v>764</v>
      </c>
      <c r="D28" s="1407" t="s">
        <v>1549</v>
      </c>
      <c r="E28" s="1407" t="s">
        <v>1550</v>
      </c>
    </row>
    <row r="29" spans="1:22">
      <c r="A29" s="1421"/>
      <c r="B29" s="1432" t="s">
        <v>1551</v>
      </c>
      <c r="C29" s="1432" t="s">
        <v>1552</v>
      </c>
      <c r="D29" s="1432"/>
      <c r="E29" s="1408">
        <f>N10</f>
        <v>61521</v>
      </c>
    </row>
    <row r="30" spans="1:22">
      <c r="B30" s="1431" t="s">
        <v>1553</v>
      </c>
      <c r="C30" s="1431" t="s">
        <v>1552</v>
      </c>
      <c r="E30" s="1410">
        <f>E29</f>
        <v>61521</v>
      </c>
    </row>
    <row r="31" spans="1:22">
      <c r="B31" s="1431" t="s">
        <v>1554</v>
      </c>
      <c r="C31" s="1431" t="s">
        <v>1555</v>
      </c>
      <c r="D31" s="1446"/>
      <c r="E31" s="1410">
        <f>E29*D31</f>
        <v>0</v>
      </c>
    </row>
    <row r="32" spans="1:22">
      <c r="B32" s="1431" t="s">
        <v>1556</v>
      </c>
      <c r="C32" s="1431" t="s">
        <v>1555</v>
      </c>
      <c r="D32" s="1654">
        <f>S8</f>
        <v>20</v>
      </c>
      <c r="E32" s="1440">
        <f>D32*E29/1000</f>
        <v>1230.42</v>
      </c>
    </row>
    <row r="34" spans="1:22">
      <c r="B34" s="1407" t="s">
        <v>773</v>
      </c>
      <c r="C34" s="1431" t="s">
        <v>642</v>
      </c>
      <c r="D34" s="1447">
        <f t="shared" ref="D34:V34" si="6">D14</f>
        <v>2013</v>
      </c>
      <c r="E34" s="1447">
        <f t="shared" si="6"/>
        <v>2014</v>
      </c>
      <c r="F34" s="1447">
        <f t="shared" si="6"/>
        <v>2015</v>
      </c>
      <c r="G34" s="1447">
        <f t="shared" si="6"/>
        <v>2016</v>
      </c>
      <c r="H34" s="1447">
        <f t="shared" si="6"/>
        <v>2017</v>
      </c>
      <c r="I34" s="1447">
        <f t="shared" si="6"/>
        <v>2018</v>
      </c>
      <c r="J34" s="1447">
        <f t="shared" si="6"/>
        <v>2019</v>
      </c>
      <c r="K34" s="1447">
        <f t="shared" si="6"/>
        <v>2020</v>
      </c>
      <c r="L34" s="1447">
        <f t="shared" si="6"/>
        <v>2021</v>
      </c>
      <c r="M34" s="1447">
        <f t="shared" si="6"/>
        <v>2022</v>
      </c>
      <c r="N34" s="1447">
        <f t="shared" si="6"/>
        <v>2023</v>
      </c>
      <c r="O34" s="1447">
        <f t="shared" si="6"/>
        <v>2024</v>
      </c>
      <c r="P34" s="1447">
        <f t="shared" si="6"/>
        <v>2025</v>
      </c>
      <c r="Q34" s="1447">
        <f t="shared" si="6"/>
        <v>2026</v>
      </c>
      <c r="R34" s="1447">
        <f t="shared" si="6"/>
        <v>2027</v>
      </c>
      <c r="S34" s="1447">
        <f t="shared" si="6"/>
        <v>2028</v>
      </c>
      <c r="T34" s="1447">
        <f t="shared" si="6"/>
        <v>2029</v>
      </c>
      <c r="U34" s="1447">
        <f t="shared" si="6"/>
        <v>2030</v>
      </c>
      <c r="V34" s="1447">
        <f t="shared" si="6"/>
        <v>2031</v>
      </c>
    </row>
    <row r="35" spans="1:22">
      <c r="B35" s="1432"/>
      <c r="C35" s="1441">
        <f>E32</f>
        <v>1230.42</v>
      </c>
      <c r="D35" s="1408">
        <f>$C$35*D36</f>
        <v>0</v>
      </c>
      <c r="E35" s="1408">
        <f>$C$35*E36</f>
        <v>0</v>
      </c>
      <c r="F35" s="1408">
        <f>$C$35*F36</f>
        <v>0</v>
      </c>
      <c r="G35" s="1408">
        <f>$C$35*G36</f>
        <v>0</v>
      </c>
      <c r="H35" s="1408">
        <f>$C$35*H36</f>
        <v>0</v>
      </c>
      <c r="I35" s="1408">
        <f t="shared" ref="I35:V35" si="7">$C$35*I36</f>
        <v>0</v>
      </c>
      <c r="J35" s="1408">
        <f t="shared" si="7"/>
        <v>0</v>
      </c>
      <c r="K35" s="1408">
        <f t="shared" si="7"/>
        <v>0</v>
      </c>
      <c r="L35" s="1408">
        <f t="shared" si="7"/>
        <v>0</v>
      </c>
      <c r="M35" s="1408">
        <f t="shared" si="7"/>
        <v>0</v>
      </c>
      <c r="N35" s="1408">
        <f t="shared" si="7"/>
        <v>0</v>
      </c>
      <c r="O35" s="1408">
        <f t="shared" si="7"/>
        <v>0</v>
      </c>
      <c r="P35" s="1408">
        <f t="shared" si="7"/>
        <v>0</v>
      </c>
      <c r="Q35" s="1408">
        <f t="shared" si="7"/>
        <v>0</v>
      </c>
      <c r="R35" s="1408">
        <f t="shared" si="7"/>
        <v>1230.42</v>
      </c>
      <c r="S35" s="1408">
        <f t="shared" si="7"/>
        <v>0</v>
      </c>
      <c r="T35" s="1408">
        <f t="shared" si="7"/>
        <v>0</v>
      </c>
      <c r="U35" s="1408">
        <f t="shared" si="7"/>
        <v>0</v>
      </c>
      <c r="V35" s="1408">
        <f t="shared" si="7"/>
        <v>0</v>
      </c>
    </row>
    <row r="36" spans="1:22">
      <c r="B36" s="1442" t="s">
        <v>1559</v>
      </c>
      <c r="C36" s="1436">
        <f>SUM(D36:V36)</f>
        <v>1</v>
      </c>
      <c r="D36" s="1416">
        <v>0</v>
      </c>
      <c r="E36" s="1416">
        <v>0</v>
      </c>
      <c r="F36" s="1416">
        <v>0</v>
      </c>
      <c r="G36" s="1416">
        <v>0</v>
      </c>
      <c r="H36" s="1416">
        <v>0</v>
      </c>
      <c r="I36" s="1416">
        <v>0</v>
      </c>
      <c r="J36" s="1416">
        <v>0</v>
      </c>
      <c r="K36" s="1416">
        <v>0</v>
      </c>
      <c r="L36" s="1416">
        <v>0</v>
      </c>
      <c r="M36" s="1416">
        <v>0</v>
      </c>
      <c r="N36" s="1416">
        <v>0</v>
      </c>
      <c r="O36" s="1416">
        <v>0</v>
      </c>
      <c r="P36" s="1416">
        <v>0</v>
      </c>
      <c r="Q36" s="1416">
        <v>0</v>
      </c>
      <c r="R36" s="1416">
        <v>1</v>
      </c>
      <c r="S36" s="1416">
        <v>0</v>
      </c>
      <c r="T36" s="1416">
        <v>0</v>
      </c>
      <c r="U36" s="1416">
        <v>0</v>
      </c>
      <c r="V36" s="1416">
        <v>0</v>
      </c>
    </row>
    <row r="39" spans="1:22" s="1407" customFormat="1">
      <c r="A39" s="1406" t="s">
        <v>777</v>
      </c>
      <c r="B39" s="1407" t="s">
        <v>1585</v>
      </c>
      <c r="C39" s="1407" t="s">
        <v>764</v>
      </c>
      <c r="D39" s="1407" t="s">
        <v>1549</v>
      </c>
    </row>
    <row r="40" spans="1:22">
      <c r="A40" s="1421"/>
      <c r="B40" s="1432" t="s">
        <v>686</v>
      </c>
      <c r="C40" s="1432" t="s">
        <v>1552</v>
      </c>
      <c r="D40" s="1426">
        <f>N11</f>
        <v>240000</v>
      </c>
      <c r="F40" s="1440"/>
      <c r="G40" s="1410"/>
    </row>
    <row r="41" spans="1:22">
      <c r="B41" s="1431" t="s">
        <v>1560</v>
      </c>
      <c r="C41" s="1431" t="s">
        <v>780</v>
      </c>
      <c r="D41" s="1448">
        <f>S9</f>
        <v>0.7</v>
      </c>
      <c r="G41" s="1440"/>
    </row>
    <row r="42" spans="1:22">
      <c r="B42" s="1431" t="s">
        <v>781</v>
      </c>
      <c r="C42" s="1431" t="s">
        <v>1552</v>
      </c>
      <c r="D42" s="1410">
        <f>D40*D41</f>
        <v>168000</v>
      </c>
    </row>
    <row r="43" spans="1:22">
      <c r="B43" s="1431" t="s">
        <v>1787</v>
      </c>
      <c r="C43" s="1431" t="s">
        <v>1555</v>
      </c>
      <c r="D43" s="1654">
        <f>S7</f>
        <v>65</v>
      </c>
    </row>
    <row r="44" spans="1:22">
      <c r="B44" s="1431" t="s">
        <v>1587</v>
      </c>
      <c r="C44" s="1431" t="s">
        <v>1555</v>
      </c>
      <c r="D44" s="1655">
        <f>S10</f>
        <v>14</v>
      </c>
    </row>
    <row r="45" spans="1:22">
      <c r="B45" s="1431" t="s">
        <v>787</v>
      </c>
      <c r="C45" s="1431" t="s">
        <v>780</v>
      </c>
      <c r="D45" s="1411">
        <v>0</v>
      </c>
    </row>
    <row r="46" spans="1:22">
      <c r="B46" s="1431" t="s">
        <v>1562</v>
      </c>
      <c r="C46" s="1431" t="s">
        <v>780</v>
      </c>
      <c r="D46" s="1448">
        <f>S11</f>
        <v>0.14000000000000001</v>
      </c>
    </row>
    <row r="47" spans="1:22">
      <c r="B47" s="1431" t="s">
        <v>1563</v>
      </c>
      <c r="C47" s="1431" t="s">
        <v>780</v>
      </c>
      <c r="D47" s="1411">
        <v>0.03</v>
      </c>
    </row>
    <row r="49" spans="1:22" s="1407" customFormat="1">
      <c r="A49" s="1406">
        <v>1</v>
      </c>
      <c r="B49" s="1407" t="s">
        <v>1564</v>
      </c>
      <c r="C49" s="1431" t="str">
        <f>C34</f>
        <v>Total</v>
      </c>
      <c r="D49" s="1431">
        <f>D34</f>
        <v>2013</v>
      </c>
      <c r="E49" s="1431">
        <f>E34</f>
        <v>2014</v>
      </c>
      <c r="F49" s="1431">
        <f>F34</f>
        <v>2015</v>
      </c>
      <c r="G49" s="1431">
        <f t="shared" ref="G49:V49" si="8">F49+1</f>
        <v>2016</v>
      </c>
      <c r="H49" s="1431">
        <f t="shared" si="8"/>
        <v>2017</v>
      </c>
      <c r="I49" s="1431">
        <f t="shared" si="8"/>
        <v>2018</v>
      </c>
      <c r="J49" s="1431">
        <f t="shared" si="8"/>
        <v>2019</v>
      </c>
      <c r="K49" s="1431">
        <f t="shared" si="8"/>
        <v>2020</v>
      </c>
      <c r="L49" s="1431">
        <f t="shared" si="8"/>
        <v>2021</v>
      </c>
      <c r="M49" s="1431">
        <f t="shared" si="8"/>
        <v>2022</v>
      </c>
      <c r="N49" s="1431">
        <f t="shared" si="8"/>
        <v>2023</v>
      </c>
      <c r="O49" s="1431">
        <f t="shared" si="8"/>
        <v>2024</v>
      </c>
      <c r="P49" s="1431">
        <f t="shared" si="8"/>
        <v>2025</v>
      </c>
      <c r="Q49" s="1431">
        <f t="shared" si="8"/>
        <v>2026</v>
      </c>
      <c r="R49" s="1431">
        <f t="shared" si="8"/>
        <v>2027</v>
      </c>
      <c r="S49" s="1431">
        <f t="shared" si="8"/>
        <v>2028</v>
      </c>
      <c r="T49" s="1431">
        <f t="shared" si="8"/>
        <v>2029</v>
      </c>
      <c r="U49" s="1431">
        <f t="shared" si="8"/>
        <v>2030</v>
      </c>
      <c r="V49" s="1431">
        <f t="shared" si="8"/>
        <v>2031</v>
      </c>
    </row>
    <row r="50" spans="1:22">
      <c r="B50" s="1432" t="s">
        <v>791</v>
      </c>
      <c r="C50" s="1441">
        <f>SUM(D50:V50)</f>
        <v>12291.37778161095</v>
      </c>
      <c r="D50" s="1441">
        <f>$D$42*D52*D51/1000</f>
        <v>0</v>
      </c>
      <c r="E50" s="1441">
        <f t="shared" ref="E50:M50" si="9">$D$42*E52*E51/1000</f>
        <v>0</v>
      </c>
      <c r="F50" s="1441">
        <f t="shared" si="9"/>
        <v>0</v>
      </c>
      <c r="G50" s="1441">
        <f t="shared" si="9"/>
        <v>0</v>
      </c>
      <c r="H50" s="1441">
        <f t="shared" si="9"/>
        <v>0</v>
      </c>
      <c r="I50" s="1441">
        <f t="shared" si="9"/>
        <v>0</v>
      </c>
      <c r="J50" s="1441">
        <f t="shared" si="9"/>
        <v>0</v>
      </c>
      <c r="K50" s="1441">
        <f t="shared" si="9"/>
        <v>0</v>
      </c>
      <c r="L50" s="1441">
        <f t="shared" si="9"/>
        <v>0</v>
      </c>
      <c r="M50" s="1441">
        <f t="shared" si="9"/>
        <v>0</v>
      </c>
      <c r="N50" s="1441">
        <f t="shared" ref="N50:V50" si="10">$D$42*N52*N51/1000</f>
        <v>0</v>
      </c>
      <c r="O50" s="1441">
        <f t="shared" si="10"/>
        <v>0</v>
      </c>
      <c r="P50" s="1441">
        <f t="shared" si="10"/>
        <v>0</v>
      </c>
      <c r="Q50" s="1441">
        <f t="shared" si="10"/>
        <v>0</v>
      </c>
      <c r="R50" s="1441">
        <f t="shared" si="10"/>
        <v>3573.7155735120004</v>
      </c>
      <c r="S50" s="1441">
        <f t="shared" si="10"/>
        <v>4294.4148808369209</v>
      </c>
      <c r="T50" s="1441">
        <f t="shared" si="10"/>
        <v>4423.2473272620282</v>
      </c>
      <c r="U50" s="1441">
        <f t="shared" si="10"/>
        <v>0</v>
      </c>
      <c r="V50" s="1441">
        <f t="shared" si="10"/>
        <v>0</v>
      </c>
    </row>
    <row r="51" spans="1:22">
      <c r="B51" s="1444" t="s">
        <v>792</v>
      </c>
      <c r="C51" s="1436">
        <f>SUM(D51:V51)</f>
        <v>0.99999999999999989</v>
      </c>
      <c r="D51" s="1416">
        <v>0</v>
      </c>
      <c r="E51" s="1416">
        <v>0</v>
      </c>
      <c r="F51" s="1416">
        <v>0</v>
      </c>
      <c r="G51" s="1416">
        <v>0</v>
      </c>
      <c r="H51" s="1416">
        <v>0</v>
      </c>
      <c r="I51" s="1416">
        <v>0</v>
      </c>
      <c r="J51" s="1416">
        <v>0</v>
      </c>
      <c r="K51" s="1416">
        <v>0</v>
      </c>
      <c r="L51" s="1416">
        <v>0</v>
      </c>
      <c r="M51" s="1416">
        <v>0</v>
      </c>
      <c r="N51" s="1416">
        <v>0</v>
      </c>
      <c r="O51" s="1416">
        <v>0</v>
      </c>
      <c r="P51" s="1416">
        <v>0</v>
      </c>
      <c r="Q51" s="1416">
        <v>0</v>
      </c>
      <c r="R51" s="1416">
        <v>0.3</v>
      </c>
      <c r="S51" s="1416">
        <v>0.35</v>
      </c>
      <c r="T51" s="1416">
        <v>0.35</v>
      </c>
      <c r="U51" s="1416">
        <v>0</v>
      </c>
      <c r="V51" s="1416">
        <v>0</v>
      </c>
    </row>
    <row r="52" spans="1:22">
      <c r="B52" s="1444" t="s">
        <v>1565</v>
      </c>
      <c r="D52" s="1439"/>
      <c r="E52" s="1439"/>
      <c r="F52" s="1439"/>
      <c r="G52" s="1439"/>
      <c r="H52" s="1439"/>
      <c r="I52" s="1439"/>
      <c r="J52" s="1439"/>
      <c r="K52" s="1439"/>
      <c r="L52" s="1439"/>
      <c r="M52" s="1439"/>
      <c r="N52" s="1439">
        <v>63</v>
      </c>
      <c r="O52" s="1439">
        <f t="shared" ref="O52:V52" si="11">N52*(1+O53)</f>
        <v>64.89</v>
      </c>
      <c r="P52" s="1439">
        <f t="shared" si="11"/>
        <v>66.836700000000008</v>
      </c>
      <c r="Q52" s="1439">
        <f t="shared" si="11"/>
        <v>68.841801000000004</v>
      </c>
      <c r="R52" s="1439">
        <f t="shared" si="11"/>
        <v>70.907055030000009</v>
      </c>
      <c r="S52" s="1439">
        <f t="shared" si="11"/>
        <v>73.034266680900018</v>
      </c>
      <c r="T52" s="1439">
        <f t="shared" si="11"/>
        <v>75.225294681327014</v>
      </c>
      <c r="U52" s="1439">
        <f t="shared" si="11"/>
        <v>77.482053521766829</v>
      </c>
      <c r="V52" s="1439">
        <f t="shared" si="11"/>
        <v>79.806515127419843</v>
      </c>
    </row>
    <row r="53" spans="1:22">
      <c r="B53" s="1444" t="s">
        <v>1563</v>
      </c>
      <c r="E53" s="1443">
        <f t="shared" ref="E53" si="12">D47</f>
        <v>0.03</v>
      </c>
      <c r="F53" s="1443">
        <f>E53</f>
        <v>0.03</v>
      </c>
      <c r="G53" s="1443">
        <f t="shared" ref="G53:V53" si="13">F53</f>
        <v>0.03</v>
      </c>
      <c r="H53" s="1443">
        <f t="shared" si="13"/>
        <v>0.03</v>
      </c>
      <c r="I53" s="1443">
        <f t="shared" si="13"/>
        <v>0.03</v>
      </c>
      <c r="J53" s="1443">
        <f t="shared" si="13"/>
        <v>0.03</v>
      </c>
      <c r="K53" s="1443">
        <f t="shared" si="13"/>
        <v>0.03</v>
      </c>
      <c r="L53" s="1443">
        <f t="shared" si="13"/>
        <v>0.03</v>
      </c>
      <c r="M53" s="1443">
        <f t="shared" si="13"/>
        <v>0.03</v>
      </c>
      <c r="N53" s="1443">
        <f t="shared" si="13"/>
        <v>0.03</v>
      </c>
      <c r="O53" s="1443">
        <f t="shared" si="13"/>
        <v>0.03</v>
      </c>
      <c r="P53" s="1443">
        <f t="shared" si="13"/>
        <v>0.03</v>
      </c>
      <c r="Q53" s="1443">
        <f t="shared" si="13"/>
        <v>0.03</v>
      </c>
      <c r="R53" s="1443">
        <f t="shared" si="13"/>
        <v>0.03</v>
      </c>
      <c r="S53" s="1443">
        <f t="shared" si="13"/>
        <v>0.03</v>
      </c>
      <c r="T53" s="1443">
        <f t="shared" si="13"/>
        <v>0.03</v>
      </c>
      <c r="U53" s="1443">
        <f t="shared" si="13"/>
        <v>0.03</v>
      </c>
      <c r="V53" s="1443">
        <f t="shared" si="13"/>
        <v>0.03</v>
      </c>
    </row>
    <row r="54" spans="1:22">
      <c r="B54" s="1444" t="s">
        <v>1788</v>
      </c>
      <c r="C54" s="1440">
        <f>S5</f>
        <v>2500</v>
      </c>
      <c r="D54" s="1440">
        <f>D51*$C$54</f>
        <v>0</v>
      </c>
      <c r="E54" s="1440">
        <f t="shared" ref="E54:M54" si="14">E51*$C$54</f>
        <v>0</v>
      </c>
      <c r="F54" s="1440">
        <f t="shared" si="14"/>
        <v>0</v>
      </c>
      <c r="G54" s="1440">
        <f t="shared" si="14"/>
        <v>0</v>
      </c>
      <c r="H54" s="1440">
        <f t="shared" si="14"/>
        <v>0</v>
      </c>
      <c r="I54" s="1440">
        <f t="shared" si="14"/>
        <v>0</v>
      </c>
      <c r="J54" s="1440">
        <f t="shared" si="14"/>
        <v>0</v>
      </c>
      <c r="K54" s="1440">
        <f t="shared" si="14"/>
        <v>0</v>
      </c>
      <c r="L54" s="1440">
        <f t="shared" si="14"/>
        <v>0</v>
      </c>
      <c r="M54" s="1440">
        <f t="shared" si="14"/>
        <v>0</v>
      </c>
      <c r="N54" s="1440">
        <f t="shared" ref="N54:V54" si="15">N51*$C$54</f>
        <v>0</v>
      </c>
      <c r="O54" s="1440">
        <f t="shared" si="15"/>
        <v>0</v>
      </c>
      <c r="P54" s="1440">
        <f t="shared" si="15"/>
        <v>0</v>
      </c>
      <c r="Q54" s="1440">
        <f t="shared" si="15"/>
        <v>0</v>
      </c>
      <c r="R54" s="1440">
        <f t="shared" si="15"/>
        <v>750</v>
      </c>
      <c r="S54" s="1440">
        <f t="shared" si="15"/>
        <v>875</v>
      </c>
      <c r="T54" s="1440">
        <f t="shared" si="15"/>
        <v>875</v>
      </c>
      <c r="U54" s="1440">
        <f t="shared" si="15"/>
        <v>0</v>
      </c>
      <c r="V54" s="1440">
        <f t="shared" si="15"/>
        <v>0</v>
      </c>
    </row>
    <row r="55" spans="1:22">
      <c r="B55" s="1444"/>
      <c r="F55" s="1443"/>
      <c r="G55" s="1443"/>
    </row>
    <row r="56" spans="1:22" s="1407" customFormat="1">
      <c r="A56" s="1406">
        <v>2</v>
      </c>
      <c r="B56" s="1407" t="s">
        <v>794</v>
      </c>
      <c r="C56" s="1431" t="str">
        <f>C49</f>
        <v>Total</v>
      </c>
      <c r="D56" s="1431">
        <f t="shared" ref="D56:J56" si="16">D49</f>
        <v>2013</v>
      </c>
      <c r="E56" s="1431">
        <f t="shared" si="16"/>
        <v>2014</v>
      </c>
      <c r="F56" s="1431">
        <f t="shared" si="16"/>
        <v>2015</v>
      </c>
      <c r="G56" s="1431">
        <f t="shared" si="16"/>
        <v>2016</v>
      </c>
      <c r="H56" s="1431">
        <f t="shared" si="16"/>
        <v>2017</v>
      </c>
      <c r="I56" s="1431">
        <f t="shared" si="16"/>
        <v>2018</v>
      </c>
      <c r="J56" s="1431">
        <f t="shared" si="16"/>
        <v>2019</v>
      </c>
      <c r="K56" s="1431">
        <f t="shared" ref="K56:V56" si="17">K49</f>
        <v>2020</v>
      </c>
      <c r="L56" s="1431">
        <f t="shared" si="17"/>
        <v>2021</v>
      </c>
      <c r="M56" s="1431">
        <f t="shared" si="17"/>
        <v>2022</v>
      </c>
      <c r="N56" s="1431">
        <f t="shared" si="17"/>
        <v>2023</v>
      </c>
      <c r="O56" s="1431">
        <f t="shared" si="17"/>
        <v>2024</v>
      </c>
      <c r="P56" s="1431">
        <f t="shared" si="17"/>
        <v>2025</v>
      </c>
      <c r="Q56" s="1431">
        <f t="shared" si="17"/>
        <v>2026</v>
      </c>
      <c r="R56" s="1431">
        <f t="shared" si="17"/>
        <v>2027</v>
      </c>
      <c r="S56" s="1431">
        <f t="shared" si="17"/>
        <v>2028</v>
      </c>
      <c r="T56" s="1431">
        <f t="shared" si="17"/>
        <v>2029</v>
      </c>
      <c r="U56" s="1431">
        <f t="shared" si="17"/>
        <v>2030</v>
      </c>
      <c r="V56" s="1431">
        <f t="shared" si="17"/>
        <v>2031</v>
      </c>
    </row>
    <row r="57" spans="1:22">
      <c r="B57" s="1432" t="s">
        <v>1586</v>
      </c>
      <c r="C57" s="1408">
        <f>C50</f>
        <v>12291.37778161095</v>
      </c>
      <c r="D57" s="1441">
        <f>$C$57*D58</f>
        <v>0</v>
      </c>
      <c r="E57" s="1441">
        <f t="shared" ref="E57:V57" si="18">$C$57*E58</f>
        <v>0</v>
      </c>
      <c r="F57" s="1441">
        <f t="shared" si="18"/>
        <v>0</v>
      </c>
      <c r="G57" s="1441">
        <f t="shared" si="18"/>
        <v>0</v>
      </c>
      <c r="H57" s="1441">
        <f t="shared" si="18"/>
        <v>0</v>
      </c>
      <c r="I57" s="1441">
        <f t="shared" si="18"/>
        <v>0</v>
      </c>
      <c r="J57" s="1441">
        <f t="shared" si="18"/>
        <v>0</v>
      </c>
      <c r="K57" s="1441">
        <f t="shared" si="18"/>
        <v>0</v>
      </c>
      <c r="L57" s="1441">
        <f t="shared" si="18"/>
        <v>0</v>
      </c>
      <c r="M57" s="1441">
        <f t="shared" si="18"/>
        <v>0</v>
      </c>
      <c r="N57" s="1441">
        <f t="shared" si="18"/>
        <v>0</v>
      </c>
      <c r="O57" s="1441">
        <f t="shared" si="18"/>
        <v>0</v>
      </c>
      <c r="P57" s="1441">
        <f t="shared" si="18"/>
        <v>0</v>
      </c>
      <c r="Q57" s="1441">
        <f t="shared" si="18"/>
        <v>0</v>
      </c>
      <c r="R57" s="1441">
        <f t="shared" si="18"/>
        <v>0</v>
      </c>
      <c r="S57" s="1441">
        <f t="shared" si="18"/>
        <v>0</v>
      </c>
      <c r="T57" s="1441">
        <f t="shared" si="18"/>
        <v>0</v>
      </c>
      <c r="U57" s="1441">
        <f t="shared" si="18"/>
        <v>6145.6888908054752</v>
      </c>
      <c r="V57" s="1441">
        <f t="shared" si="18"/>
        <v>6145.6888908054752</v>
      </c>
    </row>
    <row r="58" spans="1:22">
      <c r="B58" s="1442" t="s">
        <v>794</v>
      </c>
      <c r="C58" s="1436">
        <f>SUM(D58:V58)</f>
        <v>1</v>
      </c>
      <c r="D58" s="1411">
        <v>0</v>
      </c>
      <c r="E58" s="1411">
        <v>0</v>
      </c>
      <c r="F58" s="1411">
        <v>0</v>
      </c>
      <c r="G58" s="1411">
        <v>0</v>
      </c>
      <c r="H58" s="1411">
        <v>0</v>
      </c>
      <c r="I58" s="1411">
        <v>0</v>
      </c>
      <c r="J58" s="1411">
        <v>0</v>
      </c>
      <c r="K58" s="1411">
        <v>0</v>
      </c>
      <c r="L58" s="1411">
        <v>0</v>
      </c>
      <c r="M58" s="1411">
        <v>0</v>
      </c>
      <c r="N58" s="1411">
        <v>0</v>
      </c>
      <c r="O58" s="1411">
        <v>0</v>
      </c>
      <c r="P58" s="1411">
        <v>0</v>
      </c>
      <c r="Q58" s="1411">
        <v>0</v>
      </c>
      <c r="R58" s="1411">
        <v>0</v>
      </c>
      <c r="S58" s="1411">
        <v>0</v>
      </c>
      <c r="T58" s="1411">
        <v>0</v>
      </c>
      <c r="U58" s="1411">
        <v>0.5</v>
      </c>
      <c r="V58" s="1411">
        <v>0.5</v>
      </c>
    </row>
    <row r="59" spans="1:22">
      <c r="B59" s="1442" t="s">
        <v>1777</v>
      </c>
      <c r="C59" s="1410">
        <f>C54</f>
        <v>2500</v>
      </c>
      <c r="D59" s="1410">
        <f>D58*$C$59</f>
        <v>0</v>
      </c>
      <c r="E59" s="1410">
        <f t="shared" ref="E59:M59" si="19">E58*$C$59</f>
        <v>0</v>
      </c>
      <c r="F59" s="1410">
        <f t="shared" si="19"/>
        <v>0</v>
      </c>
      <c r="G59" s="1410">
        <f t="shared" si="19"/>
        <v>0</v>
      </c>
      <c r="H59" s="1410">
        <f t="shared" si="19"/>
        <v>0</v>
      </c>
      <c r="I59" s="1410">
        <f t="shared" si="19"/>
        <v>0</v>
      </c>
      <c r="J59" s="1410">
        <f t="shared" si="19"/>
        <v>0</v>
      </c>
      <c r="K59" s="1410">
        <f t="shared" si="19"/>
        <v>0</v>
      </c>
      <c r="L59" s="1410">
        <f t="shared" si="19"/>
        <v>0</v>
      </c>
      <c r="M59" s="1410">
        <f t="shared" si="19"/>
        <v>0</v>
      </c>
      <c r="N59" s="1410">
        <f t="shared" ref="N59:V59" si="20">N58*$C$59</f>
        <v>0</v>
      </c>
      <c r="O59" s="1410">
        <f t="shared" si="20"/>
        <v>0</v>
      </c>
      <c r="P59" s="1410">
        <f t="shared" si="20"/>
        <v>0</v>
      </c>
      <c r="Q59" s="1410">
        <f t="shared" si="20"/>
        <v>0</v>
      </c>
      <c r="R59" s="1410">
        <f t="shared" si="20"/>
        <v>0</v>
      </c>
      <c r="S59" s="1410">
        <f t="shared" si="20"/>
        <v>0</v>
      </c>
      <c r="T59" s="1410">
        <f t="shared" si="20"/>
        <v>0</v>
      </c>
      <c r="U59" s="1410">
        <f t="shared" si="20"/>
        <v>1250</v>
      </c>
      <c r="V59" s="1410">
        <f t="shared" si="20"/>
        <v>1250</v>
      </c>
    </row>
    <row r="60" spans="1:22">
      <c r="B60" s="1444"/>
      <c r="C60" s="1425"/>
      <c r="D60" s="1433"/>
      <c r="E60" s="1433"/>
      <c r="F60" s="1433"/>
      <c r="G60" s="1433"/>
    </row>
    <row r="61" spans="1:22">
      <c r="C61" s="1440"/>
      <c r="D61" s="1440"/>
      <c r="E61" s="1440"/>
      <c r="F61" s="1440"/>
      <c r="G61" s="1440"/>
    </row>
    <row r="62" spans="1:22" s="1407" customFormat="1">
      <c r="A62" s="1406">
        <v>3</v>
      </c>
      <c r="B62" s="1407" t="s">
        <v>1175</v>
      </c>
      <c r="C62" s="1431" t="str">
        <f>C56</f>
        <v>Total</v>
      </c>
      <c r="D62" s="1431">
        <f t="shared" ref="D62:J62" si="21">D56</f>
        <v>2013</v>
      </c>
      <c r="E62" s="1431">
        <f t="shared" si="21"/>
        <v>2014</v>
      </c>
      <c r="F62" s="1431">
        <f t="shared" si="21"/>
        <v>2015</v>
      </c>
      <c r="G62" s="1431">
        <f t="shared" si="21"/>
        <v>2016</v>
      </c>
      <c r="H62" s="1431">
        <f t="shared" si="21"/>
        <v>2017</v>
      </c>
      <c r="I62" s="1431">
        <f t="shared" si="21"/>
        <v>2018</v>
      </c>
      <c r="J62" s="1431">
        <f t="shared" si="21"/>
        <v>2019</v>
      </c>
      <c r="K62" s="1431">
        <f t="shared" ref="K62:V62" si="22">K56</f>
        <v>2020</v>
      </c>
      <c r="L62" s="1431">
        <f t="shared" si="22"/>
        <v>2021</v>
      </c>
      <c r="M62" s="1431">
        <f t="shared" si="22"/>
        <v>2022</v>
      </c>
      <c r="N62" s="1431">
        <f t="shared" si="22"/>
        <v>2023</v>
      </c>
      <c r="O62" s="1431">
        <f t="shared" si="22"/>
        <v>2024</v>
      </c>
      <c r="P62" s="1431">
        <f t="shared" si="22"/>
        <v>2025</v>
      </c>
      <c r="Q62" s="1431">
        <f t="shared" si="22"/>
        <v>2026</v>
      </c>
      <c r="R62" s="1431">
        <f t="shared" si="22"/>
        <v>2027</v>
      </c>
      <c r="S62" s="1431">
        <f t="shared" si="22"/>
        <v>2028</v>
      </c>
      <c r="T62" s="1431">
        <f t="shared" si="22"/>
        <v>2029</v>
      </c>
      <c r="U62" s="1431">
        <f t="shared" si="22"/>
        <v>2030</v>
      </c>
      <c r="V62" s="1431">
        <f t="shared" si="22"/>
        <v>2031</v>
      </c>
    </row>
    <row r="63" spans="1:22">
      <c r="B63" s="1432"/>
      <c r="C63" s="1441">
        <f>SUM(D63:V63)</f>
        <v>12291.37778161095</v>
      </c>
      <c r="D63" s="1408"/>
      <c r="E63" s="1408"/>
      <c r="F63" s="1408">
        <f t="shared" ref="F63:V63" si="23">D50*$D66+E50*$D65+F50*$D64</f>
        <v>0</v>
      </c>
      <c r="G63" s="1408">
        <f t="shared" si="23"/>
        <v>0</v>
      </c>
      <c r="H63" s="1408">
        <f t="shared" si="23"/>
        <v>0</v>
      </c>
      <c r="I63" s="1408">
        <f t="shared" si="23"/>
        <v>0</v>
      </c>
      <c r="J63" s="1408">
        <f t="shared" si="23"/>
        <v>0</v>
      </c>
      <c r="K63" s="1408">
        <f t="shared" si="23"/>
        <v>0</v>
      </c>
      <c r="L63" s="1408">
        <f t="shared" si="23"/>
        <v>0</v>
      </c>
      <c r="M63" s="1408">
        <f t="shared" si="23"/>
        <v>0</v>
      </c>
      <c r="N63" s="1408">
        <f t="shared" si="23"/>
        <v>0</v>
      </c>
      <c r="O63" s="1408">
        <f t="shared" si="23"/>
        <v>0</v>
      </c>
      <c r="P63" s="1408">
        <f t="shared" si="23"/>
        <v>0</v>
      </c>
      <c r="Q63" s="1408">
        <f t="shared" si="23"/>
        <v>0</v>
      </c>
      <c r="R63" s="1408">
        <f t="shared" si="23"/>
        <v>1786.8577867560002</v>
      </c>
      <c r="S63" s="1408">
        <f t="shared" si="23"/>
        <v>3934.0652271744607</v>
      </c>
      <c r="T63" s="1408">
        <f t="shared" si="23"/>
        <v>4358.8311040494746</v>
      </c>
      <c r="U63" s="1408">
        <f t="shared" si="23"/>
        <v>2211.6236636310141</v>
      </c>
      <c r="V63" s="1408">
        <f t="shared" si="23"/>
        <v>0</v>
      </c>
    </row>
    <row r="64" spans="1:22">
      <c r="B64" s="1431" t="s">
        <v>797</v>
      </c>
      <c r="C64" s="1440" t="s">
        <v>798</v>
      </c>
      <c r="D64" s="1416">
        <v>0.5</v>
      </c>
      <c r="E64" s="1440"/>
      <c r="F64" s="1440"/>
      <c r="G64" s="1440"/>
    </row>
    <row r="65" spans="1:22">
      <c r="C65" s="1440" t="s">
        <v>799</v>
      </c>
      <c r="D65" s="1416">
        <v>0.5</v>
      </c>
      <c r="E65" s="1440"/>
      <c r="F65" s="1440"/>
      <c r="G65" s="1440"/>
    </row>
    <row r="66" spans="1:22">
      <c r="C66" s="1440" t="s">
        <v>800</v>
      </c>
      <c r="D66" s="1417">
        <f>1-SUM(D64:D65)</f>
        <v>0</v>
      </c>
      <c r="E66" s="1440"/>
      <c r="F66" s="1440"/>
      <c r="G66" s="1440"/>
    </row>
    <row r="67" spans="1:22">
      <c r="C67" s="1440"/>
      <c r="D67" s="1416"/>
      <c r="E67" s="1440"/>
      <c r="F67" s="1440"/>
      <c r="G67" s="1440"/>
    </row>
    <row r="68" spans="1:22">
      <c r="C68" s="1440"/>
      <c r="D68" s="1416"/>
      <c r="E68" s="1440"/>
      <c r="F68" s="1440"/>
      <c r="G68" s="1440"/>
    </row>
    <row r="69" spans="1:22" s="1407" customFormat="1">
      <c r="A69" s="1406">
        <v>4</v>
      </c>
      <c r="B69" s="1407" t="s">
        <v>1462</v>
      </c>
      <c r="C69" s="1440" t="str">
        <f>C62</f>
        <v>Total</v>
      </c>
      <c r="D69" s="1431">
        <f t="shared" ref="D69:J69" si="24">D62</f>
        <v>2013</v>
      </c>
      <c r="E69" s="1431">
        <f t="shared" si="24"/>
        <v>2014</v>
      </c>
      <c r="F69" s="1431">
        <f t="shared" si="24"/>
        <v>2015</v>
      </c>
      <c r="G69" s="1431">
        <f t="shared" si="24"/>
        <v>2016</v>
      </c>
      <c r="H69" s="1431">
        <f t="shared" si="24"/>
        <v>2017</v>
      </c>
      <c r="I69" s="1431">
        <f t="shared" si="24"/>
        <v>2018</v>
      </c>
      <c r="J69" s="1431">
        <f t="shared" si="24"/>
        <v>2019</v>
      </c>
      <c r="K69" s="1431">
        <f t="shared" ref="K69:V69" si="25">K62</f>
        <v>2020</v>
      </c>
      <c r="L69" s="1431">
        <f t="shared" si="25"/>
        <v>2021</v>
      </c>
      <c r="M69" s="1431">
        <f t="shared" si="25"/>
        <v>2022</v>
      </c>
      <c r="N69" s="1431">
        <f t="shared" si="25"/>
        <v>2023</v>
      </c>
      <c r="O69" s="1431">
        <f t="shared" si="25"/>
        <v>2024</v>
      </c>
      <c r="P69" s="1431">
        <f t="shared" si="25"/>
        <v>2025</v>
      </c>
      <c r="Q69" s="1431">
        <f t="shared" si="25"/>
        <v>2026</v>
      </c>
      <c r="R69" s="1431">
        <f t="shared" si="25"/>
        <v>2027</v>
      </c>
      <c r="S69" s="1431">
        <f t="shared" si="25"/>
        <v>2028</v>
      </c>
      <c r="T69" s="1431">
        <f t="shared" si="25"/>
        <v>2029</v>
      </c>
      <c r="U69" s="1431">
        <f t="shared" si="25"/>
        <v>2030</v>
      </c>
      <c r="V69" s="1431">
        <f t="shared" si="25"/>
        <v>2031</v>
      </c>
    </row>
    <row r="70" spans="1:22">
      <c r="B70" s="1432" t="s">
        <v>1566</v>
      </c>
      <c r="C70" s="1441">
        <f>D40*D44/1000</f>
        <v>3360</v>
      </c>
      <c r="D70" s="1408">
        <f>$C$70*D71</f>
        <v>0</v>
      </c>
      <c r="E70" s="1408">
        <f t="shared" ref="E70:V70" si="26">$C$70*E71</f>
        <v>0</v>
      </c>
      <c r="F70" s="1408">
        <f t="shared" si="26"/>
        <v>0</v>
      </c>
      <c r="G70" s="1408">
        <f t="shared" si="26"/>
        <v>0</v>
      </c>
      <c r="H70" s="1408">
        <f t="shared" si="26"/>
        <v>0</v>
      </c>
      <c r="I70" s="1408">
        <f t="shared" si="26"/>
        <v>0</v>
      </c>
      <c r="J70" s="1408">
        <f t="shared" si="26"/>
        <v>0</v>
      </c>
      <c r="K70" s="1408">
        <f t="shared" si="26"/>
        <v>0</v>
      </c>
      <c r="L70" s="1408">
        <f t="shared" si="26"/>
        <v>0</v>
      </c>
      <c r="M70" s="1408">
        <f t="shared" si="26"/>
        <v>0</v>
      </c>
      <c r="N70" s="1408">
        <f t="shared" si="26"/>
        <v>0</v>
      </c>
      <c r="O70" s="1408">
        <f t="shared" si="26"/>
        <v>0</v>
      </c>
      <c r="P70" s="1408">
        <f t="shared" si="26"/>
        <v>0</v>
      </c>
      <c r="Q70" s="1408">
        <f t="shared" si="26"/>
        <v>0</v>
      </c>
      <c r="R70" s="1408">
        <f t="shared" si="26"/>
        <v>0</v>
      </c>
      <c r="S70" s="1408">
        <f t="shared" si="26"/>
        <v>1008</v>
      </c>
      <c r="T70" s="1408">
        <f t="shared" si="26"/>
        <v>1344</v>
      </c>
      <c r="U70" s="1408">
        <f t="shared" si="26"/>
        <v>1008</v>
      </c>
      <c r="V70" s="1408">
        <f t="shared" si="26"/>
        <v>0</v>
      </c>
    </row>
    <row r="71" spans="1:22">
      <c r="B71" s="1431" t="s">
        <v>1559</v>
      </c>
      <c r="C71" s="1436">
        <f>SUM(D71:V71)</f>
        <v>1</v>
      </c>
      <c r="D71" s="1416">
        <v>0</v>
      </c>
      <c r="E71" s="1416">
        <v>0</v>
      </c>
      <c r="F71" s="1416">
        <v>0</v>
      </c>
      <c r="G71" s="1416">
        <v>0</v>
      </c>
      <c r="H71" s="1416">
        <v>0</v>
      </c>
      <c r="I71" s="1416">
        <v>0</v>
      </c>
      <c r="J71" s="1416">
        <v>0</v>
      </c>
      <c r="K71" s="1416">
        <v>0</v>
      </c>
      <c r="L71" s="1416">
        <v>0</v>
      </c>
      <c r="M71" s="1416">
        <v>0</v>
      </c>
      <c r="N71" s="1416">
        <v>0</v>
      </c>
      <c r="O71" s="1416">
        <v>0</v>
      </c>
      <c r="P71" s="1416">
        <v>0</v>
      </c>
      <c r="Q71" s="1416">
        <v>0</v>
      </c>
      <c r="R71" s="1416">
        <v>0</v>
      </c>
      <c r="S71" s="1416">
        <v>0.3</v>
      </c>
      <c r="T71" s="1416">
        <v>0.4</v>
      </c>
      <c r="U71" s="1416">
        <v>0.3</v>
      </c>
      <c r="V71" s="1416">
        <v>0</v>
      </c>
    </row>
    <row r="72" spans="1:22">
      <c r="C72" s="1433"/>
      <c r="D72" s="1425"/>
      <c r="E72" s="1425"/>
      <c r="F72" s="1424"/>
      <c r="G72" s="1424"/>
      <c r="H72" s="1435"/>
    </row>
    <row r="73" spans="1:22">
      <c r="C73" s="1433"/>
      <c r="D73" s="1424"/>
      <c r="E73" s="1424"/>
      <c r="F73" s="1424"/>
      <c r="G73" s="1424"/>
    </row>
    <row r="74" spans="1:22">
      <c r="A74" s="1406">
        <v>5</v>
      </c>
      <c r="B74" s="1407" t="s">
        <v>1466</v>
      </c>
      <c r="C74" s="1431" t="str">
        <f>C69</f>
        <v>Total</v>
      </c>
      <c r="D74" s="1431">
        <f t="shared" ref="D74:I74" si="27">D69</f>
        <v>2013</v>
      </c>
      <c r="E74" s="1431">
        <f t="shared" si="27"/>
        <v>2014</v>
      </c>
      <c r="F74" s="1431">
        <f t="shared" si="27"/>
        <v>2015</v>
      </c>
      <c r="G74" s="1431">
        <f t="shared" si="27"/>
        <v>2016</v>
      </c>
      <c r="H74" s="1431">
        <f t="shared" si="27"/>
        <v>2017</v>
      </c>
      <c r="I74" s="1431">
        <f t="shared" si="27"/>
        <v>2018</v>
      </c>
      <c r="J74" s="1431">
        <f t="shared" ref="J74:V74" si="28">I74+1</f>
        <v>2019</v>
      </c>
      <c r="K74" s="1431">
        <f t="shared" si="28"/>
        <v>2020</v>
      </c>
      <c r="L74" s="1431">
        <f t="shared" si="28"/>
        <v>2021</v>
      </c>
      <c r="M74" s="1431">
        <f t="shared" si="28"/>
        <v>2022</v>
      </c>
      <c r="N74" s="1431">
        <f t="shared" si="28"/>
        <v>2023</v>
      </c>
      <c r="O74" s="1431">
        <f t="shared" si="28"/>
        <v>2024</v>
      </c>
      <c r="P74" s="1431">
        <f t="shared" si="28"/>
        <v>2025</v>
      </c>
      <c r="Q74" s="1431">
        <f t="shared" si="28"/>
        <v>2026</v>
      </c>
      <c r="R74" s="1431">
        <f t="shared" si="28"/>
        <v>2027</v>
      </c>
      <c r="S74" s="1431">
        <f t="shared" si="28"/>
        <v>2028</v>
      </c>
      <c r="T74" s="1431">
        <f t="shared" si="28"/>
        <v>2029</v>
      </c>
      <c r="U74" s="1431">
        <f t="shared" si="28"/>
        <v>2030</v>
      </c>
      <c r="V74" s="1431">
        <f t="shared" si="28"/>
        <v>2031</v>
      </c>
    </row>
    <row r="75" spans="1:22">
      <c r="B75" s="1432" t="s">
        <v>1567</v>
      </c>
      <c r="C75" s="1441">
        <f>$C$70*C58</f>
        <v>3360</v>
      </c>
      <c r="D75" s="1441">
        <f t="shared" ref="D75:M75" si="29">$C$70*D58</f>
        <v>0</v>
      </c>
      <c r="E75" s="1441">
        <f t="shared" si="29"/>
        <v>0</v>
      </c>
      <c r="F75" s="1441">
        <f t="shared" si="29"/>
        <v>0</v>
      </c>
      <c r="G75" s="1441">
        <f t="shared" si="29"/>
        <v>0</v>
      </c>
      <c r="H75" s="1441">
        <f t="shared" si="29"/>
        <v>0</v>
      </c>
      <c r="I75" s="1441">
        <f t="shared" si="29"/>
        <v>0</v>
      </c>
      <c r="J75" s="1441">
        <f t="shared" si="29"/>
        <v>0</v>
      </c>
      <c r="K75" s="1441">
        <f t="shared" si="29"/>
        <v>0</v>
      </c>
      <c r="L75" s="1441">
        <f t="shared" si="29"/>
        <v>0</v>
      </c>
      <c r="M75" s="1441">
        <f t="shared" si="29"/>
        <v>0</v>
      </c>
      <c r="N75" s="1441">
        <f t="shared" ref="N75:V75" si="30">$C$70*N58</f>
        <v>0</v>
      </c>
      <c r="O75" s="1441">
        <f t="shared" si="30"/>
        <v>0</v>
      </c>
      <c r="P75" s="1441">
        <f t="shared" si="30"/>
        <v>0</v>
      </c>
      <c r="Q75" s="1441">
        <f t="shared" si="30"/>
        <v>0</v>
      </c>
      <c r="R75" s="1441">
        <f t="shared" si="30"/>
        <v>0</v>
      </c>
      <c r="S75" s="1441">
        <f t="shared" si="30"/>
        <v>0</v>
      </c>
      <c r="T75" s="1441">
        <f t="shared" si="30"/>
        <v>0</v>
      </c>
      <c r="U75" s="1441">
        <f t="shared" si="30"/>
        <v>1680</v>
      </c>
      <c r="V75" s="1441">
        <f t="shared" si="30"/>
        <v>1680</v>
      </c>
    </row>
    <row r="76" spans="1:22">
      <c r="B76" s="1431" t="s">
        <v>803</v>
      </c>
      <c r="C76" s="1440">
        <f>$E$32*C58</f>
        <v>1230.42</v>
      </c>
      <c r="D76" s="1440">
        <f t="shared" ref="D76:M76" si="31">$E$32*D58</f>
        <v>0</v>
      </c>
      <c r="E76" s="1440">
        <f t="shared" si="31"/>
        <v>0</v>
      </c>
      <c r="F76" s="1440">
        <f t="shared" si="31"/>
        <v>0</v>
      </c>
      <c r="G76" s="1440">
        <f t="shared" si="31"/>
        <v>0</v>
      </c>
      <c r="H76" s="1440">
        <f t="shared" si="31"/>
        <v>0</v>
      </c>
      <c r="I76" s="1440">
        <f t="shared" si="31"/>
        <v>0</v>
      </c>
      <c r="J76" s="1440">
        <f t="shared" si="31"/>
        <v>0</v>
      </c>
      <c r="K76" s="1440">
        <f t="shared" si="31"/>
        <v>0</v>
      </c>
      <c r="L76" s="1440">
        <f t="shared" si="31"/>
        <v>0</v>
      </c>
      <c r="M76" s="1440">
        <f t="shared" si="31"/>
        <v>0</v>
      </c>
      <c r="N76" s="1440">
        <f t="shared" ref="N76:V76" si="32">$E$32*N58</f>
        <v>0</v>
      </c>
      <c r="O76" s="1440">
        <f t="shared" si="32"/>
        <v>0</v>
      </c>
      <c r="P76" s="1440">
        <f t="shared" si="32"/>
        <v>0</v>
      </c>
      <c r="Q76" s="1440">
        <f t="shared" si="32"/>
        <v>0</v>
      </c>
      <c r="R76" s="1440">
        <f t="shared" si="32"/>
        <v>0</v>
      </c>
      <c r="S76" s="1440">
        <f t="shared" si="32"/>
        <v>0</v>
      </c>
      <c r="T76" s="1440">
        <f t="shared" si="32"/>
        <v>0</v>
      </c>
      <c r="U76" s="1440">
        <f t="shared" si="32"/>
        <v>615.21</v>
      </c>
      <c r="V76" s="1440">
        <f t="shared" si="32"/>
        <v>615.21</v>
      </c>
    </row>
    <row r="77" spans="1:22" s="1447" customFormat="1">
      <c r="A77" s="1459"/>
      <c r="B77" s="1447" t="s">
        <v>804</v>
      </c>
      <c r="C77" s="1458">
        <f>SUMIF(D113:V113,"&lt;="&amp;D11,D119:V119)</f>
        <v>1230.6865134379791</v>
      </c>
      <c r="D77" s="1410">
        <f t="shared" ref="D77:J77" si="33">$C$77*D58</f>
        <v>0</v>
      </c>
      <c r="E77" s="1410">
        <f t="shared" si="33"/>
        <v>0</v>
      </c>
      <c r="F77" s="1410">
        <f t="shared" si="33"/>
        <v>0</v>
      </c>
      <c r="G77" s="1410">
        <f t="shared" si="33"/>
        <v>0</v>
      </c>
      <c r="H77" s="1410">
        <f t="shared" si="33"/>
        <v>0</v>
      </c>
      <c r="I77" s="1410">
        <f t="shared" si="33"/>
        <v>0</v>
      </c>
      <c r="J77" s="1410">
        <f t="shared" si="33"/>
        <v>0</v>
      </c>
      <c r="K77" s="1410">
        <f t="shared" ref="K77:V77" si="34">$C$77*K58</f>
        <v>0</v>
      </c>
      <c r="L77" s="1410">
        <f t="shared" si="34"/>
        <v>0</v>
      </c>
      <c r="M77" s="1410">
        <f t="shared" si="34"/>
        <v>0</v>
      </c>
      <c r="N77" s="1410">
        <f t="shared" si="34"/>
        <v>0</v>
      </c>
      <c r="O77" s="1410">
        <f t="shared" si="34"/>
        <v>0</v>
      </c>
      <c r="P77" s="1410">
        <f t="shared" si="34"/>
        <v>0</v>
      </c>
      <c r="Q77" s="1410">
        <f t="shared" si="34"/>
        <v>0</v>
      </c>
      <c r="R77" s="1410">
        <f t="shared" si="34"/>
        <v>0</v>
      </c>
      <c r="S77" s="1410">
        <f t="shared" si="34"/>
        <v>0</v>
      </c>
      <c r="T77" s="1410">
        <f t="shared" si="34"/>
        <v>0</v>
      </c>
      <c r="U77" s="1410">
        <f t="shared" si="34"/>
        <v>615.34325671898955</v>
      </c>
      <c r="V77" s="1410">
        <f t="shared" si="34"/>
        <v>615.34325671898955</v>
      </c>
    </row>
    <row r="78" spans="1:22" s="1447" customFormat="1">
      <c r="A78" s="1459"/>
      <c r="B78" s="1447" t="s">
        <v>805</v>
      </c>
      <c r="C78" s="1410">
        <f>SUM(D78:V78)</f>
        <v>0</v>
      </c>
      <c r="D78" s="1410">
        <f t="shared" ref="D78:M78" si="35">IF(D74&gt;$D$11,D119,0)</f>
        <v>0</v>
      </c>
      <c r="E78" s="1410">
        <f t="shared" si="35"/>
        <v>0</v>
      </c>
      <c r="F78" s="1410">
        <f t="shared" si="35"/>
        <v>0</v>
      </c>
      <c r="G78" s="1410">
        <f t="shared" si="35"/>
        <v>0</v>
      </c>
      <c r="H78" s="1410">
        <f t="shared" si="35"/>
        <v>0</v>
      </c>
      <c r="I78" s="1410">
        <f t="shared" si="35"/>
        <v>0</v>
      </c>
      <c r="J78" s="1410">
        <f t="shared" si="35"/>
        <v>0</v>
      </c>
      <c r="K78" s="1410">
        <f t="shared" si="35"/>
        <v>0</v>
      </c>
      <c r="L78" s="1410">
        <f t="shared" si="35"/>
        <v>0</v>
      </c>
      <c r="M78" s="1410">
        <f t="shared" si="35"/>
        <v>0</v>
      </c>
      <c r="N78" s="1410">
        <f t="shared" ref="N78:V78" si="36">IF(N74&gt;$D$11,N119,0)</f>
        <v>0</v>
      </c>
      <c r="O78" s="1410">
        <f t="shared" si="36"/>
        <v>0</v>
      </c>
      <c r="P78" s="1410">
        <f t="shared" si="36"/>
        <v>0</v>
      </c>
      <c r="Q78" s="1410">
        <f t="shared" si="36"/>
        <v>0</v>
      </c>
      <c r="R78" s="1410">
        <f t="shared" si="36"/>
        <v>0</v>
      </c>
      <c r="S78" s="1410">
        <f t="shared" si="36"/>
        <v>0</v>
      </c>
      <c r="T78" s="1410">
        <f t="shared" si="36"/>
        <v>0</v>
      </c>
      <c r="U78" s="1410">
        <f t="shared" si="36"/>
        <v>0</v>
      </c>
      <c r="V78" s="1410">
        <f t="shared" si="36"/>
        <v>0</v>
      </c>
    </row>
    <row r="79" spans="1:22">
      <c r="B79" s="1431" t="s">
        <v>656</v>
      </c>
      <c r="C79" s="1440">
        <f>$D$46*C57</f>
        <v>1720.7928894255333</v>
      </c>
      <c r="D79" s="1440">
        <f t="shared" ref="D79:J79" si="37">$D$46*D57</f>
        <v>0</v>
      </c>
      <c r="E79" s="1440">
        <f t="shared" si="37"/>
        <v>0</v>
      </c>
      <c r="F79" s="1440">
        <f t="shared" si="37"/>
        <v>0</v>
      </c>
      <c r="G79" s="1440">
        <f t="shared" si="37"/>
        <v>0</v>
      </c>
      <c r="H79" s="1440">
        <f t="shared" si="37"/>
        <v>0</v>
      </c>
      <c r="I79" s="1440">
        <f t="shared" si="37"/>
        <v>0</v>
      </c>
      <c r="J79" s="1440">
        <f t="shared" si="37"/>
        <v>0</v>
      </c>
      <c r="K79" s="1440">
        <f t="shared" ref="K79:V79" si="38">$D$46*K57</f>
        <v>0</v>
      </c>
      <c r="L79" s="1440">
        <f t="shared" si="38"/>
        <v>0</v>
      </c>
      <c r="M79" s="1440">
        <f t="shared" si="38"/>
        <v>0</v>
      </c>
      <c r="N79" s="1440">
        <f t="shared" si="38"/>
        <v>0</v>
      </c>
      <c r="O79" s="1440">
        <f t="shared" si="38"/>
        <v>0</v>
      </c>
      <c r="P79" s="1440">
        <f t="shared" si="38"/>
        <v>0</v>
      </c>
      <c r="Q79" s="1440">
        <f t="shared" si="38"/>
        <v>0</v>
      </c>
      <c r="R79" s="1440">
        <f t="shared" si="38"/>
        <v>0</v>
      </c>
      <c r="S79" s="1440">
        <f t="shared" si="38"/>
        <v>0</v>
      </c>
      <c r="T79" s="1440">
        <f t="shared" si="38"/>
        <v>0</v>
      </c>
      <c r="U79" s="1440">
        <f t="shared" si="38"/>
        <v>860.39644471276665</v>
      </c>
      <c r="V79" s="1440">
        <f t="shared" si="38"/>
        <v>860.39644471276665</v>
      </c>
    </row>
    <row r="80" spans="1:22">
      <c r="C80" s="1440"/>
      <c r="D80" s="1440"/>
      <c r="E80" s="1440"/>
      <c r="F80" s="1440"/>
      <c r="G80" s="1440"/>
    </row>
    <row r="82" spans="1:22" s="1407" customFormat="1">
      <c r="A82" s="1406">
        <v>6</v>
      </c>
      <c r="B82" s="1407" t="s">
        <v>878</v>
      </c>
      <c r="C82" s="1431" t="str">
        <f>C74</f>
        <v>Total</v>
      </c>
      <c r="D82" s="1431">
        <f t="shared" ref="D82:J82" si="39">D74</f>
        <v>2013</v>
      </c>
      <c r="E82" s="1431">
        <f t="shared" si="39"/>
        <v>2014</v>
      </c>
      <c r="F82" s="1431">
        <f t="shared" si="39"/>
        <v>2015</v>
      </c>
      <c r="G82" s="1431">
        <f t="shared" si="39"/>
        <v>2016</v>
      </c>
      <c r="H82" s="1431">
        <f t="shared" si="39"/>
        <v>2017</v>
      </c>
      <c r="I82" s="1431">
        <f t="shared" si="39"/>
        <v>2018</v>
      </c>
      <c r="J82" s="1431">
        <f t="shared" si="39"/>
        <v>2019</v>
      </c>
      <c r="K82" s="1431">
        <f t="shared" ref="K82:V82" si="40">K74</f>
        <v>2020</v>
      </c>
      <c r="L82" s="1431">
        <f t="shared" si="40"/>
        <v>2021</v>
      </c>
      <c r="M82" s="1431">
        <f t="shared" si="40"/>
        <v>2022</v>
      </c>
      <c r="N82" s="1431">
        <f t="shared" si="40"/>
        <v>2023</v>
      </c>
      <c r="O82" s="1431">
        <f t="shared" si="40"/>
        <v>2024</v>
      </c>
      <c r="P82" s="1431">
        <f t="shared" si="40"/>
        <v>2025</v>
      </c>
      <c r="Q82" s="1431">
        <f t="shared" si="40"/>
        <v>2026</v>
      </c>
      <c r="R82" s="1431">
        <f t="shared" si="40"/>
        <v>2027</v>
      </c>
      <c r="S82" s="1431">
        <f t="shared" si="40"/>
        <v>2028</v>
      </c>
      <c r="T82" s="1431">
        <f t="shared" si="40"/>
        <v>2029</v>
      </c>
      <c r="U82" s="1431">
        <f t="shared" si="40"/>
        <v>2030</v>
      </c>
      <c r="V82" s="1431">
        <f t="shared" si="40"/>
        <v>2031</v>
      </c>
    </row>
    <row r="83" spans="1:22">
      <c r="B83" s="1432" t="s">
        <v>26</v>
      </c>
      <c r="C83" s="1441">
        <f t="shared" ref="C83:J83" si="41">C57</f>
        <v>12291.37778161095</v>
      </c>
      <c r="D83" s="1441">
        <f t="shared" si="41"/>
        <v>0</v>
      </c>
      <c r="E83" s="1441">
        <f t="shared" si="41"/>
        <v>0</v>
      </c>
      <c r="F83" s="1441">
        <f t="shared" si="41"/>
        <v>0</v>
      </c>
      <c r="G83" s="1441">
        <f t="shared" si="41"/>
        <v>0</v>
      </c>
      <c r="H83" s="1441">
        <f t="shared" si="41"/>
        <v>0</v>
      </c>
      <c r="I83" s="1441">
        <f t="shared" si="41"/>
        <v>0</v>
      </c>
      <c r="J83" s="1441">
        <f t="shared" si="41"/>
        <v>0</v>
      </c>
      <c r="K83" s="1441">
        <f t="shared" ref="K83:V83" si="42">K57</f>
        <v>0</v>
      </c>
      <c r="L83" s="1441">
        <f t="shared" si="42"/>
        <v>0</v>
      </c>
      <c r="M83" s="1441">
        <f t="shared" si="42"/>
        <v>0</v>
      </c>
      <c r="N83" s="1441">
        <f t="shared" si="42"/>
        <v>0</v>
      </c>
      <c r="O83" s="1441">
        <f t="shared" si="42"/>
        <v>0</v>
      </c>
      <c r="P83" s="1441">
        <f t="shared" si="42"/>
        <v>0</v>
      </c>
      <c r="Q83" s="1441">
        <f t="shared" si="42"/>
        <v>0</v>
      </c>
      <c r="R83" s="1441">
        <f t="shared" si="42"/>
        <v>0</v>
      </c>
      <c r="S83" s="1441">
        <f t="shared" si="42"/>
        <v>0</v>
      </c>
      <c r="T83" s="1441">
        <f t="shared" si="42"/>
        <v>0</v>
      </c>
      <c r="U83" s="1441">
        <f t="shared" si="42"/>
        <v>6145.6888908054752</v>
      </c>
      <c r="V83" s="1441">
        <f t="shared" si="42"/>
        <v>6145.6888908054752</v>
      </c>
    </row>
    <row r="84" spans="1:22">
      <c r="B84" s="1431" t="s">
        <v>432</v>
      </c>
      <c r="C84" s="1440">
        <f>SUM(C75:C77)</f>
        <v>5821.1065134379787</v>
      </c>
      <c r="D84" s="1440">
        <f>SUM(D75:D77)</f>
        <v>0</v>
      </c>
      <c r="E84" s="1440">
        <f t="shared" ref="E84:J84" si="43">SUM(E75:E77)</f>
        <v>0</v>
      </c>
      <c r="F84" s="1440">
        <f t="shared" si="43"/>
        <v>0</v>
      </c>
      <c r="G84" s="1440">
        <f t="shared" si="43"/>
        <v>0</v>
      </c>
      <c r="H84" s="1440">
        <f t="shared" si="43"/>
        <v>0</v>
      </c>
      <c r="I84" s="1440">
        <f t="shared" si="43"/>
        <v>0</v>
      </c>
      <c r="J84" s="1440">
        <f t="shared" si="43"/>
        <v>0</v>
      </c>
      <c r="K84" s="1440">
        <f t="shared" ref="K84:V84" si="44">SUM(K75:K77)</f>
        <v>0</v>
      </c>
      <c r="L84" s="1440">
        <f t="shared" si="44"/>
        <v>0</v>
      </c>
      <c r="M84" s="1440">
        <f t="shared" si="44"/>
        <v>0</v>
      </c>
      <c r="N84" s="1440">
        <f t="shared" si="44"/>
        <v>0</v>
      </c>
      <c r="O84" s="1440">
        <f t="shared" si="44"/>
        <v>0</v>
      </c>
      <c r="P84" s="1440">
        <f t="shared" si="44"/>
        <v>0</v>
      </c>
      <c r="Q84" s="1440">
        <f t="shared" si="44"/>
        <v>0</v>
      </c>
      <c r="R84" s="1440">
        <f t="shared" si="44"/>
        <v>0</v>
      </c>
      <c r="S84" s="1440">
        <f t="shared" si="44"/>
        <v>0</v>
      </c>
      <c r="T84" s="1440">
        <f t="shared" si="44"/>
        <v>0</v>
      </c>
      <c r="U84" s="1440">
        <f t="shared" si="44"/>
        <v>2910.5532567189894</v>
      </c>
      <c r="V84" s="1440">
        <f t="shared" si="44"/>
        <v>2910.5532567189894</v>
      </c>
    </row>
    <row r="85" spans="1:22">
      <c r="B85" s="1431" t="s">
        <v>28</v>
      </c>
      <c r="C85" s="1440">
        <f>C83-C84</f>
        <v>6470.2712681729718</v>
      </c>
      <c r="D85" s="1440">
        <f t="shared" ref="D85:M85" si="45">D83-D84</f>
        <v>0</v>
      </c>
      <c r="E85" s="1440">
        <f t="shared" si="45"/>
        <v>0</v>
      </c>
      <c r="F85" s="1440">
        <f t="shared" si="45"/>
        <v>0</v>
      </c>
      <c r="G85" s="1440">
        <f t="shared" si="45"/>
        <v>0</v>
      </c>
      <c r="H85" s="1440">
        <f t="shared" si="45"/>
        <v>0</v>
      </c>
      <c r="I85" s="1440">
        <f t="shared" si="45"/>
        <v>0</v>
      </c>
      <c r="J85" s="1440">
        <f t="shared" si="45"/>
        <v>0</v>
      </c>
      <c r="K85" s="1440">
        <f t="shared" si="45"/>
        <v>0</v>
      </c>
      <c r="L85" s="1440">
        <f t="shared" si="45"/>
        <v>0</v>
      </c>
      <c r="M85" s="1440">
        <f t="shared" si="45"/>
        <v>0</v>
      </c>
      <c r="N85" s="1440">
        <f t="shared" ref="N85:V85" si="46">N83-N84</f>
        <v>0</v>
      </c>
      <c r="O85" s="1440">
        <f t="shared" si="46"/>
        <v>0</v>
      </c>
      <c r="P85" s="1440">
        <f t="shared" si="46"/>
        <v>0</v>
      </c>
      <c r="Q85" s="1440">
        <f t="shared" si="46"/>
        <v>0</v>
      </c>
      <c r="R85" s="1440">
        <f t="shared" si="46"/>
        <v>0</v>
      </c>
      <c r="S85" s="1440">
        <f t="shared" si="46"/>
        <v>0</v>
      </c>
      <c r="T85" s="1440">
        <f t="shared" si="46"/>
        <v>0</v>
      </c>
      <c r="U85" s="1440">
        <f t="shared" si="46"/>
        <v>3235.1356340864859</v>
      </c>
      <c r="V85" s="1440">
        <f t="shared" si="46"/>
        <v>3235.1356340864859</v>
      </c>
    </row>
    <row r="86" spans="1:22">
      <c r="B86" s="1431" t="s">
        <v>656</v>
      </c>
      <c r="C86" s="1440">
        <f>C79</f>
        <v>1720.7928894255333</v>
      </c>
      <c r="D86" s="1440">
        <f>D79</f>
        <v>0</v>
      </c>
      <c r="E86" s="1440">
        <f t="shared" ref="E86:J86" si="47">E79</f>
        <v>0</v>
      </c>
      <c r="F86" s="1440">
        <f t="shared" si="47"/>
        <v>0</v>
      </c>
      <c r="G86" s="1440">
        <f t="shared" si="47"/>
        <v>0</v>
      </c>
      <c r="H86" s="1440">
        <f t="shared" si="47"/>
        <v>0</v>
      </c>
      <c r="I86" s="1440">
        <f t="shared" si="47"/>
        <v>0</v>
      </c>
      <c r="J86" s="1440">
        <f t="shared" si="47"/>
        <v>0</v>
      </c>
      <c r="K86" s="1440">
        <f t="shared" ref="K86:V86" si="48">K79</f>
        <v>0</v>
      </c>
      <c r="L86" s="1440">
        <f t="shared" si="48"/>
        <v>0</v>
      </c>
      <c r="M86" s="1440">
        <f t="shared" si="48"/>
        <v>0</v>
      </c>
      <c r="N86" s="1440">
        <f t="shared" si="48"/>
        <v>0</v>
      </c>
      <c r="O86" s="1440">
        <f t="shared" si="48"/>
        <v>0</v>
      </c>
      <c r="P86" s="1440">
        <f t="shared" si="48"/>
        <v>0</v>
      </c>
      <c r="Q86" s="1440">
        <f t="shared" si="48"/>
        <v>0</v>
      </c>
      <c r="R86" s="1440">
        <f t="shared" si="48"/>
        <v>0</v>
      </c>
      <c r="S86" s="1440">
        <f t="shared" si="48"/>
        <v>0</v>
      </c>
      <c r="T86" s="1440">
        <f t="shared" si="48"/>
        <v>0</v>
      </c>
      <c r="U86" s="1440">
        <f t="shared" si="48"/>
        <v>860.39644471276665</v>
      </c>
      <c r="V86" s="1440">
        <f t="shared" si="48"/>
        <v>860.39644471276665</v>
      </c>
    </row>
    <row r="87" spans="1:22">
      <c r="B87" s="1431" t="s">
        <v>805</v>
      </c>
      <c r="C87" s="1410">
        <f>C78</f>
        <v>0</v>
      </c>
      <c r="D87" s="1440">
        <f>D78</f>
        <v>0</v>
      </c>
      <c r="E87" s="1440">
        <f t="shared" ref="E87:J87" si="49">E78</f>
        <v>0</v>
      </c>
      <c r="F87" s="1440">
        <f t="shared" si="49"/>
        <v>0</v>
      </c>
      <c r="G87" s="1440">
        <f t="shared" si="49"/>
        <v>0</v>
      </c>
      <c r="H87" s="1440">
        <f t="shared" si="49"/>
        <v>0</v>
      </c>
      <c r="I87" s="1440">
        <f t="shared" si="49"/>
        <v>0</v>
      </c>
      <c r="J87" s="1440">
        <f t="shared" si="49"/>
        <v>0</v>
      </c>
      <c r="K87" s="1440">
        <f t="shared" ref="K87:V87" si="50">K78</f>
        <v>0</v>
      </c>
      <c r="L87" s="1440">
        <f t="shared" si="50"/>
        <v>0</v>
      </c>
      <c r="M87" s="1440">
        <f t="shared" si="50"/>
        <v>0</v>
      </c>
      <c r="N87" s="1440">
        <f t="shared" si="50"/>
        <v>0</v>
      </c>
      <c r="O87" s="1440">
        <f t="shared" si="50"/>
        <v>0</v>
      </c>
      <c r="P87" s="1440">
        <f t="shared" si="50"/>
        <v>0</v>
      </c>
      <c r="Q87" s="1440">
        <f t="shared" si="50"/>
        <v>0</v>
      </c>
      <c r="R87" s="1440">
        <f t="shared" si="50"/>
        <v>0</v>
      </c>
      <c r="S87" s="1440">
        <f t="shared" si="50"/>
        <v>0</v>
      </c>
      <c r="T87" s="1440">
        <f t="shared" si="50"/>
        <v>0</v>
      </c>
      <c r="U87" s="1440">
        <f t="shared" si="50"/>
        <v>0</v>
      </c>
      <c r="V87" s="1440">
        <f t="shared" si="50"/>
        <v>0</v>
      </c>
    </row>
    <row r="88" spans="1:22">
      <c r="B88" s="1431" t="s">
        <v>822</v>
      </c>
      <c r="C88" s="1440">
        <f>C85-C86-C87</f>
        <v>4749.4783787474389</v>
      </c>
      <c r="D88" s="1440">
        <f t="shared" ref="D88:M88" si="51">D85-D86-D87</f>
        <v>0</v>
      </c>
      <c r="E88" s="1440">
        <f t="shared" si="51"/>
        <v>0</v>
      </c>
      <c r="F88" s="1440">
        <f t="shared" si="51"/>
        <v>0</v>
      </c>
      <c r="G88" s="1440">
        <f t="shared" si="51"/>
        <v>0</v>
      </c>
      <c r="H88" s="1440">
        <f t="shared" si="51"/>
        <v>0</v>
      </c>
      <c r="I88" s="1440">
        <f t="shared" si="51"/>
        <v>0</v>
      </c>
      <c r="J88" s="1440">
        <f t="shared" si="51"/>
        <v>0</v>
      </c>
      <c r="K88" s="1440">
        <f t="shared" si="51"/>
        <v>0</v>
      </c>
      <c r="L88" s="1440">
        <f t="shared" si="51"/>
        <v>0</v>
      </c>
      <c r="M88" s="1440">
        <f t="shared" si="51"/>
        <v>0</v>
      </c>
      <c r="N88" s="1440">
        <f t="shared" ref="N88:V88" si="52">N85-N86-N87</f>
        <v>0</v>
      </c>
      <c r="O88" s="1440">
        <f t="shared" si="52"/>
        <v>0</v>
      </c>
      <c r="P88" s="1440">
        <f t="shared" si="52"/>
        <v>0</v>
      </c>
      <c r="Q88" s="1440">
        <f t="shared" si="52"/>
        <v>0</v>
      </c>
      <c r="R88" s="1440">
        <f t="shared" si="52"/>
        <v>0</v>
      </c>
      <c r="S88" s="1440">
        <f t="shared" si="52"/>
        <v>0</v>
      </c>
      <c r="T88" s="1440">
        <f t="shared" si="52"/>
        <v>0</v>
      </c>
      <c r="U88" s="1440">
        <f t="shared" si="52"/>
        <v>2374.7391893737195</v>
      </c>
      <c r="V88" s="1440">
        <f t="shared" si="52"/>
        <v>2374.7391893737195</v>
      </c>
    </row>
    <row r="89" spans="1:22">
      <c r="B89" s="1431" t="s">
        <v>290</v>
      </c>
      <c r="C89" s="1440">
        <f>SUM(D89:V89)</f>
        <v>949.89567574948785</v>
      </c>
      <c r="D89" s="1410">
        <f t="shared" ref="D89:M89" si="53">D88*D22</f>
        <v>0</v>
      </c>
      <c r="E89" s="1410">
        <f t="shared" si="53"/>
        <v>0</v>
      </c>
      <c r="F89" s="1410">
        <f t="shared" si="53"/>
        <v>0</v>
      </c>
      <c r="G89" s="1410">
        <f t="shared" si="53"/>
        <v>0</v>
      </c>
      <c r="H89" s="1410">
        <f t="shared" si="53"/>
        <v>0</v>
      </c>
      <c r="I89" s="1410">
        <f t="shared" si="53"/>
        <v>0</v>
      </c>
      <c r="J89" s="1410">
        <f t="shared" si="53"/>
        <v>0</v>
      </c>
      <c r="K89" s="1410">
        <f t="shared" si="53"/>
        <v>0</v>
      </c>
      <c r="L89" s="1410">
        <f t="shared" si="53"/>
        <v>0</v>
      </c>
      <c r="M89" s="1410">
        <f t="shared" si="53"/>
        <v>0</v>
      </c>
      <c r="N89" s="1410">
        <f t="shared" ref="N89:V89" si="54">N88*N22</f>
        <v>0</v>
      </c>
      <c r="O89" s="1410">
        <f t="shared" si="54"/>
        <v>0</v>
      </c>
      <c r="P89" s="1410">
        <f t="shared" si="54"/>
        <v>0</v>
      </c>
      <c r="Q89" s="1410">
        <f t="shared" si="54"/>
        <v>0</v>
      </c>
      <c r="R89" s="1410">
        <f t="shared" si="54"/>
        <v>0</v>
      </c>
      <c r="S89" s="1410">
        <f t="shared" si="54"/>
        <v>0</v>
      </c>
      <c r="T89" s="1410">
        <f t="shared" si="54"/>
        <v>0</v>
      </c>
      <c r="U89" s="1410">
        <f t="shared" si="54"/>
        <v>474.94783787474393</v>
      </c>
      <c r="V89" s="1410">
        <f t="shared" si="54"/>
        <v>474.94783787474393</v>
      </c>
    </row>
    <row r="90" spans="1:22">
      <c r="B90" s="1431" t="s">
        <v>661</v>
      </c>
      <c r="C90" s="1440">
        <f>SUM(D90:V90)</f>
        <v>3799.5827029979509</v>
      </c>
      <c r="D90" s="1440">
        <f>D88-D89</f>
        <v>0</v>
      </c>
      <c r="E90" s="1440">
        <f t="shared" ref="E90:J90" si="55">E88-E89</f>
        <v>0</v>
      </c>
      <c r="F90" s="1440">
        <f t="shared" si="55"/>
        <v>0</v>
      </c>
      <c r="G90" s="1440">
        <f t="shared" si="55"/>
        <v>0</v>
      </c>
      <c r="H90" s="1440">
        <f t="shared" si="55"/>
        <v>0</v>
      </c>
      <c r="I90" s="1440">
        <f t="shared" si="55"/>
        <v>0</v>
      </c>
      <c r="J90" s="1440">
        <f t="shared" si="55"/>
        <v>0</v>
      </c>
      <c r="K90" s="1440">
        <f t="shared" ref="K90:V90" si="56">K88-K89</f>
        <v>0</v>
      </c>
      <c r="L90" s="1440">
        <f t="shared" si="56"/>
        <v>0</v>
      </c>
      <c r="M90" s="1440">
        <f t="shared" si="56"/>
        <v>0</v>
      </c>
      <c r="N90" s="1440">
        <f t="shared" si="56"/>
        <v>0</v>
      </c>
      <c r="O90" s="1440">
        <f t="shared" si="56"/>
        <v>0</v>
      </c>
      <c r="P90" s="1440">
        <f t="shared" si="56"/>
        <v>0</v>
      </c>
      <c r="Q90" s="1440">
        <f t="shared" si="56"/>
        <v>0</v>
      </c>
      <c r="R90" s="1440">
        <f t="shared" si="56"/>
        <v>0</v>
      </c>
      <c r="S90" s="1440">
        <f t="shared" si="56"/>
        <v>0</v>
      </c>
      <c r="T90" s="1440">
        <f t="shared" si="56"/>
        <v>0</v>
      </c>
      <c r="U90" s="1440">
        <f t="shared" si="56"/>
        <v>1899.7913514989755</v>
      </c>
      <c r="V90" s="1440">
        <f t="shared" si="56"/>
        <v>1899.7913514989755</v>
      </c>
    </row>
    <row r="91" spans="1:22">
      <c r="B91" s="1428" t="s">
        <v>197</v>
      </c>
      <c r="C91" s="1429">
        <f>IF(C83&lt;&gt;0,1-C84/C83,"")</f>
        <v>0.52640732252596623</v>
      </c>
      <c r="D91" s="1429" t="str">
        <f t="shared" ref="D91:J91" si="57">IF(D83&lt;&gt;0,1-D84/D83,"")</f>
        <v/>
      </c>
      <c r="E91" s="1429" t="str">
        <f t="shared" si="57"/>
        <v/>
      </c>
      <c r="F91" s="1429" t="str">
        <f t="shared" si="57"/>
        <v/>
      </c>
      <c r="G91" s="1429" t="str">
        <f t="shared" si="57"/>
        <v/>
      </c>
      <c r="H91" s="1429" t="str">
        <f t="shared" si="57"/>
        <v/>
      </c>
      <c r="I91" s="1429" t="str">
        <f t="shared" si="57"/>
        <v/>
      </c>
      <c r="J91" s="1429" t="str">
        <f t="shared" si="57"/>
        <v/>
      </c>
      <c r="K91" s="1429" t="str">
        <f t="shared" ref="K91:V91" si="58">IF(K83&lt;&gt;0,1-K84/K83,"")</f>
        <v/>
      </c>
      <c r="L91" s="1429" t="str">
        <f t="shared" si="58"/>
        <v/>
      </c>
      <c r="M91" s="1429" t="str">
        <f t="shared" si="58"/>
        <v/>
      </c>
      <c r="N91" s="1429" t="str">
        <f t="shared" si="58"/>
        <v/>
      </c>
      <c r="O91" s="1429" t="str">
        <f t="shared" si="58"/>
        <v/>
      </c>
      <c r="P91" s="1429" t="str">
        <f t="shared" si="58"/>
        <v/>
      </c>
      <c r="Q91" s="1429" t="str">
        <f t="shared" si="58"/>
        <v/>
      </c>
      <c r="R91" s="1429" t="str">
        <f t="shared" si="58"/>
        <v/>
      </c>
      <c r="S91" s="1429" t="str">
        <f t="shared" si="58"/>
        <v/>
      </c>
      <c r="T91" s="1429" t="str">
        <f t="shared" si="58"/>
        <v/>
      </c>
      <c r="U91" s="1429">
        <f t="shared" si="58"/>
        <v>0.52640732252596623</v>
      </c>
      <c r="V91" s="1429">
        <f t="shared" si="58"/>
        <v>0.52640732252596623</v>
      </c>
    </row>
    <row r="92" spans="1:22">
      <c r="B92" s="1428" t="s">
        <v>1779</v>
      </c>
      <c r="C92" s="1429">
        <f>IF(C83&lt;&gt;0,C90/C83,"")</f>
        <v>0.30912585802077303</v>
      </c>
      <c r="D92" s="1429" t="str">
        <f t="shared" ref="D92:M92" si="59">IF(D83&lt;&gt;0,D90/D83,"")</f>
        <v/>
      </c>
      <c r="E92" s="1429" t="str">
        <f t="shared" si="59"/>
        <v/>
      </c>
      <c r="F92" s="1429" t="str">
        <f t="shared" si="59"/>
        <v/>
      </c>
      <c r="G92" s="1429" t="str">
        <f t="shared" si="59"/>
        <v/>
      </c>
      <c r="H92" s="1429" t="str">
        <f t="shared" si="59"/>
        <v/>
      </c>
      <c r="I92" s="1429" t="str">
        <f t="shared" si="59"/>
        <v/>
      </c>
      <c r="J92" s="1429" t="str">
        <f t="shared" si="59"/>
        <v/>
      </c>
      <c r="K92" s="1429" t="str">
        <f t="shared" si="59"/>
        <v/>
      </c>
      <c r="L92" s="1429" t="str">
        <f t="shared" si="59"/>
        <v/>
      </c>
      <c r="M92" s="1429" t="str">
        <f t="shared" si="59"/>
        <v/>
      </c>
      <c r="N92" s="1429" t="str">
        <f t="shared" ref="N92:V92" si="60">IF(N83&lt;&gt;0,N90/N83,"")</f>
        <v/>
      </c>
      <c r="O92" s="1429" t="str">
        <f t="shared" si="60"/>
        <v/>
      </c>
      <c r="P92" s="1429" t="str">
        <f t="shared" si="60"/>
        <v/>
      </c>
      <c r="Q92" s="1429" t="str">
        <f t="shared" si="60"/>
        <v/>
      </c>
      <c r="R92" s="1429" t="str">
        <f t="shared" si="60"/>
        <v/>
      </c>
      <c r="S92" s="1429" t="str">
        <f t="shared" si="60"/>
        <v/>
      </c>
      <c r="T92" s="1429" t="str">
        <f t="shared" si="60"/>
        <v/>
      </c>
      <c r="U92" s="1429">
        <f t="shared" si="60"/>
        <v>0.30912585802077303</v>
      </c>
      <c r="V92" s="1429">
        <f t="shared" si="60"/>
        <v>0.30912585802077303</v>
      </c>
    </row>
    <row r="93" spans="1:22">
      <c r="B93" s="1428"/>
      <c r="C93" s="1429"/>
      <c r="D93" s="1429"/>
      <c r="E93" s="1429"/>
      <c r="F93" s="1429"/>
      <c r="G93" s="1429"/>
      <c r="H93" s="1429"/>
    </row>
    <row r="94" spans="1:22">
      <c r="D94" s="1440"/>
      <c r="E94" s="1440"/>
      <c r="F94" s="1440"/>
      <c r="G94" s="1440"/>
    </row>
    <row r="95" spans="1:22" s="1407" customFormat="1">
      <c r="A95" s="1406">
        <v>7</v>
      </c>
      <c r="B95" s="1407" t="s">
        <v>1589</v>
      </c>
      <c r="C95" s="1440" t="s">
        <v>642</v>
      </c>
      <c r="D95" s="1431">
        <f t="shared" ref="D95:J95" si="61">D82</f>
        <v>2013</v>
      </c>
      <c r="E95" s="1431">
        <f t="shared" si="61"/>
        <v>2014</v>
      </c>
      <c r="F95" s="1431">
        <f t="shared" si="61"/>
        <v>2015</v>
      </c>
      <c r="G95" s="1431">
        <f t="shared" si="61"/>
        <v>2016</v>
      </c>
      <c r="H95" s="1431">
        <f t="shared" si="61"/>
        <v>2017</v>
      </c>
      <c r="I95" s="1431">
        <f t="shared" si="61"/>
        <v>2018</v>
      </c>
      <c r="J95" s="1431">
        <f t="shared" si="61"/>
        <v>2019</v>
      </c>
      <c r="K95" s="1431">
        <f t="shared" ref="K95:V95" si="62">K82</f>
        <v>2020</v>
      </c>
      <c r="L95" s="1431">
        <f t="shared" si="62"/>
        <v>2021</v>
      </c>
      <c r="M95" s="1431">
        <f t="shared" si="62"/>
        <v>2022</v>
      </c>
      <c r="N95" s="1431">
        <f t="shared" si="62"/>
        <v>2023</v>
      </c>
      <c r="O95" s="1431">
        <f t="shared" si="62"/>
        <v>2024</v>
      </c>
      <c r="P95" s="1431">
        <f t="shared" si="62"/>
        <v>2025</v>
      </c>
      <c r="Q95" s="1431">
        <f t="shared" si="62"/>
        <v>2026</v>
      </c>
      <c r="R95" s="1431">
        <f t="shared" si="62"/>
        <v>2027</v>
      </c>
      <c r="S95" s="1431">
        <f t="shared" si="62"/>
        <v>2028</v>
      </c>
      <c r="T95" s="1431">
        <f t="shared" si="62"/>
        <v>2029</v>
      </c>
      <c r="U95" s="1431">
        <f t="shared" si="62"/>
        <v>2030</v>
      </c>
      <c r="V95" s="1431">
        <f t="shared" si="62"/>
        <v>2031</v>
      </c>
    </row>
    <row r="96" spans="1:22">
      <c r="B96" s="1419" t="s">
        <v>850</v>
      </c>
      <c r="C96" s="1441">
        <f>C63</f>
        <v>12291.37778161095</v>
      </c>
      <c r="D96" s="1441">
        <f t="shared" ref="D96:J96" si="63">D63</f>
        <v>0</v>
      </c>
      <c r="E96" s="1441">
        <f t="shared" si="63"/>
        <v>0</v>
      </c>
      <c r="F96" s="1441">
        <f t="shared" si="63"/>
        <v>0</v>
      </c>
      <c r="G96" s="1441">
        <f t="shared" si="63"/>
        <v>0</v>
      </c>
      <c r="H96" s="1441">
        <f t="shared" si="63"/>
        <v>0</v>
      </c>
      <c r="I96" s="1441">
        <f t="shared" si="63"/>
        <v>0</v>
      </c>
      <c r="J96" s="1441">
        <f t="shared" si="63"/>
        <v>0</v>
      </c>
      <c r="K96" s="1441">
        <f t="shared" ref="K96:V96" si="64">K63</f>
        <v>0</v>
      </c>
      <c r="L96" s="1441">
        <f t="shared" si="64"/>
        <v>0</v>
      </c>
      <c r="M96" s="1441">
        <f t="shared" si="64"/>
        <v>0</v>
      </c>
      <c r="N96" s="1441">
        <f t="shared" si="64"/>
        <v>0</v>
      </c>
      <c r="O96" s="1441">
        <f t="shared" si="64"/>
        <v>0</v>
      </c>
      <c r="P96" s="1441">
        <f t="shared" si="64"/>
        <v>0</v>
      </c>
      <c r="Q96" s="1441">
        <f t="shared" si="64"/>
        <v>0</v>
      </c>
      <c r="R96" s="1441">
        <f t="shared" si="64"/>
        <v>1786.8577867560002</v>
      </c>
      <c r="S96" s="1441">
        <f t="shared" si="64"/>
        <v>3934.0652271744607</v>
      </c>
      <c r="T96" s="1441">
        <f t="shared" si="64"/>
        <v>4358.8311040494746</v>
      </c>
      <c r="U96" s="1441">
        <f t="shared" si="64"/>
        <v>2211.6236636310141</v>
      </c>
      <c r="V96" s="1441">
        <f t="shared" si="64"/>
        <v>0</v>
      </c>
    </row>
    <row r="97" spans="1:22">
      <c r="B97" s="1407"/>
      <c r="C97" s="1440"/>
      <c r="D97" s="1440"/>
      <c r="E97" s="1440"/>
      <c r="F97" s="1440"/>
      <c r="G97" s="1440"/>
      <c r="H97" s="1440"/>
      <c r="I97" s="1440"/>
      <c r="J97" s="1440"/>
      <c r="K97" s="1440"/>
      <c r="L97" s="1440"/>
      <c r="M97" s="1440"/>
      <c r="N97" s="1440"/>
      <c r="O97" s="1440"/>
      <c r="P97" s="1440"/>
      <c r="Q97" s="1440"/>
      <c r="R97" s="1440"/>
      <c r="S97" s="1440"/>
      <c r="T97" s="1440"/>
      <c r="U97" s="1440"/>
      <c r="V97" s="1440"/>
    </row>
    <row r="98" spans="1:22">
      <c r="B98" s="1407" t="s">
        <v>851</v>
      </c>
      <c r="C98" s="1440">
        <f t="shared" ref="C98:J98" si="65">SUM(C99:C102)</f>
        <v>7261.1085651750209</v>
      </c>
      <c r="D98" s="1440">
        <f t="shared" si="65"/>
        <v>0</v>
      </c>
      <c r="E98" s="1440">
        <f t="shared" si="65"/>
        <v>0</v>
      </c>
      <c r="F98" s="1440">
        <f t="shared" si="65"/>
        <v>0</v>
      </c>
      <c r="G98" s="1440">
        <f t="shared" si="65"/>
        <v>0</v>
      </c>
      <c r="H98" s="1440">
        <f t="shared" si="65"/>
        <v>0</v>
      </c>
      <c r="I98" s="1440">
        <f t="shared" si="65"/>
        <v>0</v>
      </c>
      <c r="J98" s="1440">
        <f t="shared" si="65"/>
        <v>0</v>
      </c>
      <c r="K98" s="1440">
        <f t="shared" ref="K98:V98" si="66">SUM(K99:K102)</f>
        <v>0</v>
      </c>
      <c r="L98" s="1440">
        <f t="shared" si="66"/>
        <v>0</v>
      </c>
      <c r="M98" s="1440">
        <f t="shared" si="66"/>
        <v>0</v>
      </c>
      <c r="N98" s="1440">
        <f t="shared" si="66"/>
        <v>0</v>
      </c>
      <c r="O98" s="1440">
        <f t="shared" si="66"/>
        <v>0</v>
      </c>
      <c r="P98" s="1440">
        <f t="shared" si="66"/>
        <v>0</v>
      </c>
      <c r="Q98" s="1440">
        <f t="shared" si="66"/>
        <v>0</v>
      </c>
      <c r="R98" s="1440">
        <f t="shared" si="66"/>
        <v>1230.42</v>
      </c>
      <c r="S98" s="1440">
        <f t="shared" si="66"/>
        <v>1008</v>
      </c>
      <c r="T98" s="1440">
        <f t="shared" si="66"/>
        <v>1344</v>
      </c>
      <c r="U98" s="1440">
        <f t="shared" si="66"/>
        <v>2343.3442825875104</v>
      </c>
      <c r="V98" s="1440">
        <f t="shared" si="66"/>
        <v>1335.3442825875106</v>
      </c>
    </row>
    <row r="99" spans="1:22">
      <c r="B99" s="1431" t="s">
        <v>852</v>
      </c>
      <c r="C99" s="1440">
        <f t="shared" ref="C99:J99" si="67">C35</f>
        <v>1230.42</v>
      </c>
      <c r="D99" s="1440">
        <f t="shared" si="67"/>
        <v>0</v>
      </c>
      <c r="E99" s="1440">
        <f t="shared" si="67"/>
        <v>0</v>
      </c>
      <c r="F99" s="1440">
        <f t="shared" si="67"/>
        <v>0</v>
      </c>
      <c r="G99" s="1440">
        <f t="shared" si="67"/>
        <v>0</v>
      </c>
      <c r="H99" s="1440">
        <f>H35</f>
        <v>0</v>
      </c>
      <c r="I99" s="1440">
        <f t="shared" si="67"/>
        <v>0</v>
      </c>
      <c r="J99" s="1440">
        <f t="shared" si="67"/>
        <v>0</v>
      </c>
      <c r="K99" s="1440">
        <f t="shared" ref="K99:V99" si="68">K35</f>
        <v>0</v>
      </c>
      <c r="L99" s="1440">
        <f t="shared" si="68"/>
        <v>0</v>
      </c>
      <c r="M99" s="1440">
        <f t="shared" si="68"/>
        <v>0</v>
      </c>
      <c r="N99" s="1440">
        <f t="shared" si="68"/>
        <v>0</v>
      </c>
      <c r="O99" s="1440">
        <f t="shared" si="68"/>
        <v>0</v>
      </c>
      <c r="P99" s="1440">
        <f t="shared" si="68"/>
        <v>0</v>
      </c>
      <c r="Q99" s="1440">
        <f t="shared" si="68"/>
        <v>0</v>
      </c>
      <c r="R99" s="1440">
        <f t="shared" si="68"/>
        <v>1230.42</v>
      </c>
      <c r="S99" s="1440">
        <f t="shared" si="68"/>
        <v>0</v>
      </c>
      <c r="T99" s="1440">
        <f t="shared" si="68"/>
        <v>0</v>
      </c>
      <c r="U99" s="1440">
        <f t="shared" si="68"/>
        <v>0</v>
      </c>
      <c r="V99" s="1440">
        <f t="shared" si="68"/>
        <v>0</v>
      </c>
    </row>
    <row r="100" spans="1:22">
      <c r="B100" s="1431" t="s">
        <v>788</v>
      </c>
      <c r="C100" s="1440">
        <f t="shared" ref="C100:J100" si="69">C70</f>
        <v>3360</v>
      </c>
      <c r="D100" s="1440">
        <f t="shared" si="69"/>
        <v>0</v>
      </c>
      <c r="E100" s="1440">
        <f t="shared" si="69"/>
        <v>0</v>
      </c>
      <c r="F100" s="1440">
        <f t="shared" si="69"/>
        <v>0</v>
      </c>
      <c r="G100" s="1440">
        <f t="shared" si="69"/>
        <v>0</v>
      </c>
      <c r="H100" s="1440">
        <f t="shared" si="69"/>
        <v>0</v>
      </c>
      <c r="I100" s="1440">
        <f t="shared" si="69"/>
        <v>0</v>
      </c>
      <c r="J100" s="1440">
        <f t="shared" si="69"/>
        <v>0</v>
      </c>
      <c r="K100" s="1440">
        <f t="shared" ref="K100:V100" si="70">K70</f>
        <v>0</v>
      </c>
      <c r="L100" s="1440">
        <f t="shared" si="70"/>
        <v>0</v>
      </c>
      <c r="M100" s="1440">
        <f t="shared" si="70"/>
        <v>0</v>
      </c>
      <c r="N100" s="1440">
        <f t="shared" si="70"/>
        <v>0</v>
      </c>
      <c r="O100" s="1440">
        <f t="shared" si="70"/>
        <v>0</v>
      </c>
      <c r="P100" s="1440">
        <f t="shared" si="70"/>
        <v>0</v>
      </c>
      <c r="Q100" s="1440">
        <f t="shared" si="70"/>
        <v>0</v>
      </c>
      <c r="R100" s="1440">
        <f t="shared" si="70"/>
        <v>0</v>
      </c>
      <c r="S100" s="1440">
        <f t="shared" si="70"/>
        <v>1008</v>
      </c>
      <c r="T100" s="1440">
        <f t="shared" si="70"/>
        <v>1344</v>
      </c>
      <c r="U100" s="1440">
        <f t="shared" si="70"/>
        <v>1008</v>
      </c>
      <c r="V100" s="1440">
        <f t="shared" si="70"/>
        <v>0</v>
      </c>
    </row>
    <row r="101" spans="1:22">
      <c r="B101" s="1431" t="s">
        <v>656</v>
      </c>
      <c r="C101" s="1440">
        <f t="shared" ref="C101:J101" si="71">C79</f>
        <v>1720.7928894255333</v>
      </c>
      <c r="D101" s="1440">
        <f t="shared" si="71"/>
        <v>0</v>
      </c>
      <c r="E101" s="1440">
        <f t="shared" si="71"/>
        <v>0</v>
      </c>
      <c r="F101" s="1440">
        <f t="shared" si="71"/>
        <v>0</v>
      </c>
      <c r="G101" s="1440">
        <f t="shared" si="71"/>
        <v>0</v>
      </c>
      <c r="H101" s="1440">
        <f t="shared" si="71"/>
        <v>0</v>
      </c>
      <c r="I101" s="1440">
        <f t="shared" si="71"/>
        <v>0</v>
      </c>
      <c r="J101" s="1440">
        <f t="shared" si="71"/>
        <v>0</v>
      </c>
      <c r="K101" s="1440">
        <f t="shared" ref="K101:V101" si="72">K79</f>
        <v>0</v>
      </c>
      <c r="L101" s="1440">
        <f t="shared" si="72"/>
        <v>0</v>
      </c>
      <c r="M101" s="1440">
        <f t="shared" si="72"/>
        <v>0</v>
      </c>
      <c r="N101" s="1440">
        <f t="shared" si="72"/>
        <v>0</v>
      </c>
      <c r="O101" s="1440">
        <f t="shared" si="72"/>
        <v>0</v>
      </c>
      <c r="P101" s="1440">
        <f t="shared" si="72"/>
        <v>0</v>
      </c>
      <c r="Q101" s="1440">
        <f t="shared" si="72"/>
        <v>0</v>
      </c>
      <c r="R101" s="1440">
        <f t="shared" si="72"/>
        <v>0</v>
      </c>
      <c r="S101" s="1440">
        <f t="shared" si="72"/>
        <v>0</v>
      </c>
      <c r="T101" s="1440">
        <f t="shared" si="72"/>
        <v>0</v>
      </c>
      <c r="U101" s="1440">
        <f t="shared" si="72"/>
        <v>860.39644471276665</v>
      </c>
      <c r="V101" s="1440">
        <f t="shared" si="72"/>
        <v>860.39644471276665</v>
      </c>
    </row>
    <row r="102" spans="1:22">
      <c r="B102" s="1431" t="s">
        <v>854</v>
      </c>
      <c r="C102" s="1440">
        <f t="shared" ref="C102:J102" si="73">C89</f>
        <v>949.89567574948785</v>
      </c>
      <c r="D102" s="1440">
        <f t="shared" si="73"/>
        <v>0</v>
      </c>
      <c r="E102" s="1440">
        <f t="shared" si="73"/>
        <v>0</v>
      </c>
      <c r="F102" s="1440">
        <f t="shared" si="73"/>
        <v>0</v>
      </c>
      <c r="G102" s="1440">
        <f t="shared" si="73"/>
        <v>0</v>
      </c>
      <c r="H102" s="1440">
        <f t="shared" si="73"/>
        <v>0</v>
      </c>
      <c r="I102" s="1440">
        <f t="shared" si="73"/>
        <v>0</v>
      </c>
      <c r="J102" s="1440">
        <f t="shared" si="73"/>
        <v>0</v>
      </c>
      <c r="K102" s="1440">
        <f t="shared" ref="K102:V102" si="74">K89</f>
        <v>0</v>
      </c>
      <c r="L102" s="1440">
        <f t="shared" si="74"/>
        <v>0</v>
      </c>
      <c r="M102" s="1440">
        <f t="shared" si="74"/>
        <v>0</v>
      </c>
      <c r="N102" s="1440">
        <f t="shared" si="74"/>
        <v>0</v>
      </c>
      <c r="O102" s="1440">
        <f t="shared" si="74"/>
        <v>0</v>
      </c>
      <c r="P102" s="1440">
        <f t="shared" si="74"/>
        <v>0</v>
      </c>
      <c r="Q102" s="1440">
        <f t="shared" si="74"/>
        <v>0</v>
      </c>
      <c r="R102" s="1440">
        <f t="shared" si="74"/>
        <v>0</v>
      </c>
      <c r="S102" s="1440">
        <f t="shared" si="74"/>
        <v>0</v>
      </c>
      <c r="T102" s="1440">
        <f t="shared" si="74"/>
        <v>0</v>
      </c>
      <c r="U102" s="1440">
        <f t="shared" si="74"/>
        <v>474.94783787474393</v>
      </c>
      <c r="V102" s="1440">
        <f t="shared" si="74"/>
        <v>474.94783787474393</v>
      </c>
    </row>
    <row r="103" spans="1:22">
      <c r="A103" s="1444"/>
      <c r="B103" s="1431" t="s">
        <v>855</v>
      </c>
      <c r="C103" s="1440">
        <f t="shared" ref="C103:J103" si="75">C96-C98</f>
        <v>5030.2692164359296</v>
      </c>
      <c r="D103" s="1656">
        <f t="shared" si="75"/>
        <v>0</v>
      </c>
      <c r="E103" s="1440">
        <f t="shared" si="75"/>
        <v>0</v>
      </c>
      <c r="F103" s="1440">
        <f t="shared" si="75"/>
        <v>0</v>
      </c>
      <c r="G103" s="1440">
        <f t="shared" si="75"/>
        <v>0</v>
      </c>
      <c r="H103" s="1440">
        <f t="shared" si="75"/>
        <v>0</v>
      </c>
      <c r="I103" s="1440">
        <f t="shared" si="75"/>
        <v>0</v>
      </c>
      <c r="J103" s="1440">
        <f t="shared" si="75"/>
        <v>0</v>
      </c>
      <c r="K103" s="1440">
        <f t="shared" ref="K103:V103" si="76">K96-K98</f>
        <v>0</v>
      </c>
      <c r="L103" s="1440">
        <f t="shared" si="76"/>
        <v>0</v>
      </c>
      <c r="M103" s="1440">
        <f t="shared" si="76"/>
        <v>0</v>
      </c>
      <c r="N103" s="1440">
        <f t="shared" si="76"/>
        <v>0</v>
      </c>
      <c r="O103" s="1440">
        <f t="shared" si="76"/>
        <v>0</v>
      </c>
      <c r="P103" s="1440">
        <f t="shared" si="76"/>
        <v>0</v>
      </c>
      <c r="Q103" s="1440">
        <f t="shared" si="76"/>
        <v>0</v>
      </c>
      <c r="R103" s="1440">
        <f t="shared" si="76"/>
        <v>556.43778675600015</v>
      </c>
      <c r="S103" s="1440">
        <f t="shared" si="76"/>
        <v>2926.0652271744607</v>
      </c>
      <c r="T103" s="1440">
        <f t="shared" si="76"/>
        <v>3014.8311040494746</v>
      </c>
      <c r="U103" s="1440">
        <f t="shared" si="76"/>
        <v>-131.72061895649631</v>
      </c>
      <c r="V103" s="1440">
        <f t="shared" si="76"/>
        <v>-1335.3442825875106</v>
      </c>
    </row>
    <row r="104" spans="1:22">
      <c r="B104" s="1431" t="s">
        <v>1570</v>
      </c>
      <c r="D104" s="1452">
        <f t="shared" ref="D104:M104" si="77">IF(D95&gt;$D$12,(1+D23)^(D95-$D$12),0)</f>
        <v>0</v>
      </c>
      <c r="E104" s="1452">
        <f t="shared" si="77"/>
        <v>0</v>
      </c>
      <c r="F104" s="1452">
        <f t="shared" si="77"/>
        <v>0</v>
      </c>
      <c r="G104" s="1452">
        <f t="shared" si="77"/>
        <v>0</v>
      </c>
      <c r="H104" s="1452">
        <f t="shared" si="77"/>
        <v>0</v>
      </c>
      <c r="I104" s="1452">
        <f t="shared" si="77"/>
        <v>0</v>
      </c>
      <c r="J104" s="1452">
        <f t="shared" si="77"/>
        <v>0</v>
      </c>
      <c r="K104" s="1452">
        <f t="shared" si="77"/>
        <v>0</v>
      </c>
      <c r="L104" s="1452">
        <f t="shared" si="77"/>
        <v>0</v>
      </c>
      <c r="M104" s="1452">
        <f t="shared" si="77"/>
        <v>0</v>
      </c>
      <c r="N104" s="1452">
        <f t="shared" ref="N104:V104" si="78">IF(N95&gt;$D$12,(1+N23)^(N95-$D$12),0)</f>
        <v>1.125</v>
      </c>
      <c r="O104" s="1452">
        <f t="shared" si="78"/>
        <v>1.265625</v>
      </c>
      <c r="P104" s="1452">
        <f t="shared" si="78"/>
        <v>1.423828125</v>
      </c>
      <c r="Q104" s="1452">
        <f t="shared" si="78"/>
        <v>1.601806640625</v>
      </c>
      <c r="R104" s="1452">
        <f t="shared" si="78"/>
        <v>1.802032470703125</v>
      </c>
      <c r="S104" s="1452">
        <f t="shared" si="78"/>
        <v>2.0272865295410156</v>
      </c>
      <c r="T104" s="1452">
        <f t="shared" si="78"/>
        <v>2.2806973457336426</v>
      </c>
      <c r="U104" s="1452">
        <f t="shared" si="78"/>
        <v>2.5657845139503479</v>
      </c>
      <c r="V104" s="1452">
        <f t="shared" si="78"/>
        <v>2.8865075781941414</v>
      </c>
    </row>
    <row r="105" spans="1:22">
      <c r="B105" s="1431" t="s">
        <v>1452</v>
      </c>
      <c r="C105" s="1440">
        <f>SUMIF(D95:V95,"&gt;"&amp;D12,D105:V105)</f>
        <v>2560.0609542581233</v>
      </c>
      <c r="D105" s="1440" t="str">
        <f t="shared" ref="D105:M105" si="79">IF(D104&lt;&gt;0,D103/D104,"")</f>
        <v/>
      </c>
      <c r="E105" s="1440" t="str">
        <f t="shared" si="79"/>
        <v/>
      </c>
      <c r="F105" s="1440" t="str">
        <f t="shared" si="79"/>
        <v/>
      </c>
      <c r="G105" s="1440" t="str">
        <f t="shared" si="79"/>
        <v/>
      </c>
      <c r="H105" s="1440" t="str">
        <f t="shared" si="79"/>
        <v/>
      </c>
      <c r="I105" s="1440" t="str">
        <f t="shared" si="79"/>
        <v/>
      </c>
      <c r="J105" s="1440" t="str">
        <f t="shared" si="79"/>
        <v/>
      </c>
      <c r="K105" s="1440" t="str">
        <f t="shared" si="79"/>
        <v/>
      </c>
      <c r="L105" s="1440" t="str">
        <f t="shared" si="79"/>
        <v/>
      </c>
      <c r="M105" s="1440" t="str">
        <f t="shared" si="79"/>
        <v/>
      </c>
      <c r="N105" s="1440">
        <f t="shared" ref="N105:V105" si="80">IF(N104&lt;&gt;0,N103/N104,"")</f>
        <v>0</v>
      </c>
      <c r="O105" s="1440">
        <f t="shared" si="80"/>
        <v>0</v>
      </c>
      <c r="P105" s="1440">
        <f t="shared" si="80"/>
        <v>0</v>
      </c>
      <c r="Q105" s="1440">
        <f t="shared" si="80"/>
        <v>0</v>
      </c>
      <c r="R105" s="1440">
        <f t="shared" si="80"/>
        <v>308.7834408105237</v>
      </c>
      <c r="S105" s="1440">
        <f t="shared" si="80"/>
        <v>1443.3407338019119</v>
      </c>
      <c r="T105" s="1440">
        <f t="shared" si="80"/>
        <v>1321.8900393290369</v>
      </c>
      <c r="U105" s="1440">
        <f t="shared" si="80"/>
        <v>-51.337366111737829</v>
      </c>
      <c r="V105" s="1440">
        <f t="shared" si="80"/>
        <v>-462.61589357161137</v>
      </c>
    </row>
    <row r="106" spans="1:22">
      <c r="B106" s="1407" t="s">
        <v>1590</v>
      </c>
      <c r="C106" s="1427">
        <f>C105*I5</f>
        <v>2560.0609542581233</v>
      </c>
    </row>
    <row r="107" spans="1:22">
      <c r="B107" s="1407"/>
      <c r="C107" s="1427"/>
    </row>
    <row r="108" spans="1:22">
      <c r="B108" s="1407" t="s">
        <v>1588</v>
      </c>
      <c r="C108" s="1440"/>
      <c r="D108" s="1431">
        <f t="shared" ref="D108:J108" si="81">D95</f>
        <v>2013</v>
      </c>
      <c r="E108" s="1431">
        <f t="shared" si="81"/>
        <v>2014</v>
      </c>
      <c r="F108" s="1431">
        <f t="shared" si="81"/>
        <v>2015</v>
      </c>
      <c r="G108" s="1431">
        <f t="shared" si="81"/>
        <v>2016</v>
      </c>
      <c r="H108" s="1431">
        <f t="shared" si="81"/>
        <v>2017</v>
      </c>
      <c r="I108" s="1431">
        <f t="shared" si="81"/>
        <v>2018</v>
      </c>
      <c r="J108" s="1431">
        <f t="shared" si="81"/>
        <v>2019</v>
      </c>
      <c r="K108" s="1431">
        <f t="shared" ref="K108:V108" si="82">K95</f>
        <v>2020</v>
      </c>
      <c r="L108" s="1431">
        <f t="shared" si="82"/>
        <v>2021</v>
      </c>
      <c r="M108" s="1431">
        <f t="shared" si="82"/>
        <v>2022</v>
      </c>
      <c r="N108" s="1431">
        <f t="shared" si="82"/>
        <v>2023</v>
      </c>
      <c r="O108" s="1431">
        <f t="shared" si="82"/>
        <v>2024</v>
      </c>
      <c r="P108" s="1431">
        <f t="shared" si="82"/>
        <v>2025</v>
      </c>
      <c r="Q108" s="1431">
        <f t="shared" si="82"/>
        <v>2026</v>
      </c>
      <c r="R108" s="1431">
        <f t="shared" si="82"/>
        <v>2027</v>
      </c>
      <c r="S108" s="1431">
        <f t="shared" si="82"/>
        <v>2028</v>
      </c>
      <c r="T108" s="1431">
        <f t="shared" si="82"/>
        <v>2029</v>
      </c>
      <c r="U108" s="1431">
        <f t="shared" si="82"/>
        <v>2030</v>
      </c>
      <c r="V108" s="1431">
        <f t="shared" si="82"/>
        <v>2031</v>
      </c>
    </row>
    <row r="109" spans="1:22" s="1447" customFormat="1">
      <c r="A109" s="1459"/>
      <c r="B109" s="1460" t="e">
        <f>IRR(D109:V109)</f>
        <v>#NUM!</v>
      </c>
      <c r="C109" s="1408"/>
      <c r="D109" s="1408">
        <f>D103</f>
        <v>0</v>
      </c>
      <c r="E109" s="1408">
        <f t="shared" ref="E109:J109" si="83">E103</f>
        <v>0</v>
      </c>
      <c r="F109" s="1408">
        <f t="shared" si="83"/>
        <v>0</v>
      </c>
      <c r="G109" s="1408">
        <f t="shared" si="83"/>
        <v>0</v>
      </c>
      <c r="H109" s="1408">
        <f t="shared" si="83"/>
        <v>0</v>
      </c>
      <c r="I109" s="1408">
        <f t="shared" si="83"/>
        <v>0</v>
      </c>
      <c r="J109" s="1408">
        <f t="shared" si="83"/>
        <v>0</v>
      </c>
      <c r="K109" s="1408">
        <f t="shared" ref="K109:V109" si="84">K103</f>
        <v>0</v>
      </c>
      <c r="L109" s="1408">
        <f t="shared" si="84"/>
        <v>0</v>
      </c>
      <c r="M109" s="1408">
        <f t="shared" si="84"/>
        <v>0</v>
      </c>
      <c r="N109" s="1408">
        <f t="shared" si="84"/>
        <v>0</v>
      </c>
      <c r="O109" s="1408">
        <f t="shared" si="84"/>
        <v>0</v>
      </c>
      <c r="P109" s="1408">
        <f t="shared" si="84"/>
        <v>0</v>
      </c>
      <c r="Q109" s="1408">
        <f t="shared" si="84"/>
        <v>0</v>
      </c>
      <c r="R109" s="1408">
        <f t="shared" si="84"/>
        <v>556.43778675600015</v>
      </c>
      <c r="S109" s="1408">
        <f t="shared" si="84"/>
        <v>2926.0652271744607</v>
      </c>
      <c r="T109" s="1408">
        <f t="shared" si="84"/>
        <v>3014.8311040494746</v>
      </c>
      <c r="U109" s="1408">
        <f t="shared" si="84"/>
        <v>-131.72061895649631</v>
      </c>
      <c r="V109" s="1408">
        <f t="shared" si="84"/>
        <v>-1335.3442825875106</v>
      </c>
    </row>
    <row r="110" spans="1:22">
      <c r="B110" s="1407" t="s">
        <v>1789</v>
      </c>
      <c r="C110" s="1440"/>
      <c r="D110" s="1656">
        <f t="shared" ref="D110:M110" si="85">D103+D116-D118</f>
        <v>0</v>
      </c>
      <c r="E110" s="1656">
        <f t="shared" si="85"/>
        <v>0</v>
      </c>
      <c r="F110" s="1656">
        <f t="shared" si="85"/>
        <v>0</v>
      </c>
      <c r="G110" s="1656">
        <f t="shared" si="85"/>
        <v>0</v>
      </c>
      <c r="H110" s="1656">
        <f t="shared" si="85"/>
        <v>0</v>
      </c>
      <c r="I110" s="1656">
        <f t="shared" si="85"/>
        <v>0</v>
      </c>
      <c r="J110" s="1656">
        <f t="shared" si="85"/>
        <v>0</v>
      </c>
      <c r="K110" s="1656">
        <f t="shared" si="85"/>
        <v>0</v>
      </c>
      <c r="L110" s="1656">
        <f t="shared" si="85"/>
        <v>0</v>
      </c>
      <c r="M110" s="1656">
        <f t="shared" si="85"/>
        <v>0</v>
      </c>
      <c r="N110" s="1656">
        <f t="shared" ref="N110:V110" si="86">N103+N116-N118</f>
        <v>0</v>
      </c>
      <c r="O110" s="1656">
        <f t="shared" si="86"/>
        <v>0</v>
      </c>
      <c r="P110" s="1656">
        <f t="shared" si="86"/>
        <v>0</v>
      </c>
      <c r="Q110" s="1656">
        <f t="shared" si="86"/>
        <v>0</v>
      </c>
      <c r="R110" s="1656">
        <f t="shared" si="86"/>
        <v>2134.2410091123834</v>
      </c>
      <c r="S110" s="1656">
        <f t="shared" si="86"/>
        <v>4503.8684495308444</v>
      </c>
      <c r="T110" s="1656">
        <f t="shared" si="86"/>
        <v>1437.0278816930913</v>
      </c>
      <c r="U110" s="1656">
        <f t="shared" si="86"/>
        <v>-1709.5238413128795</v>
      </c>
      <c r="V110" s="1656">
        <f t="shared" si="86"/>
        <v>-1335.3442825875106</v>
      </c>
    </row>
    <row r="111" spans="1:22">
      <c r="B111" s="1407"/>
      <c r="C111" s="1427"/>
      <c r="D111" s="1454"/>
      <c r="E111" s="1454"/>
      <c r="F111" s="1454"/>
      <c r="G111" s="1454"/>
      <c r="H111" s="1454"/>
      <c r="I111" s="1454"/>
      <c r="J111" s="1454"/>
      <c r="K111" s="1454"/>
      <c r="L111" s="1454"/>
      <c r="M111" s="1454"/>
      <c r="N111" s="1454"/>
      <c r="O111" s="1454"/>
      <c r="P111" s="1454"/>
      <c r="Q111" s="1454"/>
      <c r="R111" s="1454"/>
      <c r="S111" s="1454"/>
      <c r="T111" s="1454"/>
      <c r="U111" s="1454"/>
      <c r="V111" s="1454"/>
    </row>
    <row r="112" spans="1:22">
      <c r="B112" s="1407"/>
      <c r="C112" s="1427"/>
    </row>
    <row r="113" spans="1:22" s="1407" customFormat="1">
      <c r="A113" s="1406">
        <v>8</v>
      </c>
      <c r="B113" s="1407" t="s">
        <v>1592</v>
      </c>
      <c r="C113" s="1440"/>
      <c r="D113" s="1431">
        <f t="shared" ref="D113:I113" si="87">D95</f>
        <v>2013</v>
      </c>
      <c r="E113" s="1431">
        <f t="shared" si="87"/>
        <v>2014</v>
      </c>
      <c r="F113" s="1431">
        <f t="shared" si="87"/>
        <v>2015</v>
      </c>
      <c r="G113" s="1431">
        <f t="shared" si="87"/>
        <v>2016</v>
      </c>
      <c r="H113" s="1431">
        <f t="shared" si="87"/>
        <v>2017</v>
      </c>
      <c r="I113" s="1431">
        <f t="shared" si="87"/>
        <v>2018</v>
      </c>
      <c r="J113" s="1431">
        <f t="shared" ref="J113:V113" si="88">I113+1</f>
        <v>2019</v>
      </c>
      <c r="K113" s="1431">
        <f t="shared" si="88"/>
        <v>2020</v>
      </c>
      <c r="L113" s="1431">
        <f t="shared" si="88"/>
        <v>2021</v>
      </c>
      <c r="M113" s="1431">
        <f t="shared" si="88"/>
        <v>2022</v>
      </c>
      <c r="N113" s="1431">
        <f t="shared" si="88"/>
        <v>2023</v>
      </c>
      <c r="O113" s="1431">
        <f t="shared" si="88"/>
        <v>2024</v>
      </c>
      <c r="P113" s="1431">
        <f t="shared" si="88"/>
        <v>2025</v>
      </c>
      <c r="Q113" s="1431">
        <f t="shared" si="88"/>
        <v>2026</v>
      </c>
      <c r="R113" s="1431">
        <f t="shared" si="88"/>
        <v>2027</v>
      </c>
      <c r="S113" s="1431">
        <f t="shared" si="88"/>
        <v>2028</v>
      </c>
      <c r="T113" s="1431">
        <f t="shared" si="88"/>
        <v>2029</v>
      </c>
      <c r="U113" s="1431">
        <f t="shared" si="88"/>
        <v>2030</v>
      </c>
      <c r="V113" s="1431">
        <f t="shared" si="88"/>
        <v>2031</v>
      </c>
    </row>
    <row r="114" spans="1:22">
      <c r="B114" s="1432" t="s">
        <v>1571</v>
      </c>
      <c r="C114" s="1441">
        <f>D5*I6</f>
        <v>3155.6064447127665</v>
      </c>
      <c r="D114" s="1432"/>
      <c r="E114" s="1432"/>
      <c r="F114" s="1432"/>
      <c r="G114" s="1432"/>
      <c r="H114" s="1432"/>
      <c r="I114" s="1432"/>
      <c r="J114" s="1456"/>
      <c r="K114" s="1456"/>
      <c r="L114" s="1456"/>
      <c r="M114" s="1456"/>
      <c r="N114" s="1456"/>
      <c r="O114" s="1456"/>
      <c r="P114" s="1456"/>
      <c r="Q114" s="1456"/>
      <c r="R114" s="1456"/>
      <c r="S114" s="1456"/>
      <c r="T114" s="1456"/>
      <c r="U114" s="1456"/>
      <c r="V114" s="1456"/>
    </row>
    <row r="115" spans="1:22">
      <c r="B115" s="1431" t="s">
        <v>1572</v>
      </c>
      <c r="C115" s="1436">
        <f>SUM(D115:V115)</f>
        <v>1</v>
      </c>
      <c r="D115" s="1416">
        <v>0</v>
      </c>
      <c r="E115" s="1416">
        <v>0</v>
      </c>
      <c r="F115" s="1416">
        <v>0</v>
      </c>
      <c r="G115" s="1416">
        <v>0</v>
      </c>
      <c r="H115" s="1411">
        <v>0</v>
      </c>
      <c r="I115" s="1411">
        <v>0</v>
      </c>
      <c r="J115" s="1411">
        <v>0</v>
      </c>
      <c r="K115" s="1411">
        <v>0</v>
      </c>
      <c r="L115" s="1411">
        <v>0</v>
      </c>
      <c r="M115" s="1411">
        <v>0</v>
      </c>
      <c r="N115" s="1411">
        <v>0</v>
      </c>
      <c r="O115" s="1411">
        <v>0</v>
      </c>
      <c r="P115" s="1411">
        <v>0</v>
      </c>
      <c r="Q115" s="1411">
        <v>0</v>
      </c>
      <c r="R115" s="1411">
        <v>0.5</v>
      </c>
      <c r="S115" s="1411">
        <v>0.5</v>
      </c>
      <c r="T115" s="1411">
        <v>0</v>
      </c>
      <c r="U115" s="1411">
        <v>0</v>
      </c>
      <c r="V115" s="1411">
        <v>0</v>
      </c>
    </row>
    <row r="116" spans="1:22">
      <c r="B116" s="1431" t="s">
        <v>1573</v>
      </c>
      <c r="C116" s="1440">
        <f>SUM(D116:V116)</f>
        <v>3155.6064447127665</v>
      </c>
      <c r="D116" s="1410">
        <f t="shared" ref="D116:M116" si="89">D115*$C$114</f>
        <v>0</v>
      </c>
      <c r="E116" s="1410">
        <f t="shared" si="89"/>
        <v>0</v>
      </c>
      <c r="F116" s="1410">
        <f t="shared" si="89"/>
        <v>0</v>
      </c>
      <c r="G116" s="1410">
        <f t="shared" si="89"/>
        <v>0</v>
      </c>
      <c r="H116" s="1410">
        <f t="shared" si="89"/>
        <v>0</v>
      </c>
      <c r="I116" s="1410">
        <f t="shared" si="89"/>
        <v>0</v>
      </c>
      <c r="J116" s="1410">
        <f t="shared" si="89"/>
        <v>0</v>
      </c>
      <c r="K116" s="1410">
        <f t="shared" si="89"/>
        <v>0</v>
      </c>
      <c r="L116" s="1410">
        <f t="shared" si="89"/>
        <v>0</v>
      </c>
      <c r="M116" s="1410">
        <f t="shared" si="89"/>
        <v>0</v>
      </c>
      <c r="N116" s="1410">
        <f t="shared" ref="N116:V116" si="90">N115*$C$114</f>
        <v>0</v>
      </c>
      <c r="O116" s="1410">
        <f t="shared" si="90"/>
        <v>0</v>
      </c>
      <c r="P116" s="1410">
        <f t="shared" si="90"/>
        <v>0</v>
      </c>
      <c r="Q116" s="1410">
        <f t="shared" si="90"/>
        <v>0</v>
      </c>
      <c r="R116" s="1410">
        <f t="shared" si="90"/>
        <v>1577.8032223563832</v>
      </c>
      <c r="S116" s="1410">
        <f t="shared" si="90"/>
        <v>1577.8032223563832</v>
      </c>
      <c r="T116" s="1410">
        <f t="shared" si="90"/>
        <v>0</v>
      </c>
      <c r="U116" s="1410">
        <f t="shared" si="90"/>
        <v>0</v>
      </c>
      <c r="V116" s="1410">
        <f t="shared" si="90"/>
        <v>0</v>
      </c>
    </row>
    <row r="117" spans="1:22">
      <c r="B117" s="1431" t="s">
        <v>868</v>
      </c>
      <c r="C117" s="1440"/>
      <c r="D117" s="1440">
        <f>D116</f>
        <v>0</v>
      </c>
      <c r="E117" s="1440">
        <f>E116</f>
        <v>0</v>
      </c>
      <c r="F117" s="1440">
        <f>F116</f>
        <v>0</v>
      </c>
      <c r="G117" s="1440">
        <f t="shared" ref="G117:V117" si="91">F120+G116</f>
        <v>0</v>
      </c>
      <c r="H117" s="1440">
        <f t="shared" si="91"/>
        <v>0</v>
      </c>
      <c r="I117" s="1440">
        <f t="shared" si="91"/>
        <v>0</v>
      </c>
      <c r="J117" s="1440">
        <f t="shared" si="91"/>
        <v>0</v>
      </c>
      <c r="K117" s="1440">
        <f t="shared" si="91"/>
        <v>0</v>
      </c>
      <c r="L117" s="1440">
        <f t="shared" si="91"/>
        <v>0</v>
      </c>
      <c r="M117" s="1440">
        <f t="shared" si="91"/>
        <v>0</v>
      </c>
      <c r="N117" s="1440">
        <f t="shared" si="91"/>
        <v>0</v>
      </c>
      <c r="O117" s="1440">
        <f t="shared" si="91"/>
        <v>0</v>
      </c>
      <c r="P117" s="1440">
        <f t="shared" si="91"/>
        <v>0</v>
      </c>
      <c r="Q117" s="1440">
        <f t="shared" si="91"/>
        <v>0</v>
      </c>
      <c r="R117" s="1440">
        <f t="shared" si="91"/>
        <v>1577.8032223563832</v>
      </c>
      <c r="S117" s="1440">
        <f t="shared" si="91"/>
        <v>3155.6064447127665</v>
      </c>
      <c r="T117" s="1440">
        <f t="shared" si="91"/>
        <v>3155.6064447127665</v>
      </c>
      <c r="U117" s="1440">
        <f t="shared" si="91"/>
        <v>1577.8032223563832</v>
      </c>
      <c r="V117" s="1440">
        <f t="shared" si="91"/>
        <v>0</v>
      </c>
    </row>
    <row r="118" spans="1:22">
      <c r="B118" s="1431" t="s">
        <v>1574</v>
      </c>
      <c r="C118" s="1440">
        <f>SUM(D118:V118)</f>
        <v>3155.6064447127665</v>
      </c>
      <c r="D118" s="1423"/>
      <c r="E118" s="1423"/>
      <c r="F118" s="1423"/>
      <c r="G118" s="1423"/>
      <c r="H118" s="1423"/>
      <c r="I118" s="1410"/>
      <c r="J118" s="1423"/>
      <c r="K118" s="1423"/>
      <c r="L118" s="1423"/>
      <c r="M118" s="1423"/>
      <c r="N118" s="1423"/>
      <c r="O118" s="1423"/>
      <c r="P118" s="1423">
        <v>0</v>
      </c>
      <c r="Q118" s="1423">
        <f>E114</f>
        <v>0</v>
      </c>
      <c r="R118" s="1423">
        <f>F114</f>
        <v>0</v>
      </c>
      <c r="S118" s="1423">
        <v>0</v>
      </c>
      <c r="T118" s="1423">
        <f>C114/2</f>
        <v>1577.8032223563832</v>
      </c>
      <c r="U118" s="1423">
        <f>C114-S118-T118</f>
        <v>1577.8032223563832</v>
      </c>
      <c r="V118" s="1423">
        <f>J114</f>
        <v>0</v>
      </c>
    </row>
    <row r="119" spans="1:22">
      <c r="B119" s="1431" t="s">
        <v>869</v>
      </c>
      <c r="C119" s="1440">
        <f>SUM(D119:V119)</f>
        <v>1230.6865134379791</v>
      </c>
      <c r="D119" s="1440">
        <f t="shared" ref="D119:M119" si="92">D117*D21</f>
        <v>0</v>
      </c>
      <c r="E119" s="1440">
        <f t="shared" si="92"/>
        <v>0</v>
      </c>
      <c r="F119" s="1440">
        <f t="shared" si="92"/>
        <v>0</v>
      </c>
      <c r="G119" s="1440">
        <f t="shared" si="92"/>
        <v>0</v>
      </c>
      <c r="H119" s="1440">
        <f t="shared" si="92"/>
        <v>0</v>
      </c>
      <c r="I119" s="1440">
        <f t="shared" si="92"/>
        <v>0</v>
      </c>
      <c r="J119" s="1440">
        <f t="shared" si="92"/>
        <v>0</v>
      </c>
      <c r="K119" s="1440">
        <f t="shared" si="92"/>
        <v>0</v>
      </c>
      <c r="L119" s="1440">
        <f t="shared" si="92"/>
        <v>0</v>
      </c>
      <c r="M119" s="1440">
        <f t="shared" si="92"/>
        <v>0</v>
      </c>
      <c r="N119" s="1440">
        <f t="shared" ref="N119:V119" si="93">N117*N21</f>
        <v>0</v>
      </c>
      <c r="O119" s="1440">
        <f t="shared" si="93"/>
        <v>0</v>
      </c>
      <c r="P119" s="1440">
        <f t="shared" si="93"/>
        <v>0</v>
      </c>
      <c r="Q119" s="1440">
        <f t="shared" si="93"/>
        <v>0</v>
      </c>
      <c r="R119" s="1440">
        <f t="shared" si="93"/>
        <v>205.11441890632983</v>
      </c>
      <c r="S119" s="1440">
        <f t="shared" si="93"/>
        <v>410.22883781265966</v>
      </c>
      <c r="T119" s="1440">
        <f t="shared" si="93"/>
        <v>410.22883781265966</v>
      </c>
      <c r="U119" s="1440">
        <f t="shared" si="93"/>
        <v>205.11441890632983</v>
      </c>
      <c r="V119" s="1440">
        <f t="shared" si="93"/>
        <v>0</v>
      </c>
    </row>
    <row r="120" spans="1:22">
      <c r="B120" s="1431" t="s">
        <v>874</v>
      </c>
      <c r="C120" s="1440"/>
      <c r="D120" s="1440">
        <f t="shared" ref="D120:M120" si="94">D117-D118</f>
        <v>0</v>
      </c>
      <c r="E120" s="1440">
        <f t="shared" si="94"/>
        <v>0</v>
      </c>
      <c r="F120" s="1440">
        <f t="shared" si="94"/>
        <v>0</v>
      </c>
      <c r="G120" s="1440">
        <f t="shared" si="94"/>
        <v>0</v>
      </c>
      <c r="H120" s="1440">
        <f t="shared" si="94"/>
        <v>0</v>
      </c>
      <c r="I120" s="1440">
        <f t="shared" si="94"/>
        <v>0</v>
      </c>
      <c r="J120" s="1440">
        <f t="shared" si="94"/>
        <v>0</v>
      </c>
      <c r="K120" s="1440">
        <f t="shared" si="94"/>
        <v>0</v>
      </c>
      <c r="L120" s="1440">
        <f t="shared" si="94"/>
        <v>0</v>
      </c>
      <c r="M120" s="1440">
        <f t="shared" si="94"/>
        <v>0</v>
      </c>
      <c r="N120" s="1440">
        <f t="shared" ref="N120:V120" si="95">N117-N118</f>
        <v>0</v>
      </c>
      <c r="O120" s="1440">
        <f t="shared" si="95"/>
        <v>0</v>
      </c>
      <c r="P120" s="1440">
        <f t="shared" si="95"/>
        <v>0</v>
      </c>
      <c r="Q120" s="1440">
        <f t="shared" si="95"/>
        <v>0</v>
      </c>
      <c r="R120" s="1440">
        <f t="shared" si="95"/>
        <v>1577.8032223563832</v>
      </c>
      <c r="S120" s="1440">
        <f t="shared" si="95"/>
        <v>3155.6064447127665</v>
      </c>
      <c r="T120" s="1440">
        <f t="shared" si="95"/>
        <v>1577.8032223563832</v>
      </c>
      <c r="U120" s="1440">
        <f t="shared" si="95"/>
        <v>0</v>
      </c>
      <c r="V120" s="1440">
        <f t="shared" si="95"/>
        <v>0</v>
      </c>
    </row>
    <row r="121" spans="1:22">
      <c r="C121" s="1440"/>
      <c r="D121" s="1412"/>
      <c r="E121" s="1440"/>
      <c r="F121" s="1440"/>
      <c r="G121" s="1440"/>
      <c r="H121" s="1440"/>
    </row>
    <row r="122" spans="1:22">
      <c r="C122" s="1440"/>
    </row>
    <row r="123" spans="1:22" s="1407" customFormat="1">
      <c r="A123" s="1406">
        <v>9</v>
      </c>
      <c r="B123" s="1407" t="s">
        <v>350</v>
      </c>
      <c r="C123" s="1440"/>
      <c r="D123" s="1431">
        <f t="shared" ref="D123:J123" si="96">D95</f>
        <v>2013</v>
      </c>
      <c r="E123" s="1431">
        <f t="shared" si="96"/>
        <v>2014</v>
      </c>
      <c r="F123" s="1431">
        <f t="shared" si="96"/>
        <v>2015</v>
      </c>
      <c r="G123" s="1431">
        <f t="shared" si="96"/>
        <v>2016</v>
      </c>
      <c r="H123" s="1431">
        <f t="shared" si="96"/>
        <v>2017</v>
      </c>
      <c r="I123" s="1431">
        <f t="shared" si="96"/>
        <v>2018</v>
      </c>
      <c r="J123" s="1431">
        <f t="shared" si="96"/>
        <v>2019</v>
      </c>
      <c r="K123" s="1431">
        <f t="shared" ref="K123:V123" si="97">K95</f>
        <v>2020</v>
      </c>
      <c r="L123" s="1431">
        <f t="shared" si="97"/>
        <v>2021</v>
      </c>
      <c r="M123" s="1431">
        <f t="shared" si="97"/>
        <v>2022</v>
      </c>
      <c r="N123" s="1431">
        <f t="shared" si="97"/>
        <v>2023</v>
      </c>
      <c r="O123" s="1431">
        <f t="shared" si="97"/>
        <v>2024</v>
      </c>
      <c r="P123" s="1431">
        <f t="shared" si="97"/>
        <v>2025</v>
      </c>
      <c r="Q123" s="1431">
        <f t="shared" si="97"/>
        <v>2026</v>
      </c>
      <c r="R123" s="1431">
        <f t="shared" si="97"/>
        <v>2027</v>
      </c>
      <c r="S123" s="1431">
        <f t="shared" si="97"/>
        <v>2028</v>
      </c>
      <c r="T123" s="1431">
        <f t="shared" si="97"/>
        <v>2029</v>
      </c>
      <c r="U123" s="1431">
        <f t="shared" si="97"/>
        <v>2030</v>
      </c>
      <c r="V123" s="1431">
        <f t="shared" si="97"/>
        <v>2031</v>
      </c>
    </row>
    <row r="124" spans="1:22">
      <c r="B124" s="1432" t="s">
        <v>1575</v>
      </c>
      <c r="C124" s="1441"/>
      <c r="D124" s="1441">
        <f>D63</f>
        <v>0</v>
      </c>
      <c r="E124" s="1408">
        <f t="shared" ref="E124:M124" si="98">D124+E63</f>
        <v>0</v>
      </c>
      <c r="F124" s="1408">
        <f t="shared" si="98"/>
        <v>0</v>
      </c>
      <c r="G124" s="1408">
        <f t="shared" si="98"/>
        <v>0</v>
      </c>
      <c r="H124" s="1408">
        <f t="shared" si="98"/>
        <v>0</v>
      </c>
      <c r="I124" s="1408">
        <f t="shared" si="98"/>
        <v>0</v>
      </c>
      <c r="J124" s="1408">
        <f t="shared" si="98"/>
        <v>0</v>
      </c>
      <c r="K124" s="1408">
        <f t="shared" si="98"/>
        <v>0</v>
      </c>
      <c r="L124" s="1408">
        <f t="shared" si="98"/>
        <v>0</v>
      </c>
      <c r="M124" s="1408">
        <f t="shared" si="98"/>
        <v>0</v>
      </c>
      <c r="N124" s="1408">
        <f t="shared" ref="N124:V124" si="99">M124+N63</f>
        <v>0</v>
      </c>
      <c r="O124" s="1408">
        <f t="shared" si="99"/>
        <v>0</v>
      </c>
      <c r="P124" s="1408">
        <f t="shared" si="99"/>
        <v>0</v>
      </c>
      <c r="Q124" s="1408">
        <f t="shared" si="99"/>
        <v>0</v>
      </c>
      <c r="R124" s="1408">
        <f t="shared" si="99"/>
        <v>1786.8577867560002</v>
      </c>
      <c r="S124" s="1408">
        <f t="shared" si="99"/>
        <v>5720.9230139304609</v>
      </c>
      <c r="T124" s="1408">
        <f t="shared" si="99"/>
        <v>10079.754117979935</v>
      </c>
      <c r="U124" s="1408">
        <f t="shared" si="99"/>
        <v>12291.37778161095</v>
      </c>
      <c r="V124" s="1408">
        <f t="shared" si="99"/>
        <v>12291.37778161095</v>
      </c>
    </row>
    <row r="125" spans="1:22">
      <c r="B125" s="1431" t="s">
        <v>1576</v>
      </c>
      <c r="C125" s="1440"/>
      <c r="D125" s="1440">
        <f>D57</f>
        <v>0</v>
      </c>
      <c r="E125" s="1440">
        <f t="shared" ref="E125:M125" si="100">D125+E57</f>
        <v>0</v>
      </c>
      <c r="F125" s="1440">
        <f t="shared" si="100"/>
        <v>0</v>
      </c>
      <c r="G125" s="1440">
        <f t="shared" si="100"/>
        <v>0</v>
      </c>
      <c r="H125" s="1440">
        <f t="shared" si="100"/>
        <v>0</v>
      </c>
      <c r="I125" s="1440">
        <f t="shared" si="100"/>
        <v>0</v>
      </c>
      <c r="J125" s="1440">
        <f t="shared" si="100"/>
        <v>0</v>
      </c>
      <c r="K125" s="1440">
        <f t="shared" si="100"/>
        <v>0</v>
      </c>
      <c r="L125" s="1440">
        <f t="shared" si="100"/>
        <v>0</v>
      </c>
      <c r="M125" s="1440">
        <f t="shared" si="100"/>
        <v>0</v>
      </c>
      <c r="N125" s="1440">
        <f t="shared" ref="N125:V125" si="101">M125+N57</f>
        <v>0</v>
      </c>
      <c r="O125" s="1440">
        <f t="shared" si="101"/>
        <v>0</v>
      </c>
      <c r="P125" s="1440">
        <f t="shared" si="101"/>
        <v>0</v>
      </c>
      <c r="Q125" s="1440">
        <f t="shared" si="101"/>
        <v>0</v>
      </c>
      <c r="R125" s="1440">
        <f t="shared" si="101"/>
        <v>0</v>
      </c>
      <c r="S125" s="1440">
        <f t="shared" si="101"/>
        <v>0</v>
      </c>
      <c r="T125" s="1440">
        <f t="shared" si="101"/>
        <v>0</v>
      </c>
      <c r="U125" s="1440">
        <f t="shared" si="101"/>
        <v>6145.6888908054752</v>
      </c>
      <c r="V125" s="1440">
        <f t="shared" si="101"/>
        <v>12291.37778161095</v>
      </c>
    </row>
    <row r="126" spans="1:22">
      <c r="B126" s="1431" t="s">
        <v>1577</v>
      </c>
      <c r="C126" s="1440"/>
      <c r="D126" s="1440">
        <f>D50</f>
        <v>0</v>
      </c>
      <c r="E126" s="1440">
        <f t="shared" ref="E126:M126" si="102">D126+E50</f>
        <v>0</v>
      </c>
      <c r="F126" s="1440">
        <f t="shared" si="102"/>
        <v>0</v>
      </c>
      <c r="G126" s="1440">
        <f t="shared" si="102"/>
        <v>0</v>
      </c>
      <c r="H126" s="1440">
        <f t="shared" si="102"/>
        <v>0</v>
      </c>
      <c r="I126" s="1440">
        <f t="shared" si="102"/>
        <v>0</v>
      </c>
      <c r="J126" s="1440">
        <f t="shared" si="102"/>
        <v>0</v>
      </c>
      <c r="K126" s="1440">
        <f t="shared" si="102"/>
        <v>0</v>
      </c>
      <c r="L126" s="1440">
        <f t="shared" si="102"/>
        <v>0</v>
      </c>
      <c r="M126" s="1440">
        <f t="shared" si="102"/>
        <v>0</v>
      </c>
      <c r="N126" s="1440">
        <f t="shared" ref="N126:V126" si="103">M126+N50</f>
        <v>0</v>
      </c>
      <c r="O126" s="1440">
        <f t="shared" si="103"/>
        <v>0</v>
      </c>
      <c r="P126" s="1440">
        <f t="shared" si="103"/>
        <v>0</v>
      </c>
      <c r="Q126" s="1440">
        <f t="shared" si="103"/>
        <v>0</v>
      </c>
      <c r="R126" s="1440">
        <f t="shared" si="103"/>
        <v>3573.7155735120004</v>
      </c>
      <c r="S126" s="1440">
        <f t="shared" si="103"/>
        <v>7868.1304543489214</v>
      </c>
      <c r="T126" s="1440">
        <f t="shared" si="103"/>
        <v>12291.37778161095</v>
      </c>
      <c r="U126" s="1440">
        <f t="shared" si="103"/>
        <v>12291.37778161095</v>
      </c>
      <c r="V126" s="1440">
        <f t="shared" si="103"/>
        <v>12291.37778161095</v>
      </c>
    </row>
    <row r="127" spans="1:22">
      <c r="B127" s="1431" t="s">
        <v>1578</v>
      </c>
      <c r="C127" s="1440"/>
      <c r="D127" s="1436" t="str">
        <f t="shared" ref="D127:J127" si="104">IF(D124&lt;&gt;0,D124/D126,"")</f>
        <v/>
      </c>
      <c r="E127" s="1436" t="str">
        <f t="shared" si="104"/>
        <v/>
      </c>
      <c r="F127" s="1436" t="str">
        <f t="shared" si="104"/>
        <v/>
      </c>
      <c r="G127" s="1436" t="str">
        <f t="shared" si="104"/>
        <v/>
      </c>
      <c r="H127" s="1436" t="str">
        <f t="shared" si="104"/>
        <v/>
      </c>
      <c r="I127" s="1436" t="str">
        <f t="shared" si="104"/>
        <v/>
      </c>
      <c r="J127" s="1436" t="str">
        <f t="shared" si="104"/>
        <v/>
      </c>
      <c r="K127" s="1436" t="str">
        <f t="shared" ref="K127:V127" si="105">IF(K124&lt;&gt;0,K124/K126,"")</f>
        <v/>
      </c>
      <c r="L127" s="1436" t="str">
        <f t="shared" si="105"/>
        <v/>
      </c>
      <c r="M127" s="1436" t="str">
        <f t="shared" si="105"/>
        <v/>
      </c>
      <c r="N127" s="1436" t="str">
        <f t="shared" si="105"/>
        <v/>
      </c>
      <c r="O127" s="1436" t="str">
        <f t="shared" si="105"/>
        <v/>
      </c>
      <c r="P127" s="1436" t="str">
        <f t="shared" si="105"/>
        <v/>
      </c>
      <c r="Q127" s="1436" t="str">
        <f t="shared" si="105"/>
        <v/>
      </c>
      <c r="R127" s="1436">
        <f t="shared" si="105"/>
        <v>0.5</v>
      </c>
      <c r="S127" s="1436">
        <f t="shared" si="105"/>
        <v>0.72710068130204386</v>
      </c>
      <c r="T127" s="1436">
        <f t="shared" si="105"/>
        <v>0.82006706628610748</v>
      </c>
      <c r="U127" s="1436">
        <f t="shared" si="105"/>
        <v>1</v>
      </c>
      <c r="V127" s="1436">
        <f t="shared" si="105"/>
        <v>1</v>
      </c>
    </row>
    <row r="128" spans="1:22">
      <c r="B128" s="1431" t="s">
        <v>1579</v>
      </c>
      <c r="C128" s="1440"/>
      <c r="D128" s="1410">
        <f t="shared" ref="D128:J128" si="106">IF(D124&gt;D125,D124-D125,0)</f>
        <v>0</v>
      </c>
      <c r="E128" s="1410">
        <f t="shared" si="106"/>
        <v>0</v>
      </c>
      <c r="F128" s="1410">
        <f t="shared" si="106"/>
        <v>0</v>
      </c>
      <c r="G128" s="1410">
        <f t="shared" si="106"/>
        <v>0</v>
      </c>
      <c r="H128" s="1410">
        <f t="shared" si="106"/>
        <v>0</v>
      </c>
      <c r="I128" s="1410">
        <f t="shared" si="106"/>
        <v>0</v>
      </c>
      <c r="J128" s="1410">
        <f t="shared" si="106"/>
        <v>0</v>
      </c>
      <c r="K128" s="1410">
        <f t="shared" ref="K128:V128" si="107">IF(K124&gt;K125,K124-K125,0)</f>
        <v>0</v>
      </c>
      <c r="L128" s="1410">
        <f t="shared" si="107"/>
        <v>0</v>
      </c>
      <c r="M128" s="1410">
        <f t="shared" si="107"/>
        <v>0</v>
      </c>
      <c r="N128" s="1410">
        <f t="shared" si="107"/>
        <v>0</v>
      </c>
      <c r="O128" s="1410">
        <f t="shared" si="107"/>
        <v>0</v>
      </c>
      <c r="P128" s="1410">
        <f t="shared" si="107"/>
        <v>0</v>
      </c>
      <c r="Q128" s="1410">
        <f t="shared" si="107"/>
        <v>0</v>
      </c>
      <c r="R128" s="1410">
        <f t="shared" si="107"/>
        <v>1786.8577867560002</v>
      </c>
      <c r="S128" s="1410">
        <f t="shared" si="107"/>
        <v>5720.9230139304609</v>
      </c>
      <c r="T128" s="1410">
        <f t="shared" si="107"/>
        <v>10079.754117979935</v>
      </c>
      <c r="U128" s="1410">
        <f t="shared" si="107"/>
        <v>6145.6888908054752</v>
      </c>
      <c r="V128" s="1410">
        <f t="shared" si="107"/>
        <v>0</v>
      </c>
    </row>
    <row r="129" spans="1:22" s="1407" customFormat="1">
      <c r="A129" s="1406"/>
      <c r="B129" s="1431" t="s">
        <v>1580</v>
      </c>
      <c r="C129" s="1440"/>
      <c r="D129" s="1410">
        <f t="shared" ref="D129:J129" si="108">IF(D125&gt;D124,D125-D124,0)</f>
        <v>0</v>
      </c>
      <c r="E129" s="1410">
        <f t="shared" si="108"/>
        <v>0</v>
      </c>
      <c r="F129" s="1410">
        <f t="shared" si="108"/>
        <v>0</v>
      </c>
      <c r="G129" s="1410">
        <f t="shared" si="108"/>
        <v>0</v>
      </c>
      <c r="H129" s="1410">
        <f t="shared" si="108"/>
        <v>0</v>
      </c>
      <c r="I129" s="1410">
        <f t="shared" si="108"/>
        <v>0</v>
      </c>
      <c r="J129" s="1410">
        <f t="shared" si="108"/>
        <v>0</v>
      </c>
      <c r="K129" s="1410">
        <f t="shared" ref="K129:V129" si="109">IF(K125&gt;K124,K125-K124,0)</f>
        <v>0</v>
      </c>
      <c r="L129" s="1410">
        <f t="shared" si="109"/>
        <v>0</v>
      </c>
      <c r="M129" s="1410">
        <f t="shared" si="109"/>
        <v>0</v>
      </c>
      <c r="N129" s="1410">
        <f t="shared" si="109"/>
        <v>0</v>
      </c>
      <c r="O129" s="1410">
        <f t="shared" si="109"/>
        <v>0</v>
      </c>
      <c r="P129" s="1410">
        <f t="shared" si="109"/>
        <v>0</v>
      </c>
      <c r="Q129" s="1410">
        <f t="shared" si="109"/>
        <v>0</v>
      </c>
      <c r="R129" s="1410">
        <f t="shared" si="109"/>
        <v>0</v>
      </c>
      <c r="S129" s="1410">
        <f t="shared" si="109"/>
        <v>0</v>
      </c>
      <c r="T129" s="1410">
        <f t="shared" si="109"/>
        <v>0</v>
      </c>
      <c r="U129" s="1410">
        <f t="shared" si="109"/>
        <v>0</v>
      </c>
      <c r="V129" s="1410">
        <f t="shared" si="109"/>
        <v>0</v>
      </c>
    </row>
    <row r="130" spans="1:22">
      <c r="B130" s="1407"/>
      <c r="E130" s="1440"/>
      <c r="F130" s="1440"/>
      <c r="G130" s="1440"/>
      <c r="H130" s="1440"/>
      <c r="I130" s="1440"/>
      <c r="J130" s="1440"/>
      <c r="K130" s="1440"/>
      <c r="L130" s="1440"/>
      <c r="M130" s="1440"/>
      <c r="N130" s="1440"/>
      <c r="O130" s="1440"/>
      <c r="P130" s="1440"/>
      <c r="Q130" s="1440"/>
      <c r="R130" s="1440"/>
      <c r="S130" s="1440"/>
      <c r="T130" s="1440"/>
      <c r="U130" s="1440"/>
      <c r="V130" s="1440"/>
    </row>
    <row r="131" spans="1:22">
      <c r="B131" s="1407" t="s">
        <v>1492</v>
      </c>
      <c r="E131" s="1440"/>
      <c r="F131" s="1440"/>
      <c r="G131" s="1440"/>
      <c r="H131" s="1440"/>
      <c r="I131" s="1440"/>
      <c r="J131" s="1440"/>
      <c r="K131" s="1440"/>
      <c r="L131" s="1440"/>
      <c r="M131" s="1440"/>
      <c r="N131" s="1440"/>
      <c r="O131" s="1440"/>
      <c r="P131" s="1440"/>
      <c r="Q131" s="1440"/>
      <c r="R131" s="1440"/>
      <c r="S131" s="1440"/>
      <c r="T131" s="1440"/>
      <c r="U131" s="1440"/>
      <c r="V131" s="1440"/>
    </row>
    <row r="132" spans="1:22">
      <c r="B132" s="1431" t="s">
        <v>1581</v>
      </c>
      <c r="D132" s="1412">
        <v>0</v>
      </c>
      <c r="E132" s="1410">
        <f t="shared" ref="E132:J132" si="110">D136</f>
        <v>0</v>
      </c>
      <c r="F132" s="1440">
        <f t="shared" si="110"/>
        <v>0</v>
      </c>
      <c r="G132" s="1440">
        <f t="shared" si="110"/>
        <v>0</v>
      </c>
      <c r="H132" s="1440">
        <f t="shared" si="110"/>
        <v>0</v>
      </c>
      <c r="I132" s="1440">
        <f t="shared" si="110"/>
        <v>0</v>
      </c>
      <c r="J132" s="1440">
        <f t="shared" si="110"/>
        <v>0</v>
      </c>
      <c r="K132" s="1440">
        <f t="shared" ref="K132:V132" si="111">J136</f>
        <v>0</v>
      </c>
      <c r="L132" s="1440">
        <f t="shared" si="111"/>
        <v>0</v>
      </c>
      <c r="M132" s="1440">
        <f t="shared" si="111"/>
        <v>0</v>
      </c>
      <c r="N132" s="1440">
        <f t="shared" si="111"/>
        <v>0</v>
      </c>
      <c r="O132" s="1440">
        <f t="shared" si="111"/>
        <v>0</v>
      </c>
      <c r="P132" s="1440">
        <f t="shared" si="111"/>
        <v>0</v>
      </c>
      <c r="Q132" s="1440">
        <f t="shared" si="111"/>
        <v>0</v>
      </c>
      <c r="R132" s="1440">
        <f t="shared" si="111"/>
        <v>0</v>
      </c>
      <c r="S132" s="1440">
        <f t="shared" si="111"/>
        <v>1230.42</v>
      </c>
      <c r="T132" s="1440">
        <f t="shared" si="111"/>
        <v>2238.42</v>
      </c>
      <c r="U132" s="1440">
        <f t="shared" si="111"/>
        <v>3582.42</v>
      </c>
      <c r="V132" s="1440">
        <f t="shared" si="111"/>
        <v>2295.21</v>
      </c>
    </row>
    <row r="133" spans="1:22">
      <c r="B133" s="1431" t="s">
        <v>994</v>
      </c>
      <c r="D133" s="1440">
        <f t="shared" ref="D133:M133" si="112">SUM(D99:D100)</f>
        <v>0</v>
      </c>
      <c r="E133" s="1440">
        <f t="shared" si="112"/>
        <v>0</v>
      </c>
      <c r="F133" s="1440">
        <f t="shared" si="112"/>
        <v>0</v>
      </c>
      <c r="G133" s="1440">
        <f t="shared" si="112"/>
        <v>0</v>
      </c>
      <c r="H133" s="1440">
        <f t="shared" si="112"/>
        <v>0</v>
      </c>
      <c r="I133" s="1440">
        <f t="shared" si="112"/>
        <v>0</v>
      </c>
      <c r="J133" s="1440">
        <f t="shared" si="112"/>
        <v>0</v>
      </c>
      <c r="K133" s="1440">
        <f t="shared" si="112"/>
        <v>0</v>
      </c>
      <c r="L133" s="1440">
        <f t="shared" si="112"/>
        <v>0</v>
      </c>
      <c r="M133" s="1440">
        <f t="shared" si="112"/>
        <v>0</v>
      </c>
      <c r="N133" s="1440">
        <f t="shared" ref="N133:V133" si="113">SUM(N99:N100)</f>
        <v>0</v>
      </c>
      <c r="O133" s="1440">
        <f t="shared" si="113"/>
        <v>0</v>
      </c>
      <c r="P133" s="1440">
        <f t="shared" si="113"/>
        <v>0</v>
      </c>
      <c r="Q133" s="1440">
        <f t="shared" si="113"/>
        <v>0</v>
      </c>
      <c r="R133" s="1440">
        <f t="shared" si="113"/>
        <v>1230.42</v>
      </c>
      <c r="S133" s="1440">
        <f t="shared" si="113"/>
        <v>1008</v>
      </c>
      <c r="T133" s="1440">
        <f t="shared" si="113"/>
        <v>1344</v>
      </c>
      <c r="U133" s="1440">
        <f t="shared" si="113"/>
        <v>1008</v>
      </c>
      <c r="V133" s="1440">
        <f t="shared" si="113"/>
        <v>0</v>
      </c>
    </row>
    <row r="134" spans="1:22">
      <c r="B134" s="1431" t="s">
        <v>1582</v>
      </c>
      <c r="D134" s="1431">
        <f t="shared" ref="D134:J134" si="114">$C$77*D58</f>
        <v>0</v>
      </c>
      <c r="E134" s="1431">
        <f t="shared" si="114"/>
        <v>0</v>
      </c>
      <c r="F134" s="1440">
        <f t="shared" si="114"/>
        <v>0</v>
      </c>
      <c r="G134" s="1440">
        <f t="shared" si="114"/>
        <v>0</v>
      </c>
      <c r="H134" s="1440">
        <f t="shared" si="114"/>
        <v>0</v>
      </c>
      <c r="I134" s="1440">
        <f t="shared" si="114"/>
        <v>0</v>
      </c>
      <c r="J134" s="1440">
        <f t="shared" si="114"/>
        <v>0</v>
      </c>
      <c r="K134" s="1440">
        <f t="shared" ref="K134:V134" si="115">$C$77*K58</f>
        <v>0</v>
      </c>
      <c r="L134" s="1440">
        <f t="shared" si="115"/>
        <v>0</v>
      </c>
      <c r="M134" s="1440">
        <f t="shared" si="115"/>
        <v>0</v>
      </c>
      <c r="N134" s="1440">
        <f t="shared" si="115"/>
        <v>0</v>
      </c>
      <c r="O134" s="1440">
        <f t="shared" si="115"/>
        <v>0</v>
      </c>
      <c r="P134" s="1440">
        <f t="shared" si="115"/>
        <v>0</v>
      </c>
      <c r="Q134" s="1440">
        <f t="shared" si="115"/>
        <v>0</v>
      </c>
      <c r="R134" s="1440">
        <f t="shared" si="115"/>
        <v>0</v>
      </c>
      <c r="S134" s="1440">
        <f t="shared" si="115"/>
        <v>0</v>
      </c>
      <c r="T134" s="1440">
        <f t="shared" si="115"/>
        <v>0</v>
      </c>
      <c r="U134" s="1440">
        <f t="shared" si="115"/>
        <v>615.34325671898955</v>
      </c>
      <c r="V134" s="1440">
        <f t="shared" si="115"/>
        <v>615.34325671898955</v>
      </c>
    </row>
    <row r="135" spans="1:22">
      <c r="B135" s="1431" t="s">
        <v>1583</v>
      </c>
      <c r="D135" s="1440">
        <f t="shared" ref="D135:J135" si="116">SUM(D75:D77)</f>
        <v>0</v>
      </c>
      <c r="E135" s="1440">
        <f t="shared" si="116"/>
        <v>0</v>
      </c>
      <c r="F135" s="1440">
        <f t="shared" si="116"/>
        <v>0</v>
      </c>
      <c r="G135" s="1440">
        <f t="shared" si="116"/>
        <v>0</v>
      </c>
      <c r="H135" s="1440">
        <f t="shared" si="116"/>
        <v>0</v>
      </c>
      <c r="I135" s="1440">
        <f t="shared" si="116"/>
        <v>0</v>
      </c>
      <c r="J135" s="1440">
        <f t="shared" si="116"/>
        <v>0</v>
      </c>
      <c r="K135" s="1440">
        <f t="shared" ref="K135:V135" si="117">SUM(K75:K77)</f>
        <v>0</v>
      </c>
      <c r="L135" s="1440">
        <f t="shared" si="117"/>
        <v>0</v>
      </c>
      <c r="M135" s="1440">
        <f t="shared" si="117"/>
        <v>0</v>
      </c>
      <c r="N135" s="1440">
        <f t="shared" si="117"/>
        <v>0</v>
      </c>
      <c r="O135" s="1440">
        <f t="shared" si="117"/>
        <v>0</v>
      </c>
      <c r="P135" s="1440">
        <f t="shared" si="117"/>
        <v>0</v>
      </c>
      <c r="Q135" s="1440">
        <f t="shared" si="117"/>
        <v>0</v>
      </c>
      <c r="R135" s="1440">
        <f t="shared" si="117"/>
        <v>0</v>
      </c>
      <c r="S135" s="1440">
        <f t="shared" si="117"/>
        <v>0</v>
      </c>
      <c r="T135" s="1440">
        <f t="shared" si="117"/>
        <v>0</v>
      </c>
      <c r="U135" s="1440">
        <f t="shared" si="117"/>
        <v>2910.5532567189894</v>
      </c>
      <c r="V135" s="1440">
        <f t="shared" si="117"/>
        <v>2910.5532567189894</v>
      </c>
    </row>
    <row r="136" spans="1:22">
      <c r="B136" s="1431" t="s">
        <v>874</v>
      </c>
      <c r="D136" s="1440">
        <f t="shared" ref="D136:M136" si="118">SUM(D132:D134)-D135</f>
        <v>0</v>
      </c>
      <c r="E136" s="1440">
        <f t="shared" si="118"/>
        <v>0</v>
      </c>
      <c r="F136" s="1440">
        <f t="shared" si="118"/>
        <v>0</v>
      </c>
      <c r="G136" s="1440">
        <f t="shared" si="118"/>
        <v>0</v>
      </c>
      <c r="H136" s="1440">
        <f t="shared" si="118"/>
        <v>0</v>
      </c>
      <c r="I136" s="1440">
        <f t="shared" si="118"/>
        <v>0</v>
      </c>
      <c r="J136" s="1440">
        <f t="shared" si="118"/>
        <v>0</v>
      </c>
      <c r="K136" s="1440">
        <f t="shared" si="118"/>
        <v>0</v>
      </c>
      <c r="L136" s="1440">
        <f t="shared" si="118"/>
        <v>0</v>
      </c>
      <c r="M136" s="1440">
        <f t="shared" si="118"/>
        <v>0</v>
      </c>
      <c r="N136" s="1440">
        <f t="shared" ref="N136:V136" si="119">SUM(N132:N134)-N135</f>
        <v>0</v>
      </c>
      <c r="O136" s="1440">
        <f t="shared" si="119"/>
        <v>0</v>
      </c>
      <c r="P136" s="1440">
        <f t="shared" si="119"/>
        <v>0</v>
      </c>
      <c r="Q136" s="1440">
        <f t="shared" si="119"/>
        <v>0</v>
      </c>
      <c r="R136" s="1440">
        <f t="shared" si="119"/>
        <v>1230.42</v>
      </c>
      <c r="S136" s="1440">
        <f t="shared" si="119"/>
        <v>2238.42</v>
      </c>
      <c r="T136" s="1440">
        <f t="shared" si="119"/>
        <v>3582.42</v>
      </c>
      <c r="U136" s="1440">
        <f t="shared" si="119"/>
        <v>2295.21</v>
      </c>
      <c r="V136" s="1440">
        <f t="shared" si="119"/>
        <v>0</v>
      </c>
    </row>
    <row r="137" spans="1:22">
      <c r="A137" s="1430" t="s">
        <v>1584</v>
      </c>
      <c r="B137" s="1432"/>
      <c r="C137" s="1432"/>
      <c r="D137" s="1432"/>
      <c r="E137" s="1432"/>
      <c r="F137" s="1432"/>
      <c r="G137" s="1432"/>
      <c r="H137" s="1432"/>
      <c r="I137" s="1432"/>
      <c r="J137" s="1432"/>
      <c r="K137" s="1432"/>
      <c r="L137" s="1432"/>
      <c r="M137" s="1432"/>
      <c r="N137" s="1432"/>
      <c r="O137" s="1432"/>
      <c r="P137" s="1432"/>
      <c r="Q137" s="1432"/>
      <c r="R137" s="1432"/>
      <c r="S137" s="1432"/>
      <c r="T137" s="1432"/>
      <c r="U137" s="1432"/>
      <c r="V137" s="1432"/>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T138"/>
  <sheetViews>
    <sheetView topLeftCell="A38" zoomScaleNormal="100" workbookViewId="0"/>
  </sheetViews>
  <sheetFormatPr defaultColWidth="9.140625" defaultRowHeight="12"/>
  <cols>
    <col min="1" max="1" width="5.85546875" style="1406" customWidth="1"/>
    <col min="2" max="2" width="27.140625" style="1431" customWidth="1"/>
    <col min="3" max="13" width="9.140625" style="1431" customWidth="1"/>
    <col min="14" max="14" width="9.140625" style="1431" bestFit="1" customWidth="1"/>
    <col min="15" max="16384" width="9.140625" style="1431"/>
  </cols>
  <sheetData>
    <row r="1" spans="1:20" ht="21">
      <c r="A1" s="1404" t="s">
        <v>1920</v>
      </c>
    </row>
    <row r="2" spans="1:20">
      <c r="A2" s="1405" t="s">
        <v>1776</v>
      </c>
    </row>
    <row r="4" spans="1:20">
      <c r="B4" s="1407" t="s">
        <v>1539</v>
      </c>
      <c r="F4" s="1407" t="s">
        <v>1540</v>
      </c>
      <c r="K4" s="1407" t="s">
        <v>1595</v>
      </c>
      <c r="P4" s="1407" t="s">
        <v>1783</v>
      </c>
    </row>
    <row r="5" spans="1:20">
      <c r="B5" s="1432" t="s">
        <v>748</v>
      </c>
      <c r="C5" s="1432"/>
      <c r="D5" s="1408">
        <f>SUM(D6:D8)</f>
        <v>1522.6100000000001</v>
      </c>
      <c r="F5" s="1432" t="s">
        <v>636</v>
      </c>
      <c r="G5" s="1432"/>
      <c r="H5" s="1432"/>
      <c r="I5" s="1409">
        <v>1</v>
      </c>
      <c r="K5" s="1432" t="s">
        <v>26</v>
      </c>
      <c r="L5" s="1432"/>
      <c r="M5" s="1432"/>
      <c r="N5" s="1441">
        <f>C84</f>
        <v>2411.5</v>
      </c>
      <c r="P5" s="1432" t="s">
        <v>1777</v>
      </c>
      <c r="Q5" s="1432"/>
      <c r="R5" s="1432"/>
      <c r="S5" s="1422">
        <v>1506</v>
      </c>
    </row>
    <row r="6" spans="1:20">
      <c r="B6" s="1431" t="s">
        <v>678</v>
      </c>
      <c r="D6" s="1410">
        <f>SUM(E31:E32)</f>
        <v>275</v>
      </c>
      <c r="F6" s="1431" t="s">
        <v>1542</v>
      </c>
      <c r="I6" s="1586">
        <v>0.5</v>
      </c>
      <c r="K6" s="1431" t="s">
        <v>197</v>
      </c>
      <c r="N6" s="1436">
        <f>C92</f>
        <v>0.39495343147418616</v>
      </c>
      <c r="P6" s="1431" t="s">
        <v>1778</v>
      </c>
      <c r="S6" s="1440">
        <f>D42/S5</f>
        <v>60.424966799468791</v>
      </c>
    </row>
    <row r="7" spans="1:20">
      <c r="B7" s="1431" t="s">
        <v>750</v>
      </c>
      <c r="D7" s="1410">
        <f>C71</f>
        <v>910</v>
      </c>
      <c r="F7" s="1431" t="s">
        <v>759</v>
      </c>
      <c r="I7" s="1440">
        <f>C115</f>
        <v>761.30500000000006</v>
      </c>
      <c r="K7" s="1431" t="s">
        <v>1779</v>
      </c>
      <c r="N7" s="1436">
        <f>C93</f>
        <v>0</v>
      </c>
      <c r="P7" s="1431" t="s">
        <v>1792</v>
      </c>
      <c r="S7" s="1412">
        <v>26.5</v>
      </c>
      <c r="T7" s="1412"/>
    </row>
    <row r="8" spans="1:20">
      <c r="B8" s="1431" t="s">
        <v>656</v>
      </c>
      <c r="D8" s="1440">
        <f>C80</f>
        <v>337.61</v>
      </c>
      <c r="F8" s="1431" t="s">
        <v>1544</v>
      </c>
      <c r="I8" s="1433">
        <f>G23</f>
        <v>0.1105</v>
      </c>
      <c r="K8" s="1431" t="s">
        <v>1720</v>
      </c>
      <c r="N8" s="1440">
        <f>C106</f>
        <v>0</v>
      </c>
      <c r="P8" s="1431" t="s">
        <v>1784</v>
      </c>
      <c r="S8" s="1423">
        <v>25</v>
      </c>
      <c r="T8" s="1423"/>
    </row>
    <row r="9" spans="1:20">
      <c r="B9" s="1431" t="s">
        <v>869</v>
      </c>
      <c r="D9" s="1440">
        <f>C120</f>
        <v>274.06979999999999</v>
      </c>
      <c r="F9" s="1431" t="s">
        <v>1588</v>
      </c>
      <c r="I9" s="1425">
        <f>B110</f>
        <v>0.56374784469727568</v>
      </c>
      <c r="K9" s="1431" t="s">
        <v>1601</v>
      </c>
      <c r="N9" s="1410">
        <f>C91</f>
        <v>0</v>
      </c>
      <c r="P9" s="1431" t="s">
        <v>1560</v>
      </c>
      <c r="S9" s="1416">
        <v>0.7</v>
      </c>
    </row>
    <row r="10" spans="1:20">
      <c r="B10" s="1431" t="s">
        <v>1543</v>
      </c>
      <c r="D10" s="1412">
        <v>2019</v>
      </c>
      <c r="F10" s="1431" t="s">
        <v>1781</v>
      </c>
      <c r="I10" s="1436" t="e">
        <f>C106/C91</f>
        <v>#DIV/0!</v>
      </c>
      <c r="K10" s="1431" t="s">
        <v>1141</v>
      </c>
      <c r="N10" s="1423">
        <v>11000</v>
      </c>
      <c r="P10" s="1431" t="s">
        <v>1785</v>
      </c>
      <c r="S10" s="1423">
        <v>7</v>
      </c>
    </row>
    <row r="11" spans="1:20">
      <c r="B11" s="1431" t="s">
        <v>751</v>
      </c>
      <c r="D11" s="1412">
        <v>2022</v>
      </c>
      <c r="F11" s="1431" t="s">
        <v>1782</v>
      </c>
      <c r="I11" s="1436">
        <f>C71/C50</f>
        <v>0.37735849056603776</v>
      </c>
      <c r="K11" s="1431" t="s">
        <v>686</v>
      </c>
      <c r="N11" s="1643">
        <v>130000</v>
      </c>
      <c r="P11" s="1431" t="s">
        <v>1786</v>
      </c>
      <c r="S11" s="1596">
        <f>'Opal Central Park'!$S$11</f>
        <v>0.14000000000000001</v>
      </c>
    </row>
    <row r="12" spans="1:20">
      <c r="B12" s="1431" t="s">
        <v>1545</v>
      </c>
      <c r="D12" s="1594">
        <f>'Opal Garden'!D12</f>
        <v>2022</v>
      </c>
      <c r="F12" s="1431" t="s">
        <v>1780</v>
      </c>
      <c r="I12" s="1436">
        <f>E32/C50</f>
        <v>0.11403690648973668</v>
      </c>
      <c r="K12" s="1431" t="s">
        <v>1790</v>
      </c>
      <c r="N12" s="1599" t="s">
        <v>1921</v>
      </c>
      <c r="P12" s="1431" t="s">
        <v>1791</v>
      </c>
      <c r="S12" s="1423"/>
    </row>
    <row r="13" spans="1:20">
      <c r="E13" s="1412"/>
      <c r="J13" s="1413"/>
    </row>
    <row r="14" spans="1:20">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row>
    <row r="15" spans="1:20">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row>
    <row r="16" spans="1:20">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v>1.3</v>
      </c>
      <c r="O16" s="1431">
        <v>1.3</v>
      </c>
      <c r="P16" s="1431">
        <v>1.3</v>
      </c>
      <c r="Q16" s="1431">
        <v>1.3</v>
      </c>
    </row>
    <row r="17" spans="1:17">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row>
    <row r="18" spans="1:17">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row>
    <row r="19" spans="1:17">
      <c r="B19" s="1431" t="s">
        <v>758</v>
      </c>
      <c r="D19" s="1433">
        <f t="shared" ref="D19:Q19" si="1">D17+D16*D18</f>
        <v>0.125</v>
      </c>
      <c r="E19" s="1433">
        <f t="shared" si="1"/>
        <v>0.125</v>
      </c>
      <c r="F19" s="1433">
        <f t="shared" si="1"/>
        <v>0.125</v>
      </c>
      <c r="G19" s="1433">
        <f t="shared" si="1"/>
        <v>0.125</v>
      </c>
      <c r="H19" s="1433">
        <f t="shared" si="1"/>
        <v>0.125</v>
      </c>
      <c r="I19" s="1433">
        <f t="shared" si="1"/>
        <v>0.125</v>
      </c>
      <c r="J19" s="1433">
        <f t="shared" si="1"/>
        <v>0.125</v>
      </c>
      <c r="K19" s="1433">
        <f t="shared" si="1"/>
        <v>0.125</v>
      </c>
      <c r="L19" s="1433">
        <f t="shared" si="1"/>
        <v>0.125</v>
      </c>
      <c r="M19" s="1433">
        <f t="shared" si="1"/>
        <v>0.125</v>
      </c>
      <c r="N19" s="1433">
        <f t="shared" si="1"/>
        <v>0.14600000000000002</v>
      </c>
      <c r="O19" s="1433">
        <f t="shared" si="1"/>
        <v>0.14600000000000002</v>
      </c>
      <c r="P19" s="1433">
        <f t="shared" si="1"/>
        <v>0.14600000000000002</v>
      </c>
      <c r="Q19" s="1433">
        <f t="shared" si="1"/>
        <v>0.14600000000000002</v>
      </c>
    </row>
    <row r="20" spans="1:17">
      <c r="B20" s="1431" t="s">
        <v>1542</v>
      </c>
      <c r="D20" s="1436">
        <f t="shared" ref="D20:Q20" si="2">$I$6</f>
        <v>0.5</v>
      </c>
      <c r="E20" s="1436">
        <f t="shared" si="2"/>
        <v>0.5</v>
      </c>
      <c r="F20" s="1436">
        <f t="shared" si="2"/>
        <v>0.5</v>
      </c>
      <c r="G20" s="1436">
        <f t="shared" si="2"/>
        <v>0.5</v>
      </c>
      <c r="H20" s="1436">
        <f t="shared" si="2"/>
        <v>0.5</v>
      </c>
      <c r="I20" s="1436">
        <f t="shared" si="2"/>
        <v>0.5</v>
      </c>
      <c r="J20" s="1436">
        <f t="shared" si="2"/>
        <v>0.5</v>
      </c>
      <c r="K20" s="1436">
        <f t="shared" si="2"/>
        <v>0.5</v>
      </c>
      <c r="L20" s="1436">
        <f t="shared" si="2"/>
        <v>0.5</v>
      </c>
      <c r="M20" s="1436">
        <f t="shared" si="2"/>
        <v>0.5</v>
      </c>
      <c r="N20" s="1436">
        <f t="shared" si="2"/>
        <v>0.5</v>
      </c>
      <c r="O20" s="1436">
        <f t="shared" si="2"/>
        <v>0.5</v>
      </c>
      <c r="P20" s="1436">
        <f t="shared" si="2"/>
        <v>0.5</v>
      </c>
      <c r="Q20" s="1436">
        <f t="shared" si="2"/>
        <v>0.5</v>
      </c>
    </row>
    <row r="21" spans="1:17">
      <c r="B21" s="1431" t="s">
        <v>760</v>
      </c>
      <c r="D21" s="1581">
        <f>'Opal Central Park'!D21</f>
        <v>0.14000000000000001</v>
      </c>
      <c r="E21" s="1581">
        <f>'Opal Central Park'!E21</f>
        <v>0.13</v>
      </c>
      <c r="F21" s="1581">
        <f>'Opal Central Park'!F21</f>
        <v>0.1</v>
      </c>
      <c r="G21" s="1581">
        <f>'Opal Central Park'!G21</f>
        <v>0.12</v>
      </c>
      <c r="H21" s="1425">
        <f>G21</f>
        <v>0.12</v>
      </c>
      <c r="I21" s="1418">
        <f t="shared" ref="H21:Q22" si="3">H21</f>
        <v>0.12</v>
      </c>
      <c r="J21" s="1418">
        <f t="shared" si="3"/>
        <v>0.12</v>
      </c>
      <c r="K21" s="1418">
        <f t="shared" si="3"/>
        <v>0.12</v>
      </c>
      <c r="L21" s="1418">
        <f t="shared" si="3"/>
        <v>0.12</v>
      </c>
      <c r="M21" s="1418">
        <f t="shared" si="3"/>
        <v>0.12</v>
      </c>
      <c r="N21" s="1418">
        <v>0.13</v>
      </c>
      <c r="O21" s="1418">
        <v>0.13</v>
      </c>
      <c r="P21" s="1418">
        <v>0.13</v>
      </c>
      <c r="Q21" s="1418">
        <v>0.13</v>
      </c>
    </row>
    <row r="22" spans="1:17">
      <c r="B22" s="1431" t="s">
        <v>846</v>
      </c>
      <c r="D22" s="1596">
        <f>'Opal Central Park'!D22</f>
        <v>0.22</v>
      </c>
      <c r="E22" s="1596">
        <f>'Opal Central Park'!E22</f>
        <v>0.22</v>
      </c>
      <c r="F22" s="1596">
        <f>'Opal Central Park'!F22</f>
        <v>0.22</v>
      </c>
      <c r="G22" s="1596">
        <f>'Opal Central Park'!G22</f>
        <v>0.2</v>
      </c>
      <c r="H22" s="1417">
        <f t="shared" si="3"/>
        <v>0.2</v>
      </c>
      <c r="I22" s="1417">
        <f t="shared" si="3"/>
        <v>0.2</v>
      </c>
      <c r="J22" s="1417">
        <f t="shared" si="3"/>
        <v>0.2</v>
      </c>
      <c r="K22" s="1417">
        <f t="shared" si="3"/>
        <v>0.2</v>
      </c>
      <c r="L22" s="1417">
        <f t="shared" si="3"/>
        <v>0.2</v>
      </c>
      <c r="M22" s="1417">
        <f t="shared" si="3"/>
        <v>0.2</v>
      </c>
      <c r="N22" s="1417">
        <f t="shared" si="3"/>
        <v>0.2</v>
      </c>
      <c r="O22" s="1417">
        <f t="shared" si="3"/>
        <v>0.2</v>
      </c>
      <c r="P22" s="1417">
        <f t="shared" si="3"/>
        <v>0.2</v>
      </c>
      <c r="Q22" s="1417">
        <f t="shared" si="3"/>
        <v>0.2</v>
      </c>
    </row>
    <row r="23" spans="1:17">
      <c r="B23" s="1419" t="s">
        <v>14</v>
      </c>
      <c r="C23" s="1432"/>
      <c r="D23" s="1437">
        <f>D19*D15+D21*D20*(1-D22)</f>
        <v>0.11710000000000001</v>
      </c>
      <c r="E23" s="1437">
        <f t="shared" ref="E23:Q23" si="4">E19*E15+E21*E20*(1-E22)</f>
        <v>0.1132</v>
      </c>
      <c r="F23" s="1437">
        <f>F19*F15+F21*F20*(1-F22)</f>
        <v>0.10150000000000001</v>
      </c>
      <c r="G23" s="1437">
        <f>G19*G15+G21*G20*(1-G22)</f>
        <v>0.1105</v>
      </c>
      <c r="H23" s="1437">
        <f>H19*H15+H21*H20*(1-H22)</f>
        <v>0.1105</v>
      </c>
      <c r="I23" s="1437">
        <f>I19*I15+I21*I20*(1-I22)</f>
        <v>0.1105</v>
      </c>
      <c r="J23" s="1437">
        <f t="shared" si="4"/>
        <v>0.1105</v>
      </c>
      <c r="K23" s="1437">
        <f t="shared" si="4"/>
        <v>0.1105</v>
      </c>
      <c r="L23" s="1437">
        <f t="shared" si="4"/>
        <v>0.1105</v>
      </c>
      <c r="M23" s="1437">
        <f t="shared" si="4"/>
        <v>0.1105</v>
      </c>
      <c r="N23" s="1437">
        <f t="shared" si="4"/>
        <v>0.125</v>
      </c>
      <c r="O23" s="1437">
        <f t="shared" si="4"/>
        <v>0.125</v>
      </c>
      <c r="P23" s="1437">
        <f t="shared" si="4"/>
        <v>0.125</v>
      </c>
      <c r="Q23" s="1437">
        <f t="shared" si="4"/>
        <v>0.125</v>
      </c>
    </row>
    <row r="24" spans="1:17">
      <c r="E24" s="1412"/>
      <c r="J24" s="1413"/>
    </row>
    <row r="25" spans="1:17">
      <c r="E25" s="1412"/>
      <c r="J25" s="1413"/>
    </row>
    <row r="26" spans="1:17" ht="15.75">
      <c r="A26" s="1420" t="s">
        <v>1548</v>
      </c>
      <c r="B26" s="1438"/>
    </row>
    <row r="28" spans="1:17" s="1407" customFormat="1">
      <c r="A28" s="1406" t="s">
        <v>762</v>
      </c>
      <c r="B28" s="1407" t="s">
        <v>1459</v>
      </c>
      <c r="C28" s="1407" t="s">
        <v>764</v>
      </c>
      <c r="D28" s="1407" t="s">
        <v>1549</v>
      </c>
      <c r="E28" s="1407" t="s">
        <v>1550</v>
      </c>
    </row>
    <row r="29" spans="1:17">
      <c r="A29" s="1421"/>
      <c r="B29" s="1432" t="s">
        <v>1551</v>
      </c>
      <c r="C29" s="1432" t="s">
        <v>1552</v>
      </c>
      <c r="D29" s="1432"/>
      <c r="E29" s="1408">
        <f>N10</f>
        <v>11000</v>
      </c>
    </row>
    <row r="30" spans="1:17">
      <c r="B30" s="1431" t="s">
        <v>1553</v>
      </c>
      <c r="C30" s="1431" t="s">
        <v>1552</v>
      </c>
      <c r="E30" s="1410">
        <f>E29</f>
        <v>11000</v>
      </c>
    </row>
    <row r="31" spans="1:17">
      <c r="B31" s="1431" t="s">
        <v>1554</v>
      </c>
      <c r="C31" s="1431" t="s">
        <v>1555</v>
      </c>
      <c r="D31" s="1446"/>
      <c r="E31" s="1410">
        <f>E29*D31</f>
        <v>0</v>
      </c>
    </row>
    <row r="32" spans="1:17">
      <c r="B32" s="1431" t="s">
        <v>1556</v>
      </c>
      <c r="C32" s="1431" t="s">
        <v>1555</v>
      </c>
      <c r="D32" s="1654">
        <f>S8</f>
        <v>25</v>
      </c>
      <c r="E32" s="1440">
        <f>D32*E29/1000</f>
        <v>275</v>
      </c>
    </row>
    <row r="34" spans="1:15">
      <c r="B34" s="1407" t="s">
        <v>773</v>
      </c>
      <c r="C34" s="1431" t="s">
        <v>642</v>
      </c>
      <c r="D34" s="1447">
        <f t="shared" ref="D34:O34" si="5">D14</f>
        <v>2013</v>
      </c>
      <c r="E34" s="1447">
        <f t="shared" si="5"/>
        <v>2014</v>
      </c>
      <c r="F34" s="1447">
        <f t="shared" si="5"/>
        <v>2015</v>
      </c>
      <c r="G34" s="1447">
        <f t="shared" si="5"/>
        <v>2016</v>
      </c>
      <c r="H34" s="1447">
        <f t="shared" si="5"/>
        <v>2017</v>
      </c>
      <c r="I34" s="1447">
        <f t="shared" si="5"/>
        <v>2018</v>
      </c>
      <c r="J34" s="1447">
        <f t="shared" si="5"/>
        <v>2019</v>
      </c>
      <c r="K34" s="1447">
        <f t="shared" si="5"/>
        <v>2020</v>
      </c>
      <c r="L34" s="1447">
        <f t="shared" si="5"/>
        <v>2021</v>
      </c>
      <c r="M34" s="1447">
        <f t="shared" si="5"/>
        <v>2022</v>
      </c>
      <c r="N34" s="1447">
        <f t="shared" si="5"/>
        <v>2023</v>
      </c>
      <c r="O34" s="1447">
        <f t="shared" si="5"/>
        <v>2024</v>
      </c>
    </row>
    <row r="35" spans="1:15">
      <c r="B35" s="1432"/>
      <c r="C35" s="1441">
        <f>E32</f>
        <v>275</v>
      </c>
      <c r="D35" s="1408">
        <f>$C$35*D36</f>
        <v>0</v>
      </c>
      <c r="E35" s="1408">
        <f>$C$35*E36</f>
        <v>0</v>
      </c>
      <c r="F35" s="1408">
        <f>$C$35*F36</f>
        <v>0</v>
      </c>
      <c r="G35" s="1408">
        <f>$C$35*G36</f>
        <v>0</v>
      </c>
      <c r="H35" s="1408">
        <f>$C$35*H36</f>
        <v>0</v>
      </c>
      <c r="I35" s="1408">
        <f t="shared" ref="I35:O35" si="6">$C$35*I36</f>
        <v>0</v>
      </c>
      <c r="J35" s="1408">
        <f t="shared" si="6"/>
        <v>151.25</v>
      </c>
      <c r="K35" s="1408">
        <f t="shared" si="6"/>
        <v>123.75</v>
      </c>
      <c r="L35" s="1408">
        <f t="shared" si="6"/>
        <v>0</v>
      </c>
      <c r="M35" s="1408">
        <f t="shared" si="6"/>
        <v>0</v>
      </c>
      <c r="N35" s="1408">
        <f t="shared" si="6"/>
        <v>0</v>
      </c>
      <c r="O35" s="1408">
        <f t="shared" si="6"/>
        <v>0</v>
      </c>
    </row>
    <row r="36" spans="1:15">
      <c r="B36" s="1442" t="s">
        <v>1559</v>
      </c>
      <c r="C36" s="1436">
        <f>SUM(D36:O36)</f>
        <v>1</v>
      </c>
      <c r="D36" s="1416">
        <v>0</v>
      </c>
      <c r="E36" s="1416">
        <v>0</v>
      </c>
      <c r="F36" s="1416">
        <v>0</v>
      </c>
      <c r="G36" s="1416">
        <v>0</v>
      </c>
      <c r="H36" s="1416">
        <v>0</v>
      </c>
      <c r="I36" s="1416">
        <v>0</v>
      </c>
      <c r="J36" s="1416">
        <v>0.55000000000000004</v>
      </c>
      <c r="K36" s="1416">
        <v>0.45</v>
      </c>
      <c r="L36" s="1416">
        <v>0</v>
      </c>
      <c r="M36" s="1416">
        <v>0</v>
      </c>
      <c r="N36" s="1416">
        <v>0</v>
      </c>
      <c r="O36" s="1416">
        <v>0</v>
      </c>
    </row>
    <row r="39" spans="1:15" s="1407" customFormat="1">
      <c r="A39" s="1406" t="s">
        <v>777</v>
      </c>
      <c r="B39" s="1407" t="s">
        <v>1585</v>
      </c>
      <c r="C39" s="1407" t="s">
        <v>764</v>
      </c>
      <c r="D39" s="1407" t="s">
        <v>1549</v>
      </c>
    </row>
    <row r="40" spans="1:15">
      <c r="A40" s="1421"/>
      <c r="B40" s="1432" t="s">
        <v>686</v>
      </c>
      <c r="C40" s="1432" t="s">
        <v>1552</v>
      </c>
      <c r="D40" s="1426">
        <f>N11</f>
        <v>130000</v>
      </c>
      <c r="F40" s="1440"/>
      <c r="G40" s="1410"/>
    </row>
    <row r="41" spans="1:15">
      <c r="B41" s="1431" t="s">
        <v>1560</v>
      </c>
      <c r="C41" s="1431" t="s">
        <v>780</v>
      </c>
      <c r="D41" s="1448">
        <f>S9</f>
        <v>0.7</v>
      </c>
      <c r="G41" s="1440"/>
    </row>
    <row r="42" spans="1:15">
      <c r="B42" s="1431" t="s">
        <v>781</v>
      </c>
      <c r="C42" s="1431" t="s">
        <v>1552</v>
      </c>
      <c r="D42" s="1410">
        <f>D40*D41</f>
        <v>91000</v>
      </c>
    </row>
    <row r="43" spans="1:15">
      <c r="B43" s="1431" t="s">
        <v>1787</v>
      </c>
      <c r="C43" s="1431" t="s">
        <v>1555</v>
      </c>
      <c r="D43" s="1654">
        <f>S7</f>
        <v>26.5</v>
      </c>
    </row>
    <row r="44" spans="1:15">
      <c r="B44" s="1431" t="s">
        <v>1587</v>
      </c>
      <c r="C44" s="1431" t="s">
        <v>1555</v>
      </c>
      <c r="D44" s="1655">
        <f>S10</f>
        <v>7</v>
      </c>
    </row>
    <row r="45" spans="1:15">
      <c r="B45" s="1431" t="s">
        <v>787</v>
      </c>
      <c r="C45" s="1431" t="s">
        <v>780</v>
      </c>
      <c r="D45" s="1411">
        <v>0</v>
      </c>
    </row>
    <row r="46" spans="1:15">
      <c r="B46" s="1431" t="s">
        <v>1562</v>
      </c>
      <c r="C46" s="1431" t="s">
        <v>780</v>
      </c>
      <c r="D46" s="1448">
        <f>S11</f>
        <v>0.14000000000000001</v>
      </c>
    </row>
    <row r="47" spans="1:15">
      <c r="B47" s="1431" t="s">
        <v>1563</v>
      </c>
      <c r="C47" s="1431" t="s">
        <v>780</v>
      </c>
      <c r="D47" s="1411">
        <v>0</v>
      </c>
    </row>
    <row r="49" spans="1:15" s="1407" customFormat="1">
      <c r="A49" s="1406">
        <v>1</v>
      </c>
      <c r="B49" s="1407" t="s">
        <v>1564</v>
      </c>
      <c r="C49" s="1431" t="str">
        <f>C34</f>
        <v>Total</v>
      </c>
      <c r="D49" s="1431">
        <f>D34</f>
        <v>2013</v>
      </c>
      <c r="E49" s="1431">
        <f>E34</f>
        <v>2014</v>
      </c>
      <c r="F49" s="1431">
        <f>F34</f>
        <v>2015</v>
      </c>
      <c r="G49" s="1431">
        <f t="shared" ref="G49:O49" si="7">F49+1</f>
        <v>2016</v>
      </c>
      <c r="H49" s="1431">
        <f t="shared" si="7"/>
        <v>2017</v>
      </c>
      <c r="I49" s="1431">
        <f t="shared" si="7"/>
        <v>2018</v>
      </c>
      <c r="J49" s="1431">
        <f t="shared" si="7"/>
        <v>2019</v>
      </c>
      <c r="K49" s="1431">
        <f t="shared" si="7"/>
        <v>2020</v>
      </c>
      <c r="L49" s="1431">
        <f t="shared" si="7"/>
        <v>2021</v>
      </c>
      <c r="M49" s="1431">
        <f t="shared" si="7"/>
        <v>2022</v>
      </c>
      <c r="N49" s="1431">
        <f t="shared" si="7"/>
        <v>2023</v>
      </c>
      <c r="O49" s="1431">
        <f t="shared" si="7"/>
        <v>2024</v>
      </c>
    </row>
    <row r="50" spans="1:15">
      <c r="B50" s="1432" t="s">
        <v>791</v>
      </c>
      <c r="C50" s="1441">
        <f>SUM(D50:M50)</f>
        <v>2411.5</v>
      </c>
      <c r="D50" s="1441">
        <f>$D$42*D52*D51/1000</f>
        <v>0</v>
      </c>
      <c r="E50" s="1441">
        <f t="shared" ref="E50:M50" si="8">$D$42*E52*E51/1000</f>
        <v>0</v>
      </c>
      <c r="F50" s="1441">
        <f t="shared" si="8"/>
        <v>0</v>
      </c>
      <c r="G50" s="1441">
        <f t="shared" si="8"/>
        <v>0</v>
      </c>
      <c r="H50" s="1441">
        <f t="shared" si="8"/>
        <v>0</v>
      </c>
      <c r="I50" s="1441">
        <f t="shared" si="8"/>
        <v>0</v>
      </c>
      <c r="J50" s="1441">
        <f t="shared" si="8"/>
        <v>0</v>
      </c>
      <c r="K50" s="1441">
        <f t="shared" si="8"/>
        <v>2411.5</v>
      </c>
      <c r="L50" s="1441">
        <f t="shared" si="8"/>
        <v>0</v>
      </c>
      <c r="M50" s="1441">
        <f t="shared" si="8"/>
        <v>0</v>
      </c>
      <c r="N50" s="1441">
        <f>$D$42*N52*N51/1000</f>
        <v>0</v>
      </c>
      <c r="O50" s="1441">
        <f>$D$42*O52*O51/1000</f>
        <v>0</v>
      </c>
    </row>
    <row r="51" spans="1:15">
      <c r="B51" s="1444" t="s">
        <v>792</v>
      </c>
      <c r="C51" s="1436">
        <f>SUM(D51:O51)</f>
        <v>1</v>
      </c>
      <c r="D51" s="1416">
        <v>0</v>
      </c>
      <c r="E51" s="1416">
        <v>0</v>
      </c>
      <c r="F51" s="1416">
        <v>0</v>
      </c>
      <c r="G51" s="1416">
        <v>0</v>
      </c>
      <c r="H51" s="1416">
        <v>0</v>
      </c>
      <c r="I51" s="1416">
        <v>0</v>
      </c>
      <c r="J51" s="1416">
        <v>0</v>
      </c>
      <c r="K51" s="1416">
        <v>1</v>
      </c>
      <c r="L51" s="1416">
        <v>0</v>
      </c>
      <c r="M51" s="1416">
        <v>0</v>
      </c>
      <c r="N51" s="1416">
        <v>0</v>
      </c>
      <c r="O51" s="1416">
        <v>0</v>
      </c>
    </row>
    <row r="52" spans="1:15">
      <c r="B52" s="1444" t="s">
        <v>1565</v>
      </c>
      <c r="D52" s="1439">
        <f>D43</f>
        <v>26.5</v>
      </c>
      <c r="E52" s="1439">
        <f t="shared" ref="E52:M52" si="9">D52*(1+E53)</f>
        <v>26.5</v>
      </c>
      <c r="F52" s="1439">
        <f t="shared" si="9"/>
        <v>26.5</v>
      </c>
      <c r="G52" s="1439">
        <f t="shared" si="9"/>
        <v>26.5</v>
      </c>
      <c r="H52" s="1439">
        <f t="shared" si="9"/>
        <v>26.5</v>
      </c>
      <c r="I52" s="1439">
        <f t="shared" si="9"/>
        <v>26.5</v>
      </c>
      <c r="J52" s="1439">
        <f t="shared" si="9"/>
        <v>26.5</v>
      </c>
      <c r="K52" s="1439">
        <f t="shared" si="9"/>
        <v>26.5</v>
      </c>
      <c r="L52" s="1439">
        <f t="shared" si="9"/>
        <v>26.5</v>
      </c>
      <c r="M52" s="1439">
        <f t="shared" si="9"/>
        <v>26.5</v>
      </c>
      <c r="N52" s="1439">
        <f>M52*(1+N53)</f>
        <v>26.5</v>
      </c>
      <c r="O52" s="1439">
        <f>N52*(1+O53)</f>
        <v>26.5</v>
      </c>
    </row>
    <row r="53" spans="1:15">
      <c r="B53" s="1444" t="s">
        <v>1563</v>
      </c>
      <c r="E53" s="1443">
        <f t="shared" ref="E53:J53" si="10">D47</f>
        <v>0</v>
      </c>
      <c r="F53" s="1443">
        <f t="shared" si="10"/>
        <v>0</v>
      </c>
      <c r="G53" s="1443">
        <f t="shared" si="10"/>
        <v>0</v>
      </c>
      <c r="H53" s="1443">
        <f t="shared" si="10"/>
        <v>0</v>
      </c>
      <c r="I53" s="1443">
        <f t="shared" si="10"/>
        <v>0</v>
      </c>
      <c r="J53" s="1443">
        <f t="shared" si="10"/>
        <v>0</v>
      </c>
      <c r="K53" s="1443">
        <f>J47</f>
        <v>0</v>
      </c>
      <c r="L53" s="1443">
        <f>K47</f>
        <v>0</v>
      </c>
      <c r="M53" s="1443">
        <f>L47</f>
        <v>0</v>
      </c>
      <c r="N53" s="1443">
        <f>M47</f>
        <v>0</v>
      </c>
      <c r="O53" s="1443">
        <f>N47</f>
        <v>0</v>
      </c>
    </row>
    <row r="54" spans="1:15">
      <c r="B54" s="1444" t="s">
        <v>1788</v>
      </c>
      <c r="C54" s="1440">
        <f>S5</f>
        <v>1506</v>
      </c>
      <c r="D54" s="1440">
        <f>D51*$C$54</f>
        <v>0</v>
      </c>
      <c r="E54" s="1440">
        <f t="shared" ref="E54:M54" si="11">E51*$C$54</f>
        <v>0</v>
      </c>
      <c r="F54" s="1440">
        <f t="shared" si="11"/>
        <v>0</v>
      </c>
      <c r="G54" s="1440">
        <f t="shared" si="11"/>
        <v>0</v>
      </c>
      <c r="H54" s="1440">
        <f t="shared" si="11"/>
        <v>0</v>
      </c>
      <c r="I54" s="1440">
        <f t="shared" si="11"/>
        <v>0</v>
      </c>
      <c r="J54" s="1440">
        <f t="shared" si="11"/>
        <v>0</v>
      </c>
      <c r="K54" s="1440">
        <f t="shared" si="11"/>
        <v>1506</v>
      </c>
      <c r="L54" s="1440">
        <f t="shared" si="11"/>
        <v>0</v>
      </c>
      <c r="M54" s="1440">
        <f t="shared" si="11"/>
        <v>0</v>
      </c>
      <c r="N54" s="1440">
        <f>N51*$C$54</f>
        <v>0</v>
      </c>
      <c r="O54" s="1440">
        <f>O51*$C$54</f>
        <v>0</v>
      </c>
    </row>
    <row r="55" spans="1:15">
      <c r="B55" s="1444"/>
      <c r="F55" s="1443"/>
      <c r="G55" s="1443"/>
    </row>
    <row r="56" spans="1:15" s="1407" customFormat="1">
      <c r="A56" s="1406">
        <v>2</v>
      </c>
      <c r="B56" s="1407" t="s">
        <v>794</v>
      </c>
      <c r="C56" s="1431" t="str">
        <f>C49</f>
        <v>Total</v>
      </c>
      <c r="D56" s="1431">
        <f t="shared" ref="D56:J56" si="12">D49</f>
        <v>2013</v>
      </c>
      <c r="E56" s="1431">
        <f t="shared" si="12"/>
        <v>2014</v>
      </c>
      <c r="F56" s="1431">
        <f t="shared" si="12"/>
        <v>2015</v>
      </c>
      <c r="G56" s="1431">
        <f t="shared" si="12"/>
        <v>2016</v>
      </c>
      <c r="H56" s="1431">
        <f t="shared" si="12"/>
        <v>2017</v>
      </c>
      <c r="I56" s="1431">
        <f t="shared" si="12"/>
        <v>2018</v>
      </c>
      <c r="J56" s="1431">
        <f t="shared" si="12"/>
        <v>2019</v>
      </c>
      <c r="K56" s="1431">
        <f>K49</f>
        <v>2020</v>
      </c>
      <c r="L56" s="1431">
        <f>L49</f>
        <v>2021</v>
      </c>
      <c r="M56" s="1431">
        <f>M49</f>
        <v>2022</v>
      </c>
      <c r="N56" s="1431">
        <f>N49</f>
        <v>2023</v>
      </c>
      <c r="O56" s="1431">
        <f>O49</f>
        <v>2024</v>
      </c>
    </row>
    <row r="57" spans="1:15">
      <c r="B57" s="1432" t="s">
        <v>1586</v>
      </c>
      <c r="C57" s="1408">
        <f>C50</f>
        <v>2411.5</v>
      </c>
      <c r="D57" s="1441">
        <f>$C$57*D58</f>
        <v>0</v>
      </c>
      <c r="E57" s="1441">
        <f t="shared" ref="E57:O57" si="13">$C$57*E58</f>
        <v>0</v>
      </c>
      <c r="F57" s="1441">
        <f t="shared" si="13"/>
        <v>0</v>
      </c>
      <c r="G57" s="1441">
        <f t="shared" si="13"/>
        <v>0</v>
      </c>
      <c r="H57" s="1441">
        <f t="shared" si="13"/>
        <v>0</v>
      </c>
      <c r="I57" s="1441">
        <f t="shared" si="13"/>
        <v>0</v>
      </c>
      <c r="J57" s="1441">
        <f t="shared" si="13"/>
        <v>0</v>
      </c>
      <c r="K57" s="1441">
        <f t="shared" si="13"/>
        <v>0</v>
      </c>
      <c r="L57" s="1441">
        <f t="shared" si="13"/>
        <v>0</v>
      </c>
      <c r="M57" s="1441">
        <f t="shared" si="13"/>
        <v>0</v>
      </c>
      <c r="N57" s="1441">
        <f t="shared" si="13"/>
        <v>1446.8999999999999</v>
      </c>
      <c r="O57" s="1441">
        <f t="shared" si="13"/>
        <v>964.6</v>
      </c>
    </row>
    <row r="58" spans="1:15">
      <c r="B58" s="1442" t="s">
        <v>794</v>
      </c>
      <c r="C58" s="1417">
        <f>SUM(D58:O58)</f>
        <v>1</v>
      </c>
      <c r="D58" s="1411">
        <v>0</v>
      </c>
      <c r="E58" s="1411">
        <v>0</v>
      </c>
      <c r="F58" s="1411">
        <v>0</v>
      </c>
      <c r="G58" s="1411">
        <v>0</v>
      </c>
      <c r="H58" s="1411">
        <v>0</v>
      </c>
      <c r="I58" s="1411">
        <v>0</v>
      </c>
      <c r="J58" s="1411">
        <v>0</v>
      </c>
      <c r="K58" s="1411">
        <v>0</v>
      </c>
      <c r="L58" s="1411">
        <v>0</v>
      </c>
      <c r="M58" s="1411">
        <v>0</v>
      </c>
      <c r="N58" s="1411">
        <v>0.6</v>
      </c>
      <c r="O58" s="1411">
        <v>0.4</v>
      </c>
    </row>
    <row r="59" spans="1:15">
      <c r="B59" s="1442" t="s">
        <v>1777</v>
      </c>
      <c r="C59" s="1410">
        <f>C54</f>
        <v>1506</v>
      </c>
      <c r="D59" s="1410">
        <f>D58*$C$59</f>
        <v>0</v>
      </c>
      <c r="E59" s="1410">
        <f t="shared" ref="E59:M59" si="14">E58*$C$59</f>
        <v>0</v>
      </c>
      <c r="F59" s="1410">
        <f t="shared" si="14"/>
        <v>0</v>
      </c>
      <c r="G59" s="1410">
        <f t="shared" si="14"/>
        <v>0</v>
      </c>
      <c r="H59" s="1410">
        <f t="shared" si="14"/>
        <v>0</v>
      </c>
      <c r="I59" s="1410">
        <f t="shared" si="14"/>
        <v>0</v>
      </c>
      <c r="J59" s="1410">
        <f t="shared" si="14"/>
        <v>0</v>
      </c>
      <c r="K59" s="1410">
        <f t="shared" si="14"/>
        <v>0</v>
      </c>
      <c r="L59" s="1410">
        <f t="shared" si="14"/>
        <v>0</v>
      </c>
      <c r="M59" s="1410">
        <f t="shared" si="14"/>
        <v>0</v>
      </c>
      <c r="N59" s="1410">
        <f>N58*$C$59</f>
        <v>903.6</v>
      </c>
      <c r="O59" s="1410">
        <f>O58*$C$59</f>
        <v>602.4</v>
      </c>
    </row>
    <row r="60" spans="1:15">
      <c r="B60" s="1444"/>
      <c r="C60" s="1425"/>
      <c r="D60" s="1433"/>
      <c r="E60" s="1433"/>
      <c r="F60" s="1433"/>
      <c r="G60" s="1433"/>
    </row>
    <row r="61" spans="1:15">
      <c r="C61" s="1440"/>
      <c r="D61" s="1440"/>
      <c r="E61" s="1440"/>
      <c r="F61" s="1440"/>
      <c r="G61" s="1440"/>
    </row>
    <row r="62" spans="1:15" s="1407" customFormat="1">
      <c r="A62" s="1406">
        <v>3</v>
      </c>
      <c r="B62" s="1407" t="s">
        <v>1175</v>
      </c>
      <c r="C62" s="1431" t="str">
        <f>C56</f>
        <v>Total</v>
      </c>
      <c r="D62" s="1431">
        <f t="shared" ref="D62:J62" si="15">D56</f>
        <v>2013</v>
      </c>
      <c r="E62" s="1431">
        <f t="shared" si="15"/>
        <v>2014</v>
      </c>
      <c r="F62" s="1431">
        <f t="shared" si="15"/>
        <v>2015</v>
      </c>
      <c r="G62" s="1431">
        <f t="shared" si="15"/>
        <v>2016</v>
      </c>
      <c r="H62" s="1431">
        <f t="shared" si="15"/>
        <v>2017</v>
      </c>
      <c r="I62" s="1431">
        <f t="shared" si="15"/>
        <v>2018</v>
      </c>
      <c r="J62" s="1431">
        <f t="shared" si="15"/>
        <v>2019</v>
      </c>
      <c r="K62" s="1431">
        <f>K56</f>
        <v>2020</v>
      </c>
      <c r="L62" s="1431">
        <f>L56</f>
        <v>2021</v>
      </c>
      <c r="M62" s="1431">
        <f>M56</f>
        <v>2022</v>
      </c>
      <c r="N62" s="1431">
        <f>N56</f>
        <v>2023</v>
      </c>
      <c r="O62" s="1431">
        <f>O56</f>
        <v>2024</v>
      </c>
    </row>
    <row r="63" spans="1:15">
      <c r="B63" s="1432"/>
      <c r="C63" s="1441">
        <f>SUM(D63:O63)</f>
        <v>2411.5</v>
      </c>
      <c r="D63" s="1408"/>
      <c r="E63" s="1408"/>
      <c r="F63" s="1408"/>
      <c r="G63" s="1408">
        <f>D50*$D66+E50*$D65+F50*$D64+G50*$D67</f>
        <v>0</v>
      </c>
      <c r="H63" s="1408">
        <f>E50*$D66+F50*$D65+G50*$D64+H50*$D67</f>
        <v>0</v>
      </c>
      <c r="I63" s="1408">
        <f t="shared" ref="I63:O63" si="16">F50*$D66+G50*$D65+H50*$D64+I50*$D67</f>
        <v>0</v>
      </c>
      <c r="J63" s="1408">
        <f t="shared" si="16"/>
        <v>0</v>
      </c>
      <c r="K63" s="1408">
        <f t="shared" si="16"/>
        <v>120.575</v>
      </c>
      <c r="L63" s="1408">
        <f t="shared" si="16"/>
        <v>723.44999999999993</v>
      </c>
      <c r="M63" s="1408">
        <f t="shared" si="16"/>
        <v>964.6</v>
      </c>
      <c r="N63" s="1408">
        <f t="shared" si="16"/>
        <v>602.875</v>
      </c>
      <c r="O63" s="1408">
        <f t="shared" si="16"/>
        <v>0</v>
      </c>
    </row>
    <row r="64" spans="1:15">
      <c r="B64" s="1431" t="s">
        <v>797</v>
      </c>
      <c r="C64" s="1440" t="s">
        <v>798</v>
      </c>
      <c r="D64" s="1416">
        <v>0.3</v>
      </c>
      <c r="E64" s="1440"/>
      <c r="F64" s="1440"/>
      <c r="G64" s="1440"/>
    </row>
    <row r="65" spans="1:15">
      <c r="C65" s="1440" t="s">
        <v>799</v>
      </c>
      <c r="D65" s="1416">
        <v>0.4</v>
      </c>
      <c r="E65" s="1440"/>
      <c r="F65" s="1440"/>
      <c r="G65" s="1440"/>
    </row>
    <row r="66" spans="1:15">
      <c r="C66" s="1440" t="s">
        <v>800</v>
      </c>
      <c r="D66" s="1417">
        <v>0.25</v>
      </c>
      <c r="E66" s="1440"/>
      <c r="F66" s="1440"/>
      <c r="G66" s="1440"/>
    </row>
    <row r="67" spans="1:15">
      <c r="C67" s="1440" t="s">
        <v>2475</v>
      </c>
      <c r="D67" s="1417">
        <v>0.05</v>
      </c>
      <c r="E67" s="1440"/>
      <c r="F67" s="1440"/>
      <c r="G67" s="1440"/>
    </row>
    <row r="68" spans="1:15">
      <c r="C68" s="1440"/>
      <c r="D68" s="1416"/>
      <c r="E68" s="1440"/>
      <c r="F68" s="1440"/>
      <c r="G68" s="1440"/>
    </row>
    <row r="69" spans="1:15">
      <c r="C69" s="1440"/>
      <c r="D69" s="1416"/>
      <c r="E69" s="1440"/>
      <c r="F69" s="1440"/>
      <c r="G69" s="1440"/>
    </row>
    <row r="70" spans="1:15" s="1407" customFormat="1">
      <c r="A70" s="1406">
        <v>4</v>
      </c>
      <c r="B70" s="1407" t="s">
        <v>1462</v>
      </c>
      <c r="C70" s="1440" t="str">
        <f>C62</f>
        <v>Total</v>
      </c>
      <c r="D70" s="1431">
        <f t="shared" ref="D70:J70" si="17">D62</f>
        <v>2013</v>
      </c>
      <c r="E70" s="1431">
        <f t="shared" si="17"/>
        <v>2014</v>
      </c>
      <c r="F70" s="1431">
        <f t="shared" si="17"/>
        <v>2015</v>
      </c>
      <c r="G70" s="1431">
        <f t="shared" si="17"/>
        <v>2016</v>
      </c>
      <c r="H70" s="1431">
        <f t="shared" si="17"/>
        <v>2017</v>
      </c>
      <c r="I70" s="1431">
        <f t="shared" si="17"/>
        <v>2018</v>
      </c>
      <c r="J70" s="1431">
        <f t="shared" si="17"/>
        <v>2019</v>
      </c>
      <c r="K70" s="1431">
        <f>K62</f>
        <v>2020</v>
      </c>
      <c r="L70" s="1431">
        <f>L62</f>
        <v>2021</v>
      </c>
      <c r="M70" s="1431">
        <f>M62</f>
        <v>2022</v>
      </c>
      <c r="N70" s="1431">
        <f>N62</f>
        <v>2023</v>
      </c>
      <c r="O70" s="1431">
        <f>O62</f>
        <v>2024</v>
      </c>
    </row>
    <row r="71" spans="1:15">
      <c r="B71" s="1432" t="s">
        <v>1566</v>
      </c>
      <c r="C71" s="1441">
        <f>D40*D44/1000</f>
        <v>910</v>
      </c>
      <c r="D71" s="1408">
        <f>$C$71*D72</f>
        <v>0</v>
      </c>
      <c r="E71" s="1408">
        <f t="shared" ref="E71:O71" si="18">$C$71*E72</f>
        <v>0</v>
      </c>
      <c r="F71" s="1408">
        <f t="shared" si="18"/>
        <v>0</v>
      </c>
      <c r="G71" s="1408">
        <f t="shared" si="18"/>
        <v>0</v>
      </c>
      <c r="H71" s="1408">
        <f t="shared" si="18"/>
        <v>0</v>
      </c>
      <c r="I71" s="1408">
        <f t="shared" si="18"/>
        <v>0</v>
      </c>
      <c r="J71" s="1408">
        <f t="shared" si="18"/>
        <v>0</v>
      </c>
      <c r="K71" s="1408">
        <f t="shared" si="18"/>
        <v>273</v>
      </c>
      <c r="L71" s="1408">
        <f t="shared" si="18"/>
        <v>364</v>
      </c>
      <c r="M71" s="1408">
        <f t="shared" si="18"/>
        <v>273</v>
      </c>
      <c r="N71" s="1408">
        <f t="shared" si="18"/>
        <v>0</v>
      </c>
      <c r="O71" s="1408">
        <f t="shared" si="18"/>
        <v>0</v>
      </c>
    </row>
    <row r="72" spans="1:15">
      <c r="B72" s="1431" t="s">
        <v>1559</v>
      </c>
      <c r="C72" s="1436">
        <f>SUM(D72:O72)</f>
        <v>1</v>
      </c>
      <c r="D72" s="1416">
        <v>0</v>
      </c>
      <c r="E72" s="1416">
        <v>0</v>
      </c>
      <c r="F72" s="1416">
        <v>0</v>
      </c>
      <c r="G72" s="1416">
        <v>0</v>
      </c>
      <c r="H72" s="1416">
        <v>0</v>
      </c>
      <c r="I72" s="1416">
        <v>0</v>
      </c>
      <c r="J72" s="1416">
        <v>0</v>
      </c>
      <c r="K72" s="1416">
        <v>0.3</v>
      </c>
      <c r="L72" s="1416">
        <v>0.4</v>
      </c>
      <c r="M72" s="1416">
        <v>0.3</v>
      </c>
      <c r="N72" s="1416">
        <v>0</v>
      </c>
      <c r="O72" s="1416">
        <v>0</v>
      </c>
    </row>
    <row r="73" spans="1:15">
      <c r="C73" s="1433"/>
      <c r="D73" s="1425"/>
      <c r="E73" s="1425"/>
      <c r="F73" s="1424"/>
      <c r="G73" s="1424"/>
      <c r="H73" s="1435"/>
    </row>
    <row r="74" spans="1:15">
      <c r="C74" s="1433"/>
      <c r="D74" s="1424"/>
      <c r="E74" s="1424"/>
      <c r="F74" s="1424"/>
      <c r="G74" s="1424"/>
    </row>
    <row r="75" spans="1:15">
      <c r="A75" s="1406">
        <v>5</v>
      </c>
      <c r="B75" s="1407" t="s">
        <v>1466</v>
      </c>
      <c r="C75" s="1431" t="str">
        <f>C70</f>
        <v>Total</v>
      </c>
      <c r="D75" s="1431">
        <f t="shared" ref="D75:I75" si="19">D70</f>
        <v>2013</v>
      </c>
      <c r="E75" s="1431">
        <f t="shared" si="19"/>
        <v>2014</v>
      </c>
      <c r="F75" s="1431">
        <f t="shared" si="19"/>
        <v>2015</v>
      </c>
      <c r="G75" s="1431">
        <f t="shared" si="19"/>
        <v>2016</v>
      </c>
      <c r="H75" s="1431">
        <f t="shared" si="19"/>
        <v>2017</v>
      </c>
      <c r="I75" s="1431">
        <f t="shared" si="19"/>
        <v>2018</v>
      </c>
      <c r="J75" s="1431">
        <f t="shared" ref="J75:O75" si="20">I75+1</f>
        <v>2019</v>
      </c>
      <c r="K75" s="1431">
        <f t="shared" si="20"/>
        <v>2020</v>
      </c>
      <c r="L75" s="1431">
        <f t="shared" si="20"/>
        <v>2021</v>
      </c>
      <c r="M75" s="1431">
        <f t="shared" si="20"/>
        <v>2022</v>
      </c>
      <c r="N75" s="1431">
        <f t="shared" si="20"/>
        <v>2023</v>
      </c>
      <c r="O75" s="1431">
        <f t="shared" si="20"/>
        <v>2024</v>
      </c>
    </row>
    <row r="76" spans="1:15">
      <c r="B76" s="1432" t="s">
        <v>1567</v>
      </c>
      <c r="C76" s="1441">
        <f>$C$71*C58</f>
        <v>910</v>
      </c>
      <c r="D76" s="1441">
        <f t="shared" ref="D76:M76" si="21">$C$71*D58</f>
        <v>0</v>
      </c>
      <c r="E76" s="1441">
        <f t="shared" si="21"/>
        <v>0</v>
      </c>
      <c r="F76" s="1441">
        <f t="shared" si="21"/>
        <v>0</v>
      </c>
      <c r="G76" s="1441">
        <f t="shared" si="21"/>
        <v>0</v>
      </c>
      <c r="H76" s="1441">
        <f t="shared" si="21"/>
        <v>0</v>
      </c>
      <c r="I76" s="1441">
        <f t="shared" si="21"/>
        <v>0</v>
      </c>
      <c r="J76" s="1441">
        <f t="shared" si="21"/>
        <v>0</v>
      </c>
      <c r="K76" s="1441">
        <f t="shared" si="21"/>
        <v>0</v>
      </c>
      <c r="L76" s="1441">
        <f t="shared" si="21"/>
        <v>0</v>
      </c>
      <c r="M76" s="1441">
        <f t="shared" si="21"/>
        <v>0</v>
      </c>
      <c r="N76" s="1441">
        <f>$C$71*N58</f>
        <v>546</v>
      </c>
      <c r="O76" s="1441">
        <f>$C$71*O58</f>
        <v>364</v>
      </c>
    </row>
    <row r="77" spans="1:15">
      <c r="B77" s="1431" t="s">
        <v>803</v>
      </c>
      <c r="C77" s="1440">
        <f>$E$32*C58</f>
        <v>275</v>
      </c>
      <c r="D77" s="1440">
        <f t="shared" ref="D77:M77" si="22">$E$32*D58</f>
        <v>0</v>
      </c>
      <c r="E77" s="1440">
        <f t="shared" si="22"/>
        <v>0</v>
      </c>
      <c r="F77" s="1440">
        <f t="shared" si="22"/>
        <v>0</v>
      </c>
      <c r="G77" s="1440">
        <f t="shared" si="22"/>
        <v>0</v>
      </c>
      <c r="H77" s="1440">
        <f t="shared" si="22"/>
        <v>0</v>
      </c>
      <c r="I77" s="1440">
        <f t="shared" si="22"/>
        <v>0</v>
      </c>
      <c r="J77" s="1440">
        <f t="shared" si="22"/>
        <v>0</v>
      </c>
      <c r="K77" s="1440">
        <f t="shared" si="22"/>
        <v>0</v>
      </c>
      <c r="L77" s="1440">
        <f t="shared" si="22"/>
        <v>0</v>
      </c>
      <c r="M77" s="1440">
        <f t="shared" si="22"/>
        <v>0</v>
      </c>
      <c r="N77" s="1440">
        <f>$E$32*N58</f>
        <v>165</v>
      </c>
      <c r="O77" s="1440">
        <f>$E$32*O58</f>
        <v>110</v>
      </c>
    </row>
    <row r="78" spans="1:15" s="1447" customFormat="1">
      <c r="A78" s="1459"/>
      <c r="B78" s="1447" t="s">
        <v>804</v>
      </c>
      <c r="C78" s="1458">
        <f>SUMIF(D114:M114,"&lt;="&amp;D11,D120:M120)</f>
        <v>274.06979999999999</v>
      </c>
      <c r="D78" s="1410">
        <f t="shared" ref="D78:J78" si="23">$C$78*D58</f>
        <v>0</v>
      </c>
      <c r="E78" s="1410">
        <f t="shared" si="23"/>
        <v>0</v>
      </c>
      <c r="F78" s="1410">
        <f t="shared" si="23"/>
        <v>0</v>
      </c>
      <c r="G78" s="1410">
        <f t="shared" si="23"/>
        <v>0</v>
      </c>
      <c r="H78" s="1410">
        <f t="shared" si="23"/>
        <v>0</v>
      </c>
      <c r="I78" s="1410">
        <f t="shared" si="23"/>
        <v>0</v>
      </c>
      <c r="J78" s="1410">
        <f t="shared" si="23"/>
        <v>0</v>
      </c>
      <c r="K78" s="1410">
        <f>$C$78*K58</f>
        <v>0</v>
      </c>
      <c r="L78" s="1410">
        <f>$C$78*L58</f>
        <v>0</v>
      </c>
      <c r="M78" s="1410">
        <f>$C$78*M58</f>
        <v>0</v>
      </c>
      <c r="N78" s="1410">
        <f>$C$78*N58</f>
        <v>164.44188</v>
      </c>
      <c r="O78" s="1410">
        <f>$C$78*O58</f>
        <v>109.62792</v>
      </c>
    </row>
    <row r="79" spans="1:15" s="1447" customFormat="1">
      <c r="A79" s="1459"/>
      <c r="B79" s="1447" t="s">
        <v>805</v>
      </c>
      <c r="C79" s="1410">
        <f>SUM(D79:M79)</f>
        <v>0</v>
      </c>
      <c r="D79" s="1410">
        <f t="shared" ref="D79:M79" si="24">IF(D75&gt;$D$11,D120,0)</f>
        <v>0</v>
      </c>
      <c r="E79" s="1410">
        <f t="shared" si="24"/>
        <v>0</v>
      </c>
      <c r="F79" s="1410">
        <f t="shared" si="24"/>
        <v>0</v>
      </c>
      <c r="G79" s="1410">
        <f t="shared" si="24"/>
        <v>0</v>
      </c>
      <c r="H79" s="1410">
        <f t="shared" si="24"/>
        <v>0</v>
      </c>
      <c r="I79" s="1410">
        <f t="shared" si="24"/>
        <v>0</v>
      </c>
      <c r="J79" s="1410">
        <f t="shared" si="24"/>
        <v>0</v>
      </c>
      <c r="K79" s="1410">
        <f t="shared" si="24"/>
        <v>0</v>
      </c>
      <c r="L79" s="1410">
        <f t="shared" si="24"/>
        <v>0</v>
      </c>
      <c r="M79" s="1410">
        <f t="shared" si="24"/>
        <v>0</v>
      </c>
      <c r="N79" s="1410">
        <f>IF(N75&gt;$D$11,N120,0)</f>
        <v>0</v>
      </c>
      <c r="O79" s="1410">
        <f>IF(O75&gt;$D$11,O120,0)</f>
        <v>0</v>
      </c>
    </row>
    <row r="80" spans="1:15">
      <c r="B80" s="1431" t="s">
        <v>656</v>
      </c>
      <c r="C80" s="1440">
        <f>$D$46*C57</f>
        <v>337.61</v>
      </c>
      <c r="D80" s="1440">
        <f t="shared" ref="D80:J80" si="25">$D$46*D57</f>
        <v>0</v>
      </c>
      <c r="E80" s="1440">
        <f t="shared" si="25"/>
        <v>0</v>
      </c>
      <c r="F80" s="1440">
        <f t="shared" si="25"/>
        <v>0</v>
      </c>
      <c r="G80" s="1440">
        <f t="shared" si="25"/>
        <v>0</v>
      </c>
      <c r="H80" s="1440">
        <f t="shared" si="25"/>
        <v>0</v>
      </c>
      <c r="I80" s="1440">
        <f t="shared" si="25"/>
        <v>0</v>
      </c>
      <c r="J80" s="1440">
        <f t="shared" si="25"/>
        <v>0</v>
      </c>
      <c r="K80" s="1440">
        <f>$D$46*K57</f>
        <v>0</v>
      </c>
      <c r="L80" s="1440">
        <f>$D$46*L57</f>
        <v>0</v>
      </c>
      <c r="M80" s="1440">
        <f>$D$46*M57</f>
        <v>0</v>
      </c>
      <c r="N80" s="1440">
        <f>$D$46*N57</f>
        <v>202.566</v>
      </c>
      <c r="O80" s="1440">
        <f>$D$46*O57</f>
        <v>135.04400000000001</v>
      </c>
    </row>
    <row r="81" spans="1:15">
      <c r="C81" s="1440"/>
      <c r="D81" s="1440"/>
      <c r="E81" s="1440"/>
      <c r="F81" s="1440"/>
      <c r="G81" s="1440"/>
    </row>
    <row r="83" spans="1:15" s="1407" customFormat="1">
      <c r="A83" s="1406">
        <v>6</v>
      </c>
      <c r="B83" s="1407" t="s">
        <v>878</v>
      </c>
      <c r="C83" s="1431" t="str">
        <f>C75</f>
        <v>Total</v>
      </c>
      <c r="D83" s="1431">
        <f t="shared" ref="D83:J83" si="26">D75</f>
        <v>2013</v>
      </c>
      <c r="E83" s="1431">
        <f t="shared" si="26"/>
        <v>2014</v>
      </c>
      <c r="F83" s="1431">
        <f t="shared" si="26"/>
        <v>2015</v>
      </c>
      <c r="G83" s="1431">
        <f t="shared" si="26"/>
        <v>2016</v>
      </c>
      <c r="H83" s="1431">
        <f t="shared" si="26"/>
        <v>2017</v>
      </c>
      <c r="I83" s="1431">
        <f t="shared" si="26"/>
        <v>2018</v>
      </c>
      <c r="J83" s="1431">
        <f t="shared" si="26"/>
        <v>2019</v>
      </c>
      <c r="K83" s="1431">
        <f>K75</f>
        <v>2020</v>
      </c>
      <c r="L83" s="1431">
        <f>L75</f>
        <v>2021</v>
      </c>
      <c r="M83" s="1431">
        <f>M75</f>
        <v>2022</v>
      </c>
      <c r="N83" s="1431">
        <f>N75</f>
        <v>2023</v>
      </c>
      <c r="O83" s="1431">
        <f>O75</f>
        <v>2024</v>
      </c>
    </row>
    <row r="84" spans="1:15">
      <c r="B84" s="1432" t="s">
        <v>26</v>
      </c>
      <c r="C84" s="1441">
        <f t="shared" ref="C84:J84" si="27">C57</f>
        <v>2411.5</v>
      </c>
      <c r="D84" s="1441">
        <f t="shared" si="27"/>
        <v>0</v>
      </c>
      <c r="E84" s="1441">
        <f t="shared" si="27"/>
        <v>0</v>
      </c>
      <c r="F84" s="1441">
        <f t="shared" si="27"/>
        <v>0</v>
      </c>
      <c r="G84" s="1441">
        <f t="shared" si="27"/>
        <v>0</v>
      </c>
      <c r="H84" s="1441">
        <f t="shared" si="27"/>
        <v>0</v>
      </c>
      <c r="I84" s="1441">
        <f t="shared" si="27"/>
        <v>0</v>
      </c>
      <c r="J84" s="1441">
        <f t="shared" si="27"/>
        <v>0</v>
      </c>
      <c r="K84" s="1441">
        <f>K57</f>
        <v>0</v>
      </c>
      <c r="L84" s="1441">
        <f>L57</f>
        <v>0</v>
      </c>
      <c r="M84" s="1441">
        <f>M57</f>
        <v>0</v>
      </c>
      <c r="N84" s="1441">
        <f>N57</f>
        <v>1446.8999999999999</v>
      </c>
      <c r="O84" s="1441">
        <f>O57</f>
        <v>964.6</v>
      </c>
    </row>
    <row r="85" spans="1:15">
      <c r="B85" s="1431" t="s">
        <v>432</v>
      </c>
      <c r="C85" s="1440">
        <f>SUM(C76:C78)</f>
        <v>1459.0698</v>
      </c>
      <c r="D85" s="1440">
        <f>SUM(D76:D78)</f>
        <v>0</v>
      </c>
      <c r="E85" s="1440">
        <f t="shared" ref="E85:J85" si="28">SUM(E76:E78)</f>
        <v>0</v>
      </c>
      <c r="F85" s="1440">
        <f t="shared" si="28"/>
        <v>0</v>
      </c>
      <c r="G85" s="1440">
        <f t="shared" si="28"/>
        <v>0</v>
      </c>
      <c r="H85" s="1440">
        <f t="shared" si="28"/>
        <v>0</v>
      </c>
      <c r="I85" s="1440">
        <f t="shared" si="28"/>
        <v>0</v>
      </c>
      <c r="J85" s="1440">
        <f t="shared" si="28"/>
        <v>0</v>
      </c>
      <c r="K85" s="1440">
        <f>SUM(K76:K78)</f>
        <v>0</v>
      </c>
      <c r="L85" s="1440">
        <f>SUM(L76:L78)</f>
        <v>0</v>
      </c>
      <c r="M85" s="1440">
        <f>SUM(M76:M78)</f>
        <v>0</v>
      </c>
      <c r="N85" s="1440">
        <f>SUM(N76:N78)</f>
        <v>875.44187999999997</v>
      </c>
      <c r="O85" s="1440">
        <f>SUM(O76:O78)</f>
        <v>583.62792000000002</v>
      </c>
    </row>
    <row r="86" spans="1:15">
      <c r="B86" s="1431" t="s">
        <v>28</v>
      </c>
      <c r="C86" s="1440">
        <f>C84-C85</f>
        <v>952.43020000000001</v>
      </c>
      <c r="D86" s="1440">
        <f t="shared" ref="D86:M86" si="29">D84-D85</f>
        <v>0</v>
      </c>
      <c r="E86" s="1440">
        <f t="shared" si="29"/>
        <v>0</v>
      </c>
      <c r="F86" s="1440">
        <f t="shared" si="29"/>
        <v>0</v>
      </c>
      <c r="G86" s="1440">
        <f t="shared" si="29"/>
        <v>0</v>
      </c>
      <c r="H86" s="1440">
        <f t="shared" si="29"/>
        <v>0</v>
      </c>
      <c r="I86" s="1440">
        <f t="shared" si="29"/>
        <v>0</v>
      </c>
      <c r="J86" s="1440">
        <f t="shared" si="29"/>
        <v>0</v>
      </c>
      <c r="K86" s="1440">
        <f t="shared" si="29"/>
        <v>0</v>
      </c>
      <c r="L86" s="1440">
        <f t="shared" si="29"/>
        <v>0</v>
      </c>
      <c r="M86" s="1440">
        <f t="shared" si="29"/>
        <v>0</v>
      </c>
      <c r="N86" s="1440">
        <f>N84-N85</f>
        <v>571.45811999999989</v>
      </c>
      <c r="O86" s="1440">
        <f>O84-O85</f>
        <v>380.97208000000001</v>
      </c>
    </row>
    <row r="87" spans="1:15">
      <c r="B87" s="1431" t="s">
        <v>656</v>
      </c>
      <c r="C87" s="1440">
        <f>C80</f>
        <v>337.61</v>
      </c>
      <c r="D87" s="1440">
        <f>D80</f>
        <v>0</v>
      </c>
      <c r="E87" s="1440">
        <f t="shared" ref="E87:J87" si="30">E80</f>
        <v>0</v>
      </c>
      <c r="F87" s="1440">
        <f t="shared" si="30"/>
        <v>0</v>
      </c>
      <c r="G87" s="1440">
        <f t="shared" si="30"/>
        <v>0</v>
      </c>
      <c r="H87" s="1440">
        <f t="shared" si="30"/>
        <v>0</v>
      </c>
      <c r="I87" s="1440">
        <f t="shared" si="30"/>
        <v>0</v>
      </c>
      <c r="J87" s="1440">
        <f t="shared" si="30"/>
        <v>0</v>
      </c>
      <c r="K87" s="1440">
        <f>K80</f>
        <v>0</v>
      </c>
      <c r="L87" s="1440">
        <f>L80</f>
        <v>0</v>
      </c>
      <c r="M87" s="1440">
        <f>M80</f>
        <v>0</v>
      </c>
      <c r="N87" s="1440">
        <f>N80</f>
        <v>202.566</v>
      </c>
      <c r="O87" s="1440">
        <f>O80</f>
        <v>135.04400000000001</v>
      </c>
    </row>
    <row r="88" spans="1:15">
      <c r="B88" s="1431" t="s">
        <v>805</v>
      </c>
      <c r="C88" s="1410">
        <f>C79</f>
        <v>0</v>
      </c>
      <c r="D88" s="1440">
        <f>D79</f>
        <v>0</v>
      </c>
      <c r="E88" s="1440">
        <f t="shared" ref="E88:J88" si="31">E79</f>
        <v>0</v>
      </c>
      <c r="F88" s="1440">
        <f t="shared" si="31"/>
        <v>0</v>
      </c>
      <c r="G88" s="1440">
        <f t="shared" si="31"/>
        <v>0</v>
      </c>
      <c r="H88" s="1440">
        <f t="shared" si="31"/>
        <v>0</v>
      </c>
      <c r="I88" s="1440">
        <f t="shared" si="31"/>
        <v>0</v>
      </c>
      <c r="J88" s="1440">
        <f t="shared" si="31"/>
        <v>0</v>
      </c>
      <c r="K88" s="1440">
        <f>K79</f>
        <v>0</v>
      </c>
      <c r="L88" s="1440">
        <f>L79</f>
        <v>0</v>
      </c>
      <c r="M88" s="1440">
        <f>M79</f>
        <v>0</v>
      </c>
      <c r="N88" s="1440">
        <f>N79</f>
        <v>0</v>
      </c>
      <c r="O88" s="1440">
        <f>O79</f>
        <v>0</v>
      </c>
    </row>
    <row r="89" spans="1:15">
      <c r="B89" s="1431" t="s">
        <v>822</v>
      </c>
      <c r="C89" s="1440">
        <f>C86-C87-C88</f>
        <v>614.8202</v>
      </c>
      <c r="D89" s="1440">
        <f t="shared" ref="D89:M89" si="32">D86-D87-D88</f>
        <v>0</v>
      </c>
      <c r="E89" s="1440">
        <f t="shared" si="32"/>
        <v>0</v>
      </c>
      <c r="F89" s="1440">
        <f t="shared" si="32"/>
        <v>0</v>
      </c>
      <c r="G89" s="1440">
        <f t="shared" si="32"/>
        <v>0</v>
      </c>
      <c r="H89" s="1440">
        <f t="shared" si="32"/>
        <v>0</v>
      </c>
      <c r="I89" s="1440">
        <f t="shared" si="32"/>
        <v>0</v>
      </c>
      <c r="J89" s="1440">
        <f t="shared" si="32"/>
        <v>0</v>
      </c>
      <c r="K89" s="1440">
        <f t="shared" si="32"/>
        <v>0</v>
      </c>
      <c r="L89" s="1440">
        <f t="shared" si="32"/>
        <v>0</v>
      </c>
      <c r="M89" s="1440">
        <f t="shared" si="32"/>
        <v>0</v>
      </c>
      <c r="N89" s="1440">
        <f>N86-N87-N88</f>
        <v>368.89211999999986</v>
      </c>
      <c r="O89" s="1440">
        <f>O86-O87-O88</f>
        <v>245.92807999999999</v>
      </c>
    </row>
    <row r="90" spans="1:15">
      <c r="B90" s="1431" t="s">
        <v>290</v>
      </c>
      <c r="C90" s="1440">
        <f>SUM(D90:M90)</f>
        <v>0</v>
      </c>
      <c r="D90" s="1410">
        <f t="shared" ref="D90:M90" si="33">D89*D22</f>
        <v>0</v>
      </c>
      <c r="E90" s="1410">
        <f t="shared" si="33"/>
        <v>0</v>
      </c>
      <c r="F90" s="1410">
        <f t="shared" si="33"/>
        <v>0</v>
      </c>
      <c r="G90" s="1410">
        <f t="shared" si="33"/>
        <v>0</v>
      </c>
      <c r="H90" s="1410">
        <f t="shared" si="33"/>
        <v>0</v>
      </c>
      <c r="I90" s="1410">
        <f t="shared" si="33"/>
        <v>0</v>
      </c>
      <c r="J90" s="1410">
        <f t="shared" si="33"/>
        <v>0</v>
      </c>
      <c r="K90" s="1410">
        <f t="shared" si="33"/>
        <v>0</v>
      </c>
      <c r="L90" s="1410">
        <f t="shared" si="33"/>
        <v>0</v>
      </c>
      <c r="M90" s="1410">
        <f t="shared" si="33"/>
        <v>0</v>
      </c>
      <c r="N90" s="1410">
        <f>N89*N22</f>
        <v>73.778423999999973</v>
      </c>
      <c r="O90" s="1410">
        <f>O89*O22</f>
        <v>49.185616000000003</v>
      </c>
    </row>
    <row r="91" spans="1:15">
      <c r="B91" s="1431" t="s">
        <v>661</v>
      </c>
      <c r="C91" s="1440">
        <f>SUM(D91:M91)</f>
        <v>0</v>
      </c>
      <c r="D91" s="1440">
        <f>D89-D90</f>
        <v>0</v>
      </c>
      <c r="E91" s="1440">
        <f t="shared" ref="E91:J91" si="34">E89-E90</f>
        <v>0</v>
      </c>
      <c r="F91" s="1440">
        <f t="shared" si="34"/>
        <v>0</v>
      </c>
      <c r="G91" s="1440">
        <f t="shared" si="34"/>
        <v>0</v>
      </c>
      <c r="H91" s="1440">
        <f t="shared" si="34"/>
        <v>0</v>
      </c>
      <c r="I91" s="1440">
        <f t="shared" si="34"/>
        <v>0</v>
      </c>
      <c r="J91" s="1440">
        <f t="shared" si="34"/>
        <v>0</v>
      </c>
      <c r="K91" s="1440">
        <f>K89-K90</f>
        <v>0</v>
      </c>
      <c r="L91" s="1440">
        <f>L89-L90</f>
        <v>0</v>
      </c>
      <c r="M91" s="1440">
        <f>M89-M90</f>
        <v>0</v>
      </c>
      <c r="N91" s="1440">
        <f>N89-N90</f>
        <v>295.11369599999989</v>
      </c>
      <c r="O91" s="1440">
        <f>O89-O90</f>
        <v>196.74246399999998</v>
      </c>
    </row>
    <row r="92" spans="1:15">
      <c r="B92" s="1428" t="s">
        <v>197</v>
      </c>
      <c r="C92" s="1429">
        <f>IF(C84&lt;&gt;0,1-C85/C84,"")</f>
        <v>0.39495343147418616</v>
      </c>
      <c r="D92" s="1429" t="str">
        <f t="shared" ref="D92:J92" si="35">IF(D84&lt;&gt;0,1-D85/D84,"")</f>
        <v/>
      </c>
      <c r="E92" s="1429" t="str">
        <f t="shared" si="35"/>
        <v/>
      </c>
      <c r="F92" s="1429" t="str">
        <f t="shared" si="35"/>
        <v/>
      </c>
      <c r="G92" s="1429" t="str">
        <f t="shared" si="35"/>
        <v/>
      </c>
      <c r="H92" s="1429" t="str">
        <f t="shared" si="35"/>
        <v/>
      </c>
      <c r="I92" s="1429" t="str">
        <f t="shared" si="35"/>
        <v/>
      </c>
      <c r="J92" s="1429" t="str">
        <f t="shared" si="35"/>
        <v/>
      </c>
      <c r="K92" s="1429" t="str">
        <f>IF(K84&lt;&gt;0,1-K85/K84,"")</f>
        <v/>
      </c>
      <c r="L92" s="1429" t="str">
        <f>IF(L84&lt;&gt;0,1-L85/L84,"")</f>
        <v/>
      </c>
      <c r="M92" s="1429" t="str">
        <f>IF(M84&lt;&gt;0,1-M85/M84,"")</f>
        <v/>
      </c>
      <c r="N92" s="1429">
        <f>IF(N84&lt;&gt;0,1-N85/N84,"")</f>
        <v>0.39495343147418616</v>
      </c>
      <c r="O92" s="1429">
        <f>IF(O84&lt;&gt;0,1-O85/O84,"")</f>
        <v>0.39495343147418616</v>
      </c>
    </row>
    <row r="93" spans="1:15">
      <c r="B93" s="1428" t="s">
        <v>1779</v>
      </c>
      <c r="C93" s="1429">
        <f>IF(C84&lt;&gt;0,C91/C84,"")</f>
        <v>0</v>
      </c>
      <c r="D93" s="1429" t="str">
        <f t="shared" ref="D93:M93" si="36">IF(D84&lt;&gt;0,D91/D84,"")</f>
        <v/>
      </c>
      <c r="E93" s="1429" t="str">
        <f t="shared" si="36"/>
        <v/>
      </c>
      <c r="F93" s="1429" t="str">
        <f t="shared" si="36"/>
        <v/>
      </c>
      <c r="G93" s="1429" t="str">
        <f t="shared" si="36"/>
        <v/>
      </c>
      <c r="H93" s="1429" t="str">
        <f t="shared" si="36"/>
        <v/>
      </c>
      <c r="I93" s="1429" t="str">
        <f t="shared" si="36"/>
        <v/>
      </c>
      <c r="J93" s="1429" t="str">
        <f t="shared" si="36"/>
        <v/>
      </c>
      <c r="K93" s="1429" t="str">
        <f t="shared" si="36"/>
        <v/>
      </c>
      <c r="L93" s="1429" t="str">
        <f t="shared" si="36"/>
        <v/>
      </c>
      <c r="M93" s="1429" t="str">
        <f t="shared" si="36"/>
        <v/>
      </c>
      <c r="N93" s="1429">
        <f>IF(N84&lt;&gt;0,N91/N84,"")</f>
        <v>0.2039627451793489</v>
      </c>
      <c r="O93" s="1429">
        <f>IF(O84&lt;&gt;0,O91/O84,"")</f>
        <v>0.20396274517934893</v>
      </c>
    </row>
    <row r="94" spans="1:15">
      <c r="B94" s="1428"/>
      <c r="C94" s="1429"/>
      <c r="D94" s="1429"/>
      <c r="E94" s="1429"/>
      <c r="F94" s="1429"/>
      <c r="G94" s="1429"/>
      <c r="H94" s="1429"/>
    </row>
    <row r="95" spans="1:15">
      <c r="D95" s="1440"/>
      <c r="E95" s="1440"/>
      <c r="F95" s="1440"/>
      <c r="G95" s="1440"/>
    </row>
    <row r="96" spans="1:15" s="1407" customFormat="1">
      <c r="A96" s="1406">
        <v>7</v>
      </c>
      <c r="B96" s="1407" t="s">
        <v>1589</v>
      </c>
      <c r="C96" s="1440" t="s">
        <v>642</v>
      </c>
      <c r="D96" s="1431">
        <f t="shared" ref="D96:J96" si="37">D83</f>
        <v>2013</v>
      </c>
      <c r="E96" s="1431">
        <f t="shared" si="37"/>
        <v>2014</v>
      </c>
      <c r="F96" s="1431">
        <f t="shared" si="37"/>
        <v>2015</v>
      </c>
      <c r="G96" s="1431">
        <f t="shared" si="37"/>
        <v>2016</v>
      </c>
      <c r="H96" s="1431">
        <f t="shared" si="37"/>
        <v>2017</v>
      </c>
      <c r="I96" s="1431">
        <f t="shared" si="37"/>
        <v>2018</v>
      </c>
      <c r="J96" s="1431">
        <f t="shared" si="37"/>
        <v>2019</v>
      </c>
      <c r="K96" s="1431">
        <f>K83</f>
        <v>2020</v>
      </c>
      <c r="L96" s="1431">
        <f>L83</f>
        <v>2021</v>
      </c>
      <c r="M96" s="1431">
        <f>M83</f>
        <v>2022</v>
      </c>
      <c r="N96" s="1431">
        <f>N83</f>
        <v>2023</v>
      </c>
      <c r="O96" s="1431">
        <f>O83</f>
        <v>2024</v>
      </c>
    </row>
    <row r="97" spans="1:17">
      <c r="B97" s="1419" t="s">
        <v>850</v>
      </c>
      <c r="C97" s="1441">
        <f>C63</f>
        <v>2411.5</v>
      </c>
      <c r="D97" s="1441">
        <f t="shared" ref="D97:J97" si="38">D63</f>
        <v>0</v>
      </c>
      <c r="E97" s="1441">
        <f t="shared" si="38"/>
        <v>0</v>
      </c>
      <c r="F97" s="1441">
        <f t="shared" si="38"/>
        <v>0</v>
      </c>
      <c r="G97" s="1441">
        <f t="shared" si="38"/>
        <v>0</v>
      </c>
      <c r="H97" s="1441">
        <f t="shared" si="38"/>
        <v>0</v>
      </c>
      <c r="I97" s="1441">
        <f t="shared" si="38"/>
        <v>0</v>
      </c>
      <c r="J97" s="1441">
        <f t="shared" si="38"/>
        <v>0</v>
      </c>
      <c r="K97" s="1441">
        <f>K63</f>
        <v>120.575</v>
      </c>
      <c r="L97" s="1441">
        <f>L63</f>
        <v>723.44999999999993</v>
      </c>
      <c r="M97" s="1441">
        <f>M63</f>
        <v>964.6</v>
      </c>
      <c r="N97" s="1441">
        <f>N63</f>
        <v>602.875</v>
      </c>
      <c r="O97" s="1441">
        <f>O63</f>
        <v>0</v>
      </c>
    </row>
    <row r="98" spans="1:17">
      <c r="B98" s="1407"/>
      <c r="C98" s="1440"/>
      <c r="D98" s="1440"/>
      <c r="E98" s="1440"/>
      <c r="F98" s="1440"/>
      <c r="G98" s="1440"/>
      <c r="H98" s="1440"/>
      <c r="I98" s="1440"/>
      <c r="J98" s="1440"/>
      <c r="K98" s="1440"/>
      <c r="L98" s="1440"/>
      <c r="M98" s="1440"/>
      <c r="N98" s="1440"/>
      <c r="O98" s="1440"/>
    </row>
    <row r="99" spans="1:17">
      <c r="B99" s="1407" t="s">
        <v>851</v>
      </c>
      <c r="C99" s="1440">
        <f t="shared" ref="C99:J99" si="39">SUM(C100:C103)</f>
        <v>1522.6100000000001</v>
      </c>
      <c r="D99" s="1440">
        <f t="shared" si="39"/>
        <v>0</v>
      </c>
      <c r="E99" s="1440">
        <f t="shared" si="39"/>
        <v>0</v>
      </c>
      <c r="F99" s="1440">
        <f t="shared" si="39"/>
        <v>0</v>
      </c>
      <c r="G99" s="1440">
        <f t="shared" si="39"/>
        <v>0</v>
      </c>
      <c r="H99" s="1440">
        <f t="shared" si="39"/>
        <v>0</v>
      </c>
      <c r="I99" s="1440">
        <f t="shared" si="39"/>
        <v>0</v>
      </c>
      <c r="J99" s="1440">
        <f t="shared" si="39"/>
        <v>151.25</v>
      </c>
      <c r="K99" s="1440">
        <f>SUM(K100:K103)</f>
        <v>396.75</v>
      </c>
      <c r="L99" s="1440">
        <f>SUM(L100:L103)</f>
        <v>364</v>
      </c>
      <c r="M99" s="1440">
        <f>SUM(M100:M103)</f>
        <v>273</v>
      </c>
      <c r="N99" s="1440">
        <f>SUM(N100:N103)</f>
        <v>276.344424</v>
      </c>
      <c r="O99" s="1440">
        <f>SUM(O100:O103)</f>
        <v>184.22961600000002</v>
      </c>
      <c r="P99" s="1440"/>
      <c r="Q99" s="1440"/>
    </row>
    <row r="100" spans="1:17">
      <c r="B100" s="1431" t="s">
        <v>852</v>
      </c>
      <c r="C100" s="1440">
        <f t="shared" ref="C100:J100" si="40">C35</f>
        <v>275</v>
      </c>
      <c r="D100" s="1440">
        <f t="shared" si="40"/>
        <v>0</v>
      </c>
      <c r="E100" s="1440">
        <f t="shared" si="40"/>
        <v>0</v>
      </c>
      <c r="F100" s="1440">
        <f t="shared" si="40"/>
        <v>0</v>
      </c>
      <c r="G100" s="1440">
        <f t="shared" si="40"/>
        <v>0</v>
      </c>
      <c r="H100" s="1440">
        <f t="shared" si="40"/>
        <v>0</v>
      </c>
      <c r="I100" s="1440">
        <f t="shared" si="40"/>
        <v>0</v>
      </c>
      <c r="J100" s="1440">
        <f t="shared" si="40"/>
        <v>151.25</v>
      </c>
      <c r="K100" s="1440">
        <f>K35</f>
        <v>123.75</v>
      </c>
      <c r="L100" s="1440">
        <f>L35</f>
        <v>0</v>
      </c>
      <c r="M100" s="1440">
        <f>M35</f>
        <v>0</v>
      </c>
      <c r="N100" s="1440">
        <f>N35</f>
        <v>0</v>
      </c>
      <c r="O100" s="1440">
        <f>O35</f>
        <v>0</v>
      </c>
    </row>
    <row r="101" spans="1:17">
      <c r="B101" s="1431" t="s">
        <v>788</v>
      </c>
      <c r="C101" s="1440">
        <f t="shared" ref="C101:J101" si="41">C71</f>
        <v>910</v>
      </c>
      <c r="D101" s="1440">
        <f t="shared" si="41"/>
        <v>0</v>
      </c>
      <c r="E101" s="1440">
        <f t="shared" si="41"/>
        <v>0</v>
      </c>
      <c r="F101" s="1440">
        <f t="shared" si="41"/>
        <v>0</v>
      </c>
      <c r="G101" s="1440">
        <f t="shared" si="41"/>
        <v>0</v>
      </c>
      <c r="H101" s="1440">
        <f t="shared" si="41"/>
        <v>0</v>
      </c>
      <c r="I101" s="1440">
        <f t="shared" si="41"/>
        <v>0</v>
      </c>
      <c r="J101" s="1440">
        <f t="shared" si="41"/>
        <v>0</v>
      </c>
      <c r="K101" s="1440">
        <f>K71</f>
        <v>273</v>
      </c>
      <c r="L101" s="1440">
        <f>L71</f>
        <v>364</v>
      </c>
      <c r="M101" s="1440">
        <f>M71</f>
        <v>273</v>
      </c>
      <c r="N101" s="1440">
        <f>N71</f>
        <v>0</v>
      </c>
      <c r="O101" s="1440">
        <f>O71</f>
        <v>0</v>
      </c>
    </row>
    <row r="102" spans="1:17">
      <c r="B102" s="1431" t="s">
        <v>656</v>
      </c>
      <c r="C102" s="1440">
        <f t="shared" ref="C102:J102" si="42">C80</f>
        <v>337.61</v>
      </c>
      <c r="D102" s="1440">
        <f t="shared" si="42"/>
        <v>0</v>
      </c>
      <c r="E102" s="1440">
        <f t="shared" si="42"/>
        <v>0</v>
      </c>
      <c r="F102" s="1440">
        <f t="shared" si="42"/>
        <v>0</v>
      </c>
      <c r="G102" s="1440">
        <f t="shared" si="42"/>
        <v>0</v>
      </c>
      <c r="H102" s="1440">
        <f t="shared" si="42"/>
        <v>0</v>
      </c>
      <c r="I102" s="1440">
        <f t="shared" si="42"/>
        <v>0</v>
      </c>
      <c r="J102" s="1440">
        <f t="shared" si="42"/>
        <v>0</v>
      </c>
      <c r="K102" s="1440">
        <f>K80</f>
        <v>0</v>
      </c>
      <c r="L102" s="1440">
        <f>L80</f>
        <v>0</v>
      </c>
      <c r="M102" s="1440">
        <f>M80</f>
        <v>0</v>
      </c>
      <c r="N102" s="1440">
        <f>N80</f>
        <v>202.566</v>
      </c>
      <c r="O102" s="1440">
        <f>O80</f>
        <v>135.04400000000001</v>
      </c>
    </row>
    <row r="103" spans="1:17">
      <c r="B103" s="1431" t="s">
        <v>854</v>
      </c>
      <c r="C103" s="1440">
        <f t="shared" ref="C103:J103" si="43">C90</f>
        <v>0</v>
      </c>
      <c r="D103" s="1440">
        <f t="shared" si="43"/>
        <v>0</v>
      </c>
      <c r="E103" s="1440">
        <f t="shared" si="43"/>
        <v>0</v>
      </c>
      <c r="F103" s="1440">
        <f t="shared" si="43"/>
        <v>0</v>
      </c>
      <c r="G103" s="1440">
        <f t="shared" si="43"/>
        <v>0</v>
      </c>
      <c r="H103" s="1440">
        <f t="shared" si="43"/>
        <v>0</v>
      </c>
      <c r="I103" s="1440">
        <f t="shared" si="43"/>
        <v>0</v>
      </c>
      <c r="J103" s="1440">
        <f t="shared" si="43"/>
        <v>0</v>
      </c>
      <c r="K103" s="1440">
        <f>K90</f>
        <v>0</v>
      </c>
      <c r="L103" s="1440">
        <f>L90</f>
        <v>0</v>
      </c>
      <c r="M103" s="1440">
        <f>M90</f>
        <v>0</v>
      </c>
      <c r="N103" s="1440">
        <f>N90</f>
        <v>73.778423999999973</v>
      </c>
      <c r="O103" s="1440">
        <f>O90</f>
        <v>49.185616000000003</v>
      </c>
    </row>
    <row r="104" spans="1:17">
      <c r="A104" s="1444"/>
      <c r="B104" s="1431" t="s">
        <v>855</v>
      </c>
      <c r="C104" s="1440">
        <f t="shared" ref="C104:J104" si="44">C97-C99</f>
        <v>888.88999999999987</v>
      </c>
      <c r="D104" s="1656">
        <f t="shared" si="44"/>
        <v>0</v>
      </c>
      <c r="E104" s="1440">
        <f t="shared" si="44"/>
        <v>0</v>
      </c>
      <c r="F104" s="1440">
        <f t="shared" si="44"/>
        <v>0</v>
      </c>
      <c r="G104" s="1440">
        <f t="shared" si="44"/>
        <v>0</v>
      </c>
      <c r="H104" s="1440">
        <f t="shared" si="44"/>
        <v>0</v>
      </c>
      <c r="I104" s="1440">
        <f t="shared" si="44"/>
        <v>0</v>
      </c>
      <c r="J104" s="1440">
        <f t="shared" si="44"/>
        <v>-151.25</v>
      </c>
      <c r="K104" s="1440">
        <f>K97-K99</f>
        <v>-276.17500000000001</v>
      </c>
      <c r="L104" s="1440">
        <f>L97-L99</f>
        <v>359.44999999999993</v>
      </c>
      <c r="M104" s="1440">
        <f>M97-M99</f>
        <v>691.6</v>
      </c>
      <c r="N104" s="1440">
        <f>N97-N99</f>
        <v>326.530576</v>
      </c>
      <c r="O104" s="1440">
        <f>O97-O99</f>
        <v>-184.22961600000002</v>
      </c>
    </row>
    <row r="105" spans="1:17">
      <c r="B105" s="1431" t="s">
        <v>1570</v>
      </c>
      <c r="D105" s="1452">
        <f t="shared" ref="D105:M105" si="45">IF(D96&gt;$D$12,(1+D23)^(D96-$D$12),0)</f>
        <v>0</v>
      </c>
      <c r="E105" s="1452">
        <f t="shared" si="45"/>
        <v>0</v>
      </c>
      <c r="F105" s="1452">
        <f t="shared" si="45"/>
        <v>0</v>
      </c>
      <c r="G105" s="1452">
        <f t="shared" si="45"/>
        <v>0</v>
      </c>
      <c r="H105" s="1452">
        <f t="shared" si="45"/>
        <v>0</v>
      </c>
      <c r="I105" s="1452">
        <f t="shared" si="45"/>
        <v>0</v>
      </c>
      <c r="J105" s="1452">
        <f t="shared" si="45"/>
        <v>0</v>
      </c>
      <c r="K105" s="1452">
        <f t="shared" si="45"/>
        <v>0</v>
      </c>
      <c r="L105" s="1452">
        <f t="shared" si="45"/>
        <v>0</v>
      </c>
      <c r="M105" s="1452">
        <f t="shared" si="45"/>
        <v>0</v>
      </c>
      <c r="N105" s="1452">
        <f>IF(N96&gt;$D$12,(1+N23)^(N96-$D$12),0)</f>
        <v>1.125</v>
      </c>
      <c r="O105" s="1452">
        <f>IF(O96&gt;$D$12,(1+O23)^(O96-$D$12),0)</f>
        <v>1.265625</v>
      </c>
    </row>
    <row r="106" spans="1:17">
      <c r="B106" s="1431" t="s">
        <v>1452</v>
      </c>
      <c r="C106" s="1440">
        <f>SUMIF(D96:M96,"&gt;"&amp;D12,D106:M106)+H35</f>
        <v>0</v>
      </c>
      <c r="D106" s="1440" t="str">
        <f t="shared" ref="D106:M106" si="46">IF(D105&lt;&gt;0,D104/D105,"")</f>
        <v/>
      </c>
      <c r="E106" s="1440" t="str">
        <f t="shared" si="46"/>
        <v/>
      </c>
      <c r="F106" s="1440" t="str">
        <f t="shared" si="46"/>
        <v/>
      </c>
      <c r="G106" s="1440" t="str">
        <f t="shared" si="46"/>
        <v/>
      </c>
      <c r="H106" s="1440" t="str">
        <f t="shared" si="46"/>
        <v/>
      </c>
      <c r="I106" s="1440" t="str">
        <f t="shared" si="46"/>
        <v/>
      </c>
      <c r="J106" s="1440" t="str">
        <f t="shared" si="46"/>
        <v/>
      </c>
      <c r="K106" s="1440" t="str">
        <f t="shared" si="46"/>
        <v/>
      </c>
      <c r="L106" s="1440" t="str">
        <f t="shared" si="46"/>
        <v/>
      </c>
      <c r="M106" s="1440" t="str">
        <f t="shared" si="46"/>
        <v/>
      </c>
      <c r="N106" s="1440">
        <f>IF(N105&lt;&gt;0,N104/N105,"")</f>
        <v>290.24940088888889</v>
      </c>
      <c r="O106" s="1440">
        <f>IF(O105&lt;&gt;0,O104/O105,"")</f>
        <v>-145.56414103703705</v>
      </c>
    </row>
    <row r="107" spans="1:17">
      <c r="B107" s="1407" t="s">
        <v>1590</v>
      </c>
      <c r="C107" s="1427">
        <f>C106*I5</f>
        <v>0</v>
      </c>
    </row>
    <row r="108" spans="1:17">
      <c r="B108" s="1407"/>
      <c r="C108" s="1427"/>
    </row>
    <row r="109" spans="1:17">
      <c r="B109" s="1407" t="s">
        <v>1588</v>
      </c>
      <c r="C109" s="1440"/>
      <c r="D109" s="1431">
        <f t="shared" ref="D109:J109" si="47">D96</f>
        <v>2013</v>
      </c>
      <c r="E109" s="1431">
        <f t="shared" si="47"/>
        <v>2014</v>
      </c>
      <c r="F109" s="1431">
        <f t="shared" si="47"/>
        <v>2015</v>
      </c>
      <c r="G109" s="1431">
        <f t="shared" si="47"/>
        <v>2016</v>
      </c>
      <c r="H109" s="1431">
        <f t="shared" si="47"/>
        <v>2017</v>
      </c>
      <c r="I109" s="1431">
        <f t="shared" si="47"/>
        <v>2018</v>
      </c>
      <c r="J109" s="1431">
        <f t="shared" si="47"/>
        <v>2019</v>
      </c>
      <c r="K109" s="1431">
        <f>K96</f>
        <v>2020</v>
      </c>
      <c r="L109" s="1431">
        <f>L96</f>
        <v>2021</v>
      </c>
      <c r="M109" s="1431">
        <f>M96</f>
        <v>2022</v>
      </c>
      <c r="N109" s="1431">
        <f>N96</f>
        <v>2023</v>
      </c>
      <c r="O109" s="1431">
        <f>O96</f>
        <v>2024</v>
      </c>
    </row>
    <row r="110" spans="1:17" s="1447" customFormat="1">
      <c r="A110" s="1459"/>
      <c r="B110" s="1460">
        <f>IRR(D110:M110)</f>
        <v>0.56374784469727568</v>
      </c>
      <c r="C110" s="1408"/>
      <c r="D110" s="1408">
        <f>D104</f>
        <v>0</v>
      </c>
      <c r="E110" s="1408">
        <f t="shared" ref="E110:J110" si="48">E104</f>
        <v>0</v>
      </c>
      <c r="F110" s="1408">
        <f t="shared" si="48"/>
        <v>0</v>
      </c>
      <c r="G110" s="1408">
        <f t="shared" si="48"/>
        <v>0</v>
      </c>
      <c r="H110" s="1408">
        <f t="shared" si="48"/>
        <v>0</v>
      </c>
      <c r="I110" s="1408">
        <f t="shared" si="48"/>
        <v>0</v>
      </c>
      <c r="J110" s="1408">
        <f t="shared" si="48"/>
        <v>-151.25</v>
      </c>
      <c r="K110" s="1408">
        <f>K104</f>
        <v>-276.17500000000001</v>
      </c>
      <c r="L110" s="1408">
        <f>L104</f>
        <v>359.44999999999993</v>
      </c>
      <c r="M110" s="1408">
        <f>M104</f>
        <v>691.6</v>
      </c>
      <c r="N110" s="1408">
        <f>N104</f>
        <v>326.530576</v>
      </c>
      <c r="O110" s="1408">
        <f>O104</f>
        <v>-184.22961600000002</v>
      </c>
    </row>
    <row r="111" spans="1:17">
      <c r="B111" s="1407" t="s">
        <v>1789</v>
      </c>
      <c r="C111" s="1440"/>
      <c r="D111" s="1656">
        <f t="shared" ref="D111:M111" si="49">D104+D117-D119</f>
        <v>0</v>
      </c>
      <c r="E111" s="1656">
        <f t="shared" si="49"/>
        <v>0</v>
      </c>
      <c r="F111" s="1656">
        <f t="shared" si="49"/>
        <v>0</v>
      </c>
      <c r="G111" s="1656">
        <f t="shared" si="49"/>
        <v>0</v>
      </c>
      <c r="H111" s="1656">
        <f t="shared" si="49"/>
        <v>0</v>
      </c>
      <c r="I111" s="1656">
        <f t="shared" si="49"/>
        <v>0</v>
      </c>
      <c r="J111" s="1656">
        <f t="shared" si="49"/>
        <v>610.05500000000006</v>
      </c>
      <c r="K111" s="1656">
        <f t="shared" si="49"/>
        <v>-276.17500000000001</v>
      </c>
      <c r="L111" s="1656">
        <f t="shared" si="49"/>
        <v>-401.85500000000013</v>
      </c>
      <c r="M111" s="1656">
        <f t="shared" si="49"/>
        <v>691.6</v>
      </c>
      <c r="N111" s="1656">
        <f>N104+N117-N119</f>
        <v>326.530576</v>
      </c>
      <c r="O111" s="1656">
        <f>O104+O117-O119</f>
        <v>-184.22961600000002</v>
      </c>
    </row>
    <row r="112" spans="1:17">
      <c r="B112" s="1407"/>
      <c r="C112" s="1427"/>
      <c r="D112" s="1454"/>
      <c r="E112" s="1454"/>
      <c r="F112" s="1454"/>
      <c r="G112" s="1454"/>
      <c r="H112" s="1454"/>
      <c r="I112" s="1454"/>
      <c r="J112" s="1454"/>
      <c r="K112" s="1454"/>
      <c r="L112" s="1454"/>
      <c r="M112" s="1454"/>
      <c r="N112" s="1454"/>
      <c r="O112" s="1454"/>
    </row>
    <row r="113" spans="1:15">
      <c r="B113" s="1407"/>
      <c r="C113" s="1427"/>
    </row>
    <row r="114" spans="1:15" s="1407" customFormat="1">
      <c r="A114" s="1406">
        <v>8</v>
      </c>
      <c r="B114" s="1407" t="s">
        <v>1592</v>
      </c>
      <c r="C114" s="1440"/>
      <c r="D114" s="1431">
        <f t="shared" ref="D114:I114" si="50">D96</f>
        <v>2013</v>
      </c>
      <c r="E114" s="1431">
        <f t="shared" si="50"/>
        <v>2014</v>
      </c>
      <c r="F114" s="1431">
        <f t="shared" si="50"/>
        <v>2015</v>
      </c>
      <c r="G114" s="1431">
        <f t="shared" si="50"/>
        <v>2016</v>
      </c>
      <c r="H114" s="1431">
        <f t="shared" si="50"/>
        <v>2017</v>
      </c>
      <c r="I114" s="1431">
        <f t="shared" si="50"/>
        <v>2018</v>
      </c>
      <c r="J114" s="1431">
        <f t="shared" ref="J114:O114" si="51">I114+1</f>
        <v>2019</v>
      </c>
      <c r="K114" s="1431">
        <f t="shared" si="51"/>
        <v>2020</v>
      </c>
      <c r="L114" s="1431">
        <f t="shared" si="51"/>
        <v>2021</v>
      </c>
      <c r="M114" s="1431">
        <f t="shared" si="51"/>
        <v>2022</v>
      </c>
      <c r="N114" s="1431">
        <f t="shared" si="51"/>
        <v>2023</v>
      </c>
      <c r="O114" s="1431">
        <f t="shared" si="51"/>
        <v>2024</v>
      </c>
    </row>
    <row r="115" spans="1:15">
      <c r="B115" s="1432" t="s">
        <v>1571</v>
      </c>
      <c r="C115" s="1441">
        <f>D5*I6</f>
        <v>761.30500000000006</v>
      </c>
      <c r="D115" s="1432"/>
      <c r="E115" s="1432"/>
      <c r="F115" s="1432"/>
      <c r="G115" s="1432"/>
      <c r="H115" s="1432"/>
      <c r="I115" s="1432"/>
      <c r="J115" s="1456"/>
      <c r="K115" s="1456"/>
      <c r="L115" s="1456"/>
      <c r="M115" s="1456"/>
      <c r="N115" s="1456"/>
      <c r="O115" s="1456"/>
    </row>
    <row r="116" spans="1:15">
      <c r="B116" s="1431" t="s">
        <v>1572</v>
      </c>
      <c r="C116" s="1436">
        <f>SUM(D116:O116)</f>
        <v>1</v>
      </c>
      <c r="D116" s="1416">
        <v>0</v>
      </c>
      <c r="E116" s="1416">
        <v>0</v>
      </c>
      <c r="F116" s="1416">
        <v>0</v>
      </c>
      <c r="G116" s="1416">
        <v>0</v>
      </c>
      <c r="H116" s="1411">
        <v>0</v>
      </c>
      <c r="I116" s="1411">
        <v>0</v>
      </c>
      <c r="J116" s="1411">
        <v>1</v>
      </c>
      <c r="K116" s="1411">
        <v>0</v>
      </c>
      <c r="L116" s="1411">
        <v>0</v>
      </c>
      <c r="M116" s="1411">
        <v>0</v>
      </c>
      <c r="N116" s="1411">
        <v>0</v>
      </c>
      <c r="O116" s="1411">
        <v>0</v>
      </c>
    </row>
    <row r="117" spans="1:15">
      <c r="B117" s="1431" t="s">
        <v>1573</v>
      </c>
      <c r="C117" s="1440">
        <f>SUM(D117:M117)</f>
        <v>761.30500000000006</v>
      </c>
      <c r="D117" s="1410">
        <f t="shared" ref="D117:M117" si="52">D116*$C$115</f>
        <v>0</v>
      </c>
      <c r="E117" s="1410">
        <f t="shared" si="52"/>
        <v>0</v>
      </c>
      <c r="F117" s="1410">
        <f t="shared" si="52"/>
        <v>0</v>
      </c>
      <c r="G117" s="1410">
        <f t="shared" si="52"/>
        <v>0</v>
      </c>
      <c r="H117" s="1410">
        <f t="shared" si="52"/>
        <v>0</v>
      </c>
      <c r="I117" s="1410">
        <f t="shared" si="52"/>
        <v>0</v>
      </c>
      <c r="J117" s="1410">
        <f t="shared" si="52"/>
        <v>761.30500000000006</v>
      </c>
      <c r="K117" s="1410">
        <f t="shared" si="52"/>
        <v>0</v>
      </c>
      <c r="L117" s="1410">
        <f t="shared" si="52"/>
        <v>0</v>
      </c>
      <c r="M117" s="1410">
        <f t="shared" si="52"/>
        <v>0</v>
      </c>
      <c r="N117" s="1410">
        <f>N116*$C$115</f>
        <v>0</v>
      </c>
      <c r="O117" s="1410">
        <f>O116*$C$115</f>
        <v>0</v>
      </c>
    </row>
    <row r="118" spans="1:15">
      <c r="B118" s="1431" t="s">
        <v>868</v>
      </c>
      <c r="C118" s="1440"/>
      <c r="D118" s="1440">
        <f>D117</f>
        <v>0</v>
      </c>
      <c r="E118" s="1440">
        <f>E117</f>
        <v>0</v>
      </c>
      <c r="F118" s="1440">
        <f>F117</f>
        <v>0</v>
      </c>
      <c r="G118" s="1440">
        <f t="shared" ref="G118:O118" si="53">F121+G117</f>
        <v>0</v>
      </c>
      <c r="H118" s="1440">
        <f t="shared" si="53"/>
        <v>0</v>
      </c>
      <c r="I118" s="1440">
        <f t="shared" si="53"/>
        <v>0</v>
      </c>
      <c r="J118" s="1440">
        <f t="shared" si="53"/>
        <v>761.30500000000006</v>
      </c>
      <c r="K118" s="1440">
        <f t="shared" si="53"/>
        <v>761.30500000000006</v>
      </c>
      <c r="L118" s="1440">
        <f t="shared" si="53"/>
        <v>761.30500000000006</v>
      </c>
      <c r="M118" s="1440">
        <f t="shared" si="53"/>
        <v>0</v>
      </c>
      <c r="N118" s="1440">
        <f t="shared" si="53"/>
        <v>0</v>
      </c>
      <c r="O118" s="1440">
        <f t="shared" si="53"/>
        <v>0</v>
      </c>
    </row>
    <row r="119" spans="1:15">
      <c r="B119" s="1431" t="s">
        <v>1574</v>
      </c>
      <c r="C119" s="1440">
        <f>SUM(D119:M119)</f>
        <v>761.30500000000006</v>
      </c>
      <c r="D119" s="1423"/>
      <c r="E119" s="1423"/>
      <c r="F119" s="1423"/>
      <c r="G119" s="1423"/>
      <c r="H119" s="1423"/>
      <c r="I119" s="1410"/>
      <c r="J119" s="1410"/>
      <c r="K119" s="1423"/>
      <c r="L119" s="1423">
        <f>C115</f>
        <v>761.30500000000006</v>
      </c>
      <c r="M119" s="1440"/>
      <c r="N119" s="1440"/>
      <c r="O119" s="1440"/>
    </row>
    <row r="120" spans="1:15">
      <c r="B120" s="1431" t="s">
        <v>869</v>
      </c>
      <c r="C120" s="1440">
        <f>SUM(D120:O120)</f>
        <v>274.06979999999999</v>
      </c>
      <c r="D120" s="1440">
        <f t="shared" ref="D120:M120" si="54">D118*D21</f>
        <v>0</v>
      </c>
      <c r="E120" s="1440">
        <f t="shared" si="54"/>
        <v>0</v>
      </c>
      <c r="F120" s="1440">
        <f t="shared" si="54"/>
        <v>0</v>
      </c>
      <c r="G120" s="1440">
        <f t="shared" si="54"/>
        <v>0</v>
      </c>
      <c r="H120" s="1440">
        <f t="shared" si="54"/>
        <v>0</v>
      </c>
      <c r="I120" s="1440">
        <f t="shared" si="54"/>
        <v>0</v>
      </c>
      <c r="J120" s="1440">
        <f t="shared" si="54"/>
        <v>91.3566</v>
      </c>
      <c r="K120" s="1440">
        <f t="shared" si="54"/>
        <v>91.3566</v>
      </c>
      <c r="L120" s="1440">
        <f t="shared" si="54"/>
        <v>91.3566</v>
      </c>
      <c r="M120" s="1440">
        <f t="shared" si="54"/>
        <v>0</v>
      </c>
      <c r="N120" s="1440">
        <f>N118*N21</f>
        <v>0</v>
      </c>
      <c r="O120" s="1440">
        <f>O118*O21</f>
        <v>0</v>
      </c>
    </row>
    <row r="121" spans="1:15">
      <c r="B121" s="1431" t="s">
        <v>874</v>
      </c>
      <c r="C121" s="1440"/>
      <c r="D121" s="1440">
        <f t="shared" ref="D121:M121" si="55">D118-D119</f>
        <v>0</v>
      </c>
      <c r="E121" s="1440">
        <f t="shared" si="55"/>
        <v>0</v>
      </c>
      <c r="F121" s="1440">
        <f t="shared" si="55"/>
        <v>0</v>
      </c>
      <c r="G121" s="1440">
        <f t="shared" si="55"/>
        <v>0</v>
      </c>
      <c r="H121" s="1440">
        <f t="shared" si="55"/>
        <v>0</v>
      </c>
      <c r="I121" s="1440">
        <f t="shared" si="55"/>
        <v>0</v>
      </c>
      <c r="J121" s="1440">
        <f t="shared" si="55"/>
        <v>761.30500000000006</v>
      </c>
      <c r="K121" s="1440">
        <f t="shared" si="55"/>
        <v>761.30500000000006</v>
      </c>
      <c r="L121" s="1440">
        <f t="shared" si="55"/>
        <v>0</v>
      </c>
      <c r="M121" s="1440">
        <f t="shared" si="55"/>
        <v>0</v>
      </c>
      <c r="N121" s="1440">
        <f>N118-N119</f>
        <v>0</v>
      </c>
      <c r="O121" s="1440">
        <f>O118-O119</f>
        <v>0</v>
      </c>
    </row>
    <row r="122" spans="1:15">
      <c r="C122" s="1440"/>
      <c r="D122" s="1412"/>
      <c r="E122" s="1440"/>
      <c r="F122" s="1440"/>
      <c r="G122" s="1440"/>
      <c r="H122" s="1440"/>
    </row>
    <row r="123" spans="1:15">
      <c r="C123" s="1440"/>
    </row>
    <row r="124" spans="1:15" s="1407" customFormat="1">
      <c r="A124" s="1406">
        <v>9</v>
      </c>
      <c r="B124" s="1407" t="s">
        <v>350</v>
      </c>
      <c r="C124" s="1440"/>
      <c r="D124" s="1431">
        <f t="shared" ref="D124:J124" si="56">D96</f>
        <v>2013</v>
      </c>
      <c r="E124" s="1431">
        <f t="shared" si="56"/>
        <v>2014</v>
      </c>
      <c r="F124" s="1431">
        <f t="shared" si="56"/>
        <v>2015</v>
      </c>
      <c r="G124" s="1431">
        <f t="shared" si="56"/>
        <v>2016</v>
      </c>
      <c r="H124" s="1431">
        <f t="shared" si="56"/>
        <v>2017</v>
      </c>
      <c r="I124" s="1431">
        <f t="shared" si="56"/>
        <v>2018</v>
      </c>
      <c r="J124" s="1431">
        <f t="shared" si="56"/>
        <v>2019</v>
      </c>
      <c r="K124" s="1431">
        <f>K96</f>
        <v>2020</v>
      </c>
      <c r="L124" s="1431">
        <f>L96</f>
        <v>2021</v>
      </c>
      <c r="M124" s="1431">
        <f>M96</f>
        <v>2022</v>
      </c>
      <c r="N124" s="1431">
        <f>N96</f>
        <v>2023</v>
      </c>
      <c r="O124" s="1431">
        <f>O96</f>
        <v>2024</v>
      </c>
    </row>
    <row r="125" spans="1:15">
      <c r="B125" s="1432" t="s">
        <v>1575</v>
      </c>
      <c r="C125" s="1441"/>
      <c r="D125" s="1441">
        <f>D63</f>
        <v>0</v>
      </c>
      <c r="E125" s="1408">
        <f t="shared" ref="E125:M125" si="57">D125+E63</f>
        <v>0</v>
      </c>
      <c r="F125" s="1408">
        <f t="shared" si="57"/>
        <v>0</v>
      </c>
      <c r="G125" s="1408">
        <f t="shared" si="57"/>
        <v>0</v>
      </c>
      <c r="H125" s="1408">
        <f t="shared" si="57"/>
        <v>0</v>
      </c>
      <c r="I125" s="1408">
        <f t="shared" si="57"/>
        <v>0</v>
      </c>
      <c r="J125" s="1408">
        <f t="shared" si="57"/>
        <v>0</v>
      </c>
      <c r="K125" s="1408">
        <f t="shared" si="57"/>
        <v>120.575</v>
      </c>
      <c r="L125" s="1408">
        <f t="shared" si="57"/>
        <v>844.02499999999998</v>
      </c>
      <c r="M125" s="1408">
        <f t="shared" si="57"/>
        <v>1808.625</v>
      </c>
      <c r="N125" s="1408">
        <f>M125+N63</f>
        <v>2411.5</v>
      </c>
      <c r="O125" s="1408">
        <f>N125+O63</f>
        <v>2411.5</v>
      </c>
    </row>
    <row r="126" spans="1:15">
      <c r="B126" s="1431" t="s">
        <v>1576</v>
      </c>
      <c r="C126" s="1440"/>
      <c r="D126" s="1440">
        <f>D57</f>
        <v>0</v>
      </c>
      <c r="E126" s="1440">
        <f t="shared" ref="E126:M126" si="58">D126+E57</f>
        <v>0</v>
      </c>
      <c r="F126" s="1440">
        <f t="shared" si="58"/>
        <v>0</v>
      </c>
      <c r="G126" s="1440">
        <f t="shared" si="58"/>
        <v>0</v>
      </c>
      <c r="H126" s="1440">
        <f t="shared" si="58"/>
        <v>0</v>
      </c>
      <c r="I126" s="1440">
        <f t="shared" si="58"/>
        <v>0</v>
      </c>
      <c r="J126" s="1440">
        <f t="shared" si="58"/>
        <v>0</v>
      </c>
      <c r="K126" s="1440">
        <f t="shared" si="58"/>
        <v>0</v>
      </c>
      <c r="L126" s="1440">
        <f t="shared" si="58"/>
        <v>0</v>
      </c>
      <c r="M126" s="1440">
        <f t="shared" si="58"/>
        <v>0</v>
      </c>
      <c r="N126" s="1440">
        <f>M126+N57</f>
        <v>1446.8999999999999</v>
      </c>
      <c r="O126" s="1440">
        <f>N126+O57</f>
        <v>2411.5</v>
      </c>
    </row>
    <row r="127" spans="1:15">
      <c r="B127" s="1431" t="s">
        <v>1577</v>
      </c>
      <c r="C127" s="1440"/>
      <c r="D127" s="1440">
        <f>D50</f>
        <v>0</v>
      </c>
      <c r="E127" s="1440">
        <f t="shared" ref="E127:M127" si="59">D127+E50</f>
        <v>0</v>
      </c>
      <c r="F127" s="1440">
        <f t="shared" si="59"/>
        <v>0</v>
      </c>
      <c r="G127" s="1440">
        <f t="shared" si="59"/>
        <v>0</v>
      </c>
      <c r="H127" s="1440">
        <f t="shared" si="59"/>
        <v>0</v>
      </c>
      <c r="I127" s="1440">
        <f t="shared" si="59"/>
        <v>0</v>
      </c>
      <c r="J127" s="1440">
        <f t="shared" si="59"/>
        <v>0</v>
      </c>
      <c r="K127" s="1440">
        <f t="shared" si="59"/>
        <v>2411.5</v>
      </c>
      <c r="L127" s="1440">
        <f t="shared" si="59"/>
        <v>2411.5</v>
      </c>
      <c r="M127" s="1440">
        <f t="shared" si="59"/>
        <v>2411.5</v>
      </c>
      <c r="N127" s="1440">
        <f>M127+N50</f>
        <v>2411.5</v>
      </c>
      <c r="O127" s="1440">
        <f>N127+O50</f>
        <v>2411.5</v>
      </c>
    </row>
    <row r="128" spans="1:15">
      <c r="B128" s="1431" t="s">
        <v>1578</v>
      </c>
      <c r="C128" s="1440"/>
      <c r="D128" s="1436" t="str">
        <f t="shared" ref="D128:J128" si="60">IF(D125&lt;&gt;0,D125/D127,"")</f>
        <v/>
      </c>
      <c r="E128" s="1436" t="str">
        <f t="shared" si="60"/>
        <v/>
      </c>
      <c r="F128" s="1436" t="str">
        <f t="shared" si="60"/>
        <v/>
      </c>
      <c r="G128" s="1436" t="str">
        <f t="shared" si="60"/>
        <v/>
      </c>
      <c r="H128" s="1436" t="str">
        <f t="shared" si="60"/>
        <v/>
      </c>
      <c r="I128" s="1436" t="str">
        <f t="shared" si="60"/>
        <v/>
      </c>
      <c r="J128" s="1436" t="str">
        <f t="shared" si="60"/>
        <v/>
      </c>
      <c r="K128" s="1436">
        <f>IF(K125&lt;&gt;0,K125/K127,"")</f>
        <v>0.05</v>
      </c>
      <c r="L128" s="1436">
        <f>IF(L125&lt;&gt;0,L125/L127,"")</f>
        <v>0.35</v>
      </c>
      <c r="M128" s="1436">
        <f>IF(M125&lt;&gt;0,M125/M127,"")</f>
        <v>0.75</v>
      </c>
      <c r="N128" s="1436">
        <f>IF(N125&lt;&gt;0,N125/N127,"")</f>
        <v>1</v>
      </c>
      <c r="O128" s="1436">
        <f>IF(O125&lt;&gt;0,O125/O127,"")</f>
        <v>1</v>
      </c>
    </row>
    <row r="129" spans="1:15">
      <c r="B129" s="1431" t="s">
        <v>1579</v>
      </c>
      <c r="C129" s="1440"/>
      <c r="D129" s="1410">
        <f t="shared" ref="D129:J129" si="61">IF(D125&gt;D126,D125-D126,0)</f>
        <v>0</v>
      </c>
      <c r="E129" s="1410">
        <f t="shared" si="61"/>
        <v>0</v>
      </c>
      <c r="F129" s="1410">
        <f t="shared" si="61"/>
        <v>0</v>
      </c>
      <c r="G129" s="1410">
        <f t="shared" si="61"/>
        <v>0</v>
      </c>
      <c r="H129" s="1410">
        <f t="shared" si="61"/>
        <v>0</v>
      </c>
      <c r="I129" s="1410">
        <f t="shared" si="61"/>
        <v>0</v>
      </c>
      <c r="J129" s="1410">
        <f t="shared" si="61"/>
        <v>0</v>
      </c>
      <c r="K129" s="1410">
        <f>IF(K125&gt;K126,K125-K126,0)</f>
        <v>120.575</v>
      </c>
      <c r="L129" s="1410">
        <f>IF(L125&gt;L126,L125-L126,0)</f>
        <v>844.02499999999998</v>
      </c>
      <c r="M129" s="1410">
        <f>IF(M125&gt;M126,M125-M126,0)</f>
        <v>1808.625</v>
      </c>
      <c r="N129" s="1410">
        <f>IF(N125&gt;N126,N125-N126,0)</f>
        <v>964.60000000000014</v>
      </c>
      <c r="O129" s="1410">
        <f>IF(O125&gt;O126,O125-O126,0)</f>
        <v>0</v>
      </c>
    </row>
    <row r="130" spans="1:15" s="1407" customFormat="1">
      <c r="A130" s="1406"/>
      <c r="B130" s="1431" t="s">
        <v>1580</v>
      </c>
      <c r="C130" s="1440"/>
      <c r="D130" s="1410">
        <f t="shared" ref="D130:J130" si="62">IF(D126&gt;D125,D126-D125,0)</f>
        <v>0</v>
      </c>
      <c r="E130" s="1410">
        <f t="shared" si="62"/>
        <v>0</v>
      </c>
      <c r="F130" s="1410">
        <f t="shared" si="62"/>
        <v>0</v>
      </c>
      <c r="G130" s="1410">
        <f t="shared" si="62"/>
        <v>0</v>
      </c>
      <c r="H130" s="1410">
        <f t="shared" si="62"/>
        <v>0</v>
      </c>
      <c r="I130" s="1410">
        <f t="shared" si="62"/>
        <v>0</v>
      </c>
      <c r="J130" s="1410">
        <f t="shared" si="62"/>
        <v>0</v>
      </c>
      <c r="K130" s="1410">
        <f>IF(K126&gt;K125,K126-K125,0)</f>
        <v>0</v>
      </c>
      <c r="L130" s="1410">
        <f>IF(L126&gt;L125,L126-L125,0)</f>
        <v>0</v>
      </c>
      <c r="M130" s="1410">
        <f>IF(M126&gt;M125,M126-M125,0)</f>
        <v>0</v>
      </c>
      <c r="N130" s="1410">
        <f>IF(N126&gt;N125,N126-N125,0)</f>
        <v>0</v>
      </c>
      <c r="O130" s="1410">
        <f>IF(O126&gt;O125,O126-O125,0)</f>
        <v>0</v>
      </c>
    </row>
    <row r="131" spans="1:15">
      <c r="B131" s="1407"/>
      <c r="E131" s="1440"/>
      <c r="F131" s="1440"/>
      <c r="G131" s="1440"/>
      <c r="H131" s="1440"/>
      <c r="I131" s="1440"/>
      <c r="J131" s="1440"/>
      <c r="K131" s="1440"/>
      <c r="L131" s="1440"/>
      <c r="M131" s="1440"/>
      <c r="N131" s="1440"/>
      <c r="O131" s="1440"/>
    </row>
    <row r="132" spans="1:15">
      <c r="B132" s="1407" t="s">
        <v>1492</v>
      </c>
      <c r="E132" s="1440"/>
      <c r="F132" s="1440"/>
      <c r="G132" s="1440"/>
      <c r="H132" s="1440"/>
      <c r="I132" s="1440"/>
      <c r="J132" s="1440"/>
      <c r="K132" s="1440"/>
      <c r="L132" s="1440"/>
      <c r="M132" s="1440"/>
      <c r="N132" s="1440"/>
      <c r="O132" s="1440"/>
    </row>
    <row r="133" spans="1:15">
      <c r="B133" s="1431" t="s">
        <v>1581</v>
      </c>
      <c r="D133" s="1412">
        <v>0</v>
      </c>
      <c r="E133" s="1410">
        <f t="shared" ref="E133:J133" si="63">D137</f>
        <v>0</v>
      </c>
      <c r="F133" s="1440">
        <f t="shared" si="63"/>
        <v>0</v>
      </c>
      <c r="G133" s="1440">
        <f t="shared" si="63"/>
        <v>0</v>
      </c>
      <c r="H133" s="1440">
        <f t="shared" si="63"/>
        <v>0</v>
      </c>
      <c r="I133" s="1440">
        <f t="shared" si="63"/>
        <v>0</v>
      </c>
      <c r="J133" s="1440">
        <f t="shared" si="63"/>
        <v>0</v>
      </c>
      <c r="K133" s="1440">
        <f>J137</f>
        <v>151.25</v>
      </c>
      <c r="L133" s="1440">
        <f>K137</f>
        <v>548</v>
      </c>
      <c r="M133" s="1440">
        <f>L137</f>
        <v>912</v>
      </c>
      <c r="N133" s="1440">
        <f>M137</f>
        <v>1185</v>
      </c>
      <c r="O133" s="1440">
        <f>N137</f>
        <v>474.00000000000011</v>
      </c>
    </row>
    <row r="134" spans="1:15">
      <c r="B134" s="1431" t="s">
        <v>994</v>
      </c>
      <c r="D134" s="1440">
        <f t="shared" ref="D134:M134" si="64">SUM(D100:D101)</f>
        <v>0</v>
      </c>
      <c r="E134" s="1440">
        <f t="shared" si="64"/>
        <v>0</v>
      </c>
      <c r="F134" s="1440">
        <f t="shared" si="64"/>
        <v>0</v>
      </c>
      <c r="G134" s="1440">
        <f t="shared" si="64"/>
        <v>0</v>
      </c>
      <c r="H134" s="1440">
        <f t="shared" si="64"/>
        <v>0</v>
      </c>
      <c r="I134" s="1440">
        <f t="shared" si="64"/>
        <v>0</v>
      </c>
      <c r="J134" s="1440">
        <f t="shared" si="64"/>
        <v>151.25</v>
      </c>
      <c r="K134" s="1440">
        <f t="shared" si="64"/>
        <v>396.75</v>
      </c>
      <c r="L134" s="1440">
        <f t="shared" si="64"/>
        <v>364</v>
      </c>
      <c r="M134" s="1440">
        <f t="shared" si="64"/>
        <v>273</v>
      </c>
      <c r="N134" s="1440">
        <f>SUM(N100:N101)</f>
        <v>0</v>
      </c>
      <c r="O134" s="1440">
        <f>SUM(O100:O101)</f>
        <v>0</v>
      </c>
    </row>
    <row r="135" spans="1:15">
      <c r="B135" s="1431" t="s">
        <v>1582</v>
      </c>
      <c r="D135" s="1431">
        <f t="shared" ref="D135:J135" si="65">$C$78*D58</f>
        <v>0</v>
      </c>
      <c r="E135" s="1431">
        <f t="shared" si="65"/>
        <v>0</v>
      </c>
      <c r="F135" s="1440">
        <f t="shared" si="65"/>
        <v>0</v>
      </c>
      <c r="G135" s="1440">
        <f t="shared" si="65"/>
        <v>0</v>
      </c>
      <c r="H135" s="1440">
        <f t="shared" si="65"/>
        <v>0</v>
      </c>
      <c r="I135" s="1440">
        <f t="shared" si="65"/>
        <v>0</v>
      </c>
      <c r="J135" s="1440">
        <f t="shared" si="65"/>
        <v>0</v>
      </c>
      <c r="K135" s="1440">
        <f>$C$78*K58</f>
        <v>0</v>
      </c>
      <c r="L135" s="1440">
        <f>$C$78*L58</f>
        <v>0</v>
      </c>
      <c r="M135" s="1440">
        <f>$C$78*M58</f>
        <v>0</v>
      </c>
      <c r="N135" s="1440">
        <f>$C$78*N58</f>
        <v>164.44188</v>
      </c>
      <c r="O135" s="1440">
        <f>$C$78*O58</f>
        <v>109.62792</v>
      </c>
    </row>
    <row r="136" spans="1:15">
      <c r="B136" s="1431" t="s">
        <v>1583</v>
      </c>
      <c r="D136" s="1440">
        <f t="shared" ref="D136:J136" si="66">SUM(D76:D78)</f>
        <v>0</v>
      </c>
      <c r="E136" s="1440">
        <f t="shared" si="66"/>
        <v>0</v>
      </c>
      <c r="F136" s="1440">
        <f t="shared" si="66"/>
        <v>0</v>
      </c>
      <c r="G136" s="1440">
        <f t="shared" si="66"/>
        <v>0</v>
      </c>
      <c r="H136" s="1440">
        <f t="shared" si="66"/>
        <v>0</v>
      </c>
      <c r="I136" s="1440">
        <f t="shared" si="66"/>
        <v>0</v>
      </c>
      <c r="J136" s="1440">
        <f t="shared" si="66"/>
        <v>0</v>
      </c>
      <c r="K136" s="1440">
        <f>SUM(K76:K78)</f>
        <v>0</v>
      </c>
      <c r="L136" s="1440">
        <f>SUM(L76:L78)</f>
        <v>0</v>
      </c>
      <c r="M136" s="1440">
        <f>SUM(M76:M78)</f>
        <v>0</v>
      </c>
      <c r="N136" s="1440">
        <f>SUM(N76:N78)</f>
        <v>875.44187999999997</v>
      </c>
      <c r="O136" s="1440">
        <f>SUM(O76:O78)</f>
        <v>583.62792000000002</v>
      </c>
    </row>
    <row r="137" spans="1:15">
      <c r="B137" s="1431" t="s">
        <v>874</v>
      </c>
      <c r="D137" s="1440">
        <f t="shared" ref="D137:M137" si="67">SUM(D133:D135)-D136</f>
        <v>0</v>
      </c>
      <c r="E137" s="1440">
        <f t="shared" si="67"/>
        <v>0</v>
      </c>
      <c r="F137" s="1440">
        <f t="shared" si="67"/>
        <v>0</v>
      </c>
      <c r="G137" s="1440">
        <f t="shared" si="67"/>
        <v>0</v>
      </c>
      <c r="H137" s="1440">
        <f t="shared" si="67"/>
        <v>0</v>
      </c>
      <c r="I137" s="1440">
        <f t="shared" si="67"/>
        <v>0</v>
      </c>
      <c r="J137" s="1440">
        <f t="shared" si="67"/>
        <v>151.25</v>
      </c>
      <c r="K137" s="1440">
        <f t="shared" si="67"/>
        <v>548</v>
      </c>
      <c r="L137" s="1440">
        <f t="shared" si="67"/>
        <v>912</v>
      </c>
      <c r="M137" s="1440">
        <f t="shared" si="67"/>
        <v>1185</v>
      </c>
      <c r="N137" s="1440">
        <f>SUM(N133:N135)-N136</f>
        <v>474.00000000000011</v>
      </c>
      <c r="O137" s="1440">
        <f>SUM(O133:O135)-O136</f>
        <v>0</v>
      </c>
    </row>
    <row r="138" spans="1:15">
      <c r="A138" s="1430" t="s">
        <v>1584</v>
      </c>
      <c r="B138" s="1432"/>
      <c r="C138" s="1432"/>
      <c r="D138" s="1432"/>
      <c r="E138" s="1432"/>
      <c r="F138" s="1432"/>
      <c r="G138" s="1432"/>
      <c r="H138" s="1432"/>
      <c r="I138" s="1432"/>
      <c r="J138" s="1432"/>
      <c r="K138" s="1432"/>
      <c r="L138" s="1432"/>
      <c r="M138" s="1432"/>
      <c r="N138" s="1432"/>
      <c r="O138" s="1432"/>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S137"/>
  <sheetViews>
    <sheetView zoomScale="115" zoomScaleNormal="115" workbookViewId="0">
      <selection activeCell="K23" sqref="K23"/>
    </sheetView>
  </sheetViews>
  <sheetFormatPr defaultColWidth="9.140625" defaultRowHeight="12"/>
  <cols>
    <col min="1" max="1" width="5.85546875" style="1406" customWidth="1"/>
    <col min="2" max="2" width="27.140625" style="1431" customWidth="1"/>
    <col min="3" max="13" width="9.140625" style="1431" customWidth="1"/>
    <col min="14" max="14" width="9.140625" style="1431" bestFit="1" customWidth="1"/>
    <col min="15" max="16384" width="9.140625" style="1431"/>
  </cols>
  <sheetData>
    <row r="1" spans="1:19" ht="21">
      <c r="A1" s="1404" t="s">
        <v>1925</v>
      </c>
    </row>
    <row r="2" spans="1:19">
      <c r="A2" s="1405" t="s">
        <v>1776</v>
      </c>
    </row>
    <row r="4" spans="1:19">
      <c r="B4" s="1407" t="s">
        <v>1539</v>
      </c>
      <c r="F4" s="1407" t="s">
        <v>1540</v>
      </c>
      <c r="K4" s="1407" t="s">
        <v>1595</v>
      </c>
      <c r="P4" s="1407" t="s">
        <v>1783</v>
      </c>
    </row>
    <row r="5" spans="1:19">
      <c r="B5" s="1432" t="s">
        <v>748</v>
      </c>
      <c r="C5" s="1432"/>
      <c r="D5" s="1408">
        <f>SUM(D6:D8)</f>
        <v>4347.3</v>
      </c>
      <c r="F5" s="1432" t="s">
        <v>636</v>
      </c>
      <c r="G5" s="1432"/>
      <c r="H5" s="1432"/>
      <c r="I5" s="1409">
        <v>1</v>
      </c>
      <c r="K5" s="1432" t="s">
        <v>26</v>
      </c>
      <c r="L5" s="1432"/>
      <c r="M5" s="1432"/>
      <c r="N5" s="1441">
        <f>C83</f>
        <v>6045</v>
      </c>
      <c r="P5" s="1432" t="s">
        <v>1777</v>
      </c>
      <c r="Q5" s="1432"/>
      <c r="R5" s="1432"/>
      <c r="S5" s="1422">
        <v>3000</v>
      </c>
    </row>
    <row r="6" spans="1:19">
      <c r="B6" s="1431" t="s">
        <v>678</v>
      </c>
      <c r="D6" s="1410">
        <f>SUM(E31:E32)</f>
        <v>3036</v>
      </c>
      <c r="F6" s="1431" t="s">
        <v>1542</v>
      </c>
      <c r="I6" s="1586">
        <f>'Opal Central Park'!I6</f>
        <v>0.5</v>
      </c>
      <c r="K6" s="1431" t="s">
        <v>197</v>
      </c>
      <c r="N6" s="1436">
        <f>C91</f>
        <v>0.31297022332506197</v>
      </c>
      <c r="P6" s="1431" t="s">
        <v>1778</v>
      </c>
      <c r="S6" s="1440">
        <f>D42/S5</f>
        <v>155</v>
      </c>
    </row>
    <row r="7" spans="1:19">
      <c r="B7" s="1431" t="s">
        <v>750</v>
      </c>
      <c r="D7" s="1410">
        <f>C70</f>
        <v>465</v>
      </c>
      <c r="F7" s="1431" t="s">
        <v>759</v>
      </c>
      <c r="I7" s="1440">
        <f>C114</f>
        <v>2173.65</v>
      </c>
      <c r="K7" s="1431" t="s">
        <v>1779</v>
      </c>
      <c r="N7" s="1436">
        <f>C92</f>
        <v>0.13837617866004961</v>
      </c>
      <c r="P7" s="1431" t="s">
        <v>1792</v>
      </c>
      <c r="S7" s="1412">
        <v>13</v>
      </c>
    </row>
    <row r="8" spans="1:19">
      <c r="B8" s="1431" t="s">
        <v>656</v>
      </c>
      <c r="D8" s="1440">
        <f>C79</f>
        <v>846.30000000000007</v>
      </c>
      <c r="F8" s="1431" t="s">
        <v>1544</v>
      </c>
      <c r="I8" s="1433">
        <f>G23</f>
        <v>0.1105</v>
      </c>
      <c r="K8" s="1431" t="s">
        <v>1720</v>
      </c>
      <c r="N8" s="1440">
        <f>C105</f>
        <v>421.26591625393974</v>
      </c>
      <c r="P8" s="1431" t="s">
        <v>1784</v>
      </c>
      <c r="S8" s="1423">
        <v>3.3</v>
      </c>
    </row>
    <row r="9" spans="1:19">
      <c r="B9" s="1431" t="s">
        <v>869</v>
      </c>
      <c r="D9" s="1440">
        <f>C119</f>
        <v>652.09500000000003</v>
      </c>
      <c r="F9" s="1431" t="s">
        <v>1588</v>
      </c>
      <c r="I9" s="1425">
        <f>B109</f>
        <v>0.19333672866809803</v>
      </c>
      <c r="K9" s="1431" t="s">
        <v>1601</v>
      </c>
      <c r="N9" s="1410">
        <f>C90</f>
        <v>836.48399999999992</v>
      </c>
      <c r="P9" s="1431" t="s">
        <v>1560</v>
      </c>
      <c r="S9" s="1416">
        <v>1</v>
      </c>
    </row>
    <row r="10" spans="1:19">
      <c r="B10" s="1431" t="s">
        <v>1543</v>
      </c>
      <c r="D10" s="1412">
        <v>2019</v>
      </c>
      <c r="F10" s="1431" t="s">
        <v>1781</v>
      </c>
      <c r="I10" s="1436">
        <f>C105/C90</f>
        <v>0.50361503179252654</v>
      </c>
      <c r="K10" s="1431" t="s">
        <v>1141</v>
      </c>
      <c r="N10" s="1423">
        <v>920000</v>
      </c>
      <c r="P10" s="1431" t="s">
        <v>1785</v>
      </c>
      <c r="S10" s="1423">
        <v>1</v>
      </c>
    </row>
    <row r="11" spans="1:19">
      <c r="B11" s="1431" t="s">
        <v>751</v>
      </c>
      <c r="D11" s="1412">
        <v>2023</v>
      </c>
      <c r="F11" s="1431" t="s">
        <v>1782</v>
      </c>
      <c r="I11" s="1436">
        <f>C70/C50</f>
        <v>7.6923076923076927E-2</v>
      </c>
      <c r="K11" s="1431" t="s">
        <v>686</v>
      </c>
      <c r="N11" s="1643">
        <v>465000</v>
      </c>
      <c r="P11" s="1431" t="s">
        <v>1786</v>
      </c>
      <c r="S11" s="1596">
        <f>'Opal Central Park'!$S$11</f>
        <v>0.14000000000000001</v>
      </c>
    </row>
    <row r="12" spans="1:19">
      <c r="B12" s="1431" t="s">
        <v>1545</v>
      </c>
      <c r="D12" s="1594">
        <f>'Opal Garden'!D12</f>
        <v>2022</v>
      </c>
      <c r="F12" s="1431" t="s">
        <v>1780</v>
      </c>
      <c r="I12" s="1436">
        <f>E32/C50</f>
        <v>0.5022332506203474</v>
      </c>
      <c r="K12" s="1431" t="s">
        <v>1790</v>
      </c>
      <c r="N12" s="1599" t="s">
        <v>1926</v>
      </c>
      <c r="P12" s="1431" t="s">
        <v>1791</v>
      </c>
      <c r="S12" s="1423"/>
    </row>
    <row r="13" spans="1:19">
      <c r="E13" s="1412"/>
      <c r="J13" s="1413"/>
    </row>
    <row r="14" spans="1:19">
      <c r="B14" s="1407" t="s">
        <v>1546</v>
      </c>
      <c r="D14" s="1447">
        <f>'Opal Riverside'!D14</f>
        <v>2013</v>
      </c>
      <c r="E14" s="1447">
        <f>'Opal Riverside'!E14</f>
        <v>2014</v>
      </c>
      <c r="F14" s="1447">
        <f>'Opal Riverside'!F14</f>
        <v>2015</v>
      </c>
      <c r="G14" s="1447">
        <f>'Opal Riverside'!G14</f>
        <v>2016</v>
      </c>
      <c r="H14" s="1447">
        <f>'Opal Riverside'!H14</f>
        <v>2017</v>
      </c>
      <c r="I14" s="1447">
        <f>'Opal Riverside'!I14</f>
        <v>2018</v>
      </c>
      <c r="J14" s="1447">
        <f>'Opal Riverside'!J14</f>
        <v>2019</v>
      </c>
      <c r="K14" s="1447">
        <f>'Opal Riverside'!K14</f>
        <v>2020</v>
      </c>
      <c r="L14" s="1447">
        <f>'Opal Riverside'!L14</f>
        <v>2021</v>
      </c>
      <c r="M14" s="1447">
        <f>'Opal Riverside'!M14</f>
        <v>2022</v>
      </c>
      <c r="N14" s="1447">
        <f>'Opal Riverside'!N14</f>
        <v>2023</v>
      </c>
      <c r="O14" s="1447">
        <f>'Opal Riverside'!O14</f>
        <v>2024</v>
      </c>
      <c r="P14" s="1447">
        <f>'Opal Riverside'!P14</f>
        <v>2025</v>
      </c>
      <c r="Q14" s="1447">
        <f>'Opal Riverside'!Q14</f>
        <v>2026</v>
      </c>
    </row>
    <row r="15" spans="1:19">
      <c r="B15" s="1432" t="s">
        <v>1547</v>
      </c>
      <c r="C15" s="1432"/>
      <c r="D15" s="1434">
        <f>1-I6</f>
        <v>0.5</v>
      </c>
      <c r="E15" s="1434">
        <f t="shared" ref="E15:Q18" si="0">D15</f>
        <v>0.5</v>
      </c>
      <c r="F15" s="1434">
        <f t="shared" si="0"/>
        <v>0.5</v>
      </c>
      <c r="G15" s="1434">
        <f t="shared" si="0"/>
        <v>0.5</v>
      </c>
      <c r="H15" s="1434">
        <f t="shared" si="0"/>
        <v>0.5</v>
      </c>
      <c r="I15" s="1434">
        <f t="shared" si="0"/>
        <v>0.5</v>
      </c>
      <c r="J15" s="1434">
        <f t="shared" si="0"/>
        <v>0.5</v>
      </c>
      <c r="K15" s="1434">
        <f t="shared" si="0"/>
        <v>0.5</v>
      </c>
      <c r="L15" s="1434">
        <f t="shared" si="0"/>
        <v>0.5</v>
      </c>
      <c r="M15" s="1434">
        <f t="shared" si="0"/>
        <v>0.5</v>
      </c>
      <c r="N15" s="1434">
        <f t="shared" si="0"/>
        <v>0.5</v>
      </c>
      <c r="O15" s="1434">
        <f t="shared" si="0"/>
        <v>0.5</v>
      </c>
      <c r="P15" s="1434">
        <f t="shared" si="0"/>
        <v>0.5</v>
      </c>
      <c r="Q15" s="1434">
        <f t="shared" si="0"/>
        <v>0.5</v>
      </c>
    </row>
    <row r="16" spans="1:19">
      <c r="B16" s="1431" t="s">
        <v>610</v>
      </c>
      <c r="D16" s="1594">
        <f>'Opal Central Park'!D16</f>
        <v>1</v>
      </c>
      <c r="E16" s="1431">
        <f>D16</f>
        <v>1</v>
      </c>
      <c r="F16" s="1431">
        <f t="shared" si="0"/>
        <v>1</v>
      </c>
      <c r="G16" s="1431">
        <f t="shared" si="0"/>
        <v>1</v>
      </c>
      <c r="H16" s="1431">
        <f t="shared" si="0"/>
        <v>1</v>
      </c>
      <c r="I16" s="1431">
        <f t="shared" si="0"/>
        <v>1</v>
      </c>
      <c r="J16" s="1431">
        <f t="shared" si="0"/>
        <v>1</v>
      </c>
      <c r="K16" s="1431">
        <f t="shared" si="0"/>
        <v>1</v>
      </c>
      <c r="L16" s="1431">
        <f t="shared" si="0"/>
        <v>1</v>
      </c>
      <c r="M16" s="1431">
        <f t="shared" si="0"/>
        <v>1</v>
      </c>
      <c r="N16" s="1431">
        <f t="shared" si="0"/>
        <v>1</v>
      </c>
      <c r="O16" s="1431">
        <f t="shared" si="0"/>
        <v>1</v>
      </c>
      <c r="P16" s="1431">
        <f t="shared" si="0"/>
        <v>1</v>
      </c>
      <c r="Q16" s="1431">
        <f t="shared" si="0"/>
        <v>1</v>
      </c>
    </row>
    <row r="17" spans="1:17">
      <c r="B17" s="1431" t="s">
        <v>757</v>
      </c>
      <c r="D17" s="1581">
        <f>'Opal Central Park'!D17</f>
        <v>5.5E-2</v>
      </c>
      <c r="E17" s="1435">
        <f t="shared" si="0"/>
        <v>5.5E-2</v>
      </c>
      <c r="F17" s="1435">
        <f t="shared" si="0"/>
        <v>5.5E-2</v>
      </c>
      <c r="G17" s="1435">
        <f t="shared" si="0"/>
        <v>5.5E-2</v>
      </c>
      <c r="H17" s="1435">
        <f t="shared" si="0"/>
        <v>5.5E-2</v>
      </c>
      <c r="I17" s="1435">
        <f t="shared" si="0"/>
        <v>5.5E-2</v>
      </c>
      <c r="J17" s="1435">
        <f t="shared" si="0"/>
        <v>5.5E-2</v>
      </c>
      <c r="K17" s="1435">
        <f t="shared" si="0"/>
        <v>5.5E-2</v>
      </c>
      <c r="L17" s="1435">
        <f t="shared" si="0"/>
        <v>5.5E-2</v>
      </c>
      <c r="M17" s="1435">
        <f t="shared" si="0"/>
        <v>5.5E-2</v>
      </c>
      <c r="N17" s="1435">
        <f t="shared" si="0"/>
        <v>5.5E-2</v>
      </c>
      <c r="O17" s="1435">
        <f t="shared" si="0"/>
        <v>5.5E-2</v>
      </c>
      <c r="P17" s="1435">
        <f t="shared" si="0"/>
        <v>5.5E-2</v>
      </c>
      <c r="Q17" s="1435">
        <f t="shared" si="0"/>
        <v>5.5E-2</v>
      </c>
    </row>
    <row r="18" spans="1:17">
      <c r="B18" s="1431" t="s">
        <v>609</v>
      </c>
      <c r="D18" s="1581">
        <f>'Opal Central Park'!D18</f>
        <v>7.0000000000000007E-2</v>
      </c>
      <c r="E18" s="1435">
        <f t="shared" si="0"/>
        <v>7.0000000000000007E-2</v>
      </c>
      <c r="F18" s="1435">
        <f t="shared" si="0"/>
        <v>7.0000000000000007E-2</v>
      </c>
      <c r="G18" s="1435">
        <f t="shared" si="0"/>
        <v>7.0000000000000007E-2</v>
      </c>
      <c r="H18" s="1435">
        <f t="shared" si="0"/>
        <v>7.0000000000000007E-2</v>
      </c>
      <c r="I18" s="1435">
        <f t="shared" si="0"/>
        <v>7.0000000000000007E-2</v>
      </c>
      <c r="J18" s="1435">
        <f t="shared" si="0"/>
        <v>7.0000000000000007E-2</v>
      </c>
      <c r="K18" s="1435">
        <f t="shared" si="0"/>
        <v>7.0000000000000007E-2</v>
      </c>
      <c r="L18" s="1435">
        <f t="shared" si="0"/>
        <v>7.0000000000000007E-2</v>
      </c>
      <c r="M18" s="1435">
        <f t="shared" si="0"/>
        <v>7.0000000000000007E-2</v>
      </c>
      <c r="N18" s="1435">
        <f t="shared" si="0"/>
        <v>7.0000000000000007E-2</v>
      </c>
      <c r="O18" s="1435">
        <f t="shared" si="0"/>
        <v>7.0000000000000007E-2</v>
      </c>
      <c r="P18" s="1435">
        <f t="shared" si="0"/>
        <v>7.0000000000000007E-2</v>
      </c>
      <c r="Q18" s="1435">
        <f t="shared" si="0"/>
        <v>7.0000000000000007E-2</v>
      </c>
    </row>
    <row r="19" spans="1:17">
      <c r="B19" s="1431" t="s">
        <v>758</v>
      </c>
      <c r="D19" s="1433">
        <f t="shared" ref="D19:Q19" si="1">D17+D16*D18</f>
        <v>0.125</v>
      </c>
      <c r="E19" s="1433">
        <f t="shared" si="1"/>
        <v>0.125</v>
      </c>
      <c r="F19" s="1433">
        <f t="shared" si="1"/>
        <v>0.125</v>
      </c>
      <c r="G19" s="1433">
        <f t="shared" si="1"/>
        <v>0.125</v>
      </c>
      <c r="H19" s="1433">
        <f t="shared" si="1"/>
        <v>0.125</v>
      </c>
      <c r="I19" s="1433">
        <f t="shared" si="1"/>
        <v>0.125</v>
      </c>
      <c r="J19" s="1433">
        <f t="shared" si="1"/>
        <v>0.125</v>
      </c>
      <c r="K19" s="1433">
        <f t="shared" si="1"/>
        <v>0.125</v>
      </c>
      <c r="L19" s="1433">
        <f t="shared" si="1"/>
        <v>0.125</v>
      </c>
      <c r="M19" s="1433">
        <f t="shared" si="1"/>
        <v>0.125</v>
      </c>
      <c r="N19" s="1433">
        <f t="shared" si="1"/>
        <v>0.125</v>
      </c>
      <c r="O19" s="1433">
        <f t="shared" si="1"/>
        <v>0.125</v>
      </c>
      <c r="P19" s="1433">
        <f t="shared" si="1"/>
        <v>0.125</v>
      </c>
      <c r="Q19" s="1433">
        <f t="shared" si="1"/>
        <v>0.125</v>
      </c>
    </row>
    <row r="20" spans="1:17">
      <c r="B20" s="1431" t="s">
        <v>1542</v>
      </c>
      <c r="D20" s="1436">
        <f t="shared" ref="D20:Q20" si="2">$I$6</f>
        <v>0.5</v>
      </c>
      <c r="E20" s="1436">
        <f t="shared" si="2"/>
        <v>0.5</v>
      </c>
      <c r="F20" s="1436">
        <f t="shared" si="2"/>
        <v>0.5</v>
      </c>
      <c r="G20" s="1436">
        <f t="shared" si="2"/>
        <v>0.5</v>
      </c>
      <c r="H20" s="1436">
        <f t="shared" si="2"/>
        <v>0.5</v>
      </c>
      <c r="I20" s="1436">
        <f t="shared" si="2"/>
        <v>0.5</v>
      </c>
      <c r="J20" s="1436">
        <f t="shared" si="2"/>
        <v>0.5</v>
      </c>
      <c r="K20" s="1436">
        <f t="shared" si="2"/>
        <v>0.5</v>
      </c>
      <c r="L20" s="1436">
        <f t="shared" si="2"/>
        <v>0.5</v>
      </c>
      <c r="M20" s="1436">
        <f t="shared" si="2"/>
        <v>0.5</v>
      </c>
      <c r="N20" s="1436">
        <f t="shared" si="2"/>
        <v>0.5</v>
      </c>
      <c r="O20" s="1436">
        <f t="shared" si="2"/>
        <v>0.5</v>
      </c>
      <c r="P20" s="1436">
        <f t="shared" si="2"/>
        <v>0.5</v>
      </c>
      <c r="Q20" s="1436">
        <f t="shared" si="2"/>
        <v>0.5</v>
      </c>
    </row>
    <row r="21" spans="1:17">
      <c r="B21" s="1431" t="s">
        <v>760</v>
      </c>
      <c r="D21" s="1581">
        <f>'Opal Central Park'!D21</f>
        <v>0.14000000000000001</v>
      </c>
      <c r="E21" s="1581">
        <f>'Opal Central Park'!E21</f>
        <v>0.13</v>
      </c>
      <c r="F21" s="1581">
        <f>'Opal Central Park'!F21</f>
        <v>0.1</v>
      </c>
      <c r="G21" s="1581">
        <f>'Opal Central Park'!G21</f>
        <v>0.12</v>
      </c>
      <c r="H21" s="1425">
        <f>G21</f>
        <v>0.12</v>
      </c>
      <c r="I21" s="1418">
        <f t="shared" ref="H21:Q22" si="3">H21</f>
        <v>0.12</v>
      </c>
      <c r="J21" s="1418">
        <f t="shared" si="3"/>
        <v>0.12</v>
      </c>
      <c r="K21" s="1418">
        <f t="shared" si="3"/>
        <v>0.12</v>
      </c>
      <c r="L21" s="1418">
        <f t="shared" si="3"/>
        <v>0.12</v>
      </c>
      <c r="M21" s="1418">
        <f t="shared" si="3"/>
        <v>0.12</v>
      </c>
      <c r="N21" s="1418">
        <f t="shared" si="3"/>
        <v>0.12</v>
      </c>
      <c r="O21" s="1418">
        <f t="shared" si="3"/>
        <v>0.12</v>
      </c>
      <c r="P21" s="1418">
        <f t="shared" si="3"/>
        <v>0.12</v>
      </c>
      <c r="Q21" s="1418">
        <f t="shared" si="3"/>
        <v>0.12</v>
      </c>
    </row>
    <row r="22" spans="1:17">
      <c r="B22" s="1431" t="s">
        <v>846</v>
      </c>
      <c r="D22" s="1596">
        <f>'Opal Central Park'!D22</f>
        <v>0.22</v>
      </c>
      <c r="E22" s="1596">
        <f>'Opal Central Park'!E22</f>
        <v>0.22</v>
      </c>
      <c r="F22" s="1596">
        <f>'Opal Central Park'!F22</f>
        <v>0.22</v>
      </c>
      <c r="G22" s="1596">
        <f>'Opal Central Park'!G22</f>
        <v>0.2</v>
      </c>
      <c r="H22" s="1417">
        <f t="shared" si="3"/>
        <v>0.2</v>
      </c>
      <c r="I22" s="1417">
        <f t="shared" si="3"/>
        <v>0.2</v>
      </c>
      <c r="J22" s="1417">
        <f t="shared" si="3"/>
        <v>0.2</v>
      </c>
      <c r="K22" s="1417">
        <f t="shared" si="3"/>
        <v>0.2</v>
      </c>
      <c r="L22" s="1417">
        <f t="shared" si="3"/>
        <v>0.2</v>
      </c>
      <c r="M22" s="1417">
        <f t="shared" si="3"/>
        <v>0.2</v>
      </c>
      <c r="N22" s="1417">
        <f t="shared" si="3"/>
        <v>0.2</v>
      </c>
      <c r="O22" s="1417">
        <f t="shared" si="3"/>
        <v>0.2</v>
      </c>
      <c r="P22" s="1417">
        <f t="shared" si="3"/>
        <v>0.2</v>
      </c>
      <c r="Q22" s="1417">
        <f t="shared" si="3"/>
        <v>0.2</v>
      </c>
    </row>
    <row r="23" spans="1:17">
      <c r="B23" s="1419" t="s">
        <v>14</v>
      </c>
      <c r="C23" s="1432"/>
      <c r="D23" s="1437">
        <f>D19*D15+D21*D20*(1-D22)</f>
        <v>0.11710000000000001</v>
      </c>
      <c r="E23" s="1437">
        <f t="shared" ref="E23:Q23" si="4">E19*E15+E21*E20*(1-E22)</f>
        <v>0.1132</v>
      </c>
      <c r="F23" s="1437">
        <f>F19*F15+F21*F20*(1-F22)</f>
        <v>0.10150000000000001</v>
      </c>
      <c r="G23" s="1437">
        <f>G19*G15+G21*G20*(1-G22)</f>
        <v>0.1105</v>
      </c>
      <c r="H23" s="1437">
        <f>H19*H15+H21*H20*(1-H22)</f>
        <v>0.1105</v>
      </c>
      <c r="I23" s="1437">
        <f>I19*I15+I21*I20*(1-I22)</f>
        <v>0.1105</v>
      </c>
      <c r="J23" s="1437">
        <f t="shared" si="4"/>
        <v>0.1105</v>
      </c>
      <c r="K23" s="1437">
        <f t="shared" si="4"/>
        <v>0.1105</v>
      </c>
      <c r="L23" s="1437">
        <f t="shared" si="4"/>
        <v>0.1105</v>
      </c>
      <c r="M23" s="1437">
        <f t="shared" si="4"/>
        <v>0.1105</v>
      </c>
      <c r="N23" s="1437">
        <f t="shared" si="4"/>
        <v>0.1105</v>
      </c>
      <c r="O23" s="1437">
        <f t="shared" si="4"/>
        <v>0.1105</v>
      </c>
      <c r="P23" s="1437">
        <f t="shared" si="4"/>
        <v>0.1105</v>
      </c>
      <c r="Q23" s="1437">
        <f t="shared" si="4"/>
        <v>0.1105</v>
      </c>
    </row>
    <row r="24" spans="1:17">
      <c r="E24" s="1412"/>
      <c r="J24" s="1413"/>
    </row>
    <row r="25" spans="1:17">
      <c r="E25" s="1412"/>
      <c r="J25" s="1413"/>
    </row>
    <row r="26" spans="1:17" ht="15.75">
      <c r="A26" s="1420" t="s">
        <v>1548</v>
      </c>
      <c r="B26" s="1438"/>
    </row>
    <row r="28" spans="1:17" s="1407" customFormat="1">
      <c r="A28" s="1406" t="s">
        <v>762</v>
      </c>
      <c r="B28" s="1407" t="s">
        <v>1459</v>
      </c>
      <c r="C28" s="1407" t="s">
        <v>764</v>
      </c>
      <c r="D28" s="1407" t="s">
        <v>1549</v>
      </c>
      <c r="E28" s="1407" t="s">
        <v>1550</v>
      </c>
    </row>
    <row r="29" spans="1:17">
      <c r="A29" s="1421"/>
      <c r="B29" s="1432" t="s">
        <v>1551</v>
      </c>
      <c r="C29" s="1432" t="s">
        <v>1552</v>
      </c>
      <c r="D29" s="1432"/>
      <c r="E29" s="1408">
        <f>N10</f>
        <v>920000</v>
      </c>
    </row>
    <row r="30" spans="1:17">
      <c r="B30" s="1431" t="s">
        <v>1553</v>
      </c>
      <c r="C30" s="1431" t="s">
        <v>1552</v>
      </c>
      <c r="E30" s="1410">
        <f>E29</f>
        <v>920000</v>
      </c>
    </row>
    <row r="31" spans="1:17">
      <c r="B31" s="1431" t="s">
        <v>1554</v>
      </c>
      <c r="C31" s="1431" t="s">
        <v>1555</v>
      </c>
      <c r="D31" s="1446"/>
      <c r="E31" s="1410">
        <f>E29*D31</f>
        <v>0</v>
      </c>
    </row>
    <row r="32" spans="1:17">
      <c r="B32" s="1431" t="s">
        <v>1556</v>
      </c>
      <c r="C32" s="1431" t="s">
        <v>1555</v>
      </c>
      <c r="D32" s="1654">
        <f>S8</f>
        <v>3.3</v>
      </c>
      <c r="E32" s="1440">
        <f>D32*E29/1000</f>
        <v>3036</v>
      </c>
    </row>
    <row r="34" spans="1:17">
      <c r="B34" s="1407" t="s">
        <v>773</v>
      </c>
      <c r="C34" s="1431" t="s">
        <v>642</v>
      </c>
      <c r="D34" s="1447">
        <f t="shared" ref="D34:Q34" si="5">D14</f>
        <v>2013</v>
      </c>
      <c r="E34" s="1447">
        <f t="shared" si="5"/>
        <v>2014</v>
      </c>
      <c r="F34" s="1447">
        <f t="shared" si="5"/>
        <v>2015</v>
      </c>
      <c r="G34" s="1447">
        <f t="shared" si="5"/>
        <v>2016</v>
      </c>
      <c r="H34" s="1447">
        <f t="shared" si="5"/>
        <v>2017</v>
      </c>
      <c r="I34" s="1447">
        <f t="shared" si="5"/>
        <v>2018</v>
      </c>
      <c r="J34" s="1447">
        <f t="shared" si="5"/>
        <v>2019</v>
      </c>
      <c r="K34" s="1447">
        <f t="shared" si="5"/>
        <v>2020</v>
      </c>
      <c r="L34" s="1447">
        <f t="shared" si="5"/>
        <v>2021</v>
      </c>
      <c r="M34" s="1447">
        <f t="shared" si="5"/>
        <v>2022</v>
      </c>
      <c r="N34" s="1447">
        <f t="shared" si="5"/>
        <v>2023</v>
      </c>
      <c r="O34" s="1447">
        <f t="shared" si="5"/>
        <v>2024</v>
      </c>
      <c r="P34" s="1447">
        <f t="shared" si="5"/>
        <v>2025</v>
      </c>
      <c r="Q34" s="1447">
        <f t="shared" si="5"/>
        <v>2026</v>
      </c>
    </row>
    <row r="35" spans="1:17">
      <c r="B35" s="1432"/>
      <c r="C35" s="1441">
        <f>E32</f>
        <v>3036</v>
      </c>
      <c r="D35" s="1408">
        <f>$C$35*D36</f>
        <v>0</v>
      </c>
      <c r="E35" s="1408">
        <f>$C$35*E36</f>
        <v>0</v>
      </c>
      <c r="F35" s="1408">
        <f>$C$35*F36</f>
        <v>0</v>
      </c>
      <c r="G35" s="1408">
        <f>$C$35*G36</f>
        <v>0</v>
      </c>
      <c r="H35" s="1408">
        <f>$C$35*H36</f>
        <v>0</v>
      </c>
      <c r="I35" s="1408">
        <f t="shared" ref="I35:Q35" si="6">$C$35*I36</f>
        <v>0</v>
      </c>
      <c r="J35" s="1408">
        <f t="shared" si="6"/>
        <v>3036</v>
      </c>
      <c r="K35" s="1408">
        <f t="shared" si="6"/>
        <v>0</v>
      </c>
      <c r="L35" s="1408">
        <f t="shared" si="6"/>
        <v>0</v>
      </c>
      <c r="M35" s="1408">
        <f t="shared" si="6"/>
        <v>0</v>
      </c>
      <c r="N35" s="1408">
        <f t="shared" si="6"/>
        <v>0</v>
      </c>
      <c r="O35" s="1408">
        <f t="shared" si="6"/>
        <v>0</v>
      </c>
      <c r="P35" s="1408">
        <f t="shared" si="6"/>
        <v>0</v>
      </c>
      <c r="Q35" s="1408">
        <f t="shared" si="6"/>
        <v>0</v>
      </c>
    </row>
    <row r="36" spans="1:17">
      <c r="B36" s="1442" t="s">
        <v>1559</v>
      </c>
      <c r="C36" s="1436">
        <f>SUM(D36:Q36)</f>
        <v>1</v>
      </c>
      <c r="D36" s="1416">
        <v>0</v>
      </c>
      <c r="E36" s="1416">
        <v>0</v>
      </c>
      <c r="F36" s="1416">
        <v>0</v>
      </c>
      <c r="G36" s="1416">
        <v>0</v>
      </c>
      <c r="H36" s="1416">
        <v>0</v>
      </c>
      <c r="I36" s="1416">
        <v>0</v>
      </c>
      <c r="J36" s="1416">
        <v>1</v>
      </c>
      <c r="K36" s="1416">
        <v>0</v>
      </c>
      <c r="L36" s="1416">
        <v>0</v>
      </c>
      <c r="M36" s="1416">
        <v>0</v>
      </c>
      <c r="N36" s="1416">
        <v>0</v>
      </c>
      <c r="O36" s="1416">
        <v>0</v>
      </c>
      <c r="P36" s="1416">
        <v>0</v>
      </c>
      <c r="Q36" s="1416">
        <v>0</v>
      </c>
    </row>
    <row r="39" spans="1:17" s="1407" customFormat="1">
      <c r="A39" s="1406" t="s">
        <v>777</v>
      </c>
      <c r="B39" s="1407" t="s">
        <v>1585</v>
      </c>
      <c r="C39" s="1407" t="s">
        <v>764</v>
      </c>
      <c r="D39" s="1407" t="s">
        <v>1549</v>
      </c>
    </row>
    <row r="40" spans="1:17">
      <c r="A40" s="1421"/>
      <c r="B40" s="1432" t="s">
        <v>686</v>
      </c>
      <c r="C40" s="1432" t="s">
        <v>1552</v>
      </c>
      <c r="D40" s="1426">
        <f>N11</f>
        <v>465000</v>
      </c>
      <c r="F40" s="1440"/>
      <c r="G40" s="1410"/>
    </row>
    <row r="41" spans="1:17">
      <c r="B41" s="1431" t="s">
        <v>1560</v>
      </c>
      <c r="C41" s="1431" t="s">
        <v>780</v>
      </c>
      <c r="D41" s="1448">
        <f>S9</f>
        <v>1</v>
      </c>
      <c r="G41" s="1440"/>
    </row>
    <row r="42" spans="1:17">
      <c r="B42" s="1431" t="s">
        <v>781</v>
      </c>
      <c r="C42" s="1431" t="s">
        <v>1552</v>
      </c>
      <c r="D42" s="1410">
        <f>D40*D41</f>
        <v>465000</v>
      </c>
    </row>
    <row r="43" spans="1:17">
      <c r="B43" s="1431" t="s">
        <v>1787</v>
      </c>
      <c r="C43" s="1431" t="s">
        <v>1555</v>
      </c>
      <c r="D43" s="1654">
        <f>S7</f>
        <v>13</v>
      </c>
    </row>
    <row r="44" spans="1:17">
      <c r="B44" s="1431" t="s">
        <v>1587</v>
      </c>
      <c r="C44" s="1431" t="s">
        <v>1555</v>
      </c>
      <c r="D44" s="1655">
        <f>S10</f>
        <v>1</v>
      </c>
    </row>
    <row r="45" spans="1:17">
      <c r="B45" s="1431" t="s">
        <v>787</v>
      </c>
      <c r="C45" s="1431" t="s">
        <v>780</v>
      </c>
      <c r="D45" s="1411">
        <v>0</v>
      </c>
    </row>
    <row r="46" spans="1:17">
      <c r="B46" s="1431" t="s">
        <v>1562</v>
      </c>
      <c r="C46" s="1431" t="s">
        <v>780</v>
      </c>
      <c r="D46" s="1448">
        <f>S11</f>
        <v>0.14000000000000001</v>
      </c>
    </row>
    <row r="47" spans="1:17">
      <c r="B47" s="1431" t="s">
        <v>1563</v>
      </c>
      <c r="C47" s="1431" t="s">
        <v>780</v>
      </c>
      <c r="D47" s="1411">
        <v>0</v>
      </c>
    </row>
    <row r="49" spans="1:17" s="1407" customFormat="1">
      <c r="A49" s="1406">
        <v>1</v>
      </c>
      <c r="B49" s="1407" t="s">
        <v>1564</v>
      </c>
      <c r="C49" s="1431" t="str">
        <f>C34</f>
        <v>Total</v>
      </c>
      <c r="D49" s="1431">
        <f>D34</f>
        <v>2013</v>
      </c>
      <c r="E49" s="1431">
        <f>E34</f>
        <v>2014</v>
      </c>
      <c r="F49" s="1431">
        <f>F34</f>
        <v>2015</v>
      </c>
      <c r="G49" s="1431">
        <f t="shared" ref="G49:Q49" si="7">F49+1</f>
        <v>2016</v>
      </c>
      <c r="H49" s="1431">
        <f t="shared" si="7"/>
        <v>2017</v>
      </c>
      <c r="I49" s="1431">
        <f t="shared" si="7"/>
        <v>2018</v>
      </c>
      <c r="J49" s="1431">
        <f t="shared" si="7"/>
        <v>2019</v>
      </c>
      <c r="K49" s="1431">
        <f t="shared" si="7"/>
        <v>2020</v>
      </c>
      <c r="L49" s="1431">
        <f t="shared" si="7"/>
        <v>2021</v>
      </c>
      <c r="M49" s="1431">
        <f t="shared" si="7"/>
        <v>2022</v>
      </c>
      <c r="N49" s="1431">
        <f t="shared" si="7"/>
        <v>2023</v>
      </c>
      <c r="O49" s="1431">
        <f t="shared" si="7"/>
        <v>2024</v>
      </c>
      <c r="P49" s="1431">
        <f t="shared" si="7"/>
        <v>2025</v>
      </c>
      <c r="Q49" s="1431">
        <f t="shared" si="7"/>
        <v>2026</v>
      </c>
    </row>
    <row r="50" spans="1:17">
      <c r="B50" s="1432" t="s">
        <v>791</v>
      </c>
      <c r="C50" s="1441">
        <f>SUM(D50:M50)</f>
        <v>6045</v>
      </c>
      <c r="D50" s="1441">
        <f>$D$42*D52*D51/1000</f>
        <v>0</v>
      </c>
      <c r="E50" s="1441">
        <f t="shared" ref="E50:M50" si="8">$D$42*E52*E51/1000</f>
        <v>0</v>
      </c>
      <c r="F50" s="1441">
        <f t="shared" si="8"/>
        <v>0</v>
      </c>
      <c r="G50" s="1441">
        <f t="shared" si="8"/>
        <v>0</v>
      </c>
      <c r="H50" s="1441">
        <f t="shared" si="8"/>
        <v>0</v>
      </c>
      <c r="I50" s="1441">
        <f t="shared" si="8"/>
        <v>0</v>
      </c>
      <c r="J50" s="1441">
        <f t="shared" si="8"/>
        <v>0</v>
      </c>
      <c r="K50" s="1441">
        <f t="shared" si="8"/>
        <v>2115.75</v>
      </c>
      <c r="L50" s="1441">
        <f t="shared" si="8"/>
        <v>2115.75</v>
      </c>
      <c r="M50" s="1441">
        <f t="shared" si="8"/>
        <v>1813.5</v>
      </c>
      <c r="N50" s="1441">
        <f>$D$42*N52*N51/1000</f>
        <v>0</v>
      </c>
      <c r="O50" s="1441">
        <f>$D$42*O52*O51/1000</f>
        <v>0</v>
      </c>
      <c r="P50" s="1441">
        <f>$D$42*P52*P51/1000</f>
        <v>0</v>
      </c>
      <c r="Q50" s="1441">
        <f>$D$42*Q52*Q51/1000</f>
        <v>0</v>
      </c>
    </row>
    <row r="51" spans="1:17">
      <c r="B51" s="1444" t="s">
        <v>792</v>
      </c>
      <c r="C51" s="1436">
        <f>SUM(D51:Q51)</f>
        <v>1</v>
      </c>
      <c r="D51" s="1416">
        <v>0</v>
      </c>
      <c r="E51" s="1416">
        <v>0</v>
      </c>
      <c r="F51" s="1416">
        <v>0</v>
      </c>
      <c r="G51" s="1416">
        <v>0</v>
      </c>
      <c r="H51" s="1416">
        <v>0</v>
      </c>
      <c r="I51" s="1416">
        <v>0</v>
      </c>
      <c r="J51" s="1416">
        <v>0</v>
      </c>
      <c r="K51" s="1416">
        <v>0.35</v>
      </c>
      <c r="L51" s="1416">
        <v>0.35</v>
      </c>
      <c r="M51" s="1416">
        <v>0.3</v>
      </c>
      <c r="N51" s="1416">
        <v>0</v>
      </c>
      <c r="O51" s="1416">
        <v>0</v>
      </c>
      <c r="P51" s="1416">
        <v>0</v>
      </c>
      <c r="Q51" s="1416">
        <v>0</v>
      </c>
    </row>
    <row r="52" spans="1:17">
      <c r="B52" s="1444" t="s">
        <v>1565</v>
      </c>
      <c r="D52" s="1439">
        <f>D43</f>
        <v>13</v>
      </c>
      <c r="E52" s="1439">
        <f t="shared" ref="E52:M52" si="9">D52*(1+E53)</f>
        <v>13</v>
      </c>
      <c r="F52" s="1439">
        <f t="shared" si="9"/>
        <v>13</v>
      </c>
      <c r="G52" s="1439">
        <f t="shared" si="9"/>
        <v>13</v>
      </c>
      <c r="H52" s="1439">
        <f t="shared" si="9"/>
        <v>13</v>
      </c>
      <c r="I52" s="1439">
        <f t="shared" si="9"/>
        <v>13</v>
      </c>
      <c r="J52" s="1439">
        <f t="shared" si="9"/>
        <v>13</v>
      </c>
      <c r="K52" s="1439">
        <f t="shared" si="9"/>
        <v>13</v>
      </c>
      <c r="L52" s="1439">
        <f t="shared" si="9"/>
        <v>13</v>
      </c>
      <c r="M52" s="1439">
        <f t="shared" si="9"/>
        <v>13</v>
      </c>
      <c r="N52" s="1439">
        <f>M52*(1+N53)</f>
        <v>13</v>
      </c>
      <c r="O52" s="1439">
        <f>N52*(1+O53)</f>
        <v>13</v>
      </c>
      <c r="P52" s="1439">
        <f>O52*(1+P53)</f>
        <v>13</v>
      </c>
      <c r="Q52" s="1439">
        <f>P52*(1+Q53)</f>
        <v>13</v>
      </c>
    </row>
    <row r="53" spans="1:17">
      <c r="B53" s="1444" t="s">
        <v>1563</v>
      </c>
      <c r="E53" s="1443">
        <f t="shared" ref="E53:J53" si="10">D47</f>
        <v>0</v>
      </c>
      <c r="F53" s="1443">
        <f t="shared" si="10"/>
        <v>0</v>
      </c>
      <c r="G53" s="1443">
        <f t="shared" si="10"/>
        <v>0</v>
      </c>
      <c r="H53" s="1443">
        <f t="shared" si="10"/>
        <v>0</v>
      </c>
      <c r="I53" s="1443">
        <f t="shared" si="10"/>
        <v>0</v>
      </c>
      <c r="J53" s="1443">
        <f t="shared" si="10"/>
        <v>0</v>
      </c>
      <c r="K53" s="1443">
        <f t="shared" ref="K53:Q53" si="11">J47</f>
        <v>0</v>
      </c>
      <c r="L53" s="1443">
        <f t="shared" si="11"/>
        <v>0</v>
      </c>
      <c r="M53" s="1443">
        <f t="shared" si="11"/>
        <v>0</v>
      </c>
      <c r="N53" s="1443">
        <f t="shared" si="11"/>
        <v>0</v>
      </c>
      <c r="O53" s="1443">
        <f t="shared" si="11"/>
        <v>0</v>
      </c>
      <c r="P53" s="1443">
        <f t="shared" si="11"/>
        <v>0</v>
      </c>
      <c r="Q53" s="1443">
        <f t="shared" si="11"/>
        <v>0</v>
      </c>
    </row>
    <row r="54" spans="1:17">
      <c r="B54" s="1444" t="s">
        <v>1788</v>
      </c>
      <c r="C54" s="1440">
        <f>S5</f>
        <v>3000</v>
      </c>
      <c r="D54" s="1440">
        <f>D51*$C$54</f>
        <v>0</v>
      </c>
      <c r="E54" s="1440">
        <f t="shared" ref="E54:M54" si="12">E51*$C$54</f>
        <v>0</v>
      </c>
      <c r="F54" s="1440">
        <f t="shared" si="12"/>
        <v>0</v>
      </c>
      <c r="G54" s="1440">
        <f t="shared" si="12"/>
        <v>0</v>
      </c>
      <c r="H54" s="1440">
        <f t="shared" si="12"/>
        <v>0</v>
      </c>
      <c r="I54" s="1440">
        <f t="shared" si="12"/>
        <v>0</v>
      </c>
      <c r="J54" s="1440">
        <f t="shared" si="12"/>
        <v>0</v>
      </c>
      <c r="K54" s="1440">
        <f t="shared" si="12"/>
        <v>1050</v>
      </c>
      <c r="L54" s="1440">
        <f t="shared" si="12"/>
        <v>1050</v>
      </c>
      <c r="M54" s="1440">
        <f t="shared" si="12"/>
        <v>900</v>
      </c>
      <c r="N54" s="1440">
        <f>N51*$C$54</f>
        <v>0</v>
      </c>
      <c r="O54" s="1440">
        <f>O51*$C$54</f>
        <v>0</v>
      </c>
      <c r="P54" s="1440">
        <f>P51*$C$54</f>
        <v>0</v>
      </c>
      <c r="Q54" s="1440">
        <f>Q51*$C$54</f>
        <v>0</v>
      </c>
    </row>
    <row r="55" spans="1:17">
      <c r="B55" s="1444"/>
      <c r="F55" s="1443"/>
      <c r="G55" s="1443"/>
    </row>
    <row r="56" spans="1:17" s="1407" customFormat="1">
      <c r="A56" s="1406">
        <v>2</v>
      </c>
      <c r="B56" s="1407" t="s">
        <v>794</v>
      </c>
      <c r="C56" s="1431" t="str">
        <f>C49</f>
        <v>Total</v>
      </c>
      <c r="D56" s="1431">
        <f t="shared" ref="D56:J56" si="13">D49</f>
        <v>2013</v>
      </c>
      <c r="E56" s="1431">
        <f t="shared" si="13"/>
        <v>2014</v>
      </c>
      <c r="F56" s="1431">
        <f t="shared" si="13"/>
        <v>2015</v>
      </c>
      <c r="G56" s="1431">
        <f t="shared" si="13"/>
        <v>2016</v>
      </c>
      <c r="H56" s="1431">
        <f t="shared" si="13"/>
        <v>2017</v>
      </c>
      <c r="I56" s="1431">
        <f t="shared" si="13"/>
        <v>2018</v>
      </c>
      <c r="J56" s="1431">
        <f t="shared" si="13"/>
        <v>2019</v>
      </c>
      <c r="K56" s="1431">
        <f t="shared" ref="K56:Q56" si="14">K49</f>
        <v>2020</v>
      </c>
      <c r="L56" s="1431">
        <f t="shared" si="14"/>
        <v>2021</v>
      </c>
      <c r="M56" s="1431">
        <f t="shared" si="14"/>
        <v>2022</v>
      </c>
      <c r="N56" s="1431">
        <f t="shared" si="14"/>
        <v>2023</v>
      </c>
      <c r="O56" s="1431">
        <f t="shared" si="14"/>
        <v>2024</v>
      </c>
      <c r="P56" s="1431">
        <f t="shared" si="14"/>
        <v>2025</v>
      </c>
      <c r="Q56" s="1431">
        <f t="shared" si="14"/>
        <v>2026</v>
      </c>
    </row>
    <row r="57" spans="1:17">
      <c r="B57" s="1432" t="s">
        <v>1586</v>
      </c>
      <c r="C57" s="1408">
        <f>C50</f>
        <v>6045</v>
      </c>
      <c r="D57" s="1441">
        <f>$C$57*D58</f>
        <v>0</v>
      </c>
      <c r="E57" s="1441">
        <f t="shared" ref="E57:Q57" si="15">$C$57*E58</f>
        <v>0</v>
      </c>
      <c r="F57" s="1441">
        <f t="shared" si="15"/>
        <v>0</v>
      </c>
      <c r="G57" s="1441">
        <f t="shared" si="15"/>
        <v>0</v>
      </c>
      <c r="H57" s="1441">
        <f t="shared" si="15"/>
        <v>0</v>
      </c>
      <c r="I57" s="1441">
        <f t="shared" si="15"/>
        <v>0</v>
      </c>
      <c r="J57" s="1441">
        <f t="shared" si="15"/>
        <v>0</v>
      </c>
      <c r="K57" s="1441">
        <f t="shared" si="15"/>
        <v>1209</v>
      </c>
      <c r="L57" s="1441">
        <f t="shared" si="15"/>
        <v>1813.5</v>
      </c>
      <c r="M57" s="1441">
        <f t="shared" si="15"/>
        <v>1813.5</v>
      </c>
      <c r="N57" s="1441">
        <f t="shared" si="15"/>
        <v>1209</v>
      </c>
      <c r="O57" s="1441">
        <f t="shared" si="15"/>
        <v>0</v>
      </c>
      <c r="P57" s="1441">
        <f t="shared" si="15"/>
        <v>0</v>
      </c>
      <c r="Q57" s="1441">
        <f t="shared" si="15"/>
        <v>0</v>
      </c>
    </row>
    <row r="58" spans="1:17">
      <c r="B58" s="1442" t="s">
        <v>794</v>
      </c>
      <c r="C58" s="1417">
        <f>SUM(D58:Q58)</f>
        <v>1</v>
      </c>
      <c r="D58" s="1411">
        <v>0</v>
      </c>
      <c r="E58" s="1411">
        <v>0</v>
      </c>
      <c r="F58" s="1411">
        <v>0</v>
      </c>
      <c r="G58" s="1411">
        <v>0</v>
      </c>
      <c r="H58" s="1411">
        <v>0</v>
      </c>
      <c r="I58" s="1411">
        <v>0</v>
      </c>
      <c r="J58" s="1411">
        <v>0</v>
      </c>
      <c r="K58" s="1411">
        <v>0.2</v>
      </c>
      <c r="L58" s="1411">
        <v>0.3</v>
      </c>
      <c r="M58" s="1411">
        <v>0.3</v>
      </c>
      <c r="N58" s="1411">
        <v>0.2</v>
      </c>
      <c r="O58" s="1411">
        <v>0</v>
      </c>
      <c r="P58" s="1411">
        <v>0</v>
      </c>
      <c r="Q58" s="1411">
        <v>0</v>
      </c>
    </row>
    <row r="59" spans="1:17">
      <c r="B59" s="1442" t="s">
        <v>1777</v>
      </c>
      <c r="C59" s="1410">
        <f>C54</f>
        <v>3000</v>
      </c>
      <c r="D59" s="1410">
        <f>D58*$C$59</f>
        <v>0</v>
      </c>
      <c r="E59" s="1410">
        <f t="shared" ref="E59:M59" si="16">E58*$C$59</f>
        <v>0</v>
      </c>
      <c r="F59" s="1410">
        <f t="shared" si="16"/>
        <v>0</v>
      </c>
      <c r="G59" s="1410">
        <f t="shared" si="16"/>
        <v>0</v>
      </c>
      <c r="H59" s="1410">
        <f t="shared" si="16"/>
        <v>0</v>
      </c>
      <c r="I59" s="1410">
        <f t="shared" si="16"/>
        <v>0</v>
      </c>
      <c r="J59" s="1410">
        <f t="shared" si="16"/>
        <v>0</v>
      </c>
      <c r="K59" s="1410">
        <f t="shared" si="16"/>
        <v>600</v>
      </c>
      <c r="L59" s="1410">
        <f t="shared" si="16"/>
        <v>900</v>
      </c>
      <c r="M59" s="1410">
        <f t="shared" si="16"/>
        <v>900</v>
      </c>
      <c r="N59" s="1410">
        <f>N58*$C$59</f>
        <v>600</v>
      </c>
      <c r="O59" s="1410">
        <f>O58*$C$59</f>
        <v>0</v>
      </c>
      <c r="P59" s="1410">
        <f>P58*$C$59</f>
        <v>0</v>
      </c>
      <c r="Q59" s="1410">
        <f>Q58*$C$59</f>
        <v>0</v>
      </c>
    </row>
    <row r="60" spans="1:17">
      <c r="B60" s="1444"/>
      <c r="C60" s="1425"/>
      <c r="D60" s="1433"/>
      <c r="E60" s="1433"/>
      <c r="F60" s="1433"/>
      <c r="G60" s="1433"/>
    </row>
    <row r="61" spans="1:17">
      <c r="C61" s="1440"/>
      <c r="D61" s="1440"/>
      <c r="E61" s="1440"/>
      <c r="F61" s="1440"/>
      <c r="G61" s="1440"/>
    </row>
    <row r="62" spans="1:17" s="1407" customFormat="1">
      <c r="A62" s="1406">
        <v>3</v>
      </c>
      <c r="B62" s="1407" t="s">
        <v>1175</v>
      </c>
      <c r="C62" s="1431" t="str">
        <f>C56</f>
        <v>Total</v>
      </c>
      <c r="D62" s="1431">
        <f t="shared" ref="D62:J62" si="17">D56</f>
        <v>2013</v>
      </c>
      <c r="E62" s="1431">
        <f t="shared" si="17"/>
        <v>2014</v>
      </c>
      <c r="F62" s="1431">
        <f t="shared" si="17"/>
        <v>2015</v>
      </c>
      <c r="G62" s="1431">
        <f t="shared" si="17"/>
        <v>2016</v>
      </c>
      <c r="H62" s="1431">
        <f t="shared" si="17"/>
        <v>2017</v>
      </c>
      <c r="I62" s="1431">
        <f t="shared" si="17"/>
        <v>2018</v>
      </c>
      <c r="J62" s="1431">
        <f t="shared" si="17"/>
        <v>2019</v>
      </c>
      <c r="K62" s="1431">
        <f t="shared" ref="K62:Q62" si="18">K56</f>
        <v>2020</v>
      </c>
      <c r="L62" s="1431">
        <f t="shared" si="18"/>
        <v>2021</v>
      </c>
      <c r="M62" s="1431">
        <f t="shared" si="18"/>
        <v>2022</v>
      </c>
      <c r="N62" s="1431">
        <f t="shared" si="18"/>
        <v>2023</v>
      </c>
      <c r="O62" s="1431">
        <f t="shared" si="18"/>
        <v>2024</v>
      </c>
      <c r="P62" s="1431">
        <f t="shared" si="18"/>
        <v>2025</v>
      </c>
      <c r="Q62" s="1431">
        <f t="shared" si="18"/>
        <v>2026</v>
      </c>
    </row>
    <row r="63" spans="1:17">
      <c r="B63" s="1432"/>
      <c r="C63" s="1441">
        <f>SUM(D63:Q63)</f>
        <v>6045</v>
      </c>
      <c r="D63" s="1408"/>
      <c r="E63" s="1408"/>
      <c r="F63" s="1408">
        <f>D50*$D66+E50*$D65+F50*$D64</f>
        <v>0</v>
      </c>
      <c r="G63" s="1408">
        <f>E50*$D66+F50*$D65+G50*$D64</f>
        <v>0</v>
      </c>
      <c r="H63" s="1408">
        <f t="shared" ref="H63:M63" si="19">F50*$D66+G50*$D65+H50*$D64</f>
        <v>0</v>
      </c>
      <c r="I63" s="1408">
        <f t="shared" si="19"/>
        <v>0</v>
      </c>
      <c r="J63" s="1408">
        <f t="shared" si="19"/>
        <v>0</v>
      </c>
      <c r="K63" s="1408">
        <f t="shared" si="19"/>
        <v>1269.45</v>
      </c>
      <c r="L63" s="1408">
        <f t="shared" si="19"/>
        <v>2115.75</v>
      </c>
      <c r="M63" s="1408">
        <f t="shared" si="19"/>
        <v>1934.4</v>
      </c>
      <c r="N63" s="1408">
        <f>L50*$D66+M50*$D65+N50*$D64</f>
        <v>725.40000000000009</v>
      </c>
      <c r="O63" s="1408">
        <f>M50*$D66+N50*$D65+O50*$D64</f>
        <v>0</v>
      </c>
      <c r="P63" s="1408">
        <f>N50*$D66+O50*$D65+P50*$D64</f>
        <v>0</v>
      </c>
      <c r="Q63" s="1408">
        <f>O50*$D66+P50*$D65+Q50*$D64</f>
        <v>0</v>
      </c>
    </row>
    <row r="64" spans="1:17">
      <c r="B64" s="1431" t="s">
        <v>797</v>
      </c>
      <c r="C64" s="1440" t="s">
        <v>798</v>
      </c>
      <c r="D64" s="1416">
        <v>0.6</v>
      </c>
      <c r="E64" s="1440"/>
      <c r="F64" s="1440"/>
      <c r="G64" s="1440"/>
    </row>
    <row r="65" spans="1:17">
      <c r="C65" s="1440" t="s">
        <v>799</v>
      </c>
      <c r="D65" s="1416">
        <v>0.4</v>
      </c>
      <c r="E65" s="1440"/>
      <c r="F65" s="1440"/>
      <c r="G65" s="1440"/>
    </row>
    <row r="66" spans="1:17">
      <c r="C66" s="1440" t="s">
        <v>800</v>
      </c>
      <c r="D66" s="1417">
        <f>1-SUM(D64:D65)</f>
        <v>0</v>
      </c>
      <c r="E66" s="1440"/>
      <c r="F66" s="1440"/>
      <c r="G66" s="1440"/>
    </row>
    <row r="67" spans="1:17">
      <c r="C67" s="1440"/>
      <c r="D67" s="1416"/>
      <c r="E67" s="1440"/>
      <c r="F67" s="1440"/>
      <c r="G67" s="1440"/>
    </row>
    <row r="68" spans="1:17">
      <c r="C68" s="1440"/>
      <c r="D68" s="1416"/>
      <c r="E68" s="1440"/>
      <c r="F68" s="1440"/>
      <c r="G68" s="1440"/>
    </row>
    <row r="69" spans="1:17" s="1407" customFormat="1">
      <c r="A69" s="1406">
        <v>4</v>
      </c>
      <c r="B69" s="1407" t="s">
        <v>1462</v>
      </c>
      <c r="C69" s="1440" t="str">
        <f>C62</f>
        <v>Total</v>
      </c>
      <c r="D69" s="1431">
        <f t="shared" ref="D69:J69" si="20">D62</f>
        <v>2013</v>
      </c>
      <c r="E69" s="1431">
        <f t="shared" si="20"/>
        <v>2014</v>
      </c>
      <c r="F69" s="1431">
        <f t="shared" si="20"/>
        <v>2015</v>
      </c>
      <c r="G69" s="1431">
        <f t="shared" si="20"/>
        <v>2016</v>
      </c>
      <c r="H69" s="1431">
        <f t="shared" si="20"/>
        <v>2017</v>
      </c>
      <c r="I69" s="1431">
        <f t="shared" si="20"/>
        <v>2018</v>
      </c>
      <c r="J69" s="1431">
        <f t="shared" si="20"/>
        <v>2019</v>
      </c>
      <c r="K69" s="1431">
        <f t="shared" ref="K69:Q69" si="21">K62</f>
        <v>2020</v>
      </c>
      <c r="L69" s="1431">
        <f t="shared" si="21"/>
        <v>2021</v>
      </c>
      <c r="M69" s="1431">
        <f t="shared" si="21"/>
        <v>2022</v>
      </c>
      <c r="N69" s="1431">
        <f t="shared" si="21"/>
        <v>2023</v>
      </c>
      <c r="O69" s="1431">
        <f t="shared" si="21"/>
        <v>2024</v>
      </c>
      <c r="P69" s="1431">
        <f t="shared" si="21"/>
        <v>2025</v>
      </c>
      <c r="Q69" s="1431">
        <f t="shared" si="21"/>
        <v>2026</v>
      </c>
    </row>
    <row r="70" spans="1:17">
      <c r="B70" s="1432" t="s">
        <v>1566</v>
      </c>
      <c r="C70" s="1441">
        <f>D40*D44/1000</f>
        <v>465</v>
      </c>
      <c r="D70" s="1408">
        <f>$C$70*D71</f>
        <v>0</v>
      </c>
      <c r="E70" s="1408">
        <f t="shared" ref="E70:Q70" si="22">$C$70*E71</f>
        <v>0</v>
      </c>
      <c r="F70" s="1408">
        <f t="shared" si="22"/>
        <v>0</v>
      </c>
      <c r="G70" s="1408">
        <f t="shared" si="22"/>
        <v>0</v>
      </c>
      <c r="H70" s="1408">
        <f t="shared" si="22"/>
        <v>0</v>
      </c>
      <c r="I70" s="1408">
        <f t="shared" si="22"/>
        <v>0</v>
      </c>
      <c r="J70" s="1408">
        <f t="shared" si="22"/>
        <v>0</v>
      </c>
      <c r="K70" s="1408">
        <f t="shared" si="22"/>
        <v>139.5</v>
      </c>
      <c r="L70" s="1408">
        <f t="shared" si="22"/>
        <v>139.5</v>
      </c>
      <c r="M70" s="1408">
        <f t="shared" si="22"/>
        <v>139.5</v>
      </c>
      <c r="N70" s="1408">
        <f t="shared" si="22"/>
        <v>46.5</v>
      </c>
      <c r="O70" s="1408">
        <f t="shared" si="22"/>
        <v>0</v>
      </c>
      <c r="P70" s="1408">
        <f t="shared" si="22"/>
        <v>0</v>
      </c>
      <c r="Q70" s="1408">
        <f t="shared" si="22"/>
        <v>0</v>
      </c>
    </row>
    <row r="71" spans="1:17">
      <c r="B71" s="1431" t="s">
        <v>1559</v>
      </c>
      <c r="C71" s="1436">
        <f>SUM(D71:Q71)</f>
        <v>0.99999999999999989</v>
      </c>
      <c r="D71" s="1416">
        <v>0</v>
      </c>
      <c r="E71" s="1416">
        <v>0</v>
      </c>
      <c r="F71" s="1416">
        <v>0</v>
      </c>
      <c r="G71" s="1416">
        <v>0</v>
      </c>
      <c r="H71" s="1416">
        <v>0</v>
      </c>
      <c r="I71" s="1416">
        <v>0</v>
      </c>
      <c r="J71" s="1416">
        <v>0</v>
      </c>
      <c r="K71" s="1416">
        <v>0.3</v>
      </c>
      <c r="L71" s="1416">
        <v>0.3</v>
      </c>
      <c r="M71" s="1416">
        <v>0.3</v>
      </c>
      <c r="N71" s="1416">
        <v>0.1</v>
      </c>
      <c r="O71" s="1416">
        <v>0</v>
      </c>
      <c r="P71" s="1416">
        <v>0</v>
      </c>
      <c r="Q71" s="1416">
        <v>0</v>
      </c>
    </row>
    <row r="72" spans="1:17">
      <c r="C72" s="1433"/>
      <c r="D72" s="1425"/>
      <c r="E72" s="1425"/>
      <c r="F72" s="1424"/>
      <c r="G72" s="1424"/>
      <c r="H72" s="1435"/>
    </row>
    <row r="73" spans="1:17">
      <c r="C73" s="1433"/>
      <c r="D73" s="1424"/>
      <c r="E73" s="1424"/>
      <c r="F73" s="1424"/>
      <c r="G73" s="1424"/>
    </row>
    <row r="74" spans="1:17">
      <c r="A74" s="1406">
        <v>5</v>
      </c>
      <c r="B74" s="1407" t="s">
        <v>1466</v>
      </c>
      <c r="C74" s="1431" t="str">
        <f>C69</f>
        <v>Total</v>
      </c>
      <c r="D74" s="1431">
        <f t="shared" ref="D74:I74" si="23">D69</f>
        <v>2013</v>
      </c>
      <c r="E74" s="1431">
        <f t="shared" si="23"/>
        <v>2014</v>
      </c>
      <c r="F74" s="1431">
        <f t="shared" si="23"/>
        <v>2015</v>
      </c>
      <c r="G74" s="1431">
        <f t="shared" si="23"/>
        <v>2016</v>
      </c>
      <c r="H74" s="1431">
        <f t="shared" si="23"/>
        <v>2017</v>
      </c>
      <c r="I74" s="1431">
        <f t="shared" si="23"/>
        <v>2018</v>
      </c>
      <c r="J74" s="1431">
        <f t="shared" ref="J74:Q74" si="24">I74+1</f>
        <v>2019</v>
      </c>
      <c r="K74" s="1431">
        <f t="shared" si="24"/>
        <v>2020</v>
      </c>
      <c r="L74" s="1431">
        <f t="shared" si="24"/>
        <v>2021</v>
      </c>
      <c r="M74" s="1431">
        <f t="shared" si="24"/>
        <v>2022</v>
      </c>
      <c r="N74" s="1431">
        <f t="shared" si="24"/>
        <v>2023</v>
      </c>
      <c r="O74" s="1431">
        <f t="shared" si="24"/>
        <v>2024</v>
      </c>
      <c r="P74" s="1431">
        <f t="shared" si="24"/>
        <v>2025</v>
      </c>
      <c r="Q74" s="1431">
        <f t="shared" si="24"/>
        <v>2026</v>
      </c>
    </row>
    <row r="75" spans="1:17">
      <c r="B75" s="1432" t="s">
        <v>1567</v>
      </c>
      <c r="C75" s="1441">
        <f>$C$70*C58</f>
        <v>465</v>
      </c>
      <c r="D75" s="1441">
        <f t="shared" ref="D75:M75" si="25">$C$70*D58</f>
        <v>0</v>
      </c>
      <c r="E75" s="1441">
        <f t="shared" si="25"/>
        <v>0</v>
      </c>
      <c r="F75" s="1441">
        <f t="shared" si="25"/>
        <v>0</v>
      </c>
      <c r="G75" s="1441">
        <f t="shared" si="25"/>
        <v>0</v>
      </c>
      <c r="H75" s="1441">
        <f t="shared" si="25"/>
        <v>0</v>
      </c>
      <c r="I75" s="1441">
        <f t="shared" si="25"/>
        <v>0</v>
      </c>
      <c r="J75" s="1441">
        <f t="shared" si="25"/>
        <v>0</v>
      </c>
      <c r="K75" s="1441">
        <f t="shared" si="25"/>
        <v>93</v>
      </c>
      <c r="L75" s="1441">
        <f t="shared" si="25"/>
        <v>139.5</v>
      </c>
      <c r="M75" s="1441">
        <f t="shared" si="25"/>
        <v>139.5</v>
      </c>
      <c r="N75" s="1441">
        <f>$C$70*N58</f>
        <v>93</v>
      </c>
      <c r="O75" s="1441">
        <f>$C$70*O58</f>
        <v>0</v>
      </c>
      <c r="P75" s="1441">
        <f>$C$70*P58</f>
        <v>0</v>
      </c>
      <c r="Q75" s="1441">
        <f>$C$70*Q58</f>
        <v>0</v>
      </c>
    </row>
    <row r="76" spans="1:17">
      <c r="B76" s="1431" t="s">
        <v>803</v>
      </c>
      <c r="C76" s="1440">
        <f>$E$32*C58</f>
        <v>3036</v>
      </c>
      <c r="D76" s="1440">
        <f t="shared" ref="D76:M76" si="26">$E$32*D58</f>
        <v>0</v>
      </c>
      <c r="E76" s="1440">
        <f t="shared" si="26"/>
        <v>0</v>
      </c>
      <c r="F76" s="1440">
        <f t="shared" si="26"/>
        <v>0</v>
      </c>
      <c r="G76" s="1440">
        <f t="shared" si="26"/>
        <v>0</v>
      </c>
      <c r="H76" s="1440">
        <f t="shared" si="26"/>
        <v>0</v>
      </c>
      <c r="I76" s="1440">
        <f t="shared" si="26"/>
        <v>0</v>
      </c>
      <c r="J76" s="1440">
        <f t="shared" si="26"/>
        <v>0</v>
      </c>
      <c r="K76" s="1440">
        <f t="shared" si="26"/>
        <v>607.20000000000005</v>
      </c>
      <c r="L76" s="1440">
        <f t="shared" si="26"/>
        <v>910.8</v>
      </c>
      <c r="M76" s="1440">
        <f t="shared" si="26"/>
        <v>910.8</v>
      </c>
      <c r="N76" s="1440">
        <f>$E$32*N58</f>
        <v>607.20000000000005</v>
      </c>
      <c r="O76" s="1440">
        <f>$E$32*O58</f>
        <v>0</v>
      </c>
      <c r="P76" s="1440">
        <f>$E$32*P58</f>
        <v>0</v>
      </c>
      <c r="Q76" s="1440">
        <f>$E$32*Q58</f>
        <v>0</v>
      </c>
    </row>
    <row r="77" spans="1:17" s="1447" customFormat="1">
      <c r="A77" s="1459"/>
      <c r="B77" s="1447" t="s">
        <v>804</v>
      </c>
      <c r="C77" s="1458">
        <f>SUMIF(D113:M113,"&lt;="&amp;D11,D119:M119)</f>
        <v>652.09500000000003</v>
      </c>
      <c r="D77" s="1410">
        <f t="shared" ref="D77:J77" si="27">$C$77*D58</f>
        <v>0</v>
      </c>
      <c r="E77" s="1410">
        <f t="shared" si="27"/>
        <v>0</v>
      </c>
      <c r="F77" s="1410">
        <f t="shared" si="27"/>
        <v>0</v>
      </c>
      <c r="G77" s="1410">
        <f t="shared" si="27"/>
        <v>0</v>
      </c>
      <c r="H77" s="1410">
        <f t="shared" si="27"/>
        <v>0</v>
      </c>
      <c r="I77" s="1410">
        <f t="shared" si="27"/>
        <v>0</v>
      </c>
      <c r="J77" s="1410">
        <f t="shared" si="27"/>
        <v>0</v>
      </c>
      <c r="K77" s="1410">
        <f t="shared" ref="K77:Q77" si="28">$C$77*K58</f>
        <v>130.41900000000001</v>
      </c>
      <c r="L77" s="1410">
        <f t="shared" si="28"/>
        <v>195.6285</v>
      </c>
      <c r="M77" s="1410">
        <f t="shared" si="28"/>
        <v>195.6285</v>
      </c>
      <c r="N77" s="1410">
        <f t="shared" si="28"/>
        <v>130.41900000000001</v>
      </c>
      <c r="O77" s="1410">
        <f t="shared" si="28"/>
        <v>0</v>
      </c>
      <c r="P77" s="1410">
        <f t="shared" si="28"/>
        <v>0</v>
      </c>
      <c r="Q77" s="1410">
        <f t="shared" si="28"/>
        <v>0</v>
      </c>
    </row>
    <row r="78" spans="1:17" s="1447" customFormat="1">
      <c r="A78" s="1459"/>
      <c r="B78" s="1447" t="s">
        <v>805</v>
      </c>
      <c r="C78" s="1410">
        <f>SUM(D78:M78)</f>
        <v>0</v>
      </c>
      <c r="D78" s="1410">
        <f t="shared" ref="D78:M78" si="29">IF(D74&gt;$D$11,D119,0)</f>
        <v>0</v>
      </c>
      <c r="E78" s="1410">
        <f t="shared" si="29"/>
        <v>0</v>
      </c>
      <c r="F78" s="1410">
        <f t="shared" si="29"/>
        <v>0</v>
      </c>
      <c r="G78" s="1410">
        <f t="shared" si="29"/>
        <v>0</v>
      </c>
      <c r="H78" s="1410">
        <f t="shared" si="29"/>
        <v>0</v>
      </c>
      <c r="I78" s="1410">
        <f t="shared" si="29"/>
        <v>0</v>
      </c>
      <c r="J78" s="1410">
        <f t="shared" si="29"/>
        <v>0</v>
      </c>
      <c r="K78" s="1410">
        <f t="shared" si="29"/>
        <v>0</v>
      </c>
      <c r="L78" s="1410">
        <f t="shared" si="29"/>
        <v>0</v>
      </c>
      <c r="M78" s="1410">
        <f t="shared" si="29"/>
        <v>0</v>
      </c>
      <c r="N78" s="1410">
        <f>IF(N74&gt;$D$11,N119,0)</f>
        <v>0</v>
      </c>
      <c r="O78" s="1410">
        <f>IF(O74&gt;$D$11,O119,0)</f>
        <v>0</v>
      </c>
      <c r="P78" s="1410">
        <f>IF(P74&gt;$D$11,P119,0)</f>
        <v>0</v>
      </c>
      <c r="Q78" s="1410">
        <f>IF(Q74&gt;$D$11,Q119,0)</f>
        <v>0</v>
      </c>
    </row>
    <row r="79" spans="1:17">
      <c r="B79" s="1431" t="s">
        <v>656</v>
      </c>
      <c r="C79" s="1440">
        <f>$D$46*C57</f>
        <v>846.30000000000007</v>
      </c>
      <c r="D79" s="1440">
        <f t="shared" ref="D79:J79" si="30">$D$46*D57</f>
        <v>0</v>
      </c>
      <c r="E79" s="1440">
        <f t="shared" si="30"/>
        <v>0</v>
      </c>
      <c r="F79" s="1440">
        <f t="shared" si="30"/>
        <v>0</v>
      </c>
      <c r="G79" s="1440">
        <f t="shared" si="30"/>
        <v>0</v>
      </c>
      <c r="H79" s="1440">
        <f t="shared" si="30"/>
        <v>0</v>
      </c>
      <c r="I79" s="1440">
        <f t="shared" si="30"/>
        <v>0</v>
      </c>
      <c r="J79" s="1440">
        <f t="shared" si="30"/>
        <v>0</v>
      </c>
      <c r="K79" s="1440">
        <f t="shared" ref="K79:Q79" si="31">$D$46*K57</f>
        <v>169.26000000000002</v>
      </c>
      <c r="L79" s="1440">
        <f t="shared" si="31"/>
        <v>253.89000000000001</v>
      </c>
      <c r="M79" s="1440">
        <f t="shared" si="31"/>
        <v>253.89000000000001</v>
      </c>
      <c r="N79" s="1440">
        <f t="shared" si="31"/>
        <v>169.26000000000002</v>
      </c>
      <c r="O79" s="1440">
        <f t="shared" si="31"/>
        <v>0</v>
      </c>
      <c r="P79" s="1440">
        <f t="shared" si="31"/>
        <v>0</v>
      </c>
      <c r="Q79" s="1440">
        <f t="shared" si="31"/>
        <v>0</v>
      </c>
    </row>
    <row r="80" spans="1:17">
      <c r="C80" s="1440"/>
      <c r="D80" s="1440"/>
      <c r="E80" s="1440"/>
      <c r="F80" s="1440"/>
      <c r="G80" s="1440"/>
    </row>
    <row r="82" spans="1:17" s="1407" customFormat="1">
      <c r="A82" s="1406">
        <v>6</v>
      </c>
      <c r="B82" s="1407" t="s">
        <v>878</v>
      </c>
      <c r="C82" s="1431" t="str">
        <f>C74</f>
        <v>Total</v>
      </c>
      <c r="D82" s="1431">
        <f t="shared" ref="D82:J82" si="32">D74</f>
        <v>2013</v>
      </c>
      <c r="E82" s="1431">
        <f t="shared" si="32"/>
        <v>2014</v>
      </c>
      <c r="F82" s="1431">
        <f t="shared" si="32"/>
        <v>2015</v>
      </c>
      <c r="G82" s="1431">
        <f t="shared" si="32"/>
        <v>2016</v>
      </c>
      <c r="H82" s="1431">
        <f t="shared" si="32"/>
        <v>2017</v>
      </c>
      <c r="I82" s="1431">
        <f t="shared" si="32"/>
        <v>2018</v>
      </c>
      <c r="J82" s="1431">
        <f t="shared" si="32"/>
        <v>2019</v>
      </c>
      <c r="K82" s="1431">
        <f t="shared" ref="K82:Q82" si="33">K74</f>
        <v>2020</v>
      </c>
      <c r="L82" s="1431">
        <f t="shared" si="33"/>
        <v>2021</v>
      </c>
      <c r="M82" s="1431">
        <f t="shared" si="33"/>
        <v>2022</v>
      </c>
      <c r="N82" s="1431">
        <f t="shared" si="33"/>
        <v>2023</v>
      </c>
      <c r="O82" s="1431">
        <f t="shared" si="33"/>
        <v>2024</v>
      </c>
      <c r="P82" s="1431">
        <f t="shared" si="33"/>
        <v>2025</v>
      </c>
      <c r="Q82" s="1431">
        <f t="shared" si="33"/>
        <v>2026</v>
      </c>
    </row>
    <row r="83" spans="1:17">
      <c r="B83" s="1432" t="s">
        <v>26</v>
      </c>
      <c r="C83" s="1441">
        <f t="shared" ref="C83:J83" si="34">C57</f>
        <v>6045</v>
      </c>
      <c r="D83" s="1441">
        <f t="shared" si="34"/>
        <v>0</v>
      </c>
      <c r="E83" s="1441">
        <f t="shared" si="34"/>
        <v>0</v>
      </c>
      <c r="F83" s="1441">
        <f t="shared" si="34"/>
        <v>0</v>
      </c>
      <c r="G83" s="1441">
        <f t="shared" si="34"/>
        <v>0</v>
      </c>
      <c r="H83" s="1441">
        <f t="shared" si="34"/>
        <v>0</v>
      </c>
      <c r="I83" s="1441">
        <f t="shared" si="34"/>
        <v>0</v>
      </c>
      <c r="J83" s="1441">
        <f t="shared" si="34"/>
        <v>0</v>
      </c>
      <c r="K83" s="1441">
        <f t="shared" ref="K83:Q83" si="35">K57</f>
        <v>1209</v>
      </c>
      <c r="L83" s="1441">
        <f t="shared" si="35"/>
        <v>1813.5</v>
      </c>
      <c r="M83" s="1441">
        <f t="shared" si="35"/>
        <v>1813.5</v>
      </c>
      <c r="N83" s="1441">
        <f t="shared" si="35"/>
        <v>1209</v>
      </c>
      <c r="O83" s="1441">
        <f t="shared" si="35"/>
        <v>0</v>
      </c>
      <c r="P83" s="1441">
        <f t="shared" si="35"/>
        <v>0</v>
      </c>
      <c r="Q83" s="1441">
        <f t="shared" si="35"/>
        <v>0</v>
      </c>
    </row>
    <row r="84" spans="1:17">
      <c r="B84" s="1431" t="s">
        <v>432</v>
      </c>
      <c r="C84" s="1440">
        <f>SUM(C75:C77)</f>
        <v>4153.0950000000003</v>
      </c>
      <c r="D84" s="1440">
        <f>SUM(D75:D77)</f>
        <v>0</v>
      </c>
      <c r="E84" s="1440">
        <f t="shared" ref="E84:J84" si="36">SUM(E75:E77)</f>
        <v>0</v>
      </c>
      <c r="F84" s="1440">
        <f t="shared" si="36"/>
        <v>0</v>
      </c>
      <c r="G84" s="1440">
        <f t="shared" si="36"/>
        <v>0</v>
      </c>
      <c r="H84" s="1440">
        <f t="shared" si="36"/>
        <v>0</v>
      </c>
      <c r="I84" s="1440">
        <f t="shared" si="36"/>
        <v>0</v>
      </c>
      <c r="J84" s="1440">
        <f t="shared" si="36"/>
        <v>0</v>
      </c>
      <c r="K84" s="1440">
        <f t="shared" ref="K84:Q84" si="37">SUM(K75:K77)</f>
        <v>830.61900000000003</v>
      </c>
      <c r="L84" s="1440">
        <f t="shared" si="37"/>
        <v>1245.9285</v>
      </c>
      <c r="M84" s="1440">
        <f t="shared" si="37"/>
        <v>1245.9285</v>
      </c>
      <c r="N84" s="1440">
        <f t="shared" si="37"/>
        <v>830.61900000000003</v>
      </c>
      <c r="O84" s="1440">
        <f t="shared" si="37"/>
        <v>0</v>
      </c>
      <c r="P84" s="1440">
        <f t="shared" si="37"/>
        <v>0</v>
      </c>
      <c r="Q84" s="1440">
        <f t="shared" si="37"/>
        <v>0</v>
      </c>
    </row>
    <row r="85" spans="1:17">
      <c r="B85" s="1431" t="s">
        <v>28</v>
      </c>
      <c r="C85" s="1440">
        <f>C83-C84</f>
        <v>1891.9049999999997</v>
      </c>
      <c r="D85" s="1440">
        <f t="shared" ref="D85:M85" si="38">D83-D84</f>
        <v>0</v>
      </c>
      <c r="E85" s="1440">
        <f t="shared" si="38"/>
        <v>0</v>
      </c>
      <c r="F85" s="1440">
        <f t="shared" si="38"/>
        <v>0</v>
      </c>
      <c r="G85" s="1440">
        <f t="shared" si="38"/>
        <v>0</v>
      </c>
      <c r="H85" s="1440">
        <f t="shared" si="38"/>
        <v>0</v>
      </c>
      <c r="I85" s="1440">
        <f t="shared" si="38"/>
        <v>0</v>
      </c>
      <c r="J85" s="1440">
        <f t="shared" si="38"/>
        <v>0</v>
      </c>
      <c r="K85" s="1440">
        <f t="shared" si="38"/>
        <v>378.38099999999997</v>
      </c>
      <c r="L85" s="1440">
        <f t="shared" si="38"/>
        <v>567.57150000000001</v>
      </c>
      <c r="M85" s="1440">
        <f t="shared" si="38"/>
        <v>567.57150000000001</v>
      </c>
      <c r="N85" s="1440">
        <f>N83-N84</f>
        <v>378.38099999999997</v>
      </c>
      <c r="O85" s="1440">
        <f>O83-O84</f>
        <v>0</v>
      </c>
      <c r="P85" s="1440">
        <f>P83-P84</f>
        <v>0</v>
      </c>
      <c r="Q85" s="1440">
        <f>Q83-Q84</f>
        <v>0</v>
      </c>
    </row>
    <row r="86" spans="1:17">
      <c r="B86" s="1431" t="s">
        <v>656</v>
      </c>
      <c r="C86" s="1440">
        <f>C79</f>
        <v>846.30000000000007</v>
      </c>
      <c r="D86" s="1440">
        <f>D79</f>
        <v>0</v>
      </c>
      <c r="E86" s="1440">
        <f t="shared" ref="E86:J86" si="39">E79</f>
        <v>0</v>
      </c>
      <c r="F86" s="1440">
        <f t="shared" si="39"/>
        <v>0</v>
      </c>
      <c r="G86" s="1440">
        <f t="shared" si="39"/>
        <v>0</v>
      </c>
      <c r="H86" s="1440">
        <f t="shared" si="39"/>
        <v>0</v>
      </c>
      <c r="I86" s="1440">
        <f t="shared" si="39"/>
        <v>0</v>
      </c>
      <c r="J86" s="1440">
        <f t="shared" si="39"/>
        <v>0</v>
      </c>
      <c r="K86" s="1440">
        <f t="shared" ref="K86:Q86" si="40">K79</f>
        <v>169.26000000000002</v>
      </c>
      <c r="L86" s="1440">
        <f t="shared" si="40"/>
        <v>253.89000000000001</v>
      </c>
      <c r="M86" s="1440">
        <f t="shared" si="40"/>
        <v>253.89000000000001</v>
      </c>
      <c r="N86" s="1440">
        <f t="shared" si="40"/>
        <v>169.26000000000002</v>
      </c>
      <c r="O86" s="1440">
        <f t="shared" si="40"/>
        <v>0</v>
      </c>
      <c r="P86" s="1440">
        <f t="shared" si="40"/>
        <v>0</v>
      </c>
      <c r="Q86" s="1440">
        <f t="shared" si="40"/>
        <v>0</v>
      </c>
    </row>
    <row r="87" spans="1:17">
      <c r="B87" s="1431" t="s">
        <v>805</v>
      </c>
      <c r="C87" s="1410">
        <f>C78</f>
        <v>0</v>
      </c>
      <c r="D87" s="1440">
        <f>D78</f>
        <v>0</v>
      </c>
      <c r="E87" s="1440">
        <f t="shared" ref="E87:J87" si="41">E78</f>
        <v>0</v>
      </c>
      <c r="F87" s="1440">
        <f t="shared" si="41"/>
        <v>0</v>
      </c>
      <c r="G87" s="1440">
        <f t="shared" si="41"/>
        <v>0</v>
      </c>
      <c r="H87" s="1440">
        <f t="shared" si="41"/>
        <v>0</v>
      </c>
      <c r="I87" s="1440">
        <f t="shared" si="41"/>
        <v>0</v>
      </c>
      <c r="J87" s="1440">
        <f t="shared" si="41"/>
        <v>0</v>
      </c>
      <c r="K87" s="1440">
        <f t="shared" ref="K87:Q87" si="42">K78</f>
        <v>0</v>
      </c>
      <c r="L87" s="1440">
        <f t="shared" si="42"/>
        <v>0</v>
      </c>
      <c r="M87" s="1440">
        <f t="shared" si="42"/>
        <v>0</v>
      </c>
      <c r="N87" s="1440">
        <f t="shared" si="42"/>
        <v>0</v>
      </c>
      <c r="O87" s="1440">
        <f t="shared" si="42"/>
        <v>0</v>
      </c>
      <c r="P87" s="1440">
        <f t="shared" si="42"/>
        <v>0</v>
      </c>
      <c r="Q87" s="1440">
        <f t="shared" si="42"/>
        <v>0</v>
      </c>
    </row>
    <row r="88" spans="1:17">
      <c r="B88" s="1431" t="s">
        <v>822</v>
      </c>
      <c r="C88" s="1440">
        <f>C85-C86-C87</f>
        <v>1045.6049999999996</v>
      </c>
      <c r="D88" s="1440">
        <f t="shared" ref="D88:M88" si="43">D85-D86-D87</f>
        <v>0</v>
      </c>
      <c r="E88" s="1440">
        <f t="shared" si="43"/>
        <v>0</v>
      </c>
      <c r="F88" s="1440">
        <f t="shared" si="43"/>
        <v>0</v>
      </c>
      <c r="G88" s="1440">
        <f t="shared" si="43"/>
        <v>0</v>
      </c>
      <c r="H88" s="1440">
        <f t="shared" si="43"/>
        <v>0</v>
      </c>
      <c r="I88" s="1440">
        <f t="shared" si="43"/>
        <v>0</v>
      </c>
      <c r="J88" s="1440">
        <f t="shared" si="43"/>
        <v>0</v>
      </c>
      <c r="K88" s="1440">
        <f t="shared" si="43"/>
        <v>209.12099999999995</v>
      </c>
      <c r="L88" s="1440">
        <f t="shared" si="43"/>
        <v>313.68150000000003</v>
      </c>
      <c r="M88" s="1440">
        <f t="shared" si="43"/>
        <v>313.68150000000003</v>
      </c>
      <c r="N88" s="1440">
        <f>N85-N86-N87</f>
        <v>209.12099999999995</v>
      </c>
      <c r="O88" s="1440">
        <f>O85-O86-O87</f>
        <v>0</v>
      </c>
      <c r="P88" s="1440">
        <f>P85-P86-P87</f>
        <v>0</v>
      </c>
      <c r="Q88" s="1440">
        <f>Q85-Q86-Q87</f>
        <v>0</v>
      </c>
    </row>
    <row r="89" spans="1:17">
      <c r="B89" s="1431" t="s">
        <v>290</v>
      </c>
      <c r="C89" s="1440">
        <f>SUM(D89:Q89)</f>
        <v>209.12099999999998</v>
      </c>
      <c r="D89" s="1410">
        <f t="shared" ref="D89:M89" si="44">D88*D22</f>
        <v>0</v>
      </c>
      <c r="E89" s="1410">
        <f t="shared" si="44"/>
        <v>0</v>
      </c>
      <c r="F89" s="1410">
        <f t="shared" si="44"/>
        <v>0</v>
      </c>
      <c r="G89" s="1410">
        <f t="shared" si="44"/>
        <v>0</v>
      </c>
      <c r="H89" s="1410">
        <f t="shared" si="44"/>
        <v>0</v>
      </c>
      <c r="I89" s="1410">
        <f t="shared" si="44"/>
        <v>0</v>
      </c>
      <c r="J89" s="1410">
        <f t="shared" si="44"/>
        <v>0</v>
      </c>
      <c r="K89" s="1410">
        <f t="shared" si="44"/>
        <v>41.82419999999999</v>
      </c>
      <c r="L89" s="1410">
        <f t="shared" si="44"/>
        <v>62.736300000000007</v>
      </c>
      <c r="M89" s="1410">
        <f t="shared" si="44"/>
        <v>62.736300000000007</v>
      </c>
      <c r="N89" s="1410">
        <f>N88*N22</f>
        <v>41.82419999999999</v>
      </c>
      <c r="O89" s="1410">
        <f>O88*O22</f>
        <v>0</v>
      </c>
      <c r="P89" s="1410">
        <f>P88*P22</f>
        <v>0</v>
      </c>
      <c r="Q89" s="1410">
        <f>Q88*Q22</f>
        <v>0</v>
      </c>
    </row>
    <row r="90" spans="1:17">
      <c r="B90" s="1431" t="s">
        <v>661</v>
      </c>
      <c r="C90" s="1440">
        <f>SUM(D90:Q90)</f>
        <v>836.48399999999992</v>
      </c>
      <c r="D90" s="1440">
        <f>D88-D89</f>
        <v>0</v>
      </c>
      <c r="E90" s="1440">
        <f t="shared" ref="E90:J90" si="45">E88-E89</f>
        <v>0</v>
      </c>
      <c r="F90" s="1440">
        <f t="shared" si="45"/>
        <v>0</v>
      </c>
      <c r="G90" s="1440">
        <f t="shared" si="45"/>
        <v>0</v>
      </c>
      <c r="H90" s="1440">
        <f t="shared" si="45"/>
        <v>0</v>
      </c>
      <c r="I90" s="1440">
        <f t="shared" si="45"/>
        <v>0</v>
      </c>
      <c r="J90" s="1440">
        <f t="shared" si="45"/>
        <v>0</v>
      </c>
      <c r="K90" s="1440">
        <f t="shared" ref="K90:Q90" si="46">K88-K89</f>
        <v>167.29679999999996</v>
      </c>
      <c r="L90" s="1440">
        <f t="shared" si="46"/>
        <v>250.94520000000003</v>
      </c>
      <c r="M90" s="1440">
        <f t="shared" si="46"/>
        <v>250.94520000000003</v>
      </c>
      <c r="N90" s="1440">
        <f t="shared" si="46"/>
        <v>167.29679999999996</v>
      </c>
      <c r="O90" s="1440">
        <f t="shared" si="46"/>
        <v>0</v>
      </c>
      <c r="P90" s="1440">
        <f t="shared" si="46"/>
        <v>0</v>
      </c>
      <c r="Q90" s="1440">
        <f t="shared" si="46"/>
        <v>0</v>
      </c>
    </row>
    <row r="91" spans="1:17">
      <c r="B91" s="1428" t="s">
        <v>197</v>
      </c>
      <c r="C91" s="1429">
        <f>IF(C83&lt;&gt;0,1-C84/C83,"")</f>
        <v>0.31297022332506197</v>
      </c>
      <c r="D91" s="1429" t="str">
        <f t="shared" ref="D91:J91" si="47">IF(D83&lt;&gt;0,1-D84/D83,"")</f>
        <v/>
      </c>
      <c r="E91" s="1429" t="str">
        <f t="shared" si="47"/>
        <v/>
      </c>
      <c r="F91" s="1429" t="str">
        <f t="shared" si="47"/>
        <v/>
      </c>
      <c r="G91" s="1429" t="str">
        <f t="shared" si="47"/>
        <v/>
      </c>
      <c r="H91" s="1429" t="str">
        <f t="shared" si="47"/>
        <v/>
      </c>
      <c r="I91" s="1429" t="str">
        <f t="shared" si="47"/>
        <v/>
      </c>
      <c r="J91" s="1429" t="str">
        <f t="shared" si="47"/>
        <v/>
      </c>
      <c r="K91" s="1429">
        <f t="shared" ref="K91:Q91" si="48">IF(K83&lt;&gt;0,1-K84/K83,"")</f>
        <v>0.31297022332506197</v>
      </c>
      <c r="L91" s="1429">
        <f t="shared" si="48"/>
        <v>0.31297022332506208</v>
      </c>
      <c r="M91" s="1429">
        <f t="shared" si="48"/>
        <v>0.31297022332506208</v>
      </c>
      <c r="N91" s="1429">
        <f t="shared" si="48"/>
        <v>0.31297022332506197</v>
      </c>
      <c r="O91" s="1429" t="str">
        <f t="shared" si="48"/>
        <v/>
      </c>
      <c r="P91" s="1429" t="str">
        <f t="shared" si="48"/>
        <v/>
      </c>
      <c r="Q91" s="1429" t="str">
        <f t="shared" si="48"/>
        <v/>
      </c>
    </row>
    <row r="92" spans="1:17">
      <c r="B92" s="1428" t="s">
        <v>1779</v>
      </c>
      <c r="C92" s="1429">
        <f>IF(C83&lt;&gt;0,C90/C83,"")</f>
        <v>0.13837617866004961</v>
      </c>
      <c r="D92" s="1429" t="str">
        <f t="shared" ref="D92:M92" si="49">IF(D83&lt;&gt;0,D90/D83,"")</f>
        <v/>
      </c>
      <c r="E92" s="1429" t="str">
        <f t="shared" si="49"/>
        <v/>
      </c>
      <c r="F92" s="1429" t="str">
        <f t="shared" si="49"/>
        <v/>
      </c>
      <c r="G92" s="1429" t="str">
        <f t="shared" si="49"/>
        <v/>
      </c>
      <c r="H92" s="1429" t="str">
        <f t="shared" si="49"/>
        <v/>
      </c>
      <c r="I92" s="1429" t="str">
        <f t="shared" si="49"/>
        <v/>
      </c>
      <c r="J92" s="1429" t="str">
        <f t="shared" si="49"/>
        <v/>
      </c>
      <c r="K92" s="1429">
        <f t="shared" si="49"/>
        <v>0.13837617866004959</v>
      </c>
      <c r="L92" s="1429">
        <f t="shared" si="49"/>
        <v>0.13837617866004964</v>
      </c>
      <c r="M92" s="1429">
        <f t="shared" si="49"/>
        <v>0.13837617866004964</v>
      </c>
      <c r="N92" s="1429">
        <f>IF(N83&lt;&gt;0,N90/N83,"")</f>
        <v>0.13837617866004959</v>
      </c>
      <c r="O92" s="1429" t="str">
        <f>IF(O83&lt;&gt;0,O90/O83,"")</f>
        <v/>
      </c>
      <c r="P92" s="1429" t="str">
        <f>IF(P83&lt;&gt;0,P90/P83,"")</f>
        <v/>
      </c>
      <c r="Q92" s="1429" t="str">
        <f>IF(Q83&lt;&gt;0,Q90/Q83,"")</f>
        <v/>
      </c>
    </row>
    <row r="93" spans="1:17">
      <c r="B93" s="1428"/>
      <c r="C93" s="1429"/>
      <c r="D93" s="1429"/>
      <c r="E93" s="1429"/>
      <c r="F93" s="1429"/>
      <c r="G93" s="1429"/>
      <c r="H93" s="1429"/>
    </row>
    <row r="94" spans="1:17">
      <c r="D94" s="1440"/>
      <c r="E94" s="1440"/>
      <c r="F94" s="1440"/>
      <c r="G94" s="1440"/>
    </row>
    <row r="95" spans="1:17" s="1407" customFormat="1">
      <c r="A95" s="1406">
        <v>7</v>
      </c>
      <c r="B95" s="1407" t="s">
        <v>1589</v>
      </c>
      <c r="C95" s="1440" t="s">
        <v>642</v>
      </c>
      <c r="D95" s="1431">
        <f t="shared" ref="D95:J95" si="50">D82</f>
        <v>2013</v>
      </c>
      <c r="E95" s="1431">
        <f t="shared" si="50"/>
        <v>2014</v>
      </c>
      <c r="F95" s="1431">
        <f t="shared" si="50"/>
        <v>2015</v>
      </c>
      <c r="G95" s="1431">
        <f t="shared" si="50"/>
        <v>2016</v>
      </c>
      <c r="H95" s="1431">
        <f t="shared" si="50"/>
        <v>2017</v>
      </c>
      <c r="I95" s="1431">
        <f t="shared" si="50"/>
        <v>2018</v>
      </c>
      <c r="J95" s="1431">
        <f t="shared" si="50"/>
        <v>2019</v>
      </c>
      <c r="K95" s="1431">
        <f t="shared" ref="K95:Q95" si="51">K82</f>
        <v>2020</v>
      </c>
      <c r="L95" s="1431">
        <f t="shared" si="51"/>
        <v>2021</v>
      </c>
      <c r="M95" s="1431">
        <f t="shared" si="51"/>
        <v>2022</v>
      </c>
      <c r="N95" s="1431">
        <f t="shared" si="51"/>
        <v>2023</v>
      </c>
      <c r="O95" s="1431">
        <f t="shared" si="51"/>
        <v>2024</v>
      </c>
      <c r="P95" s="1431">
        <f t="shared" si="51"/>
        <v>2025</v>
      </c>
      <c r="Q95" s="1431">
        <f t="shared" si="51"/>
        <v>2026</v>
      </c>
    </row>
    <row r="96" spans="1:17">
      <c r="B96" s="1419" t="s">
        <v>850</v>
      </c>
      <c r="C96" s="1441">
        <f>C63</f>
        <v>6045</v>
      </c>
      <c r="D96" s="1441">
        <f t="shared" ref="D96:J96" si="52">D63</f>
        <v>0</v>
      </c>
      <c r="E96" s="1441">
        <f t="shared" si="52"/>
        <v>0</v>
      </c>
      <c r="F96" s="1441">
        <f t="shared" si="52"/>
        <v>0</v>
      </c>
      <c r="G96" s="1441">
        <f t="shared" si="52"/>
        <v>0</v>
      </c>
      <c r="H96" s="1441">
        <f t="shared" si="52"/>
        <v>0</v>
      </c>
      <c r="I96" s="1441">
        <f t="shared" si="52"/>
        <v>0</v>
      </c>
      <c r="J96" s="1441">
        <f t="shared" si="52"/>
        <v>0</v>
      </c>
      <c r="K96" s="1441">
        <f t="shared" ref="K96:Q96" si="53">K63</f>
        <v>1269.45</v>
      </c>
      <c r="L96" s="1441">
        <f t="shared" si="53"/>
        <v>2115.75</v>
      </c>
      <c r="M96" s="1441">
        <f t="shared" si="53"/>
        <v>1934.4</v>
      </c>
      <c r="N96" s="1441">
        <f t="shared" si="53"/>
        <v>725.40000000000009</v>
      </c>
      <c r="O96" s="1441">
        <f t="shared" si="53"/>
        <v>0</v>
      </c>
      <c r="P96" s="1441">
        <f t="shared" si="53"/>
        <v>0</v>
      </c>
      <c r="Q96" s="1441">
        <f t="shared" si="53"/>
        <v>0</v>
      </c>
    </row>
    <row r="97" spans="1:17">
      <c r="B97" s="1407"/>
      <c r="C97" s="1440"/>
      <c r="D97" s="1440"/>
      <c r="E97" s="1440"/>
      <c r="F97" s="1440"/>
      <c r="G97" s="1440"/>
      <c r="H97" s="1440"/>
      <c r="I97" s="1440"/>
      <c r="J97" s="1440"/>
      <c r="K97" s="1440"/>
      <c r="L97" s="1440"/>
      <c r="M97" s="1440"/>
      <c r="N97" s="1440"/>
      <c r="O97" s="1440"/>
      <c r="P97" s="1440"/>
      <c r="Q97" s="1440"/>
    </row>
    <row r="98" spans="1:17">
      <c r="B98" s="1407" t="s">
        <v>851</v>
      </c>
      <c r="C98" s="1440">
        <f t="shared" ref="C98:J98" si="54">SUM(C99:C102)</f>
        <v>4556.4210000000003</v>
      </c>
      <c r="D98" s="1440">
        <f t="shared" si="54"/>
        <v>0</v>
      </c>
      <c r="E98" s="1440">
        <f t="shared" si="54"/>
        <v>0</v>
      </c>
      <c r="F98" s="1440">
        <f t="shared" si="54"/>
        <v>0</v>
      </c>
      <c r="G98" s="1440">
        <f t="shared" si="54"/>
        <v>0</v>
      </c>
      <c r="H98" s="1440">
        <f t="shared" si="54"/>
        <v>0</v>
      </c>
      <c r="I98" s="1440">
        <f t="shared" si="54"/>
        <v>0</v>
      </c>
      <c r="J98" s="1440">
        <f t="shared" si="54"/>
        <v>3036</v>
      </c>
      <c r="K98" s="1440">
        <f t="shared" ref="K98:Q98" si="55">SUM(K99:K102)</f>
        <v>350.58420000000001</v>
      </c>
      <c r="L98" s="1440">
        <f t="shared" si="55"/>
        <v>456.12630000000001</v>
      </c>
      <c r="M98" s="1440">
        <f t="shared" si="55"/>
        <v>456.12630000000001</v>
      </c>
      <c r="N98" s="1440">
        <f t="shared" si="55"/>
        <v>257.58420000000001</v>
      </c>
      <c r="O98" s="1440">
        <f t="shared" si="55"/>
        <v>0</v>
      </c>
      <c r="P98" s="1440">
        <f t="shared" si="55"/>
        <v>0</v>
      </c>
      <c r="Q98" s="1440">
        <f t="shared" si="55"/>
        <v>0</v>
      </c>
    </row>
    <row r="99" spans="1:17">
      <c r="B99" s="1431" t="s">
        <v>852</v>
      </c>
      <c r="C99" s="1440">
        <f t="shared" ref="C99:J99" si="56">C35</f>
        <v>3036</v>
      </c>
      <c r="D99" s="1440">
        <f t="shared" si="56"/>
        <v>0</v>
      </c>
      <c r="E99" s="1440">
        <f t="shared" si="56"/>
        <v>0</v>
      </c>
      <c r="F99" s="1440">
        <f t="shared" si="56"/>
        <v>0</v>
      </c>
      <c r="G99" s="1440">
        <f t="shared" si="56"/>
        <v>0</v>
      </c>
      <c r="H99" s="1440">
        <f t="shared" si="56"/>
        <v>0</v>
      </c>
      <c r="I99" s="1440">
        <f t="shared" si="56"/>
        <v>0</v>
      </c>
      <c r="J99" s="1440">
        <f t="shared" si="56"/>
        <v>3036</v>
      </c>
      <c r="K99" s="1440">
        <f t="shared" ref="K99:Q99" si="57">K35</f>
        <v>0</v>
      </c>
      <c r="L99" s="1440">
        <f t="shared" si="57"/>
        <v>0</v>
      </c>
      <c r="M99" s="1440">
        <f t="shared" si="57"/>
        <v>0</v>
      </c>
      <c r="N99" s="1440">
        <f t="shared" si="57"/>
        <v>0</v>
      </c>
      <c r="O99" s="1440">
        <f t="shared" si="57"/>
        <v>0</v>
      </c>
      <c r="P99" s="1440">
        <f t="shared" si="57"/>
        <v>0</v>
      </c>
      <c r="Q99" s="1440">
        <f t="shared" si="57"/>
        <v>0</v>
      </c>
    </row>
    <row r="100" spans="1:17">
      <c r="B100" s="1431" t="s">
        <v>788</v>
      </c>
      <c r="C100" s="1440">
        <f t="shared" ref="C100:J100" si="58">C70</f>
        <v>465</v>
      </c>
      <c r="D100" s="1440">
        <f t="shared" si="58"/>
        <v>0</v>
      </c>
      <c r="E100" s="1440">
        <f t="shared" si="58"/>
        <v>0</v>
      </c>
      <c r="F100" s="1440">
        <f t="shared" si="58"/>
        <v>0</v>
      </c>
      <c r="G100" s="1440">
        <f t="shared" si="58"/>
        <v>0</v>
      </c>
      <c r="H100" s="1440">
        <f t="shared" si="58"/>
        <v>0</v>
      </c>
      <c r="I100" s="1440">
        <f t="shared" si="58"/>
        <v>0</v>
      </c>
      <c r="J100" s="1440">
        <f t="shared" si="58"/>
        <v>0</v>
      </c>
      <c r="K100" s="1440">
        <f t="shared" ref="K100:Q100" si="59">K70</f>
        <v>139.5</v>
      </c>
      <c r="L100" s="1440">
        <f t="shared" si="59"/>
        <v>139.5</v>
      </c>
      <c r="M100" s="1440">
        <f t="shared" si="59"/>
        <v>139.5</v>
      </c>
      <c r="N100" s="1440">
        <f t="shared" si="59"/>
        <v>46.5</v>
      </c>
      <c r="O100" s="1440">
        <f t="shared" si="59"/>
        <v>0</v>
      </c>
      <c r="P100" s="1440">
        <f t="shared" si="59"/>
        <v>0</v>
      </c>
      <c r="Q100" s="1440">
        <f t="shared" si="59"/>
        <v>0</v>
      </c>
    </row>
    <row r="101" spans="1:17">
      <c r="B101" s="1431" t="s">
        <v>656</v>
      </c>
      <c r="C101" s="1440">
        <f t="shared" ref="C101:J101" si="60">C79</f>
        <v>846.30000000000007</v>
      </c>
      <c r="D101" s="1440">
        <f t="shared" si="60"/>
        <v>0</v>
      </c>
      <c r="E101" s="1440">
        <f t="shared" si="60"/>
        <v>0</v>
      </c>
      <c r="F101" s="1440">
        <f t="shared" si="60"/>
        <v>0</v>
      </c>
      <c r="G101" s="1440">
        <f t="shared" si="60"/>
        <v>0</v>
      </c>
      <c r="H101" s="1440">
        <f t="shared" si="60"/>
        <v>0</v>
      </c>
      <c r="I101" s="1440">
        <f t="shared" si="60"/>
        <v>0</v>
      </c>
      <c r="J101" s="1440">
        <f t="shared" si="60"/>
        <v>0</v>
      </c>
      <c r="K101" s="1440">
        <f t="shared" ref="K101:Q101" si="61">K79</f>
        <v>169.26000000000002</v>
      </c>
      <c r="L101" s="1440">
        <f t="shared" si="61"/>
        <v>253.89000000000001</v>
      </c>
      <c r="M101" s="1440">
        <f t="shared" si="61"/>
        <v>253.89000000000001</v>
      </c>
      <c r="N101" s="1440">
        <f t="shared" si="61"/>
        <v>169.26000000000002</v>
      </c>
      <c r="O101" s="1440">
        <f t="shared" si="61"/>
        <v>0</v>
      </c>
      <c r="P101" s="1440">
        <f t="shared" si="61"/>
        <v>0</v>
      </c>
      <c r="Q101" s="1440">
        <f t="shared" si="61"/>
        <v>0</v>
      </c>
    </row>
    <row r="102" spans="1:17">
      <c r="B102" s="1431" t="s">
        <v>854</v>
      </c>
      <c r="C102" s="1440">
        <f t="shared" ref="C102:J102" si="62">C89</f>
        <v>209.12099999999998</v>
      </c>
      <c r="D102" s="1440">
        <f t="shared" si="62"/>
        <v>0</v>
      </c>
      <c r="E102" s="1440">
        <f t="shared" si="62"/>
        <v>0</v>
      </c>
      <c r="F102" s="1440">
        <f t="shared" si="62"/>
        <v>0</v>
      </c>
      <c r="G102" s="1440">
        <f t="shared" si="62"/>
        <v>0</v>
      </c>
      <c r="H102" s="1440">
        <f t="shared" si="62"/>
        <v>0</v>
      </c>
      <c r="I102" s="1440">
        <f t="shared" si="62"/>
        <v>0</v>
      </c>
      <c r="J102" s="1440">
        <f t="shared" si="62"/>
        <v>0</v>
      </c>
      <c r="K102" s="1440">
        <f t="shared" ref="K102:Q102" si="63">K89</f>
        <v>41.82419999999999</v>
      </c>
      <c r="L102" s="1440">
        <f t="shared" si="63"/>
        <v>62.736300000000007</v>
      </c>
      <c r="M102" s="1440">
        <f t="shared" si="63"/>
        <v>62.736300000000007</v>
      </c>
      <c r="N102" s="1440">
        <f t="shared" si="63"/>
        <v>41.82419999999999</v>
      </c>
      <c r="O102" s="1440">
        <f t="shared" si="63"/>
        <v>0</v>
      </c>
      <c r="P102" s="1440">
        <f t="shared" si="63"/>
        <v>0</v>
      </c>
      <c r="Q102" s="1440">
        <f t="shared" si="63"/>
        <v>0</v>
      </c>
    </row>
    <row r="103" spans="1:17">
      <c r="A103" s="1444"/>
      <c r="B103" s="1431" t="s">
        <v>855</v>
      </c>
      <c r="C103" s="1440">
        <f t="shared" ref="C103:J103" si="64">C96-C98</f>
        <v>1488.5789999999997</v>
      </c>
      <c r="D103" s="1656">
        <f t="shared" si="64"/>
        <v>0</v>
      </c>
      <c r="E103" s="1440">
        <f t="shared" si="64"/>
        <v>0</v>
      </c>
      <c r="F103" s="1440">
        <f t="shared" si="64"/>
        <v>0</v>
      </c>
      <c r="G103" s="1440">
        <f t="shared" si="64"/>
        <v>0</v>
      </c>
      <c r="H103" s="1440">
        <f t="shared" si="64"/>
        <v>0</v>
      </c>
      <c r="I103" s="1440">
        <f t="shared" si="64"/>
        <v>0</v>
      </c>
      <c r="J103" s="1440">
        <f t="shared" si="64"/>
        <v>-3036</v>
      </c>
      <c r="K103" s="1440">
        <f t="shared" ref="K103:Q103" si="65">K96-K98</f>
        <v>918.86580000000004</v>
      </c>
      <c r="L103" s="1440">
        <f t="shared" si="65"/>
        <v>1659.6237000000001</v>
      </c>
      <c r="M103" s="1440">
        <f t="shared" si="65"/>
        <v>1478.2737000000002</v>
      </c>
      <c r="N103" s="1440">
        <f t="shared" si="65"/>
        <v>467.81580000000008</v>
      </c>
      <c r="O103" s="1440">
        <f t="shared" si="65"/>
        <v>0</v>
      </c>
      <c r="P103" s="1440">
        <f t="shared" si="65"/>
        <v>0</v>
      </c>
      <c r="Q103" s="1440">
        <f t="shared" si="65"/>
        <v>0</v>
      </c>
    </row>
    <row r="104" spans="1:17">
      <c r="B104" s="1431" t="s">
        <v>1570</v>
      </c>
      <c r="D104" s="1452">
        <f t="shared" ref="D104:M104" si="66">IF(D95&gt;$D$12,(1+D23)^(D95-$D$12),0)</f>
        <v>0</v>
      </c>
      <c r="E104" s="1452">
        <f t="shared" si="66"/>
        <v>0</v>
      </c>
      <c r="F104" s="1452">
        <f t="shared" si="66"/>
        <v>0</v>
      </c>
      <c r="G104" s="1452">
        <f t="shared" si="66"/>
        <v>0</v>
      </c>
      <c r="H104" s="1452">
        <f t="shared" si="66"/>
        <v>0</v>
      </c>
      <c r="I104" s="1452">
        <f t="shared" si="66"/>
        <v>0</v>
      </c>
      <c r="J104" s="1452">
        <f t="shared" si="66"/>
        <v>0</v>
      </c>
      <c r="K104" s="1452">
        <f t="shared" si="66"/>
        <v>0</v>
      </c>
      <c r="L104" s="1452">
        <f t="shared" si="66"/>
        <v>0</v>
      </c>
      <c r="M104" s="1452">
        <f t="shared" si="66"/>
        <v>0</v>
      </c>
      <c r="N104" s="1452">
        <f>IF(N95&gt;$D$12,(1+N23)^(N95-$D$12),0)</f>
        <v>1.1105</v>
      </c>
      <c r="O104" s="1452">
        <f>IF(O95&gt;$D$12,(1+O23)^(O95-$D$12),0)</f>
        <v>1.2332102500000002</v>
      </c>
      <c r="P104" s="1452">
        <f>IF(P95&gt;$D$12,(1+P23)^(P95-$D$12),0)</f>
        <v>1.3694799826250001</v>
      </c>
      <c r="Q104" s="1452">
        <f>IF(Q95&gt;$D$12,(1+Q23)^(Q95-$D$12),0)</f>
        <v>1.5208075207050629</v>
      </c>
    </row>
    <row r="105" spans="1:17">
      <c r="B105" s="1431" t="s">
        <v>1452</v>
      </c>
      <c r="C105" s="1440">
        <f>SUMIF(D95:Q95,"&gt;"&amp;D12,D105:Q105)</f>
        <v>421.26591625393974</v>
      </c>
      <c r="D105" s="1440" t="str">
        <f t="shared" ref="D105:M105" si="67">IF(D104&lt;&gt;0,D103/D104,"")</f>
        <v/>
      </c>
      <c r="E105" s="1440" t="str">
        <f t="shared" si="67"/>
        <v/>
      </c>
      <c r="F105" s="1440" t="str">
        <f t="shared" si="67"/>
        <v/>
      </c>
      <c r="G105" s="1440" t="str">
        <f t="shared" si="67"/>
        <v/>
      </c>
      <c r="H105" s="1440" t="str">
        <f t="shared" si="67"/>
        <v/>
      </c>
      <c r="I105" s="1440" t="str">
        <f t="shared" si="67"/>
        <v/>
      </c>
      <c r="J105" s="1440" t="str">
        <f t="shared" si="67"/>
        <v/>
      </c>
      <c r="K105" s="1440" t="str">
        <f t="shared" si="67"/>
        <v/>
      </c>
      <c r="L105" s="1440" t="str">
        <f t="shared" si="67"/>
        <v/>
      </c>
      <c r="M105" s="1440" t="str">
        <f t="shared" si="67"/>
        <v/>
      </c>
      <c r="N105" s="1440">
        <f>IF(N104&lt;&gt;0,N103/N104,"")</f>
        <v>421.26591625393974</v>
      </c>
      <c r="O105" s="1440">
        <f>IF(O104&lt;&gt;0,O103/O104,"")</f>
        <v>0</v>
      </c>
      <c r="P105" s="1440">
        <f>IF(P104&lt;&gt;0,P103/P104,"")</f>
        <v>0</v>
      </c>
      <c r="Q105" s="1440">
        <f>IF(Q104&lt;&gt;0,Q103/Q104,"")</f>
        <v>0</v>
      </c>
    </row>
    <row r="106" spans="1:17">
      <c r="B106" s="1407" t="s">
        <v>1590</v>
      </c>
      <c r="C106" s="1427">
        <f>C105*I5</f>
        <v>421.26591625393974</v>
      </c>
    </row>
    <row r="107" spans="1:17">
      <c r="B107" s="1407"/>
      <c r="C107" s="1427"/>
    </row>
    <row r="108" spans="1:17">
      <c r="B108" s="1407" t="s">
        <v>1588</v>
      </c>
      <c r="C108" s="1440"/>
      <c r="D108" s="1431">
        <f t="shared" ref="D108:J108" si="68">D95</f>
        <v>2013</v>
      </c>
      <c r="E108" s="1431">
        <f t="shared" si="68"/>
        <v>2014</v>
      </c>
      <c r="F108" s="1431">
        <f t="shared" si="68"/>
        <v>2015</v>
      </c>
      <c r="G108" s="1431">
        <f t="shared" si="68"/>
        <v>2016</v>
      </c>
      <c r="H108" s="1431">
        <f t="shared" si="68"/>
        <v>2017</v>
      </c>
      <c r="I108" s="1431">
        <f t="shared" si="68"/>
        <v>2018</v>
      </c>
      <c r="J108" s="1431">
        <f t="shared" si="68"/>
        <v>2019</v>
      </c>
      <c r="K108" s="1431">
        <f t="shared" ref="K108:Q108" si="69">K95</f>
        <v>2020</v>
      </c>
      <c r="L108" s="1431">
        <f t="shared" si="69"/>
        <v>2021</v>
      </c>
      <c r="M108" s="1431">
        <f t="shared" si="69"/>
        <v>2022</v>
      </c>
      <c r="N108" s="1431">
        <f t="shared" si="69"/>
        <v>2023</v>
      </c>
      <c r="O108" s="1431">
        <f t="shared" si="69"/>
        <v>2024</v>
      </c>
      <c r="P108" s="1431">
        <f t="shared" si="69"/>
        <v>2025</v>
      </c>
      <c r="Q108" s="1431">
        <f t="shared" si="69"/>
        <v>2026</v>
      </c>
    </row>
    <row r="109" spans="1:17" s="1447" customFormat="1">
      <c r="A109" s="1459"/>
      <c r="B109" s="1460">
        <f>IRR(D109:Q109)</f>
        <v>0.19333672866809803</v>
      </c>
      <c r="C109" s="1408"/>
      <c r="D109" s="1408">
        <f>D103</f>
        <v>0</v>
      </c>
      <c r="E109" s="1408">
        <f t="shared" ref="E109:J109" si="70">E103</f>
        <v>0</v>
      </c>
      <c r="F109" s="1408">
        <f t="shared" si="70"/>
        <v>0</v>
      </c>
      <c r="G109" s="1408">
        <f t="shared" si="70"/>
        <v>0</v>
      </c>
      <c r="H109" s="1408">
        <f t="shared" si="70"/>
        <v>0</v>
      </c>
      <c r="I109" s="1408">
        <f t="shared" si="70"/>
        <v>0</v>
      </c>
      <c r="J109" s="1408">
        <f t="shared" si="70"/>
        <v>-3036</v>
      </c>
      <c r="K109" s="1408">
        <f t="shared" ref="K109:Q109" si="71">K103</f>
        <v>918.86580000000004</v>
      </c>
      <c r="L109" s="1408">
        <f t="shared" si="71"/>
        <v>1659.6237000000001</v>
      </c>
      <c r="M109" s="1408">
        <f t="shared" si="71"/>
        <v>1478.2737000000002</v>
      </c>
      <c r="N109" s="1408">
        <f t="shared" si="71"/>
        <v>467.81580000000008</v>
      </c>
      <c r="O109" s="1408">
        <f t="shared" si="71"/>
        <v>0</v>
      </c>
      <c r="P109" s="1408">
        <f t="shared" si="71"/>
        <v>0</v>
      </c>
      <c r="Q109" s="1408">
        <f t="shared" si="71"/>
        <v>0</v>
      </c>
    </row>
    <row r="110" spans="1:17">
      <c r="B110" s="1407" t="s">
        <v>1789</v>
      </c>
      <c r="C110" s="1440"/>
      <c r="D110" s="1656">
        <f t="shared" ref="D110:M110" si="72">D103+D116-D118</f>
        <v>0</v>
      </c>
      <c r="E110" s="1656">
        <f t="shared" si="72"/>
        <v>0</v>
      </c>
      <c r="F110" s="1656">
        <f t="shared" si="72"/>
        <v>0</v>
      </c>
      <c r="G110" s="1656">
        <f t="shared" si="72"/>
        <v>0</v>
      </c>
      <c r="H110" s="1656">
        <f t="shared" si="72"/>
        <v>0</v>
      </c>
      <c r="I110" s="1656">
        <f t="shared" si="72"/>
        <v>0</v>
      </c>
      <c r="J110" s="1656">
        <f t="shared" si="72"/>
        <v>-862.34999999999991</v>
      </c>
      <c r="K110" s="1656">
        <f t="shared" si="72"/>
        <v>-167.95920000000001</v>
      </c>
      <c r="L110" s="1656">
        <f t="shared" si="72"/>
        <v>572.79870000000005</v>
      </c>
      <c r="M110" s="1656">
        <f t="shared" si="72"/>
        <v>1478.2737000000002</v>
      </c>
      <c r="N110" s="1656">
        <f>N103+N116-N118</f>
        <v>467.81580000000008</v>
      </c>
      <c r="O110" s="1656">
        <f>O103+O116-O118</f>
        <v>0</v>
      </c>
      <c r="P110" s="1656">
        <f>P103+P116-P118</f>
        <v>0</v>
      </c>
      <c r="Q110" s="1656">
        <f>Q103+Q116-Q118</f>
        <v>0</v>
      </c>
    </row>
    <row r="111" spans="1:17">
      <c r="B111" s="1407"/>
      <c r="C111" s="1427"/>
      <c r="D111" s="1454"/>
      <c r="E111" s="1454"/>
      <c r="F111" s="1454"/>
      <c r="G111" s="1454"/>
      <c r="H111" s="1454"/>
      <c r="I111" s="1454"/>
      <c r="J111" s="1454"/>
      <c r="K111" s="1454"/>
      <c r="L111" s="1454"/>
      <c r="M111" s="1454"/>
      <c r="N111" s="1454"/>
      <c r="O111" s="1454"/>
      <c r="P111" s="1454"/>
      <c r="Q111" s="1454"/>
    </row>
    <row r="112" spans="1:17">
      <c r="B112" s="1407"/>
      <c r="C112" s="1427"/>
    </row>
    <row r="113" spans="1:17" s="1407" customFormat="1">
      <c r="A113" s="1406">
        <v>8</v>
      </c>
      <c r="B113" s="1407" t="s">
        <v>1592</v>
      </c>
      <c r="C113" s="1440"/>
      <c r="D113" s="1431">
        <f t="shared" ref="D113:I113" si="73">D95</f>
        <v>2013</v>
      </c>
      <c r="E113" s="1431">
        <f t="shared" si="73"/>
        <v>2014</v>
      </c>
      <c r="F113" s="1431">
        <f t="shared" si="73"/>
        <v>2015</v>
      </c>
      <c r="G113" s="1431">
        <f t="shared" si="73"/>
        <v>2016</v>
      </c>
      <c r="H113" s="1431">
        <f t="shared" si="73"/>
        <v>2017</v>
      </c>
      <c r="I113" s="1431">
        <f t="shared" si="73"/>
        <v>2018</v>
      </c>
      <c r="J113" s="1431">
        <f t="shared" ref="J113:Q113" si="74">I113+1</f>
        <v>2019</v>
      </c>
      <c r="K113" s="1431">
        <f t="shared" si="74"/>
        <v>2020</v>
      </c>
      <c r="L113" s="1431">
        <f t="shared" si="74"/>
        <v>2021</v>
      </c>
      <c r="M113" s="1431">
        <f t="shared" si="74"/>
        <v>2022</v>
      </c>
      <c r="N113" s="1431">
        <f t="shared" si="74"/>
        <v>2023</v>
      </c>
      <c r="O113" s="1431">
        <f t="shared" si="74"/>
        <v>2024</v>
      </c>
      <c r="P113" s="1431">
        <f t="shared" si="74"/>
        <v>2025</v>
      </c>
      <c r="Q113" s="1431">
        <f t="shared" si="74"/>
        <v>2026</v>
      </c>
    </row>
    <row r="114" spans="1:17">
      <c r="B114" s="1432" t="s">
        <v>1571</v>
      </c>
      <c r="C114" s="1441">
        <f>D5*I6</f>
        <v>2173.65</v>
      </c>
      <c r="D114" s="1432"/>
      <c r="E114" s="1432"/>
      <c r="F114" s="1432"/>
      <c r="G114" s="1432"/>
      <c r="H114" s="1432"/>
      <c r="I114" s="1432"/>
      <c r="J114" s="1456"/>
      <c r="K114" s="1456"/>
      <c r="L114" s="1456"/>
      <c r="M114" s="1456"/>
      <c r="N114" s="1456"/>
      <c r="O114" s="1456"/>
      <c r="P114" s="1456"/>
      <c r="Q114" s="1456"/>
    </row>
    <row r="115" spans="1:17">
      <c r="B115" s="1431" t="s">
        <v>1572</v>
      </c>
      <c r="C115" s="1436">
        <f>SUM(D115:Q115)</f>
        <v>1</v>
      </c>
      <c r="D115" s="1416">
        <v>0</v>
      </c>
      <c r="E115" s="1416">
        <v>0</v>
      </c>
      <c r="F115" s="1416">
        <v>0</v>
      </c>
      <c r="G115" s="1416">
        <v>0</v>
      </c>
      <c r="H115" s="1411">
        <v>0</v>
      </c>
      <c r="I115" s="1411">
        <v>0</v>
      </c>
      <c r="J115" s="1411">
        <v>1</v>
      </c>
      <c r="K115" s="1411">
        <v>0</v>
      </c>
      <c r="L115" s="1411">
        <v>0</v>
      </c>
      <c r="M115" s="1411">
        <v>0</v>
      </c>
      <c r="N115" s="1411">
        <v>0</v>
      </c>
      <c r="O115" s="1411">
        <v>0</v>
      </c>
      <c r="P115" s="1411">
        <v>0</v>
      </c>
      <c r="Q115" s="1411">
        <v>0</v>
      </c>
    </row>
    <row r="116" spans="1:17">
      <c r="B116" s="1431" t="s">
        <v>1573</v>
      </c>
      <c r="C116" s="1440">
        <f>SUM(D116:M116)</f>
        <v>2173.65</v>
      </c>
      <c r="D116" s="1410">
        <f t="shared" ref="D116:M116" si="75">D115*$C$114</f>
        <v>0</v>
      </c>
      <c r="E116" s="1410">
        <f t="shared" si="75"/>
        <v>0</v>
      </c>
      <c r="F116" s="1410">
        <f t="shared" si="75"/>
        <v>0</v>
      </c>
      <c r="G116" s="1410">
        <f t="shared" si="75"/>
        <v>0</v>
      </c>
      <c r="H116" s="1410">
        <f t="shared" si="75"/>
        <v>0</v>
      </c>
      <c r="I116" s="1410">
        <f t="shared" si="75"/>
        <v>0</v>
      </c>
      <c r="J116" s="1410">
        <f t="shared" si="75"/>
        <v>2173.65</v>
      </c>
      <c r="K116" s="1410">
        <f t="shared" si="75"/>
        <v>0</v>
      </c>
      <c r="L116" s="1410">
        <f t="shared" si="75"/>
        <v>0</v>
      </c>
      <c r="M116" s="1410">
        <f t="shared" si="75"/>
        <v>0</v>
      </c>
      <c r="N116" s="1410">
        <f>N115*$C$114</f>
        <v>0</v>
      </c>
      <c r="O116" s="1410">
        <f>O115*$C$114</f>
        <v>0</v>
      </c>
      <c r="P116" s="1410">
        <f>P115*$C$114</f>
        <v>0</v>
      </c>
      <c r="Q116" s="1410">
        <f>Q115*$C$114</f>
        <v>0</v>
      </c>
    </row>
    <row r="117" spans="1:17">
      <c r="B117" s="1431" t="s">
        <v>868</v>
      </c>
      <c r="C117" s="1440"/>
      <c r="D117" s="1440">
        <f>D116</f>
        <v>0</v>
      </c>
      <c r="E117" s="1440">
        <f>E116</f>
        <v>0</v>
      </c>
      <c r="F117" s="1440">
        <f>F116</f>
        <v>0</v>
      </c>
      <c r="G117" s="1440">
        <f t="shared" ref="G117:Q117" si="76">F120+G116</f>
        <v>0</v>
      </c>
      <c r="H117" s="1440">
        <f t="shared" si="76"/>
        <v>0</v>
      </c>
      <c r="I117" s="1440">
        <f t="shared" si="76"/>
        <v>0</v>
      </c>
      <c r="J117" s="1440">
        <f t="shared" si="76"/>
        <v>2173.65</v>
      </c>
      <c r="K117" s="1440">
        <f t="shared" si="76"/>
        <v>2173.65</v>
      </c>
      <c r="L117" s="1440">
        <f t="shared" si="76"/>
        <v>1086.825</v>
      </c>
      <c r="M117" s="1440">
        <f t="shared" si="76"/>
        <v>0</v>
      </c>
      <c r="N117" s="1440">
        <f t="shared" si="76"/>
        <v>0</v>
      </c>
      <c r="O117" s="1440">
        <f t="shared" si="76"/>
        <v>0</v>
      </c>
      <c r="P117" s="1440">
        <f t="shared" si="76"/>
        <v>0</v>
      </c>
      <c r="Q117" s="1440">
        <f t="shared" si="76"/>
        <v>0</v>
      </c>
    </row>
    <row r="118" spans="1:17">
      <c r="B118" s="1431" t="s">
        <v>1574</v>
      </c>
      <c r="C118" s="1440">
        <f>SUM(D118:M118)</f>
        <v>2173.65</v>
      </c>
      <c r="D118" s="1423"/>
      <c r="E118" s="1423"/>
      <c r="F118" s="1423"/>
      <c r="G118" s="1423"/>
      <c r="H118" s="1423"/>
      <c r="I118" s="1410"/>
      <c r="J118" s="1423"/>
      <c r="K118" s="1643">
        <f>C114/2</f>
        <v>1086.825</v>
      </c>
      <c r="L118" s="1410">
        <f>K118</f>
        <v>1086.825</v>
      </c>
      <c r="M118" s="1410"/>
      <c r="N118" s="1410"/>
      <c r="O118" s="1410"/>
      <c r="P118" s="1410"/>
      <c r="Q118" s="1410"/>
    </row>
    <row r="119" spans="1:17">
      <c r="B119" s="1431" t="s">
        <v>869</v>
      </c>
      <c r="C119" s="1440">
        <f>SUM(D119:M119)</f>
        <v>652.09500000000003</v>
      </c>
      <c r="D119" s="1440">
        <f t="shared" ref="D119:M119" si="77">D117*D21</f>
        <v>0</v>
      </c>
      <c r="E119" s="1440">
        <f t="shared" si="77"/>
        <v>0</v>
      </c>
      <c r="F119" s="1440">
        <f t="shared" si="77"/>
        <v>0</v>
      </c>
      <c r="G119" s="1440">
        <f t="shared" si="77"/>
        <v>0</v>
      </c>
      <c r="H119" s="1440">
        <f t="shared" si="77"/>
        <v>0</v>
      </c>
      <c r="I119" s="1440">
        <f t="shared" si="77"/>
        <v>0</v>
      </c>
      <c r="J119" s="1440">
        <f t="shared" si="77"/>
        <v>260.83800000000002</v>
      </c>
      <c r="K119" s="1440">
        <f t="shared" si="77"/>
        <v>260.83800000000002</v>
      </c>
      <c r="L119" s="1440">
        <f t="shared" si="77"/>
        <v>130.41900000000001</v>
      </c>
      <c r="M119" s="1440">
        <f t="shared" si="77"/>
        <v>0</v>
      </c>
      <c r="N119" s="1440">
        <f>N117*N21</f>
        <v>0</v>
      </c>
      <c r="O119" s="1440">
        <f>O117*O21</f>
        <v>0</v>
      </c>
      <c r="P119" s="1440">
        <f>P117*P21</f>
        <v>0</v>
      </c>
      <c r="Q119" s="1440">
        <f>Q117*Q21</f>
        <v>0</v>
      </c>
    </row>
    <row r="120" spans="1:17">
      <c r="B120" s="1431" t="s">
        <v>874</v>
      </c>
      <c r="C120" s="1440"/>
      <c r="D120" s="1440">
        <f t="shared" ref="D120:M120" si="78">D117-D118</f>
        <v>0</v>
      </c>
      <c r="E120" s="1440">
        <f t="shared" si="78"/>
        <v>0</v>
      </c>
      <c r="F120" s="1440">
        <f t="shared" si="78"/>
        <v>0</v>
      </c>
      <c r="G120" s="1440">
        <f t="shared" si="78"/>
        <v>0</v>
      </c>
      <c r="H120" s="1440">
        <f t="shared" si="78"/>
        <v>0</v>
      </c>
      <c r="I120" s="1440">
        <f t="shared" si="78"/>
        <v>0</v>
      </c>
      <c r="J120" s="1440">
        <f t="shared" si="78"/>
        <v>2173.65</v>
      </c>
      <c r="K120" s="1440">
        <f t="shared" si="78"/>
        <v>1086.825</v>
      </c>
      <c r="L120" s="1440">
        <f t="shared" si="78"/>
        <v>0</v>
      </c>
      <c r="M120" s="1440">
        <f t="shared" si="78"/>
        <v>0</v>
      </c>
      <c r="N120" s="1440">
        <f>N117-N118</f>
        <v>0</v>
      </c>
      <c r="O120" s="1440">
        <f>O117-O118</f>
        <v>0</v>
      </c>
      <c r="P120" s="1440">
        <f>P117-P118</f>
        <v>0</v>
      </c>
      <c r="Q120" s="1440">
        <f>Q117-Q118</f>
        <v>0</v>
      </c>
    </row>
    <row r="121" spans="1:17">
      <c r="C121" s="1440"/>
      <c r="D121" s="1412"/>
      <c r="E121" s="1440"/>
      <c r="F121" s="1440"/>
      <c r="G121" s="1440"/>
      <c r="H121" s="1440"/>
    </row>
    <row r="122" spans="1:17">
      <c r="C122" s="1440"/>
    </row>
    <row r="123" spans="1:17" s="1407" customFormat="1">
      <c r="A123" s="1406">
        <v>9</v>
      </c>
      <c r="B123" s="1407" t="s">
        <v>350</v>
      </c>
      <c r="C123" s="1440"/>
      <c r="D123" s="1431">
        <f t="shared" ref="D123:J123" si="79">D95</f>
        <v>2013</v>
      </c>
      <c r="E123" s="1431">
        <f t="shared" si="79"/>
        <v>2014</v>
      </c>
      <c r="F123" s="1431">
        <f t="shared" si="79"/>
        <v>2015</v>
      </c>
      <c r="G123" s="1431">
        <f t="shared" si="79"/>
        <v>2016</v>
      </c>
      <c r="H123" s="1431">
        <f t="shared" si="79"/>
        <v>2017</v>
      </c>
      <c r="I123" s="1431">
        <f t="shared" si="79"/>
        <v>2018</v>
      </c>
      <c r="J123" s="1431">
        <f t="shared" si="79"/>
        <v>2019</v>
      </c>
      <c r="K123" s="1431">
        <f t="shared" ref="K123:Q123" si="80">K95</f>
        <v>2020</v>
      </c>
      <c r="L123" s="1431">
        <f t="shared" si="80"/>
        <v>2021</v>
      </c>
      <c r="M123" s="1431">
        <f t="shared" si="80"/>
        <v>2022</v>
      </c>
      <c r="N123" s="1431">
        <f t="shared" si="80"/>
        <v>2023</v>
      </c>
      <c r="O123" s="1431">
        <f t="shared" si="80"/>
        <v>2024</v>
      </c>
      <c r="P123" s="1431">
        <f t="shared" si="80"/>
        <v>2025</v>
      </c>
      <c r="Q123" s="1431">
        <f t="shared" si="80"/>
        <v>2026</v>
      </c>
    </row>
    <row r="124" spans="1:17">
      <c r="B124" s="1432" t="s">
        <v>1575</v>
      </c>
      <c r="C124" s="1441"/>
      <c r="D124" s="1441">
        <f>D63</f>
        <v>0</v>
      </c>
      <c r="E124" s="1408">
        <f t="shared" ref="E124:M124" si="81">D124+E63</f>
        <v>0</v>
      </c>
      <c r="F124" s="1408">
        <f t="shared" si="81"/>
        <v>0</v>
      </c>
      <c r="G124" s="1408">
        <f t="shared" si="81"/>
        <v>0</v>
      </c>
      <c r="H124" s="1408">
        <f t="shared" si="81"/>
        <v>0</v>
      </c>
      <c r="I124" s="1408">
        <f t="shared" si="81"/>
        <v>0</v>
      </c>
      <c r="J124" s="1408">
        <f t="shared" si="81"/>
        <v>0</v>
      </c>
      <c r="K124" s="1408">
        <f t="shared" si="81"/>
        <v>1269.45</v>
      </c>
      <c r="L124" s="1408">
        <f t="shared" si="81"/>
        <v>3385.2</v>
      </c>
      <c r="M124" s="1408">
        <f t="shared" si="81"/>
        <v>5319.6</v>
      </c>
      <c r="N124" s="1408">
        <f>M124+N63</f>
        <v>6045</v>
      </c>
      <c r="O124" s="1408">
        <f>N124+O63</f>
        <v>6045</v>
      </c>
      <c r="P124" s="1408">
        <f>O124+P63</f>
        <v>6045</v>
      </c>
      <c r="Q124" s="1408">
        <f>P124+Q63</f>
        <v>6045</v>
      </c>
    </row>
    <row r="125" spans="1:17">
      <c r="B125" s="1431" t="s">
        <v>1576</v>
      </c>
      <c r="C125" s="1440"/>
      <c r="D125" s="1440">
        <f>D57</f>
        <v>0</v>
      </c>
      <c r="E125" s="1440">
        <f t="shared" ref="E125:M125" si="82">D125+E57</f>
        <v>0</v>
      </c>
      <c r="F125" s="1440">
        <f t="shared" si="82"/>
        <v>0</v>
      </c>
      <c r="G125" s="1440">
        <f t="shared" si="82"/>
        <v>0</v>
      </c>
      <c r="H125" s="1440">
        <f t="shared" si="82"/>
        <v>0</v>
      </c>
      <c r="I125" s="1440">
        <f t="shared" si="82"/>
        <v>0</v>
      </c>
      <c r="J125" s="1440">
        <f t="shared" si="82"/>
        <v>0</v>
      </c>
      <c r="K125" s="1440">
        <f t="shared" si="82"/>
        <v>1209</v>
      </c>
      <c r="L125" s="1440">
        <f t="shared" si="82"/>
        <v>3022.5</v>
      </c>
      <c r="M125" s="1440">
        <f t="shared" si="82"/>
        <v>4836</v>
      </c>
      <c r="N125" s="1440">
        <f>M125+N57</f>
        <v>6045</v>
      </c>
      <c r="O125" s="1440">
        <f>N125+O57</f>
        <v>6045</v>
      </c>
      <c r="P125" s="1440">
        <f>O125+P57</f>
        <v>6045</v>
      </c>
      <c r="Q125" s="1440">
        <f>P125+Q57</f>
        <v>6045</v>
      </c>
    </row>
    <row r="126" spans="1:17">
      <c r="B126" s="1431" t="s">
        <v>1577</v>
      </c>
      <c r="C126" s="1440"/>
      <c r="D126" s="1440">
        <f>D50</f>
        <v>0</v>
      </c>
      <c r="E126" s="1440">
        <f t="shared" ref="E126:M126" si="83">D126+E50</f>
        <v>0</v>
      </c>
      <c r="F126" s="1440">
        <f t="shared" si="83"/>
        <v>0</v>
      </c>
      <c r="G126" s="1440">
        <f t="shared" si="83"/>
        <v>0</v>
      </c>
      <c r="H126" s="1440">
        <f t="shared" si="83"/>
        <v>0</v>
      </c>
      <c r="I126" s="1440">
        <f t="shared" si="83"/>
        <v>0</v>
      </c>
      <c r="J126" s="1440">
        <f t="shared" si="83"/>
        <v>0</v>
      </c>
      <c r="K126" s="1440">
        <f t="shared" si="83"/>
        <v>2115.75</v>
      </c>
      <c r="L126" s="1440">
        <f t="shared" si="83"/>
        <v>4231.5</v>
      </c>
      <c r="M126" s="1440">
        <f t="shared" si="83"/>
        <v>6045</v>
      </c>
      <c r="N126" s="1440">
        <f>M126+N50</f>
        <v>6045</v>
      </c>
      <c r="O126" s="1440">
        <f>N126+O50</f>
        <v>6045</v>
      </c>
      <c r="P126" s="1440">
        <f>O126+P50</f>
        <v>6045</v>
      </c>
      <c r="Q126" s="1440">
        <f>P126+Q50</f>
        <v>6045</v>
      </c>
    </row>
    <row r="127" spans="1:17">
      <c r="B127" s="1431" t="s">
        <v>1578</v>
      </c>
      <c r="C127" s="1440"/>
      <c r="D127" s="1436" t="str">
        <f t="shared" ref="D127:J127" si="84">IF(D124&lt;&gt;0,D124/D126,"")</f>
        <v/>
      </c>
      <c r="E127" s="1436" t="str">
        <f t="shared" si="84"/>
        <v/>
      </c>
      <c r="F127" s="1436" t="str">
        <f t="shared" si="84"/>
        <v/>
      </c>
      <c r="G127" s="1436" t="str">
        <f t="shared" si="84"/>
        <v/>
      </c>
      <c r="H127" s="1436" t="str">
        <f t="shared" si="84"/>
        <v/>
      </c>
      <c r="I127" s="1436" t="str">
        <f t="shared" si="84"/>
        <v/>
      </c>
      <c r="J127" s="1436" t="str">
        <f t="shared" si="84"/>
        <v/>
      </c>
      <c r="K127" s="1436">
        <f t="shared" ref="K127:Q127" si="85">IF(K124&lt;&gt;0,K124/K126,"")</f>
        <v>0.6</v>
      </c>
      <c r="L127" s="1436">
        <f t="shared" si="85"/>
        <v>0.79999999999999993</v>
      </c>
      <c r="M127" s="1436">
        <f t="shared" si="85"/>
        <v>0.88000000000000012</v>
      </c>
      <c r="N127" s="1436">
        <f t="shared" si="85"/>
        <v>1</v>
      </c>
      <c r="O127" s="1436">
        <f t="shared" si="85"/>
        <v>1</v>
      </c>
      <c r="P127" s="1436">
        <f t="shared" si="85"/>
        <v>1</v>
      </c>
      <c r="Q127" s="1436">
        <f t="shared" si="85"/>
        <v>1</v>
      </c>
    </row>
    <row r="128" spans="1:17">
      <c r="B128" s="1431" t="s">
        <v>1579</v>
      </c>
      <c r="C128" s="1440"/>
      <c r="D128" s="1410">
        <f t="shared" ref="D128:J128" si="86">IF(D124&gt;D125,D124-D125,0)</f>
        <v>0</v>
      </c>
      <c r="E128" s="1410">
        <f t="shared" si="86"/>
        <v>0</v>
      </c>
      <c r="F128" s="1410">
        <f t="shared" si="86"/>
        <v>0</v>
      </c>
      <c r="G128" s="1410">
        <f t="shared" si="86"/>
        <v>0</v>
      </c>
      <c r="H128" s="1410">
        <f t="shared" si="86"/>
        <v>0</v>
      </c>
      <c r="I128" s="1410">
        <f t="shared" si="86"/>
        <v>0</v>
      </c>
      <c r="J128" s="1410">
        <f t="shared" si="86"/>
        <v>0</v>
      </c>
      <c r="K128" s="1410">
        <f t="shared" ref="K128:Q128" si="87">IF(K124&gt;K125,K124-K125,0)</f>
        <v>60.450000000000045</v>
      </c>
      <c r="L128" s="1410">
        <f t="shared" si="87"/>
        <v>362.69999999999982</v>
      </c>
      <c r="M128" s="1410">
        <f t="shared" si="87"/>
        <v>483.60000000000036</v>
      </c>
      <c r="N128" s="1410">
        <f t="shared" si="87"/>
        <v>0</v>
      </c>
      <c r="O128" s="1410">
        <f t="shared" si="87"/>
        <v>0</v>
      </c>
      <c r="P128" s="1410">
        <f t="shared" si="87"/>
        <v>0</v>
      </c>
      <c r="Q128" s="1410">
        <f t="shared" si="87"/>
        <v>0</v>
      </c>
    </row>
    <row r="129" spans="1:17" s="1407" customFormat="1">
      <c r="A129" s="1406"/>
      <c r="B129" s="1431" t="s">
        <v>1580</v>
      </c>
      <c r="C129" s="1440"/>
      <c r="D129" s="1410">
        <f t="shared" ref="D129:J129" si="88">IF(D125&gt;D124,D125-D124,0)</f>
        <v>0</v>
      </c>
      <c r="E129" s="1410">
        <f t="shared" si="88"/>
        <v>0</v>
      </c>
      <c r="F129" s="1410">
        <f t="shared" si="88"/>
        <v>0</v>
      </c>
      <c r="G129" s="1410">
        <f t="shared" si="88"/>
        <v>0</v>
      </c>
      <c r="H129" s="1410">
        <f t="shared" si="88"/>
        <v>0</v>
      </c>
      <c r="I129" s="1410">
        <f t="shared" si="88"/>
        <v>0</v>
      </c>
      <c r="J129" s="1410">
        <f t="shared" si="88"/>
        <v>0</v>
      </c>
      <c r="K129" s="1410">
        <f t="shared" ref="K129:Q129" si="89">IF(K125&gt;K124,K125-K124,0)</f>
        <v>0</v>
      </c>
      <c r="L129" s="1410">
        <f t="shared" si="89"/>
        <v>0</v>
      </c>
      <c r="M129" s="1410">
        <f t="shared" si="89"/>
        <v>0</v>
      </c>
      <c r="N129" s="1410">
        <f t="shared" si="89"/>
        <v>0</v>
      </c>
      <c r="O129" s="1410">
        <f t="shared" si="89"/>
        <v>0</v>
      </c>
      <c r="P129" s="1410">
        <f t="shared" si="89"/>
        <v>0</v>
      </c>
      <c r="Q129" s="1410">
        <f t="shared" si="89"/>
        <v>0</v>
      </c>
    </row>
    <row r="130" spans="1:17">
      <c r="B130" s="1407"/>
      <c r="E130" s="1440"/>
      <c r="F130" s="1440"/>
      <c r="G130" s="1440"/>
      <c r="H130" s="1440"/>
      <c r="I130" s="1440"/>
      <c r="J130" s="1440"/>
      <c r="K130" s="1440"/>
      <c r="L130" s="1440"/>
      <c r="M130" s="1440"/>
      <c r="N130" s="1440"/>
      <c r="O130" s="1440"/>
      <c r="P130" s="1440"/>
      <c r="Q130" s="1440"/>
    </row>
    <row r="131" spans="1:17">
      <c r="B131" s="1407" t="s">
        <v>1492</v>
      </c>
      <c r="E131" s="1440"/>
      <c r="F131" s="1440"/>
      <c r="G131" s="1440"/>
      <c r="H131" s="1440"/>
      <c r="I131" s="1440"/>
      <c r="J131" s="1440"/>
      <c r="K131" s="1440"/>
      <c r="L131" s="1440"/>
      <c r="M131" s="1440"/>
      <c r="N131" s="1440"/>
      <c r="O131" s="1440"/>
      <c r="P131" s="1440"/>
      <c r="Q131" s="1440"/>
    </row>
    <row r="132" spans="1:17">
      <c r="B132" s="1431" t="s">
        <v>1581</v>
      </c>
      <c r="D132" s="1412">
        <v>0</v>
      </c>
      <c r="E132" s="1410">
        <f t="shared" ref="E132:J132" si="90">D136</f>
        <v>0</v>
      </c>
      <c r="F132" s="1440">
        <f t="shared" si="90"/>
        <v>0</v>
      </c>
      <c r="G132" s="1440">
        <f t="shared" si="90"/>
        <v>0</v>
      </c>
      <c r="H132" s="1440">
        <f t="shared" si="90"/>
        <v>0</v>
      </c>
      <c r="I132" s="1440">
        <f t="shared" si="90"/>
        <v>0</v>
      </c>
      <c r="J132" s="1440">
        <f t="shared" si="90"/>
        <v>0</v>
      </c>
      <c r="K132" s="1440">
        <f t="shared" ref="K132:Q132" si="91">J136</f>
        <v>3036</v>
      </c>
      <c r="L132" s="1440">
        <f t="shared" si="91"/>
        <v>2475.2999999999997</v>
      </c>
      <c r="M132" s="1440">
        <f t="shared" si="91"/>
        <v>1564.4999999999995</v>
      </c>
      <c r="N132" s="1440">
        <f t="shared" si="91"/>
        <v>653.69999999999959</v>
      </c>
      <c r="O132" s="1440">
        <f t="shared" si="91"/>
        <v>0</v>
      </c>
      <c r="P132" s="1440">
        <f t="shared" si="91"/>
        <v>0</v>
      </c>
      <c r="Q132" s="1440">
        <f t="shared" si="91"/>
        <v>0</v>
      </c>
    </row>
    <row r="133" spans="1:17">
      <c r="B133" s="1431" t="s">
        <v>994</v>
      </c>
      <c r="D133" s="1440">
        <f t="shared" ref="D133:M133" si="92">SUM(D99:D100)</f>
        <v>0</v>
      </c>
      <c r="E133" s="1440">
        <f t="shared" si="92"/>
        <v>0</v>
      </c>
      <c r="F133" s="1440">
        <f t="shared" si="92"/>
        <v>0</v>
      </c>
      <c r="G133" s="1440">
        <f t="shared" si="92"/>
        <v>0</v>
      </c>
      <c r="H133" s="1440">
        <f t="shared" si="92"/>
        <v>0</v>
      </c>
      <c r="I133" s="1440">
        <f t="shared" si="92"/>
        <v>0</v>
      </c>
      <c r="J133" s="1440">
        <f t="shared" si="92"/>
        <v>3036</v>
      </c>
      <c r="K133" s="1440">
        <f t="shared" si="92"/>
        <v>139.5</v>
      </c>
      <c r="L133" s="1440">
        <f t="shared" si="92"/>
        <v>139.5</v>
      </c>
      <c r="M133" s="1440">
        <f t="shared" si="92"/>
        <v>139.5</v>
      </c>
      <c r="N133" s="1440">
        <f>SUM(N99:N100)</f>
        <v>46.5</v>
      </c>
      <c r="O133" s="1440">
        <f>SUM(O99:O100)</f>
        <v>0</v>
      </c>
      <c r="P133" s="1440">
        <f>SUM(P99:P100)</f>
        <v>0</v>
      </c>
      <c r="Q133" s="1440">
        <f>SUM(Q99:Q100)</f>
        <v>0</v>
      </c>
    </row>
    <row r="134" spans="1:17">
      <c r="B134" s="1431" t="s">
        <v>1582</v>
      </c>
      <c r="D134" s="1431">
        <f t="shared" ref="D134:J134" si="93">$C$77*D58</f>
        <v>0</v>
      </c>
      <c r="E134" s="1431">
        <f t="shared" si="93"/>
        <v>0</v>
      </c>
      <c r="F134" s="1440">
        <f t="shared" si="93"/>
        <v>0</v>
      </c>
      <c r="G134" s="1440">
        <f t="shared" si="93"/>
        <v>0</v>
      </c>
      <c r="H134" s="1440">
        <f t="shared" si="93"/>
        <v>0</v>
      </c>
      <c r="I134" s="1440">
        <f t="shared" si="93"/>
        <v>0</v>
      </c>
      <c r="J134" s="1440">
        <f t="shared" si="93"/>
        <v>0</v>
      </c>
      <c r="K134" s="1440">
        <f t="shared" ref="K134:Q134" si="94">$C$77*K58</f>
        <v>130.41900000000001</v>
      </c>
      <c r="L134" s="1440">
        <f t="shared" si="94"/>
        <v>195.6285</v>
      </c>
      <c r="M134" s="1440">
        <f t="shared" si="94"/>
        <v>195.6285</v>
      </c>
      <c r="N134" s="1440">
        <f t="shared" si="94"/>
        <v>130.41900000000001</v>
      </c>
      <c r="O134" s="1440">
        <f t="shared" si="94"/>
        <v>0</v>
      </c>
      <c r="P134" s="1440">
        <f t="shared" si="94"/>
        <v>0</v>
      </c>
      <c r="Q134" s="1440">
        <f t="shared" si="94"/>
        <v>0</v>
      </c>
    </row>
    <row r="135" spans="1:17">
      <c r="B135" s="1431" t="s">
        <v>1583</v>
      </c>
      <c r="D135" s="1440">
        <f t="shared" ref="D135:J135" si="95">SUM(D75:D77)</f>
        <v>0</v>
      </c>
      <c r="E135" s="1440">
        <f t="shared" si="95"/>
        <v>0</v>
      </c>
      <c r="F135" s="1440">
        <f t="shared" si="95"/>
        <v>0</v>
      </c>
      <c r="G135" s="1440">
        <f t="shared" si="95"/>
        <v>0</v>
      </c>
      <c r="H135" s="1440">
        <f t="shared" si="95"/>
        <v>0</v>
      </c>
      <c r="I135" s="1440">
        <f t="shared" si="95"/>
        <v>0</v>
      </c>
      <c r="J135" s="1440">
        <f t="shared" si="95"/>
        <v>0</v>
      </c>
      <c r="K135" s="1440">
        <f t="shared" ref="K135:Q135" si="96">SUM(K75:K77)</f>
        <v>830.61900000000003</v>
      </c>
      <c r="L135" s="1440">
        <f t="shared" si="96"/>
        <v>1245.9285</v>
      </c>
      <c r="M135" s="1440">
        <f t="shared" si="96"/>
        <v>1245.9285</v>
      </c>
      <c r="N135" s="1440">
        <f t="shared" si="96"/>
        <v>830.61900000000003</v>
      </c>
      <c r="O135" s="1440">
        <f t="shared" si="96"/>
        <v>0</v>
      </c>
      <c r="P135" s="1440">
        <f t="shared" si="96"/>
        <v>0</v>
      </c>
      <c r="Q135" s="1440">
        <f t="shared" si="96"/>
        <v>0</v>
      </c>
    </row>
    <row r="136" spans="1:17">
      <c r="B136" s="1431" t="s">
        <v>874</v>
      </c>
      <c r="D136" s="1440">
        <f t="shared" ref="D136:M136" si="97">SUM(D132:D134)-D135</f>
        <v>0</v>
      </c>
      <c r="E136" s="1440">
        <f t="shared" si="97"/>
        <v>0</v>
      </c>
      <c r="F136" s="1440">
        <f t="shared" si="97"/>
        <v>0</v>
      </c>
      <c r="G136" s="1440">
        <f t="shared" si="97"/>
        <v>0</v>
      </c>
      <c r="H136" s="1440">
        <f t="shared" si="97"/>
        <v>0</v>
      </c>
      <c r="I136" s="1440">
        <f t="shared" si="97"/>
        <v>0</v>
      </c>
      <c r="J136" s="1440">
        <f t="shared" si="97"/>
        <v>3036</v>
      </c>
      <c r="K136" s="1440">
        <f t="shared" si="97"/>
        <v>2475.2999999999997</v>
      </c>
      <c r="L136" s="1440">
        <f t="shared" si="97"/>
        <v>1564.4999999999995</v>
      </c>
      <c r="M136" s="1440">
        <f t="shared" si="97"/>
        <v>653.69999999999959</v>
      </c>
      <c r="N136" s="1440">
        <f>SUM(N132:N134)-N135</f>
        <v>0</v>
      </c>
      <c r="O136" s="1440">
        <f>SUM(O132:O134)-O135</f>
        <v>0</v>
      </c>
      <c r="P136" s="1440">
        <f>SUM(P132:P134)-P135</f>
        <v>0</v>
      </c>
      <c r="Q136" s="1440">
        <f>SUM(Q132:Q134)-Q135</f>
        <v>0</v>
      </c>
    </row>
    <row r="137" spans="1:17">
      <c r="A137" s="1430" t="s">
        <v>1584</v>
      </c>
      <c r="B137" s="1432"/>
      <c r="C137" s="1432"/>
      <c r="D137" s="1432"/>
      <c r="E137" s="1432"/>
      <c r="F137" s="1432"/>
      <c r="G137" s="1432"/>
      <c r="H137" s="1432"/>
      <c r="I137" s="1432"/>
      <c r="J137" s="1432"/>
      <c r="K137" s="1432"/>
      <c r="L137" s="1432"/>
      <c r="M137" s="1432"/>
      <c r="N137" s="1432"/>
      <c r="O137" s="1432"/>
      <c r="P137" s="1432"/>
      <c r="Q137" s="1432"/>
    </row>
  </sheetData>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00B050"/>
  </sheetPr>
  <dimension ref="A1:AB256"/>
  <sheetViews>
    <sheetView showGridLines="0" topLeftCell="C199" zoomScale="130" zoomScaleNormal="130" workbookViewId="0">
      <selection activeCell="H231" sqref="H231"/>
    </sheetView>
  </sheetViews>
  <sheetFormatPr defaultRowHeight="11.25" outlineLevelRow="1"/>
  <cols>
    <col min="1" max="1" width="6" style="634" customWidth="1"/>
    <col min="2" max="2" width="32.140625" style="634" bestFit="1" customWidth="1"/>
    <col min="3" max="3" width="13.85546875" style="634" bestFit="1" customWidth="1"/>
    <col min="4" max="4" width="12.140625" style="635" customWidth="1"/>
    <col min="5" max="5" width="13.140625" style="634" customWidth="1"/>
    <col min="6" max="18" width="9.140625" style="634" customWidth="1"/>
    <col min="19" max="257" width="9.140625" style="634"/>
    <col min="258" max="258" width="32.140625" style="634" bestFit="1" customWidth="1"/>
    <col min="259" max="259" width="11.140625" style="634" bestFit="1" customWidth="1"/>
    <col min="260" max="260" width="12.140625" style="634" customWidth="1"/>
    <col min="261" max="261" width="10.140625" style="634" customWidth="1"/>
    <col min="262" max="262" width="11.140625" style="634" bestFit="1" customWidth="1"/>
    <col min="263" max="263" width="14.42578125" style="634" bestFit="1" customWidth="1"/>
    <col min="264" max="264" width="10.5703125" style="634" customWidth="1"/>
    <col min="265" max="265" width="11.140625" style="634" bestFit="1" customWidth="1"/>
    <col min="266" max="271" width="10.85546875" style="634" bestFit="1" customWidth="1"/>
    <col min="272" max="273" width="9.5703125" style="634" bestFit="1" customWidth="1"/>
    <col min="274" max="274" width="9.85546875" style="634" bestFit="1" customWidth="1"/>
    <col min="275" max="513" width="9.140625" style="634"/>
    <col min="514" max="514" width="32.140625" style="634" bestFit="1" customWidth="1"/>
    <col min="515" max="515" width="11.140625" style="634" bestFit="1" customWidth="1"/>
    <col min="516" max="516" width="12.140625" style="634" customWidth="1"/>
    <col min="517" max="517" width="10.140625" style="634" customWidth="1"/>
    <col min="518" max="518" width="11.140625" style="634" bestFit="1" customWidth="1"/>
    <col min="519" max="519" width="14.42578125" style="634" bestFit="1" customWidth="1"/>
    <col min="520" max="520" width="10.5703125" style="634" customWidth="1"/>
    <col min="521" max="521" width="11.140625" style="634" bestFit="1" customWidth="1"/>
    <col min="522" max="527" width="10.85546875" style="634" bestFit="1" customWidth="1"/>
    <col min="528" max="529" width="9.5703125" style="634" bestFit="1" customWidth="1"/>
    <col min="530" max="530" width="9.85546875" style="634" bestFit="1" customWidth="1"/>
    <col min="531" max="769" width="9.140625" style="634"/>
    <col min="770" max="770" width="32.140625" style="634" bestFit="1" customWidth="1"/>
    <col min="771" max="771" width="11.140625" style="634" bestFit="1" customWidth="1"/>
    <col min="772" max="772" width="12.140625" style="634" customWidth="1"/>
    <col min="773" max="773" width="10.140625" style="634" customWidth="1"/>
    <col min="774" max="774" width="11.140625" style="634" bestFit="1" customWidth="1"/>
    <col min="775" max="775" width="14.42578125" style="634" bestFit="1" customWidth="1"/>
    <col min="776" max="776" width="10.5703125" style="634" customWidth="1"/>
    <col min="777" max="777" width="11.140625" style="634" bestFit="1" customWidth="1"/>
    <col min="778" max="783" width="10.85546875" style="634" bestFit="1" customWidth="1"/>
    <col min="784" max="785" width="9.5703125" style="634" bestFit="1" customWidth="1"/>
    <col min="786" max="786" width="9.85546875" style="634" bestFit="1" customWidth="1"/>
    <col min="787" max="1025" width="9.140625" style="634"/>
    <col min="1026" max="1026" width="32.140625" style="634" bestFit="1" customWidth="1"/>
    <col min="1027" max="1027" width="11.140625" style="634" bestFit="1" customWidth="1"/>
    <col min="1028" max="1028" width="12.140625" style="634" customWidth="1"/>
    <col min="1029" max="1029" width="10.140625" style="634" customWidth="1"/>
    <col min="1030" max="1030" width="11.140625" style="634" bestFit="1" customWidth="1"/>
    <col min="1031" max="1031" width="14.42578125" style="634" bestFit="1" customWidth="1"/>
    <col min="1032" max="1032" width="10.5703125" style="634" customWidth="1"/>
    <col min="1033" max="1033" width="11.140625" style="634" bestFit="1" customWidth="1"/>
    <col min="1034" max="1039" width="10.85546875" style="634" bestFit="1" customWidth="1"/>
    <col min="1040" max="1041" width="9.5703125" style="634" bestFit="1" customWidth="1"/>
    <col min="1042" max="1042" width="9.85546875" style="634" bestFit="1" customWidth="1"/>
    <col min="1043" max="1281" width="9.140625" style="634"/>
    <col min="1282" max="1282" width="32.140625" style="634" bestFit="1" customWidth="1"/>
    <col min="1283" max="1283" width="11.140625" style="634" bestFit="1" customWidth="1"/>
    <col min="1284" max="1284" width="12.140625" style="634" customWidth="1"/>
    <col min="1285" max="1285" width="10.140625" style="634" customWidth="1"/>
    <col min="1286" max="1286" width="11.140625" style="634" bestFit="1" customWidth="1"/>
    <col min="1287" max="1287" width="14.42578125" style="634" bestFit="1" customWidth="1"/>
    <col min="1288" max="1288" width="10.5703125" style="634" customWidth="1"/>
    <col min="1289" max="1289" width="11.140625" style="634" bestFit="1" customWidth="1"/>
    <col min="1290" max="1295" width="10.85546875" style="634" bestFit="1" customWidth="1"/>
    <col min="1296" max="1297" width="9.5703125" style="634" bestFit="1" customWidth="1"/>
    <col min="1298" max="1298" width="9.85546875" style="634" bestFit="1" customWidth="1"/>
    <col min="1299" max="1537" width="9.140625" style="634"/>
    <col min="1538" max="1538" width="32.140625" style="634" bestFit="1" customWidth="1"/>
    <col min="1539" max="1539" width="11.140625" style="634" bestFit="1" customWidth="1"/>
    <col min="1540" max="1540" width="12.140625" style="634" customWidth="1"/>
    <col min="1541" max="1541" width="10.140625" style="634" customWidth="1"/>
    <col min="1542" max="1542" width="11.140625" style="634" bestFit="1" customWidth="1"/>
    <col min="1543" max="1543" width="14.42578125" style="634" bestFit="1" customWidth="1"/>
    <col min="1544" max="1544" width="10.5703125" style="634" customWidth="1"/>
    <col min="1545" max="1545" width="11.140625" style="634" bestFit="1" customWidth="1"/>
    <col min="1546" max="1551" width="10.85546875" style="634" bestFit="1" customWidth="1"/>
    <col min="1552" max="1553" width="9.5703125" style="634" bestFit="1" customWidth="1"/>
    <col min="1554" max="1554" width="9.85546875" style="634" bestFit="1" customWidth="1"/>
    <col min="1555" max="1793" width="9.140625" style="634"/>
    <col min="1794" max="1794" width="32.140625" style="634" bestFit="1" customWidth="1"/>
    <col min="1795" max="1795" width="11.140625" style="634" bestFit="1" customWidth="1"/>
    <col min="1796" max="1796" width="12.140625" style="634" customWidth="1"/>
    <col min="1797" max="1797" width="10.140625" style="634" customWidth="1"/>
    <col min="1798" max="1798" width="11.140625" style="634" bestFit="1" customWidth="1"/>
    <col min="1799" max="1799" width="14.42578125" style="634" bestFit="1" customWidth="1"/>
    <col min="1800" max="1800" width="10.5703125" style="634" customWidth="1"/>
    <col min="1801" max="1801" width="11.140625" style="634" bestFit="1" customWidth="1"/>
    <col min="1802" max="1807" width="10.85546875" style="634" bestFit="1" customWidth="1"/>
    <col min="1808" max="1809" width="9.5703125" style="634" bestFit="1" customWidth="1"/>
    <col min="1810" max="1810" width="9.85546875" style="634" bestFit="1" customWidth="1"/>
    <col min="1811" max="2049" width="9.140625" style="634"/>
    <col min="2050" max="2050" width="32.140625" style="634" bestFit="1" customWidth="1"/>
    <col min="2051" max="2051" width="11.140625" style="634" bestFit="1" customWidth="1"/>
    <col min="2052" max="2052" width="12.140625" style="634" customWidth="1"/>
    <col min="2053" max="2053" width="10.140625" style="634" customWidth="1"/>
    <col min="2054" max="2054" width="11.140625" style="634" bestFit="1" customWidth="1"/>
    <col min="2055" max="2055" width="14.42578125" style="634" bestFit="1" customWidth="1"/>
    <col min="2056" max="2056" width="10.5703125" style="634" customWidth="1"/>
    <col min="2057" max="2057" width="11.140625" style="634" bestFit="1" customWidth="1"/>
    <col min="2058" max="2063" width="10.85546875" style="634" bestFit="1" customWidth="1"/>
    <col min="2064" max="2065" width="9.5703125" style="634" bestFit="1" customWidth="1"/>
    <col min="2066" max="2066" width="9.85546875" style="634" bestFit="1" customWidth="1"/>
    <col min="2067" max="2305" width="9.140625" style="634"/>
    <col min="2306" max="2306" width="32.140625" style="634" bestFit="1" customWidth="1"/>
    <col min="2307" max="2307" width="11.140625" style="634" bestFit="1" customWidth="1"/>
    <col min="2308" max="2308" width="12.140625" style="634" customWidth="1"/>
    <col min="2309" max="2309" width="10.140625" style="634" customWidth="1"/>
    <col min="2310" max="2310" width="11.140625" style="634" bestFit="1" customWidth="1"/>
    <col min="2311" max="2311" width="14.42578125" style="634" bestFit="1" customWidth="1"/>
    <col min="2312" max="2312" width="10.5703125" style="634" customWidth="1"/>
    <col min="2313" max="2313" width="11.140625" style="634" bestFit="1" customWidth="1"/>
    <col min="2314" max="2319" width="10.85546875" style="634" bestFit="1" customWidth="1"/>
    <col min="2320" max="2321" width="9.5703125" style="634" bestFit="1" customWidth="1"/>
    <col min="2322" max="2322" width="9.85546875" style="634" bestFit="1" customWidth="1"/>
    <col min="2323" max="2561" width="9.140625" style="634"/>
    <col min="2562" max="2562" width="32.140625" style="634" bestFit="1" customWidth="1"/>
    <col min="2563" max="2563" width="11.140625" style="634" bestFit="1" customWidth="1"/>
    <col min="2564" max="2564" width="12.140625" style="634" customWidth="1"/>
    <col min="2565" max="2565" width="10.140625" style="634" customWidth="1"/>
    <col min="2566" max="2566" width="11.140625" style="634" bestFit="1" customWidth="1"/>
    <col min="2567" max="2567" width="14.42578125" style="634" bestFit="1" customWidth="1"/>
    <col min="2568" max="2568" width="10.5703125" style="634" customWidth="1"/>
    <col min="2569" max="2569" width="11.140625" style="634" bestFit="1" customWidth="1"/>
    <col min="2570" max="2575" width="10.85546875" style="634" bestFit="1" customWidth="1"/>
    <col min="2576" max="2577" width="9.5703125" style="634" bestFit="1" customWidth="1"/>
    <col min="2578" max="2578" width="9.85546875" style="634" bestFit="1" customWidth="1"/>
    <col min="2579" max="2817" width="9.140625" style="634"/>
    <col min="2818" max="2818" width="32.140625" style="634" bestFit="1" customWidth="1"/>
    <col min="2819" max="2819" width="11.140625" style="634" bestFit="1" customWidth="1"/>
    <col min="2820" max="2820" width="12.140625" style="634" customWidth="1"/>
    <col min="2821" max="2821" width="10.140625" style="634" customWidth="1"/>
    <col min="2822" max="2822" width="11.140625" style="634" bestFit="1" customWidth="1"/>
    <col min="2823" max="2823" width="14.42578125" style="634" bestFit="1" customWidth="1"/>
    <col min="2824" max="2824" width="10.5703125" style="634" customWidth="1"/>
    <col min="2825" max="2825" width="11.140625" style="634" bestFit="1" customWidth="1"/>
    <col min="2826" max="2831" width="10.85546875" style="634" bestFit="1" customWidth="1"/>
    <col min="2832" max="2833" width="9.5703125" style="634" bestFit="1" customWidth="1"/>
    <col min="2834" max="2834" width="9.85546875" style="634" bestFit="1" customWidth="1"/>
    <col min="2835" max="3073" width="9.140625" style="634"/>
    <col min="3074" max="3074" width="32.140625" style="634" bestFit="1" customWidth="1"/>
    <col min="3075" max="3075" width="11.140625" style="634" bestFit="1" customWidth="1"/>
    <col min="3076" max="3076" width="12.140625" style="634" customWidth="1"/>
    <col min="3077" max="3077" width="10.140625" style="634" customWidth="1"/>
    <col min="3078" max="3078" width="11.140625" style="634" bestFit="1" customWidth="1"/>
    <col min="3079" max="3079" width="14.42578125" style="634" bestFit="1" customWidth="1"/>
    <col min="3080" max="3080" width="10.5703125" style="634" customWidth="1"/>
    <col min="3081" max="3081" width="11.140625" style="634" bestFit="1" customWidth="1"/>
    <col min="3082" max="3087" width="10.85546875" style="634" bestFit="1" customWidth="1"/>
    <col min="3088" max="3089" width="9.5703125" style="634" bestFit="1" customWidth="1"/>
    <col min="3090" max="3090" width="9.85546875" style="634" bestFit="1" customWidth="1"/>
    <col min="3091" max="3329" width="9.140625" style="634"/>
    <col min="3330" max="3330" width="32.140625" style="634" bestFit="1" customWidth="1"/>
    <col min="3331" max="3331" width="11.140625" style="634" bestFit="1" customWidth="1"/>
    <col min="3332" max="3332" width="12.140625" style="634" customWidth="1"/>
    <col min="3333" max="3333" width="10.140625" style="634" customWidth="1"/>
    <col min="3334" max="3334" width="11.140625" style="634" bestFit="1" customWidth="1"/>
    <col min="3335" max="3335" width="14.42578125" style="634" bestFit="1" customWidth="1"/>
    <col min="3336" max="3336" width="10.5703125" style="634" customWidth="1"/>
    <col min="3337" max="3337" width="11.140625" style="634" bestFit="1" customWidth="1"/>
    <col min="3338" max="3343" width="10.85546875" style="634" bestFit="1" customWidth="1"/>
    <col min="3344" max="3345" width="9.5703125" style="634" bestFit="1" customWidth="1"/>
    <col min="3346" max="3346" width="9.85546875" style="634" bestFit="1" customWidth="1"/>
    <col min="3347" max="3585" width="9.140625" style="634"/>
    <col min="3586" max="3586" width="32.140625" style="634" bestFit="1" customWidth="1"/>
    <col min="3587" max="3587" width="11.140625" style="634" bestFit="1" customWidth="1"/>
    <col min="3588" max="3588" width="12.140625" style="634" customWidth="1"/>
    <col min="3589" max="3589" width="10.140625" style="634" customWidth="1"/>
    <col min="3590" max="3590" width="11.140625" style="634" bestFit="1" customWidth="1"/>
    <col min="3591" max="3591" width="14.42578125" style="634" bestFit="1" customWidth="1"/>
    <col min="3592" max="3592" width="10.5703125" style="634" customWidth="1"/>
    <col min="3593" max="3593" width="11.140625" style="634" bestFit="1" customWidth="1"/>
    <col min="3594" max="3599" width="10.85546875" style="634" bestFit="1" customWidth="1"/>
    <col min="3600" max="3601" width="9.5703125" style="634" bestFit="1" customWidth="1"/>
    <col min="3602" max="3602" width="9.85546875" style="634" bestFit="1" customWidth="1"/>
    <col min="3603" max="3841" width="9.140625" style="634"/>
    <col min="3842" max="3842" width="32.140625" style="634" bestFit="1" customWidth="1"/>
    <col min="3843" max="3843" width="11.140625" style="634" bestFit="1" customWidth="1"/>
    <col min="3844" max="3844" width="12.140625" style="634" customWidth="1"/>
    <col min="3845" max="3845" width="10.140625" style="634" customWidth="1"/>
    <col min="3846" max="3846" width="11.140625" style="634" bestFit="1" customWidth="1"/>
    <col min="3847" max="3847" width="14.42578125" style="634" bestFit="1" customWidth="1"/>
    <col min="3848" max="3848" width="10.5703125" style="634" customWidth="1"/>
    <col min="3849" max="3849" width="11.140625" style="634" bestFit="1" customWidth="1"/>
    <col min="3850" max="3855" width="10.85546875" style="634" bestFit="1" customWidth="1"/>
    <col min="3856" max="3857" width="9.5703125" style="634" bestFit="1" customWidth="1"/>
    <col min="3858" max="3858" width="9.85546875" style="634" bestFit="1" customWidth="1"/>
    <col min="3859" max="4097" width="9.140625" style="634"/>
    <col min="4098" max="4098" width="32.140625" style="634" bestFit="1" customWidth="1"/>
    <col min="4099" max="4099" width="11.140625" style="634" bestFit="1" customWidth="1"/>
    <col min="4100" max="4100" width="12.140625" style="634" customWidth="1"/>
    <col min="4101" max="4101" width="10.140625" style="634" customWidth="1"/>
    <col min="4102" max="4102" width="11.140625" style="634" bestFit="1" customWidth="1"/>
    <col min="4103" max="4103" width="14.42578125" style="634" bestFit="1" customWidth="1"/>
    <col min="4104" max="4104" width="10.5703125" style="634" customWidth="1"/>
    <col min="4105" max="4105" width="11.140625" style="634" bestFit="1" customWidth="1"/>
    <col min="4106" max="4111" width="10.85546875" style="634" bestFit="1" customWidth="1"/>
    <col min="4112" max="4113" width="9.5703125" style="634" bestFit="1" customWidth="1"/>
    <col min="4114" max="4114" width="9.85546875" style="634" bestFit="1" customWidth="1"/>
    <col min="4115" max="4353" width="9.140625" style="634"/>
    <col min="4354" max="4354" width="32.140625" style="634" bestFit="1" customWidth="1"/>
    <col min="4355" max="4355" width="11.140625" style="634" bestFit="1" customWidth="1"/>
    <col min="4356" max="4356" width="12.140625" style="634" customWidth="1"/>
    <col min="4357" max="4357" width="10.140625" style="634" customWidth="1"/>
    <col min="4358" max="4358" width="11.140625" style="634" bestFit="1" customWidth="1"/>
    <col min="4359" max="4359" width="14.42578125" style="634" bestFit="1" customWidth="1"/>
    <col min="4360" max="4360" width="10.5703125" style="634" customWidth="1"/>
    <col min="4361" max="4361" width="11.140625" style="634" bestFit="1" customWidth="1"/>
    <col min="4362" max="4367" width="10.85546875" style="634" bestFit="1" customWidth="1"/>
    <col min="4368" max="4369" width="9.5703125" style="634" bestFit="1" customWidth="1"/>
    <col min="4370" max="4370" width="9.85546875" style="634" bestFit="1" customWidth="1"/>
    <col min="4371" max="4609" width="9.140625" style="634"/>
    <col min="4610" max="4610" width="32.140625" style="634" bestFit="1" customWidth="1"/>
    <col min="4611" max="4611" width="11.140625" style="634" bestFit="1" customWidth="1"/>
    <col min="4612" max="4612" width="12.140625" style="634" customWidth="1"/>
    <col min="4613" max="4613" width="10.140625" style="634" customWidth="1"/>
    <col min="4614" max="4614" width="11.140625" style="634" bestFit="1" customWidth="1"/>
    <col min="4615" max="4615" width="14.42578125" style="634" bestFit="1" customWidth="1"/>
    <col min="4616" max="4616" width="10.5703125" style="634" customWidth="1"/>
    <col min="4617" max="4617" width="11.140625" style="634" bestFit="1" customWidth="1"/>
    <col min="4618" max="4623" width="10.85546875" style="634" bestFit="1" customWidth="1"/>
    <col min="4624" max="4625" width="9.5703125" style="634" bestFit="1" customWidth="1"/>
    <col min="4626" max="4626" width="9.85546875" style="634" bestFit="1" customWidth="1"/>
    <col min="4627" max="4865" width="9.140625" style="634"/>
    <col min="4866" max="4866" width="32.140625" style="634" bestFit="1" customWidth="1"/>
    <col min="4867" max="4867" width="11.140625" style="634" bestFit="1" customWidth="1"/>
    <col min="4868" max="4868" width="12.140625" style="634" customWidth="1"/>
    <col min="4869" max="4869" width="10.140625" style="634" customWidth="1"/>
    <col min="4870" max="4870" width="11.140625" style="634" bestFit="1" customWidth="1"/>
    <col min="4871" max="4871" width="14.42578125" style="634" bestFit="1" customWidth="1"/>
    <col min="4872" max="4872" width="10.5703125" style="634" customWidth="1"/>
    <col min="4873" max="4873" width="11.140625" style="634" bestFit="1" customWidth="1"/>
    <col min="4874" max="4879" width="10.85546875" style="634" bestFit="1" customWidth="1"/>
    <col min="4880" max="4881" width="9.5703125" style="634" bestFit="1" customWidth="1"/>
    <col min="4882" max="4882" width="9.85546875" style="634" bestFit="1" customWidth="1"/>
    <col min="4883" max="5121" width="9.140625" style="634"/>
    <col min="5122" max="5122" width="32.140625" style="634" bestFit="1" customWidth="1"/>
    <col min="5123" max="5123" width="11.140625" style="634" bestFit="1" customWidth="1"/>
    <col min="5124" max="5124" width="12.140625" style="634" customWidth="1"/>
    <col min="5125" max="5125" width="10.140625" style="634" customWidth="1"/>
    <col min="5126" max="5126" width="11.140625" style="634" bestFit="1" customWidth="1"/>
    <col min="5127" max="5127" width="14.42578125" style="634" bestFit="1" customWidth="1"/>
    <col min="5128" max="5128" width="10.5703125" style="634" customWidth="1"/>
    <col min="5129" max="5129" width="11.140625" style="634" bestFit="1" customWidth="1"/>
    <col min="5130" max="5135" width="10.85546875" style="634" bestFit="1" customWidth="1"/>
    <col min="5136" max="5137" width="9.5703125" style="634" bestFit="1" customWidth="1"/>
    <col min="5138" max="5138" width="9.85546875" style="634" bestFit="1" customWidth="1"/>
    <col min="5139" max="5377" width="9.140625" style="634"/>
    <col min="5378" max="5378" width="32.140625" style="634" bestFit="1" customWidth="1"/>
    <col min="5379" max="5379" width="11.140625" style="634" bestFit="1" customWidth="1"/>
    <col min="5380" max="5380" width="12.140625" style="634" customWidth="1"/>
    <col min="5381" max="5381" width="10.140625" style="634" customWidth="1"/>
    <col min="5382" max="5382" width="11.140625" style="634" bestFit="1" customWidth="1"/>
    <col min="5383" max="5383" width="14.42578125" style="634" bestFit="1" customWidth="1"/>
    <col min="5384" max="5384" width="10.5703125" style="634" customWidth="1"/>
    <col min="5385" max="5385" width="11.140625" style="634" bestFit="1" customWidth="1"/>
    <col min="5386" max="5391" width="10.85546875" style="634" bestFit="1" customWidth="1"/>
    <col min="5392" max="5393" width="9.5703125" style="634" bestFit="1" customWidth="1"/>
    <col min="5394" max="5394" width="9.85546875" style="634" bestFit="1" customWidth="1"/>
    <col min="5395" max="5633" width="9.140625" style="634"/>
    <col min="5634" max="5634" width="32.140625" style="634" bestFit="1" customWidth="1"/>
    <col min="5635" max="5635" width="11.140625" style="634" bestFit="1" customWidth="1"/>
    <col min="5636" max="5636" width="12.140625" style="634" customWidth="1"/>
    <col min="5637" max="5637" width="10.140625" style="634" customWidth="1"/>
    <col min="5638" max="5638" width="11.140625" style="634" bestFit="1" customWidth="1"/>
    <col min="5639" max="5639" width="14.42578125" style="634" bestFit="1" customWidth="1"/>
    <col min="5640" max="5640" width="10.5703125" style="634" customWidth="1"/>
    <col min="5641" max="5641" width="11.140625" style="634" bestFit="1" customWidth="1"/>
    <col min="5642" max="5647" width="10.85546875" style="634" bestFit="1" customWidth="1"/>
    <col min="5648" max="5649" width="9.5703125" style="634" bestFit="1" customWidth="1"/>
    <col min="5650" max="5650" width="9.85546875" style="634" bestFit="1" customWidth="1"/>
    <col min="5651" max="5889" width="9.140625" style="634"/>
    <col min="5890" max="5890" width="32.140625" style="634" bestFit="1" customWidth="1"/>
    <col min="5891" max="5891" width="11.140625" style="634" bestFit="1" customWidth="1"/>
    <col min="5892" max="5892" width="12.140625" style="634" customWidth="1"/>
    <col min="5893" max="5893" width="10.140625" style="634" customWidth="1"/>
    <col min="5894" max="5894" width="11.140625" style="634" bestFit="1" customWidth="1"/>
    <col min="5895" max="5895" width="14.42578125" style="634" bestFit="1" customWidth="1"/>
    <col min="5896" max="5896" width="10.5703125" style="634" customWidth="1"/>
    <col min="5897" max="5897" width="11.140625" style="634" bestFit="1" customWidth="1"/>
    <col min="5898" max="5903" width="10.85546875" style="634" bestFit="1" customWidth="1"/>
    <col min="5904" max="5905" width="9.5703125" style="634" bestFit="1" customWidth="1"/>
    <col min="5906" max="5906" width="9.85546875" style="634" bestFit="1" customWidth="1"/>
    <col min="5907" max="6145" width="9.140625" style="634"/>
    <col min="6146" max="6146" width="32.140625" style="634" bestFit="1" customWidth="1"/>
    <col min="6147" max="6147" width="11.140625" style="634" bestFit="1" customWidth="1"/>
    <col min="6148" max="6148" width="12.140625" style="634" customWidth="1"/>
    <col min="6149" max="6149" width="10.140625" style="634" customWidth="1"/>
    <col min="6150" max="6150" width="11.140625" style="634" bestFit="1" customWidth="1"/>
    <col min="6151" max="6151" width="14.42578125" style="634" bestFit="1" customWidth="1"/>
    <col min="6152" max="6152" width="10.5703125" style="634" customWidth="1"/>
    <col min="6153" max="6153" width="11.140625" style="634" bestFit="1" customWidth="1"/>
    <col min="6154" max="6159" width="10.85546875" style="634" bestFit="1" customWidth="1"/>
    <col min="6160" max="6161" width="9.5703125" style="634" bestFit="1" customWidth="1"/>
    <col min="6162" max="6162" width="9.85546875" style="634" bestFit="1" customWidth="1"/>
    <col min="6163" max="6401" width="9.140625" style="634"/>
    <col min="6402" max="6402" width="32.140625" style="634" bestFit="1" customWidth="1"/>
    <col min="6403" max="6403" width="11.140625" style="634" bestFit="1" customWidth="1"/>
    <col min="6404" max="6404" width="12.140625" style="634" customWidth="1"/>
    <col min="6405" max="6405" width="10.140625" style="634" customWidth="1"/>
    <col min="6406" max="6406" width="11.140625" style="634" bestFit="1" customWidth="1"/>
    <col min="6407" max="6407" width="14.42578125" style="634" bestFit="1" customWidth="1"/>
    <col min="6408" max="6408" width="10.5703125" style="634" customWidth="1"/>
    <col min="6409" max="6409" width="11.140625" style="634" bestFit="1" customWidth="1"/>
    <col min="6410" max="6415" width="10.85546875" style="634" bestFit="1" customWidth="1"/>
    <col min="6416" max="6417" width="9.5703125" style="634" bestFit="1" customWidth="1"/>
    <col min="6418" max="6418" width="9.85546875" style="634" bestFit="1" customWidth="1"/>
    <col min="6419" max="6657" width="9.140625" style="634"/>
    <col min="6658" max="6658" width="32.140625" style="634" bestFit="1" customWidth="1"/>
    <col min="6659" max="6659" width="11.140625" style="634" bestFit="1" customWidth="1"/>
    <col min="6660" max="6660" width="12.140625" style="634" customWidth="1"/>
    <col min="6661" max="6661" width="10.140625" style="634" customWidth="1"/>
    <col min="6662" max="6662" width="11.140625" style="634" bestFit="1" customWidth="1"/>
    <col min="6663" max="6663" width="14.42578125" style="634" bestFit="1" customWidth="1"/>
    <col min="6664" max="6664" width="10.5703125" style="634" customWidth="1"/>
    <col min="6665" max="6665" width="11.140625" style="634" bestFit="1" customWidth="1"/>
    <col min="6666" max="6671" width="10.85546875" style="634" bestFit="1" customWidth="1"/>
    <col min="6672" max="6673" width="9.5703125" style="634" bestFit="1" customWidth="1"/>
    <col min="6674" max="6674" width="9.85546875" style="634" bestFit="1" customWidth="1"/>
    <col min="6675" max="6913" width="9.140625" style="634"/>
    <col min="6914" max="6914" width="32.140625" style="634" bestFit="1" customWidth="1"/>
    <col min="6915" max="6915" width="11.140625" style="634" bestFit="1" customWidth="1"/>
    <col min="6916" max="6916" width="12.140625" style="634" customWidth="1"/>
    <col min="6917" max="6917" width="10.140625" style="634" customWidth="1"/>
    <col min="6918" max="6918" width="11.140625" style="634" bestFit="1" customWidth="1"/>
    <col min="6919" max="6919" width="14.42578125" style="634" bestFit="1" customWidth="1"/>
    <col min="6920" max="6920" width="10.5703125" style="634" customWidth="1"/>
    <col min="6921" max="6921" width="11.140625" style="634" bestFit="1" customWidth="1"/>
    <col min="6922" max="6927" width="10.85546875" style="634" bestFit="1" customWidth="1"/>
    <col min="6928" max="6929" width="9.5703125" style="634" bestFit="1" customWidth="1"/>
    <col min="6930" max="6930" width="9.85546875" style="634" bestFit="1" customWidth="1"/>
    <col min="6931" max="7169" width="9.140625" style="634"/>
    <col min="7170" max="7170" width="32.140625" style="634" bestFit="1" customWidth="1"/>
    <col min="7171" max="7171" width="11.140625" style="634" bestFit="1" customWidth="1"/>
    <col min="7172" max="7172" width="12.140625" style="634" customWidth="1"/>
    <col min="7173" max="7173" width="10.140625" style="634" customWidth="1"/>
    <col min="7174" max="7174" width="11.140625" style="634" bestFit="1" customWidth="1"/>
    <col min="7175" max="7175" width="14.42578125" style="634" bestFit="1" customWidth="1"/>
    <col min="7176" max="7176" width="10.5703125" style="634" customWidth="1"/>
    <col min="7177" max="7177" width="11.140625" style="634" bestFit="1" customWidth="1"/>
    <col min="7178" max="7183" width="10.85546875" style="634" bestFit="1" customWidth="1"/>
    <col min="7184" max="7185" width="9.5703125" style="634" bestFit="1" customWidth="1"/>
    <col min="7186" max="7186" width="9.85546875" style="634" bestFit="1" customWidth="1"/>
    <col min="7187" max="7425" width="9.140625" style="634"/>
    <col min="7426" max="7426" width="32.140625" style="634" bestFit="1" customWidth="1"/>
    <col min="7427" max="7427" width="11.140625" style="634" bestFit="1" customWidth="1"/>
    <col min="7428" max="7428" width="12.140625" style="634" customWidth="1"/>
    <col min="7429" max="7429" width="10.140625" style="634" customWidth="1"/>
    <col min="7430" max="7430" width="11.140625" style="634" bestFit="1" customWidth="1"/>
    <col min="7431" max="7431" width="14.42578125" style="634" bestFit="1" customWidth="1"/>
    <col min="7432" max="7432" width="10.5703125" style="634" customWidth="1"/>
    <col min="7433" max="7433" width="11.140625" style="634" bestFit="1" customWidth="1"/>
    <col min="7434" max="7439" width="10.85546875" style="634" bestFit="1" customWidth="1"/>
    <col min="7440" max="7441" width="9.5703125" style="634" bestFit="1" customWidth="1"/>
    <col min="7442" max="7442" width="9.85546875" style="634" bestFit="1" customWidth="1"/>
    <col min="7443" max="7681" width="9.140625" style="634"/>
    <col min="7682" max="7682" width="32.140625" style="634" bestFit="1" customWidth="1"/>
    <col min="7683" max="7683" width="11.140625" style="634" bestFit="1" customWidth="1"/>
    <col min="7684" max="7684" width="12.140625" style="634" customWidth="1"/>
    <col min="7685" max="7685" width="10.140625" style="634" customWidth="1"/>
    <col min="7686" max="7686" width="11.140625" style="634" bestFit="1" customWidth="1"/>
    <col min="7687" max="7687" width="14.42578125" style="634" bestFit="1" customWidth="1"/>
    <col min="7688" max="7688" width="10.5703125" style="634" customWidth="1"/>
    <col min="7689" max="7689" width="11.140625" style="634" bestFit="1" customWidth="1"/>
    <col min="7690" max="7695" width="10.85546875" style="634" bestFit="1" customWidth="1"/>
    <col min="7696" max="7697" width="9.5703125" style="634" bestFit="1" customWidth="1"/>
    <col min="7698" max="7698" width="9.85546875" style="634" bestFit="1" customWidth="1"/>
    <col min="7699" max="7937" width="9.140625" style="634"/>
    <col min="7938" max="7938" width="32.140625" style="634" bestFit="1" customWidth="1"/>
    <col min="7939" max="7939" width="11.140625" style="634" bestFit="1" customWidth="1"/>
    <col min="7940" max="7940" width="12.140625" style="634" customWidth="1"/>
    <col min="7941" max="7941" width="10.140625" style="634" customWidth="1"/>
    <col min="7942" max="7942" width="11.140625" style="634" bestFit="1" customWidth="1"/>
    <col min="7943" max="7943" width="14.42578125" style="634" bestFit="1" customWidth="1"/>
    <col min="7944" max="7944" width="10.5703125" style="634" customWidth="1"/>
    <col min="7945" max="7945" width="11.140625" style="634" bestFit="1" customWidth="1"/>
    <col min="7946" max="7951" width="10.85546875" style="634" bestFit="1" customWidth="1"/>
    <col min="7952" max="7953" width="9.5703125" style="634" bestFit="1" customWidth="1"/>
    <col min="7954" max="7954" width="9.85546875" style="634" bestFit="1" customWidth="1"/>
    <col min="7955" max="8193" width="9.140625" style="634"/>
    <col min="8194" max="8194" width="32.140625" style="634" bestFit="1" customWidth="1"/>
    <col min="8195" max="8195" width="11.140625" style="634" bestFit="1" customWidth="1"/>
    <col min="8196" max="8196" width="12.140625" style="634" customWidth="1"/>
    <col min="8197" max="8197" width="10.140625" style="634" customWidth="1"/>
    <col min="8198" max="8198" width="11.140625" style="634" bestFit="1" customWidth="1"/>
    <col min="8199" max="8199" width="14.42578125" style="634" bestFit="1" customWidth="1"/>
    <col min="8200" max="8200" width="10.5703125" style="634" customWidth="1"/>
    <col min="8201" max="8201" width="11.140625" style="634" bestFit="1" customWidth="1"/>
    <col min="8202" max="8207" width="10.85546875" style="634" bestFit="1" customWidth="1"/>
    <col min="8208" max="8209" width="9.5703125" style="634" bestFit="1" customWidth="1"/>
    <col min="8210" max="8210" width="9.85546875" style="634" bestFit="1" customWidth="1"/>
    <col min="8211" max="8449" width="9.140625" style="634"/>
    <col min="8450" max="8450" width="32.140625" style="634" bestFit="1" customWidth="1"/>
    <col min="8451" max="8451" width="11.140625" style="634" bestFit="1" customWidth="1"/>
    <col min="8452" max="8452" width="12.140625" style="634" customWidth="1"/>
    <col min="8453" max="8453" width="10.140625" style="634" customWidth="1"/>
    <col min="8454" max="8454" width="11.140625" style="634" bestFit="1" customWidth="1"/>
    <col min="8455" max="8455" width="14.42578125" style="634" bestFit="1" customWidth="1"/>
    <col min="8456" max="8456" width="10.5703125" style="634" customWidth="1"/>
    <col min="8457" max="8457" width="11.140625" style="634" bestFit="1" customWidth="1"/>
    <col min="8458" max="8463" width="10.85546875" style="634" bestFit="1" customWidth="1"/>
    <col min="8464" max="8465" width="9.5703125" style="634" bestFit="1" customWidth="1"/>
    <col min="8466" max="8466" width="9.85546875" style="634" bestFit="1" customWidth="1"/>
    <col min="8467" max="8705" width="9.140625" style="634"/>
    <col min="8706" max="8706" width="32.140625" style="634" bestFit="1" customWidth="1"/>
    <col min="8707" max="8707" width="11.140625" style="634" bestFit="1" customWidth="1"/>
    <col min="8708" max="8708" width="12.140625" style="634" customWidth="1"/>
    <col min="8709" max="8709" width="10.140625" style="634" customWidth="1"/>
    <col min="8710" max="8710" width="11.140625" style="634" bestFit="1" customWidth="1"/>
    <col min="8711" max="8711" width="14.42578125" style="634" bestFit="1" customWidth="1"/>
    <col min="8712" max="8712" width="10.5703125" style="634" customWidth="1"/>
    <col min="8713" max="8713" width="11.140625" style="634" bestFit="1" customWidth="1"/>
    <col min="8714" max="8719" width="10.85546875" style="634" bestFit="1" customWidth="1"/>
    <col min="8720" max="8721" width="9.5703125" style="634" bestFit="1" customWidth="1"/>
    <col min="8722" max="8722" width="9.85546875" style="634" bestFit="1" customWidth="1"/>
    <col min="8723" max="8961" width="9.140625" style="634"/>
    <col min="8962" max="8962" width="32.140625" style="634" bestFit="1" customWidth="1"/>
    <col min="8963" max="8963" width="11.140625" style="634" bestFit="1" customWidth="1"/>
    <col min="8964" max="8964" width="12.140625" style="634" customWidth="1"/>
    <col min="8965" max="8965" width="10.140625" style="634" customWidth="1"/>
    <col min="8966" max="8966" width="11.140625" style="634" bestFit="1" customWidth="1"/>
    <col min="8967" max="8967" width="14.42578125" style="634" bestFit="1" customWidth="1"/>
    <col min="8968" max="8968" width="10.5703125" style="634" customWidth="1"/>
    <col min="8969" max="8969" width="11.140625" style="634" bestFit="1" customWidth="1"/>
    <col min="8970" max="8975" width="10.85546875" style="634" bestFit="1" customWidth="1"/>
    <col min="8976" max="8977" width="9.5703125" style="634" bestFit="1" customWidth="1"/>
    <col min="8978" max="8978" width="9.85546875" style="634" bestFit="1" customWidth="1"/>
    <col min="8979" max="9217" width="9.140625" style="634"/>
    <col min="9218" max="9218" width="32.140625" style="634" bestFit="1" customWidth="1"/>
    <col min="9219" max="9219" width="11.140625" style="634" bestFit="1" customWidth="1"/>
    <col min="9220" max="9220" width="12.140625" style="634" customWidth="1"/>
    <col min="9221" max="9221" width="10.140625" style="634" customWidth="1"/>
    <col min="9222" max="9222" width="11.140625" style="634" bestFit="1" customWidth="1"/>
    <col min="9223" max="9223" width="14.42578125" style="634" bestFit="1" customWidth="1"/>
    <col min="9224" max="9224" width="10.5703125" style="634" customWidth="1"/>
    <col min="9225" max="9225" width="11.140625" style="634" bestFit="1" customWidth="1"/>
    <col min="9226" max="9231" width="10.85546875" style="634" bestFit="1" customWidth="1"/>
    <col min="9232" max="9233" width="9.5703125" style="634" bestFit="1" customWidth="1"/>
    <col min="9234" max="9234" width="9.85546875" style="634" bestFit="1" customWidth="1"/>
    <col min="9235" max="9473" width="9.140625" style="634"/>
    <col min="9474" max="9474" width="32.140625" style="634" bestFit="1" customWidth="1"/>
    <col min="9475" max="9475" width="11.140625" style="634" bestFit="1" customWidth="1"/>
    <col min="9476" max="9476" width="12.140625" style="634" customWidth="1"/>
    <col min="9477" max="9477" width="10.140625" style="634" customWidth="1"/>
    <col min="9478" max="9478" width="11.140625" style="634" bestFit="1" customWidth="1"/>
    <col min="9479" max="9479" width="14.42578125" style="634" bestFit="1" customWidth="1"/>
    <col min="9480" max="9480" width="10.5703125" style="634" customWidth="1"/>
    <col min="9481" max="9481" width="11.140625" style="634" bestFit="1" customWidth="1"/>
    <col min="9482" max="9487" width="10.85546875" style="634" bestFit="1" customWidth="1"/>
    <col min="9488" max="9489" width="9.5703125" style="634" bestFit="1" customWidth="1"/>
    <col min="9490" max="9490" width="9.85546875" style="634" bestFit="1" customWidth="1"/>
    <col min="9491" max="9729" width="9.140625" style="634"/>
    <col min="9730" max="9730" width="32.140625" style="634" bestFit="1" customWidth="1"/>
    <col min="9731" max="9731" width="11.140625" style="634" bestFit="1" customWidth="1"/>
    <col min="9732" max="9732" width="12.140625" style="634" customWidth="1"/>
    <col min="9733" max="9733" width="10.140625" style="634" customWidth="1"/>
    <col min="9734" max="9734" width="11.140625" style="634" bestFit="1" customWidth="1"/>
    <col min="9735" max="9735" width="14.42578125" style="634" bestFit="1" customWidth="1"/>
    <col min="9736" max="9736" width="10.5703125" style="634" customWidth="1"/>
    <col min="9737" max="9737" width="11.140625" style="634" bestFit="1" customWidth="1"/>
    <col min="9738" max="9743" width="10.85546875" style="634" bestFit="1" customWidth="1"/>
    <col min="9744" max="9745" width="9.5703125" style="634" bestFit="1" customWidth="1"/>
    <col min="9746" max="9746" width="9.85546875" style="634" bestFit="1" customWidth="1"/>
    <col min="9747" max="9985" width="9.140625" style="634"/>
    <col min="9986" max="9986" width="32.140625" style="634" bestFit="1" customWidth="1"/>
    <col min="9987" max="9987" width="11.140625" style="634" bestFit="1" customWidth="1"/>
    <col min="9988" max="9988" width="12.140625" style="634" customWidth="1"/>
    <col min="9989" max="9989" width="10.140625" style="634" customWidth="1"/>
    <col min="9990" max="9990" width="11.140625" style="634" bestFit="1" customWidth="1"/>
    <col min="9991" max="9991" width="14.42578125" style="634" bestFit="1" customWidth="1"/>
    <col min="9992" max="9992" width="10.5703125" style="634" customWidth="1"/>
    <col min="9993" max="9993" width="11.140625" style="634" bestFit="1" customWidth="1"/>
    <col min="9994" max="9999" width="10.85546875" style="634" bestFit="1" customWidth="1"/>
    <col min="10000" max="10001" width="9.5703125" style="634" bestFit="1" customWidth="1"/>
    <col min="10002" max="10002" width="9.85546875" style="634" bestFit="1" customWidth="1"/>
    <col min="10003" max="10241" width="9.140625" style="634"/>
    <col min="10242" max="10242" width="32.140625" style="634" bestFit="1" customWidth="1"/>
    <col min="10243" max="10243" width="11.140625" style="634" bestFit="1" customWidth="1"/>
    <col min="10244" max="10244" width="12.140625" style="634" customWidth="1"/>
    <col min="10245" max="10245" width="10.140625" style="634" customWidth="1"/>
    <col min="10246" max="10246" width="11.140625" style="634" bestFit="1" customWidth="1"/>
    <col min="10247" max="10247" width="14.42578125" style="634" bestFit="1" customWidth="1"/>
    <col min="10248" max="10248" width="10.5703125" style="634" customWidth="1"/>
    <col min="10249" max="10249" width="11.140625" style="634" bestFit="1" customWidth="1"/>
    <col min="10250" max="10255" width="10.85546875" style="634" bestFit="1" customWidth="1"/>
    <col min="10256" max="10257" width="9.5703125" style="634" bestFit="1" customWidth="1"/>
    <col min="10258" max="10258" width="9.85546875" style="634" bestFit="1" customWidth="1"/>
    <col min="10259" max="10497" width="9.140625" style="634"/>
    <col min="10498" max="10498" width="32.140625" style="634" bestFit="1" customWidth="1"/>
    <col min="10499" max="10499" width="11.140625" style="634" bestFit="1" customWidth="1"/>
    <col min="10500" max="10500" width="12.140625" style="634" customWidth="1"/>
    <col min="10501" max="10501" width="10.140625" style="634" customWidth="1"/>
    <col min="10502" max="10502" width="11.140625" style="634" bestFit="1" customWidth="1"/>
    <col min="10503" max="10503" width="14.42578125" style="634" bestFit="1" customWidth="1"/>
    <col min="10504" max="10504" width="10.5703125" style="634" customWidth="1"/>
    <col min="10505" max="10505" width="11.140625" style="634" bestFit="1" customWidth="1"/>
    <col min="10506" max="10511" width="10.85546875" style="634" bestFit="1" customWidth="1"/>
    <col min="10512" max="10513" width="9.5703125" style="634" bestFit="1" customWidth="1"/>
    <col min="10514" max="10514" width="9.85546875" style="634" bestFit="1" customWidth="1"/>
    <col min="10515" max="10753" width="9.140625" style="634"/>
    <col min="10754" max="10754" width="32.140625" style="634" bestFit="1" customWidth="1"/>
    <col min="10755" max="10755" width="11.140625" style="634" bestFit="1" customWidth="1"/>
    <col min="10756" max="10756" width="12.140625" style="634" customWidth="1"/>
    <col min="10757" max="10757" width="10.140625" style="634" customWidth="1"/>
    <col min="10758" max="10758" width="11.140625" style="634" bestFit="1" customWidth="1"/>
    <col min="10759" max="10759" width="14.42578125" style="634" bestFit="1" customWidth="1"/>
    <col min="10760" max="10760" width="10.5703125" style="634" customWidth="1"/>
    <col min="10761" max="10761" width="11.140625" style="634" bestFit="1" customWidth="1"/>
    <col min="10762" max="10767" width="10.85546875" style="634" bestFit="1" customWidth="1"/>
    <col min="10768" max="10769" width="9.5703125" style="634" bestFit="1" customWidth="1"/>
    <col min="10770" max="10770" width="9.85546875" style="634" bestFit="1" customWidth="1"/>
    <col min="10771" max="11009" width="9.140625" style="634"/>
    <col min="11010" max="11010" width="32.140625" style="634" bestFit="1" customWidth="1"/>
    <col min="11011" max="11011" width="11.140625" style="634" bestFit="1" customWidth="1"/>
    <col min="11012" max="11012" width="12.140625" style="634" customWidth="1"/>
    <col min="11013" max="11013" width="10.140625" style="634" customWidth="1"/>
    <col min="11014" max="11014" width="11.140625" style="634" bestFit="1" customWidth="1"/>
    <col min="11015" max="11015" width="14.42578125" style="634" bestFit="1" customWidth="1"/>
    <col min="11016" max="11016" width="10.5703125" style="634" customWidth="1"/>
    <col min="11017" max="11017" width="11.140625" style="634" bestFit="1" customWidth="1"/>
    <col min="11018" max="11023" width="10.85546875" style="634" bestFit="1" customWidth="1"/>
    <col min="11024" max="11025" width="9.5703125" style="634" bestFit="1" customWidth="1"/>
    <col min="11026" max="11026" width="9.85546875" style="634" bestFit="1" customWidth="1"/>
    <col min="11027" max="11265" width="9.140625" style="634"/>
    <col min="11266" max="11266" width="32.140625" style="634" bestFit="1" customWidth="1"/>
    <col min="11267" max="11267" width="11.140625" style="634" bestFit="1" customWidth="1"/>
    <col min="11268" max="11268" width="12.140625" style="634" customWidth="1"/>
    <col min="11269" max="11269" width="10.140625" style="634" customWidth="1"/>
    <col min="11270" max="11270" width="11.140625" style="634" bestFit="1" customWidth="1"/>
    <col min="11271" max="11271" width="14.42578125" style="634" bestFit="1" customWidth="1"/>
    <col min="11272" max="11272" width="10.5703125" style="634" customWidth="1"/>
    <col min="11273" max="11273" width="11.140625" style="634" bestFit="1" customWidth="1"/>
    <col min="11274" max="11279" width="10.85546875" style="634" bestFit="1" customWidth="1"/>
    <col min="11280" max="11281" width="9.5703125" style="634" bestFit="1" customWidth="1"/>
    <col min="11282" max="11282" width="9.85546875" style="634" bestFit="1" customWidth="1"/>
    <col min="11283" max="11521" width="9.140625" style="634"/>
    <col min="11522" max="11522" width="32.140625" style="634" bestFit="1" customWidth="1"/>
    <col min="11523" max="11523" width="11.140625" style="634" bestFit="1" customWidth="1"/>
    <col min="11524" max="11524" width="12.140625" style="634" customWidth="1"/>
    <col min="11525" max="11525" width="10.140625" style="634" customWidth="1"/>
    <col min="11526" max="11526" width="11.140625" style="634" bestFit="1" customWidth="1"/>
    <col min="11527" max="11527" width="14.42578125" style="634" bestFit="1" customWidth="1"/>
    <col min="11528" max="11528" width="10.5703125" style="634" customWidth="1"/>
    <col min="11529" max="11529" width="11.140625" style="634" bestFit="1" customWidth="1"/>
    <col min="11530" max="11535" width="10.85546875" style="634" bestFit="1" customWidth="1"/>
    <col min="11536" max="11537" width="9.5703125" style="634" bestFit="1" customWidth="1"/>
    <col min="11538" max="11538" width="9.85546875" style="634" bestFit="1" customWidth="1"/>
    <col min="11539" max="11777" width="9.140625" style="634"/>
    <col min="11778" max="11778" width="32.140625" style="634" bestFit="1" customWidth="1"/>
    <col min="11779" max="11779" width="11.140625" style="634" bestFit="1" customWidth="1"/>
    <col min="11780" max="11780" width="12.140625" style="634" customWidth="1"/>
    <col min="11781" max="11781" width="10.140625" style="634" customWidth="1"/>
    <col min="11782" max="11782" width="11.140625" style="634" bestFit="1" customWidth="1"/>
    <col min="11783" max="11783" width="14.42578125" style="634" bestFit="1" customWidth="1"/>
    <col min="11784" max="11784" width="10.5703125" style="634" customWidth="1"/>
    <col min="11785" max="11785" width="11.140625" style="634" bestFit="1" customWidth="1"/>
    <col min="11786" max="11791" width="10.85546875" style="634" bestFit="1" customWidth="1"/>
    <col min="11792" max="11793" width="9.5703125" style="634" bestFit="1" customWidth="1"/>
    <col min="11794" max="11794" width="9.85546875" style="634" bestFit="1" customWidth="1"/>
    <col min="11795" max="12033" width="9.140625" style="634"/>
    <col min="12034" max="12034" width="32.140625" style="634" bestFit="1" customWidth="1"/>
    <col min="12035" max="12035" width="11.140625" style="634" bestFit="1" customWidth="1"/>
    <col min="12036" max="12036" width="12.140625" style="634" customWidth="1"/>
    <col min="12037" max="12037" width="10.140625" style="634" customWidth="1"/>
    <col min="12038" max="12038" width="11.140625" style="634" bestFit="1" customWidth="1"/>
    <col min="12039" max="12039" width="14.42578125" style="634" bestFit="1" customWidth="1"/>
    <col min="12040" max="12040" width="10.5703125" style="634" customWidth="1"/>
    <col min="12041" max="12041" width="11.140625" style="634" bestFit="1" customWidth="1"/>
    <col min="12042" max="12047" width="10.85546875" style="634" bestFit="1" customWidth="1"/>
    <col min="12048" max="12049" width="9.5703125" style="634" bestFit="1" customWidth="1"/>
    <col min="12050" max="12050" width="9.85546875" style="634" bestFit="1" customWidth="1"/>
    <col min="12051" max="12289" width="9.140625" style="634"/>
    <col min="12290" max="12290" width="32.140625" style="634" bestFit="1" customWidth="1"/>
    <col min="12291" max="12291" width="11.140625" style="634" bestFit="1" customWidth="1"/>
    <col min="12292" max="12292" width="12.140625" style="634" customWidth="1"/>
    <col min="12293" max="12293" width="10.140625" style="634" customWidth="1"/>
    <col min="12294" max="12294" width="11.140625" style="634" bestFit="1" customWidth="1"/>
    <col min="12295" max="12295" width="14.42578125" style="634" bestFit="1" customWidth="1"/>
    <col min="12296" max="12296" width="10.5703125" style="634" customWidth="1"/>
    <col min="12297" max="12297" width="11.140625" style="634" bestFit="1" customWidth="1"/>
    <col min="12298" max="12303" width="10.85546875" style="634" bestFit="1" customWidth="1"/>
    <col min="12304" max="12305" width="9.5703125" style="634" bestFit="1" customWidth="1"/>
    <col min="12306" max="12306" width="9.85546875" style="634" bestFit="1" customWidth="1"/>
    <col min="12307" max="12545" width="9.140625" style="634"/>
    <col min="12546" max="12546" width="32.140625" style="634" bestFit="1" customWidth="1"/>
    <col min="12547" max="12547" width="11.140625" style="634" bestFit="1" customWidth="1"/>
    <col min="12548" max="12548" width="12.140625" style="634" customWidth="1"/>
    <col min="12549" max="12549" width="10.140625" style="634" customWidth="1"/>
    <col min="12550" max="12550" width="11.140625" style="634" bestFit="1" customWidth="1"/>
    <col min="12551" max="12551" width="14.42578125" style="634" bestFit="1" customWidth="1"/>
    <col min="12552" max="12552" width="10.5703125" style="634" customWidth="1"/>
    <col min="12553" max="12553" width="11.140625" style="634" bestFit="1" customWidth="1"/>
    <col min="12554" max="12559" width="10.85546875" style="634" bestFit="1" customWidth="1"/>
    <col min="12560" max="12561" width="9.5703125" style="634" bestFit="1" customWidth="1"/>
    <col min="12562" max="12562" width="9.85546875" style="634" bestFit="1" customWidth="1"/>
    <col min="12563" max="12801" width="9.140625" style="634"/>
    <col min="12802" max="12802" width="32.140625" style="634" bestFit="1" customWidth="1"/>
    <col min="12803" max="12803" width="11.140625" style="634" bestFit="1" customWidth="1"/>
    <col min="12804" max="12804" width="12.140625" style="634" customWidth="1"/>
    <col min="12805" max="12805" width="10.140625" style="634" customWidth="1"/>
    <col min="12806" max="12806" width="11.140625" style="634" bestFit="1" customWidth="1"/>
    <col min="12807" max="12807" width="14.42578125" style="634" bestFit="1" customWidth="1"/>
    <col min="12808" max="12808" width="10.5703125" style="634" customWidth="1"/>
    <col min="12809" max="12809" width="11.140625" style="634" bestFit="1" customWidth="1"/>
    <col min="12810" max="12815" width="10.85546875" style="634" bestFit="1" customWidth="1"/>
    <col min="12816" max="12817" width="9.5703125" style="634" bestFit="1" customWidth="1"/>
    <col min="12818" max="12818" width="9.85546875" style="634" bestFit="1" customWidth="1"/>
    <col min="12819" max="13057" width="9.140625" style="634"/>
    <col min="13058" max="13058" width="32.140625" style="634" bestFit="1" customWidth="1"/>
    <col min="13059" max="13059" width="11.140625" style="634" bestFit="1" customWidth="1"/>
    <col min="13060" max="13060" width="12.140625" style="634" customWidth="1"/>
    <col min="13061" max="13061" width="10.140625" style="634" customWidth="1"/>
    <col min="13062" max="13062" width="11.140625" style="634" bestFit="1" customWidth="1"/>
    <col min="13063" max="13063" width="14.42578125" style="634" bestFit="1" customWidth="1"/>
    <col min="13064" max="13064" width="10.5703125" style="634" customWidth="1"/>
    <col min="13065" max="13065" width="11.140625" style="634" bestFit="1" customWidth="1"/>
    <col min="13066" max="13071" width="10.85546875" style="634" bestFit="1" customWidth="1"/>
    <col min="13072" max="13073" width="9.5703125" style="634" bestFit="1" customWidth="1"/>
    <col min="13074" max="13074" width="9.85546875" style="634" bestFit="1" customWidth="1"/>
    <col min="13075" max="13313" width="9.140625" style="634"/>
    <col min="13314" max="13314" width="32.140625" style="634" bestFit="1" customWidth="1"/>
    <col min="13315" max="13315" width="11.140625" style="634" bestFit="1" customWidth="1"/>
    <col min="13316" max="13316" width="12.140625" style="634" customWidth="1"/>
    <col min="13317" max="13317" width="10.140625" style="634" customWidth="1"/>
    <col min="13318" max="13318" width="11.140625" style="634" bestFit="1" customWidth="1"/>
    <col min="13319" max="13319" width="14.42578125" style="634" bestFit="1" customWidth="1"/>
    <col min="13320" max="13320" width="10.5703125" style="634" customWidth="1"/>
    <col min="13321" max="13321" width="11.140625" style="634" bestFit="1" customWidth="1"/>
    <col min="13322" max="13327" width="10.85546875" style="634" bestFit="1" customWidth="1"/>
    <col min="13328" max="13329" width="9.5703125" style="634" bestFit="1" customWidth="1"/>
    <col min="13330" max="13330" width="9.85546875" style="634" bestFit="1" customWidth="1"/>
    <col min="13331" max="13569" width="9.140625" style="634"/>
    <col min="13570" max="13570" width="32.140625" style="634" bestFit="1" customWidth="1"/>
    <col min="13571" max="13571" width="11.140625" style="634" bestFit="1" customWidth="1"/>
    <col min="13572" max="13572" width="12.140625" style="634" customWidth="1"/>
    <col min="13573" max="13573" width="10.140625" style="634" customWidth="1"/>
    <col min="13574" max="13574" width="11.140625" style="634" bestFit="1" customWidth="1"/>
    <col min="13575" max="13575" width="14.42578125" style="634" bestFit="1" customWidth="1"/>
    <col min="13576" max="13576" width="10.5703125" style="634" customWidth="1"/>
    <col min="13577" max="13577" width="11.140625" style="634" bestFit="1" customWidth="1"/>
    <col min="13578" max="13583" width="10.85546875" style="634" bestFit="1" customWidth="1"/>
    <col min="13584" max="13585" width="9.5703125" style="634" bestFit="1" customWidth="1"/>
    <col min="13586" max="13586" width="9.85546875" style="634" bestFit="1" customWidth="1"/>
    <col min="13587" max="13825" width="9.140625" style="634"/>
    <col min="13826" max="13826" width="32.140625" style="634" bestFit="1" customWidth="1"/>
    <col min="13827" max="13827" width="11.140625" style="634" bestFit="1" customWidth="1"/>
    <col min="13828" max="13828" width="12.140625" style="634" customWidth="1"/>
    <col min="13829" max="13829" width="10.140625" style="634" customWidth="1"/>
    <col min="13830" max="13830" width="11.140625" style="634" bestFit="1" customWidth="1"/>
    <col min="13831" max="13831" width="14.42578125" style="634" bestFit="1" customWidth="1"/>
    <col min="13832" max="13832" width="10.5703125" style="634" customWidth="1"/>
    <col min="13833" max="13833" width="11.140625" style="634" bestFit="1" customWidth="1"/>
    <col min="13834" max="13839" width="10.85546875" style="634" bestFit="1" customWidth="1"/>
    <col min="13840" max="13841" width="9.5703125" style="634" bestFit="1" customWidth="1"/>
    <col min="13842" max="13842" width="9.85546875" style="634" bestFit="1" customWidth="1"/>
    <col min="13843" max="14081" width="9.140625" style="634"/>
    <col min="14082" max="14082" width="32.140625" style="634" bestFit="1" customWidth="1"/>
    <col min="14083" max="14083" width="11.140625" style="634" bestFit="1" customWidth="1"/>
    <col min="14084" max="14084" width="12.140625" style="634" customWidth="1"/>
    <col min="14085" max="14085" width="10.140625" style="634" customWidth="1"/>
    <col min="14086" max="14086" width="11.140625" style="634" bestFit="1" customWidth="1"/>
    <col min="14087" max="14087" width="14.42578125" style="634" bestFit="1" customWidth="1"/>
    <col min="14088" max="14088" width="10.5703125" style="634" customWidth="1"/>
    <col min="14089" max="14089" width="11.140625" style="634" bestFit="1" customWidth="1"/>
    <col min="14090" max="14095" width="10.85546875" style="634" bestFit="1" customWidth="1"/>
    <col min="14096" max="14097" width="9.5703125" style="634" bestFit="1" customWidth="1"/>
    <col min="14098" max="14098" width="9.85546875" style="634" bestFit="1" customWidth="1"/>
    <col min="14099" max="14337" width="9.140625" style="634"/>
    <col min="14338" max="14338" width="32.140625" style="634" bestFit="1" customWidth="1"/>
    <col min="14339" max="14339" width="11.140625" style="634" bestFit="1" customWidth="1"/>
    <col min="14340" max="14340" width="12.140625" style="634" customWidth="1"/>
    <col min="14341" max="14341" width="10.140625" style="634" customWidth="1"/>
    <col min="14342" max="14342" width="11.140625" style="634" bestFit="1" customWidth="1"/>
    <col min="14343" max="14343" width="14.42578125" style="634" bestFit="1" customWidth="1"/>
    <col min="14344" max="14344" width="10.5703125" style="634" customWidth="1"/>
    <col min="14345" max="14345" width="11.140625" style="634" bestFit="1" customWidth="1"/>
    <col min="14346" max="14351" width="10.85546875" style="634" bestFit="1" customWidth="1"/>
    <col min="14352" max="14353" width="9.5703125" style="634" bestFit="1" customWidth="1"/>
    <col min="14354" max="14354" width="9.85546875" style="634" bestFit="1" customWidth="1"/>
    <col min="14355" max="14593" width="9.140625" style="634"/>
    <col min="14594" max="14594" width="32.140625" style="634" bestFit="1" customWidth="1"/>
    <col min="14595" max="14595" width="11.140625" style="634" bestFit="1" customWidth="1"/>
    <col min="14596" max="14596" width="12.140625" style="634" customWidth="1"/>
    <col min="14597" max="14597" width="10.140625" style="634" customWidth="1"/>
    <col min="14598" max="14598" width="11.140625" style="634" bestFit="1" customWidth="1"/>
    <col min="14599" max="14599" width="14.42578125" style="634" bestFit="1" customWidth="1"/>
    <col min="14600" max="14600" width="10.5703125" style="634" customWidth="1"/>
    <col min="14601" max="14601" width="11.140625" style="634" bestFit="1" customWidth="1"/>
    <col min="14602" max="14607" width="10.85546875" style="634" bestFit="1" customWidth="1"/>
    <col min="14608" max="14609" width="9.5703125" style="634" bestFit="1" customWidth="1"/>
    <col min="14610" max="14610" width="9.85546875" style="634" bestFit="1" customWidth="1"/>
    <col min="14611" max="14849" width="9.140625" style="634"/>
    <col min="14850" max="14850" width="32.140625" style="634" bestFit="1" customWidth="1"/>
    <col min="14851" max="14851" width="11.140625" style="634" bestFit="1" customWidth="1"/>
    <col min="14852" max="14852" width="12.140625" style="634" customWidth="1"/>
    <col min="14853" max="14853" width="10.140625" style="634" customWidth="1"/>
    <col min="14854" max="14854" width="11.140625" style="634" bestFit="1" customWidth="1"/>
    <col min="14855" max="14855" width="14.42578125" style="634" bestFit="1" customWidth="1"/>
    <col min="14856" max="14856" width="10.5703125" style="634" customWidth="1"/>
    <col min="14857" max="14857" width="11.140625" style="634" bestFit="1" customWidth="1"/>
    <col min="14858" max="14863" width="10.85546875" style="634" bestFit="1" customWidth="1"/>
    <col min="14864" max="14865" width="9.5703125" style="634" bestFit="1" customWidth="1"/>
    <col min="14866" max="14866" width="9.85546875" style="634" bestFit="1" customWidth="1"/>
    <col min="14867" max="15105" width="9.140625" style="634"/>
    <col min="15106" max="15106" width="32.140625" style="634" bestFit="1" customWidth="1"/>
    <col min="15107" max="15107" width="11.140625" style="634" bestFit="1" customWidth="1"/>
    <col min="15108" max="15108" width="12.140625" style="634" customWidth="1"/>
    <col min="15109" max="15109" width="10.140625" style="634" customWidth="1"/>
    <col min="15110" max="15110" width="11.140625" style="634" bestFit="1" customWidth="1"/>
    <col min="15111" max="15111" width="14.42578125" style="634" bestFit="1" customWidth="1"/>
    <col min="15112" max="15112" width="10.5703125" style="634" customWidth="1"/>
    <col min="15113" max="15113" width="11.140625" style="634" bestFit="1" customWidth="1"/>
    <col min="15114" max="15119" width="10.85546875" style="634" bestFit="1" customWidth="1"/>
    <col min="15120" max="15121" width="9.5703125" style="634" bestFit="1" customWidth="1"/>
    <col min="15122" max="15122" width="9.85546875" style="634" bestFit="1" customWidth="1"/>
    <col min="15123" max="15361" width="9.140625" style="634"/>
    <col min="15362" max="15362" width="32.140625" style="634" bestFit="1" customWidth="1"/>
    <col min="15363" max="15363" width="11.140625" style="634" bestFit="1" customWidth="1"/>
    <col min="15364" max="15364" width="12.140625" style="634" customWidth="1"/>
    <col min="15365" max="15365" width="10.140625" style="634" customWidth="1"/>
    <col min="15366" max="15366" width="11.140625" style="634" bestFit="1" customWidth="1"/>
    <col min="15367" max="15367" width="14.42578125" style="634" bestFit="1" customWidth="1"/>
    <col min="15368" max="15368" width="10.5703125" style="634" customWidth="1"/>
    <col min="15369" max="15369" width="11.140625" style="634" bestFit="1" customWidth="1"/>
    <col min="15370" max="15375" width="10.85546875" style="634" bestFit="1" customWidth="1"/>
    <col min="15376" max="15377" width="9.5703125" style="634" bestFit="1" customWidth="1"/>
    <col min="15378" max="15378" width="9.85546875" style="634" bestFit="1" customWidth="1"/>
    <col min="15379" max="15617" width="9.140625" style="634"/>
    <col min="15618" max="15618" width="32.140625" style="634" bestFit="1" customWidth="1"/>
    <col min="15619" max="15619" width="11.140625" style="634" bestFit="1" customWidth="1"/>
    <col min="15620" max="15620" width="12.140625" style="634" customWidth="1"/>
    <col min="15621" max="15621" width="10.140625" style="634" customWidth="1"/>
    <col min="15622" max="15622" width="11.140625" style="634" bestFit="1" customWidth="1"/>
    <col min="15623" max="15623" width="14.42578125" style="634" bestFit="1" customWidth="1"/>
    <col min="15624" max="15624" width="10.5703125" style="634" customWidth="1"/>
    <col min="15625" max="15625" width="11.140625" style="634" bestFit="1" customWidth="1"/>
    <col min="15626" max="15631" width="10.85546875" style="634" bestFit="1" customWidth="1"/>
    <col min="15632" max="15633" width="9.5703125" style="634" bestFit="1" customWidth="1"/>
    <col min="15634" max="15634" width="9.85546875" style="634" bestFit="1" customWidth="1"/>
    <col min="15635" max="15873" width="9.140625" style="634"/>
    <col min="15874" max="15874" width="32.140625" style="634" bestFit="1" customWidth="1"/>
    <col min="15875" max="15875" width="11.140625" style="634" bestFit="1" customWidth="1"/>
    <col min="15876" max="15876" width="12.140625" style="634" customWidth="1"/>
    <col min="15877" max="15877" width="10.140625" style="634" customWidth="1"/>
    <col min="15878" max="15878" width="11.140625" style="634" bestFit="1" customWidth="1"/>
    <col min="15879" max="15879" width="14.42578125" style="634" bestFit="1" customWidth="1"/>
    <col min="15880" max="15880" width="10.5703125" style="634" customWidth="1"/>
    <col min="15881" max="15881" width="11.140625" style="634" bestFit="1" customWidth="1"/>
    <col min="15882" max="15887" width="10.85546875" style="634" bestFit="1" customWidth="1"/>
    <col min="15888" max="15889" width="9.5703125" style="634" bestFit="1" customWidth="1"/>
    <col min="15890" max="15890" width="9.85546875" style="634" bestFit="1" customWidth="1"/>
    <col min="15891" max="16129" width="9.140625" style="634"/>
    <col min="16130" max="16130" width="32.140625" style="634" bestFit="1" customWidth="1"/>
    <col min="16131" max="16131" width="11.140625" style="634" bestFit="1" customWidth="1"/>
    <col min="16132" max="16132" width="12.140625" style="634" customWidth="1"/>
    <col min="16133" max="16133" width="10.140625" style="634" customWidth="1"/>
    <col min="16134" max="16134" width="11.140625" style="634" bestFit="1" customWidth="1"/>
    <col min="16135" max="16135" width="14.42578125" style="634" bestFit="1" customWidth="1"/>
    <col min="16136" max="16136" width="10.5703125" style="634" customWidth="1"/>
    <col min="16137" max="16137" width="11.140625" style="634" bestFit="1" customWidth="1"/>
    <col min="16138" max="16143" width="10.85546875" style="634" bestFit="1" customWidth="1"/>
    <col min="16144" max="16145" width="9.5703125" style="634" bestFit="1" customWidth="1"/>
    <col min="16146" max="16146" width="9.85546875" style="634" bestFit="1" customWidth="1"/>
    <col min="16147" max="16384" width="9.140625" style="634"/>
  </cols>
  <sheetData>
    <row r="1" spans="1:18" ht="15.75" customHeight="1" thickBot="1">
      <c r="A1" s="633"/>
      <c r="B1" s="633" t="s">
        <v>746</v>
      </c>
      <c r="E1" s="634" t="s">
        <v>747</v>
      </c>
      <c r="F1" s="636">
        <v>0.1</v>
      </c>
      <c r="G1" s="633"/>
    </row>
    <row r="2" spans="1:18">
      <c r="A2" s="633"/>
      <c r="B2" s="637" t="s">
        <v>748</v>
      </c>
      <c r="C2" s="638"/>
      <c r="D2" s="638"/>
      <c r="E2" s="639">
        <f>SUM(E3:E5)</f>
        <v>826169.1</v>
      </c>
      <c r="G2" s="640"/>
    </row>
    <row r="3" spans="1:18">
      <c r="A3" s="633"/>
      <c r="B3" s="641" t="s">
        <v>678</v>
      </c>
      <c r="C3" s="642"/>
      <c r="D3" s="642"/>
      <c r="E3" s="643">
        <f>SUM(E27:E28)</f>
        <v>390594.3</v>
      </c>
      <c r="G3" s="633"/>
    </row>
    <row r="4" spans="1:18">
      <c r="A4" s="633"/>
      <c r="B4" s="641" t="s">
        <v>749</v>
      </c>
      <c r="C4" s="642"/>
      <c r="D4" s="642"/>
      <c r="E4" s="643">
        <f>E29+E30</f>
        <v>435574.8</v>
      </c>
      <c r="G4" s="633"/>
    </row>
    <row r="5" spans="1:18">
      <c r="A5" s="633"/>
      <c r="B5" s="641" t="s">
        <v>750</v>
      </c>
      <c r="C5" s="642"/>
      <c r="D5" s="642"/>
      <c r="E5" s="643">
        <f>D39*D48+D76*D82+D101*D107+D124*D130+D147*D156</f>
        <v>0</v>
      </c>
      <c r="G5" s="633"/>
    </row>
    <row r="6" spans="1:18" ht="12" thickBot="1">
      <c r="A6" s="633"/>
      <c r="B6" s="644" t="s">
        <v>751</v>
      </c>
      <c r="C6" s="645"/>
      <c r="D6" s="646"/>
      <c r="E6" s="647">
        <v>2020</v>
      </c>
      <c r="G6" s="633"/>
    </row>
    <row r="7" spans="1:18">
      <c r="A7" s="633"/>
      <c r="G7" s="633"/>
    </row>
    <row r="8" spans="1:18" ht="12" thickBot="1">
      <c r="A8" s="633"/>
      <c r="B8" s="633" t="s">
        <v>752</v>
      </c>
      <c r="G8" s="633"/>
    </row>
    <row r="9" spans="1:18" ht="12" thickBot="1">
      <c r="A9" s="633"/>
      <c r="B9" s="633" t="s">
        <v>636</v>
      </c>
      <c r="C9" s="648">
        <v>0.41499999999999998</v>
      </c>
      <c r="G9" s="633"/>
    </row>
    <row r="10" spans="1:18" ht="12" thickBot="1">
      <c r="A10" s="633"/>
      <c r="B10" s="649" t="s">
        <v>753</v>
      </c>
      <c r="C10" s="650">
        <v>0.02</v>
      </c>
      <c r="D10" s="633"/>
      <c r="E10" s="651"/>
    </row>
    <row r="11" spans="1:18" ht="12" thickBot="1">
      <c r="A11" s="633"/>
      <c r="B11" s="652" t="s">
        <v>754</v>
      </c>
      <c r="D11" s="634"/>
      <c r="E11" s="636"/>
    </row>
    <row r="12" spans="1:18" ht="12" thickBot="1">
      <c r="A12" s="633"/>
      <c r="B12" s="633" t="s">
        <v>755</v>
      </c>
      <c r="C12" s="653">
        <v>2026</v>
      </c>
      <c r="D12" s="634"/>
      <c r="E12" s="651"/>
    </row>
    <row r="13" spans="1:18" ht="12" thickBot="1">
      <c r="A13" s="633"/>
      <c r="C13" s="654"/>
      <c r="D13" s="634"/>
      <c r="E13" s="655">
        <f>E32</f>
        <v>2013</v>
      </c>
      <c r="F13" s="655">
        <f t="shared" ref="F13:R13" si="0">F32</f>
        <v>2014</v>
      </c>
      <c r="G13" s="655">
        <f t="shared" si="0"/>
        <v>2015</v>
      </c>
      <c r="H13" s="655">
        <f t="shared" si="0"/>
        <v>2016</v>
      </c>
      <c r="I13" s="655">
        <f t="shared" si="0"/>
        <v>2017</v>
      </c>
      <c r="J13" s="655">
        <f t="shared" si="0"/>
        <v>2018</v>
      </c>
      <c r="K13" s="655">
        <f t="shared" si="0"/>
        <v>2019</v>
      </c>
      <c r="L13" s="655">
        <f t="shared" si="0"/>
        <v>2020</v>
      </c>
      <c r="M13" s="655">
        <f t="shared" si="0"/>
        <v>2021</v>
      </c>
      <c r="N13" s="655">
        <f t="shared" si="0"/>
        <v>2022</v>
      </c>
      <c r="O13" s="655">
        <f t="shared" si="0"/>
        <v>2023</v>
      </c>
      <c r="P13" s="655">
        <f t="shared" si="0"/>
        <v>2024</v>
      </c>
      <c r="Q13" s="655">
        <f t="shared" si="0"/>
        <v>2025</v>
      </c>
      <c r="R13" s="655">
        <f t="shared" si="0"/>
        <v>2026</v>
      </c>
    </row>
    <row r="14" spans="1:18">
      <c r="A14" s="633"/>
      <c r="C14" s="654"/>
      <c r="D14" s="1085" t="s">
        <v>756</v>
      </c>
      <c r="E14" s="1076">
        <f>1-E19</f>
        <v>0.92</v>
      </c>
      <c r="F14" s="1076">
        <f>1-F19</f>
        <v>0.9</v>
      </c>
      <c r="G14" s="1076">
        <f t="shared" ref="G14:R14" si="1">1-G19</f>
        <v>0.9</v>
      </c>
      <c r="H14" s="1076">
        <f t="shared" si="1"/>
        <v>0.9</v>
      </c>
      <c r="I14" s="1076">
        <f t="shared" si="1"/>
        <v>0.9</v>
      </c>
      <c r="J14" s="1076">
        <f t="shared" si="1"/>
        <v>0.9</v>
      </c>
      <c r="K14" s="1076">
        <f t="shared" si="1"/>
        <v>0.9</v>
      </c>
      <c r="L14" s="1076">
        <f t="shared" si="1"/>
        <v>0.9</v>
      </c>
      <c r="M14" s="1076">
        <f t="shared" si="1"/>
        <v>0.9</v>
      </c>
      <c r="N14" s="1076">
        <f t="shared" si="1"/>
        <v>0.9</v>
      </c>
      <c r="O14" s="1076">
        <f t="shared" si="1"/>
        <v>0.9</v>
      </c>
      <c r="P14" s="1076">
        <f t="shared" si="1"/>
        <v>0.9</v>
      </c>
      <c r="Q14" s="1076">
        <f t="shared" si="1"/>
        <v>0.9</v>
      </c>
      <c r="R14" s="1077">
        <f t="shared" si="1"/>
        <v>0.9</v>
      </c>
    </row>
    <row r="15" spans="1:18">
      <c r="A15" s="633"/>
      <c r="C15" s="654"/>
      <c r="D15" s="1086" t="s">
        <v>610</v>
      </c>
      <c r="E15" s="1078">
        <v>1.61</v>
      </c>
      <c r="F15" s="1078">
        <v>1.6</v>
      </c>
      <c r="G15" s="1078">
        <f t="shared" ref="G15:R15" si="2">F15</f>
        <v>1.6</v>
      </c>
      <c r="H15" s="1078">
        <f t="shared" si="2"/>
        <v>1.6</v>
      </c>
      <c r="I15" s="1078">
        <f t="shared" si="2"/>
        <v>1.6</v>
      </c>
      <c r="J15" s="1078">
        <f t="shared" si="2"/>
        <v>1.6</v>
      </c>
      <c r="K15" s="1078">
        <f t="shared" si="2"/>
        <v>1.6</v>
      </c>
      <c r="L15" s="1078">
        <f t="shared" si="2"/>
        <v>1.6</v>
      </c>
      <c r="M15" s="1078">
        <f t="shared" si="2"/>
        <v>1.6</v>
      </c>
      <c r="N15" s="1078">
        <f t="shared" si="2"/>
        <v>1.6</v>
      </c>
      <c r="O15" s="1078">
        <f t="shared" si="2"/>
        <v>1.6</v>
      </c>
      <c r="P15" s="1078">
        <f t="shared" si="2"/>
        <v>1.6</v>
      </c>
      <c r="Q15" s="1078">
        <f t="shared" si="2"/>
        <v>1.6</v>
      </c>
      <c r="R15" s="1079">
        <f t="shared" si="2"/>
        <v>1.6</v>
      </c>
    </row>
    <row r="16" spans="1:18">
      <c r="A16" s="633"/>
      <c r="C16" s="654"/>
      <c r="D16" s="1086" t="s">
        <v>757</v>
      </c>
      <c r="E16" s="1134">
        <v>8.3000000000000004E-2</v>
      </c>
      <c r="F16" s="1134">
        <v>5.5E-2</v>
      </c>
      <c r="G16" s="1134">
        <v>5.5E-2</v>
      </c>
      <c r="H16" s="1134">
        <v>5.5E-2</v>
      </c>
      <c r="I16" s="1134">
        <v>5.5E-2</v>
      </c>
      <c r="J16" s="1134">
        <v>5.5E-2</v>
      </c>
      <c r="K16" s="1134">
        <v>5.5E-2</v>
      </c>
      <c r="L16" s="1134">
        <v>5.5E-2</v>
      </c>
      <c r="M16" s="1134">
        <v>5.5E-2</v>
      </c>
      <c r="N16" s="1134">
        <v>5.5E-2</v>
      </c>
      <c r="O16" s="1134">
        <v>5.5E-2</v>
      </c>
      <c r="P16" s="1134">
        <v>5.5E-2</v>
      </c>
      <c r="Q16" s="1134">
        <v>5.5E-2</v>
      </c>
      <c r="R16" s="1135">
        <v>5.5E-2</v>
      </c>
    </row>
    <row r="17" spans="1:28">
      <c r="A17" s="633"/>
      <c r="C17" s="654"/>
      <c r="D17" s="1086" t="s">
        <v>609</v>
      </c>
      <c r="E17" s="1083">
        <v>0.08</v>
      </c>
      <c r="F17" s="1083">
        <v>7.0000000000000007E-2</v>
      </c>
      <c r="G17" s="1083">
        <v>7.0000000000000007E-2</v>
      </c>
      <c r="H17" s="1083">
        <v>7.0000000000000007E-2</v>
      </c>
      <c r="I17" s="1083">
        <v>7.0000000000000007E-2</v>
      </c>
      <c r="J17" s="1083">
        <v>7.0000000000000007E-2</v>
      </c>
      <c r="K17" s="1083">
        <v>7.0000000000000007E-2</v>
      </c>
      <c r="L17" s="1083">
        <v>7.0000000000000007E-2</v>
      </c>
      <c r="M17" s="1083">
        <v>7.0000000000000007E-2</v>
      </c>
      <c r="N17" s="1083">
        <v>7.0000000000000007E-2</v>
      </c>
      <c r="O17" s="1083">
        <v>7.0000000000000007E-2</v>
      </c>
      <c r="P17" s="1083">
        <v>7.0000000000000007E-2</v>
      </c>
      <c r="Q17" s="1083">
        <v>7.0000000000000007E-2</v>
      </c>
      <c r="R17" s="1084">
        <v>7.0000000000000007E-2</v>
      </c>
    </row>
    <row r="18" spans="1:28">
      <c r="A18" s="633"/>
      <c r="C18" s="654"/>
      <c r="D18" s="1086" t="s">
        <v>758</v>
      </c>
      <c r="E18" s="1134">
        <f>E15*E17+E16</f>
        <v>0.21179999999999999</v>
      </c>
      <c r="F18" s="1134">
        <f t="shared" ref="F18:R18" si="3">F15*F17+F16</f>
        <v>0.16700000000000001</v>
      </c>
      <c r="G18" s="1134">
        <f t="shared" si="3"/>
        <v>0.16700000000000001</v>
      </c>
      <c r="H18" s="1134">
        <f t="shared" si="3"/>
        <v>0.16700000000000001</v>
      </c>
      <c r="I18" s="1134">
        <f t="shared" si="3"/>
        <v>0.16700000000000001</v>
      </c>
      <c r="J18" s="1134">
        <f t="shared" si="3"/>
        <v>0.16700000000000001</v>
      </c>
      <c r="K18" s="1134">
        <f t="shared" si="3"/>
        <v>0.16700000000000001</v>
      </c>
      <c r="L18" s="1134">
        <f t="shared" si="3"/>
        <v>0.16700000000000001</v>
      </c>
      <c r="M18" s="1134">
        <f t="shared" si="3"/>
        <v>0.16700000000000001</v>
      </c>
      <c r="N18" s="1134">
        <f t="shared" si="3"/>
        <v>0.16700000000000001</v>
      </c>
      <c r="O18" s="1134">
        <f t="shared" si="3"/>
        <v>0.16700000000000001</v>
      </c>
      <c r="P18" s="1134">
        <f t="shared" si="3"/>
        <v>0.16700000000000001</v>
      </c>
      <c r="Q18" s="1134">
        <f t="shared" si="3"/>
        <v>0.16700000000000001</v>
      </c>
      <c r="R18" s="1135">
        <f t="shared" si="3"/>
        <v>0.16700000000000001</v>
      </c>
    </row>
    <row r="19" spans="1:28">
      <c r="A19" s="633"/>
      <c r="C19" s="654"/>
      <c r="D19" s="1086" t="s">
        <v>759</v>
      </c>
      <c r="E19" s="1083">
        <v>0.08</v>
      </c>
      <c r="F19" s="1083">
        <f>F1</f>
        <v>0.1</v>
      </c>
      <c r="G19" s="1083">
        <f t="shared" ref="G19:R20" si="4">F19</f>
        <v>0.1</v>
      </c>
      <c r="H19" s="1083">
        <f t="shared" si="4"/>
        <v>0.1</v>
      </c>
      <c r="I19" s="1083">
        <f t="shared" si="4"/>
        <v>0.1</v>
      </c>
      <c r="J19" s="1083">
        <f t="shared" si="4"/>
        <v>0.1</v>
      </c>
      <c r="K19" s="1083">
        <f t="shared" si="4"/>
        <v>0.1</v>
      </c>
      <c r="L19" s="1083">
        <f t="shared" si="4"/>
        <v>0.1</v>
      </c>
      <c r="M19" s="1083">
        <f t="shared" si="4"/>
        <v>0.1</v>
      </c>
      <c r="N19" s="1083">
        <f t="shared" si="4"/>
        <v>0.1</v>
      </c>
      <c r="O19" s="1083">
        <f t="shared" si="4"/>
        <v>0.1</v>
      </c>
      <c r="P19" s="1083">
        <f t="shared" si="4"/>
        <v>0.1</v>
      </c>
      <c r="Q19" s="1083">
        <f t="shared" si="4"/>
        <v>0.1</v>
      </c>
      <c r="R19" s="1084">
        <f t="shared" si="4"/>
        <v>0.1</v>
      </c>
    </row>
    <row r="20" spans="1:28">
      <c r="A20" s="633"/>
      <c r="C20" s="654"/>
      <c r="D20" s="1086" t="s">
        <v>760</v>
      </c>
      <c r="E20" s="1083">
        <v>0.14000000000000001</v>
      </c>
      <c r="F20" s="1083">
        <v>0.12</v>
      </c>
      <c r="G20" s="1083">
        <f>F20-1%</f>
        <v>0.11</v>
      </c>
      <c r="H20" s="1083">
        <f>G20-1%</f>
        <v>0.1</v>
      </c>
      <c r="I20" s="1083">
        <f>H20-1%</f>
        <v>9.0000000000000011E-2</v>
      </c>
      <c r="J20" s="1083">
        <f>I20</f>
        <v>9.0000000000000011E-2</v>
      </c>
      <c r="K20" s="1083">
        <f t="shared" si="4"/>
        <v>9.0000000000000011E-2</v>
      </c>
      <c r="L20" s="1083">
        <f t="shared" si="4"/>
        <v>9.0000000000000011E-2</v>
      </c>
      <c r="M20" s="1083">
        <f t="shared" si="4"/>
        <v>9.0000000000000011E-2</v>
      </c>
      <c r="N20" s="1083">
        <f t="shared" si="4"/>
        <v>9.0000000000000011E-2</v>
      </c>
      <c r="O20" s="1083">
        <f t="shared" si="4"/>
        <v>9.0000000000000011E-2</v>
      </c>
      <c r="P20" s="1083">
        <f t="shared" si="4"/>
        <v>9.0000000000000011E-2</v>
      </c>
      <c r="Q20" s="1083">
        <f t="shared" si="4"/>
        <v>9.0000000000000011E-2</v>
      </c>
      <c r="R20" s="1084">
        <f t="shared" si="4"/>
        <v>9.0000000000000011E-2</v>
      </c>
    </row>
    <row r="21" spans="1:28" ht="12" thickBot="1">
      <c r="A21" s="633"/>
      <c r="C21" s="654"/>
      <c r="D21" s="1087" t="s">
        <v>14</v>
      </c>
      <c r="E21" s="1136">
        <f>E14*E18+(1-0.22)*E19*E20</f>
        <v>0.203592</v>
      </c>
      <c r="F21" s="1136">
        <f>F14*F18+(1-0.22)*F19*F20</f>
        <v>0.15966000000000002</v>
      </c>
      <c r="G21" s="1136">
        <f>G14*G18+(1-0.22)*G19*G20</f>
        <v>0.15888000000000002</v>
      </c>
      <c r="H21" s="1136">
        <f>H14*H18+(1-0.2)*H19*H20</f>
        <v>0.15830000000000002</v>
      </c>
      <c r="I21" s="1136">
        <f t="shared" ref="I21:R21" si="5">I14*I18+(1-0.2)*I19*I20</f>
        <v>0.15750000000000003</v>
      </c>
      <c r="J21" s="1136">
        <f t="shared" si="5"/>
        <v>0.15750000000000003</v>
      </c>
      <c r="K21" s="1136">
        <f t="shared" si="5"/>
        <v>0.15750000000000003</v>
      </c>
      <c r="L21" s="1136">
        <f t="shared" si="5"/>
        <v>0.15750000000000003</v>
      </c>
      <c r="M21" s="1136">
        <f t="shared" si="5"/>
        <v>0.15750000000000003</v>
      </c>
      <c r="N21" s="1136">
        <f t="shared" si="5"/>
        <v>0.15750000000000003</v>
      </c>
      <c r="O21" s="1136">
        <f t="shared" si="5"/>
        <v>0.15750000000000003</v>
      </c>
      <c r="P21" s="1136">
        <f t="shared" si="5"/>
        <v>0.15750000000000003</v>
      </c>
      <c r="Q21" s="1136">
        <f t="shared" si="5"/>
        <v>0.15750000000000003</v>
      </c>
      <c r="R21" s="1137">
        <f t="shared" si="5"/>
        <v>0.15750000000000003</v>
      </c>
    </row>
    <row r="22" spans="1:28">
      <c r="A22" s="633"/>
      <c r="G22" s="633"/>
    </row>
    <row r="23" spans="1:28" s="633" customFormat="1">
      <c r="B23" s="633" t="s">
        <v>761</v>
      </c>
      <c r="D23" s="665"/>
    </row>
    <row r="24" spans="1:28" s="666" customFormat="1">
      <c r="A24" s="666" t="s">
        <v>762</v>
      </c>
      <c r="B24" s="666" t="s">
        <v>763</v>
      </c>
      <c r="AB24" s="667"/>
    </row>
    <row r="25" spans="1:28" s="633" customFormat="1">
      <c r="C25" s="668" t="s">
        <v>764</v>
      </c>
      <c r="D25" s="669"/>
      <c r="E25" s="668" t="s">
        <v>765</v>
      </c>
      <c r="AB25" s="670"/>
    </row>
    <row r="26" spans="1:28">
      <c r="B26" s="634" t="s">
        <v>766</v>
      </c>
      <c r="C26" s="634" t="s">
        <v>767</v>
      </c>
      <c r="D26" s="1113">
        <v>1170900</v>
      </c>
      <c r="E26" s="1138"/>
      <c r="K26" s="672"/>
      <c r="AB26" s="673"/>
    </row>
    <row r="27" spans="1:28">
      <c r="B27" s="634" t="s">
        <v>768</v>
      </c>
      <c r="C27" s="634" t="s">
        <v>769</v>
      </c>
      <c r="D27" s="1114">
        <v>0.19</v>
      </c>
      <c r="E27" s="1139">
        <f>D26*D27</f>
        <v>222471</v>
      </c>
      <c r="F27" s="676"/>
      <c r="G27" s="676"/>
      <c r="AB27" s="673"/>
    </row>
    <row r="28" spans="1:28">
      <c r="B28" s="634" t="s">
        <v>770</v>
      </c>
      <c r="C28" s="634" t="s">
        <v>769</v>
      </c>
      <c r="D28" s="1114">
        <v>0.3</v>
      </c>
      <c r="E28" s="1139">
        <f>D28*D41</f>
        <v>168123.3</v>
      </c>
      <c r="F28" s="640"/>
      <c r="AB28" s="673"/>
    </row>
    <row r="29" spans="1:28">
      <c r="B29" s="634" t="s">
        <v>771</v>
      </c>
      <c r="C29" s="634" t="s">
        <v>769</v>
      </c>
      <c r="D29" s="1114">
        <v>0</v>
      </c>
      <c r="E29" s="1139">
        <f>D29*D41</f>
        <v>0</v>
      </c>
      <c r="AB29" s="673"/>
    </row>
    <row r="30" spans="1:28">
      <c r="B30" s="634" t="s">
        <v>772</v>
      </c>
      <c r="C30" s="634" t="s">
        <v>769</v>
      </c>
      <c r="D30" s="1114">
        <v>0.372</v>
      </c>
      <c r="E30" s="1139">
        <f>D30*D26</f>
        <v>435574.8</v>
      </c>
      <c r="AB30" s="673"/>
    </row>
    <row r="31" spans="1:28">
      <c r="D31" s="634"/>
      <c r="H31" s="654"/>
      <c r="AB31" s="673"/>
    </row>
    <row r="32" spans="1:28">
      <c r="B32" s="677" t="s">
        <v>773</v>
      </c>
      <c r="C32" s="678" t="s">
        <v>642</v>
      </c>
      <c r="D32" s="678" t="s">
        <v>774</v>
      </c>
      <c r="E32" s="677">
        <f>'[14]Vin CenterB'!E7</f>
        <v>2013</v>
      </c>
      <c r="F32" s="677">
        <f>E32+1</f>
        <v>2014</v>
      </c>
      <c r="G32" s="677">
        <f t="shared" ref="G32:R32" si="6">F32+1</f>
        <v>2015</v>
      </c>
      <c r="H32" s="677">
        <f t="shared" si="6"/>
        <v>2016</v>
      </c>
      <c r="I32" s="677">
        <f t="shared" si="6"/>
        <v>2017</v>
      </c>
      <c r="J32" s="677">
        <f t="shared" si="6"/>
        <v>2018</v>
      </c>
      <c r="K32" s="677">
        <f t="shared" si="6"/>
        <v>2019</v>
      </c>
      <c r="L32" s="677">
        <f t="shared" si="6"/>
        <v>2020</v>
      </c>
      <c r="M32" s="677">
        <f t="shared" si="6"/>
        <v>2021</v>
      </c>
      <c r="N32" s="677">
        <f t="shared" si="6"/>
        <v>2022</v>
      </c>
      <c r="O32" s="677">
        <f t="shared" si="6"/>
        <v>2023</v>
      </c>
      <c r="P32" s="677">
        <f t="shared" si="6"/>
        <v>2024</v>
      </c>
      <c r="Q32" s="677">
        <f t="shared" si="6"/>
        <v>2025</v>
      </c>
      <c r="R32" s="677">
        <f t="shared" si="6"/>
        <v>2026</v>
      </c>
      <c r="AB32" s="673"/>
    </row>
    <row r="33" spans="1:28">
      <c r="C33" s="680">
        <f>E3</f>
        <v>390594.3</v>
      </c>
      <c r="D33" s="672">
        <v>222472</v>
      </c>
      <c r="E33" s="679">
        <v>0</v>
      </c>
      <c r="F33" s="679">
        <f t="shared" ref="F33:K33" si="7">($C$33-$D$33)/6</f>
        <v>28020.383333333331</v>
      </c>
      <c r="G33" s="679">
        <f t="shared" si="7"/>
        <v>28020.383333333331</v>
      </c>
      <c r="H33" s="679">
        <f t="shared" si="7"/>
        <v>28020.383333333331</v>
      </c>
      <c r="I33" s="679">
        <f t="shared" si="7"/>
        <v>28020.383333333331</v>
      </c>
      <c r="J33" s="679">
        <f t="shared" si="7"/>
        <v>28020.383333333331</v>
      </c>
      <c r="K33" s="679">
        <f t="shared" si="7"/>
        <v>28020.383333333331</v>
      </c>
      <c r="AB33" s="673"/>
    </row>
    <row r="34" spans="1:28">
      <c r="B34" s="633" t="s">
        <v>775</v>
      </c>
      <c r="C34" s="680">
        <f>E4</f>
        <v>435574.8</v>
      </c>
      <c r="D34" s="672">
        <f>C34*D35</f>
        <v>283123.62</v>
      </c>
      <c r="F34" s="672">
        <f>$C$34*F35</f>
        <v>21778.74</v>
      </c>
      <c r="G34" s="672">
        <f t="shared" ref="G34:L34" si="8">$C$34*G35</f>
        <v>26134.487999999998</v>
      </c>
      <c r="H34" s="672">
        <f t="shared" si="8"/>
        <v>26134.487999999998</v>
      </c>
      <c r="I34" s="672">
        <f t="shared" si="8"/>
        <v>26134.487999999998</v>
      </c>
      <c r="J34" s="672">
        <f t="shared" si="8"/>
        <v>26134.487999999998</v>
      </c>
      <c r="K34" s="672">
        <f t="shared" si="8"/>
        <v>26134.487999999998</v>
      </c>
      <c r="L34" s="672">
        <f t="shared" si="8"/>
        <v>0</v>
      </c>
      <c r="AB34" s="673"/>
    </row>
    <row r="35" spans="1:28">
      <c r="B35" s="654" t="s">
        <v>776</v>
      </c>
      <c r="C35" s="654"/>
      <c r="D35" s="640">
        <v>0.65</v>
      </c>
      <c r="E35" s="640"/>
      <c r="F35" s="640">
        <v>0.05</v>
      </c>
      <c r="G35" s="636">
        <v>0.06</v>
      </c>
      <c r="H35" s="636">
        <v>0.06</v>
      </c>
      <c r="I35" s="636">
        <v>0.06</v>
      </c>
      <c r="J35" s="636">
        <v>0.06</v>
      </c>
      <c r="K35" s="636">
        <v>0.06</v>
      </c>
      <c r="L35" s="636">
        <v>0</v>
      </c>
      <c r="AB35" s="673"/>
    </row>
    <row r="36" spans="1:28">
      <c r="H36" s="654"/>
    </row>
    <row r="37" spans="1:28" s="666" customFormat="1">
      <c r="A37" s="666" t="s">
        <v>777</v>
      </c>
      <c r="B37" s="666" t="s">
        <v>778</v>
      </c>
      <c r="AB37" s="667"/>
    </row>
    <row r="38" spans="1:28" s="633" customFormat="1">
      <c r="C38" s="633" t="s">
        <v>764</v>
      </c>
      <c r="D38" s="665"/>
      <c r="H38" s="681"/>
      <c r="I38" s="681"/>
      <c r="Y38" s="679"/>
      <c r="Z38" s="679"/>
      <c r="AA38" s="679"/>
      <c r="AB38" s="682"/>
    </row>
    <row r="39" spans="1:28">
      <c r="B39" s="634" t="s">
        <v>686</v>
      </c>
      <c r="C39" s="634" t="s">
        <v>767</v>
      </c>
      <c r="D39" s="1111">
        <f>D26</f>
        <v>1170900</v>
      </c>
      <c r="G39" s="670"/>
      <c r="H39" s="684"/>
      <c r="I39" s="681"/>
      <c r="J39" s="633"/>
      <c r="K39" s="633"/>
      <c r="L39" s="633"/>
      <c r="M39" s="633"/>
      <c r="N39" s="633"/>
      <c r="O39" s="633"/>
      <c r="P39" s="633"/>
      <c r="Q39" s="633"/>
      <c r="R39" s="633"/>
      <c r="S39" s="633"/>
      <c r="T39" s="633"/>
      <c r="U39" s="633"/>
      <c r="V39" s="633"/>
      <c r="W39" s="633"/>
      <c r="AB39" s="636"/>
    </row>
    <row r="40" spans="1:28">
      <c r="B40" s="634" t="s">
        <v>779</v>
      </c>
      <c r="C40" s="634" t="s">
        <v>780</v>
      </c>
      <c r="D40" s="1112">
        <f>D41/D39</f>
        <v>0.47861559484157484</v>
      </c>
      <c r="F40" s="640"/>
      <c r="G40" s="654"/>
      <c r="H40" s="654"/>
      <c r="I40" s="686"/>
      <c r="AB40" s="682"/>
    </row>
    <row r="41" spans="1:28">
      <c r="B41" s="634" t="s">
        <v>781</v>
      </c>
      <c r="C41" s="634" t="s">
        <v>767</v>
      </c>
      <c r="D41" s="1113">
        <v>560411</v>
      </c>
      <c r="G41" s="687"/>
      <c r="H41" s="654"/>
      <c r="I41" s="688"/>
      <c r="K41" s="689"/>
      <c r="L41" s="689"/>
      <c r="M41" s="689"/>
      <c r="N41" s="689"/>
      <c r="O41" s="689"/>
      <c r="P41" s="689"/>
      <c r="Q41" s="689"/>
      <c r="R41" s="689"/>
      <c r="S41" s="689"/>
      <c r="T41" s="689"/>
      <c r="U41" s="689"/>
      <c r="V41" s="689"/>
      <c r="W41" s="689"/>
      <c r="AB41" s="682"/>
    </row>
    <row r="42" spans="1:28">
      <c r="B42" s="634" t="s">
        <v>782</v>
      </c>
      <c r="C42" s="634" t="s">
        <v>769</v>
      </c>
      <c r="D42" s="1114">
        <v>2.2999999999999998</v>
      </c>
      <c r="G42" s="654"/>
      <c r="H42" s="633"/>
      <c r="I42" s="636"/>
      <c r="J42" s="636"/>
      <c r="K42" s="636"/>
      <c r="L42" s="636"/>
      <c r="M42" s="636"/>
      <c r="N42" s="636"/>
      <c r="O42" s="636"/>
      <c r="P42" s="636"/>
      <c r="Q42" s="636"/>
      <c r="R42" s="636"/>
      <c r="S42" s="636"/>
      <c r="T42" s="636"/>
      <c r="U42" s="636"/>
      <c r="V42" s="636"/>
      <c r="W42" s="636"/>
      <c r="AB42" s="690"/>
    </row>
    <row r="43" spans="1:28">
      <c r="B43" s="634" t="s">
        <v>783</v>
      </c>
      <c r="D43" s="1111">
        <v>0</v>
      </c>
      <c r="G43" s="654"/>
      <c r="H43" s="633"/>
      <c r="I43" s="636"/>
      <c r="J43" s="636"/>
      <c r="K43" s="636"/>
      <c r="L43" s="636"/>
      <c r="M43" s="636"/>
      <c r="N43" s="636"/>
      <c r="O43" s="636"/>
      <c r="P43" s="636"/>
      <c r="Q43" s="636"/>
      <c r="R43" s="636"/>
      <c r="S43" s="636"/>
      <c r="T43" s="636"/>
      <c r="U43" s="636"/>
      <c r="V43" s="636"/>
      <c r="W43" s="636"/>
      <c r="AB43" s="690"/>
    </row>
    <row r="44" spans="1:28">
      <c r="B44" s="634" t="s">
        <v>784</v>
      </c>
      <c r="D44" s="1112">
        <f>50/75</f>
        <v>0.66666666666666663</v>
      </c>
      <c r="G44" s="654"/>
      <c r="H44" s="633"/>
      <c r="I44" s="636"/>
      <c r="J44" s="636"/>
      <c r="K44" s="636"/>
      <c r="L44" s="636"/>
      <c r="M44" s="636"/>
      <c r="N44" s="636"/>
      <c r="O44" s="636"/>
      <c r="P44" s="636"/>
      <c r="Q44" s="636"/>
      <c r="R44" s="636"/>
      <c r="S44" s="636"/>
      <c r="T44" s="636"/>
      <c r="U44" s="636"/>
      <c r="V44" s="636"/>
      <c r="W44" s="636"/>
      <c r="AB44" s="690"/>
    </row>
    <row r="45" spans="1:28">
      <c r="B45" s="634" t="s">
        <v>785</v>
      </c>
      <c r="D45" s="1140">
        <v>0</v>
      </c>
      <c r="G45" s="654"/>
      <c r="H45" s="633"/>
      <c r="I45" s="636"/>
      <c r="J45" s="636"/>
      <c r="K45" s="636"/>
      <c r="L45" s="636"/>
      <c r="M45" s="636"/>
      <c r="N45" s="636"/>
      <c r="O45" s="636"/>
      <c r="P45" s="636"/>
      <c r="Q45" s="636"/>
      <c r="R45" s="636"/>
      <c r="S45" s="636"/>
      <c r="T45" s="636"/>
      <c r="U45" s="636"/>
      <c r="V45" s="636"/>
      <c r="W45" s="636"/>
      <c r="AB45" s="690"/>
    </row>
    <row r="46" spans="1:28">
      <c r="B46" s="634" t="s">
        <v>786</v>
      </c>
      <c r="C46" s="634" t="s">
        <v>780</v>
      </c>
      <c r="D46" s="1112">
        <v>0.05</v>
      </c>
      <c r="G46" s="633"/>
      <c r="H46" s="684"/>
      <c r="I46" s="691"/>
      <c r="AB46" s="690"/>
    </row>
    <row r="47" spans="1:28">
      <c r="B47" s="634" t="s">
        <v>787</v>
      </c>
      <c r="C47" s="634" t="s">
        <v>780</v>
      </c>
      <c r="D47" s="1112">
        <v>0</v>
      </c>
      <c r="G47" s="654"/>
      <c r="H47" s="654"/>
      <c r="I47" s="686"/>
    </row>
    <row r="48" spans="1:28">
      <c r="B48" s="634" t="s">
        <v>788</v>
      </c>
      <c r="C48" s="634" t="s">
        <v>769</v>
      </c>
      <c r="D48" s="1114">
        <v>0</v>
      </c>
    </row>
    <row r="49" spans="2:18">
      <c r="B49" s="634" t="s">
        <v>789</v>
      </c>
      <c r="C49" s="634" t="s">
        <v>780</v>
      </c>
      <c r="D49" s="1112">
        <v>0.05</v>
      </c>
    </row>
    <row r="50" spans="2:18">
      <c r="D50" s="634"/>
      <c r="G50" s="633"/>
      <c r="H50" s="692"/>
      <c r="I50" s="672"/>
    </row>
    <row r="51" spans="2:18">
      <c r="B51" s="677" t="s">
        <v>681</v>
      </c>
      <c r="C51" s="678" t="s">
        <v>642</v>
      </c>
      <c r="D51" s="678" t="s">
        <v>790</v>
      </c>
      <c r="E51" s="677">
        <f>E32</f>
        <v>2013</v>
      </c>
      <c r="F51" s="677">
        <f t="shared" ref="F51:R51" si="9">F32</f>
        <v>2014</v>
      </c>
      <c r="G51" s="677">
        <f t="shared" si="9"/>
        <v>2015</v>
      </c>
      <c r="H51" s="677">
        <f t="shared" si="9"/>
        <v>2016</v>
      </c>
      <c r="I51" s="677">
        <f t="shared" si="9"/>
        <v>2017</v>
      </c>
      <c r="J51" s="677">
        <f t="shared" si="9"/>
        <v>2018</v>
      </c>
      <c r="K51" s="677">
        <f t="shared" si="9"/>
        <v>2019</v>
      </c>
      <c r="L51" s="677">
        <f t="shared" si="9"/>
        <v>2020</v>
      </c>
      <c r="M51" s="677">
        <f t="shared" si="9"/>
        <v>2021</v>
      </c>
      <c r="N51" s="677">
        <f t="shared" si="9"/>
        <v>2022</v>
      </c>
      <c r="O51" s="677">
        <f t="shared" si="9"/>
        <v>2023</v>
      </c>
      <c r="P51" s="677">
        <f t="shared" si="9"/>
        <v>2024</v>
      </c>
      <c r="Q51" s="677">
        <f t="shared" si="9"/>
        <v>2025</v>
      </c>
      <c r="R51" s="677">
        <f t="shared" si="9"/>
        <v>2026</v>
      </c>
    </row>
    <row r="52" spans="2:18">
      <c r="B52" s="633" t="s">
        <v>791</v>
      </c>
      <c r="C52" s="684">
        <f>D42*D41</f>
        <v>1288945.2999999998</v>
      </c>
      <c r="D52" s="691">
        <f>$C$52*D53</f>
        <v>286463.21750000038</v>
      </c>
      <c r="E52" s="684"/>
      <c r="F52" s="691">
        <f>$C$52*F53</f>
        <v>64447.264999999992</v>
      </c>
      <c r="G52" s="691">
        <f t="shared" ref="G52:M52" si="10">$C$52*G53</f>
        <v>128894.52999999998</v>
      </c>
      <c r="H52" s="691">
        <f t="shared" si="10"/>
        <v>206231.24799999996</v>
      </c>
      <c r="I52" s="691">
        <f t="shared" si="10"/>
        <v>206231.24799999996</v>
      </c>
      <c r="J52" s="691">
        <f t="shared" si="10"/>
        <v>206231.24799999996</v>
      </c>
      <c r="K52" s="691">
        <f t="shared" si="10"/>
        <v>195275.21294999996</v>
      </c>
      <c r="L52" s="691">
        <f t="shared" si="10"/>
        <v>0</v>
      </c>
      <c r="M52" s="691">
        <f t="shared" si="10"/>
        <v>0</v>
      </c>
      <c r="N52" s="633"/>
      <c r="O52" s="633"/>
      <c r="P52" s="633"/>
      <c r="Q52" s="633"/>
      <c r="R52" s="633"/>
    </row>
    <row r="53" spans="2:18">
      <c r="B53" s="654" t="s">
        <v>792</v>
      </c>
      <c r="C53" s="693">
        <f>SUM(D53:R53)</f>
        <v>1.0037462175082221</v>
      </c>
      <c r="D53" s="804">
        <f>12.2246217508222%+10%</f>
        <v>0.22224621750822199</v>
      </c>
      <c r="E53" s="805"/>
      <c r="F53" s="806">
        <v>0.05</v>
      </c>
      <c r="G53" s="806">
        <v>0.1</v>
      </c>
      <c r="H53" s="806">
        <v>0.16</v>
      </c>
      <c r="I53" s="806">
        <v>0.16</v>
      </c>
      <c r="J53" s="806">
        <v>0.16</v>
      </c>
      <c r="K53" s="806">
        <v>0.1515</v>
      </c>
      <c r="L53" s="806"/>
      <c r="M53" s="640">
        <v>0</v>
      </c>
    </row>
    <row r="54" spans="2:18">
      <c r="B54" s="687" t="s">
        <v>793</v>
      </c>
      <c r="C54" s="654"/>
      <c r="D54" s="688"/>
      <c r="E54" s="688"/>
      <c r="F54" s="689">
        <f>E54*(1+F55)</f>
        <v>0</v>
      </c>
      <c r="G54" s="689">
        <f t="shared" ref="G54:R54" si="11">F54*(1+G55)</f>
        <v>0</v>
      </c>
      <c r="H54" s="689">
        <f t="shared" si="11"/>
        <v>0</v>
      </c>
      <c r="I54" s="689">
        <f t="shared" si="11"/>
        <v>0</v>
      </c>
      <c r="J54" s="689">
        <f t="shared" si="11"/>
        <v>0</v>
      </c>
      <c r="K54" s="689">
        <f t="shared" si="11"/>
        <v>0</v>
      </c>
      <c r="L54" s="689">
        <f t="shared" si="11"/>
        <v>0</v>
      </c>
      <c r="M54" s="689">
        <f t="shared" si="11"/>
        <v>0</v>
      </c>
      <c r="N54" s="689">
        <f t="shared" si="11"/>
        <v>0</v>
      </c>
      <c r="O54" s="689">
        <f t="shared" si="11"/>
        <v>0</v>
      </c>
      <c r="P54" s="689">
        <f t="shared" si="11"/>
        <v>0</v>
      </c>
      <c r="Q54" s="689">
        <f t="shared" si="11"/>
        <v>0</v>
      </c>
      <c r="R54" s="689">
        <f t="shared" si="11"/>
        <v>0</v>
      </c>
    </row>
    <row r="55" spans="2:18">
      <c r="B55" s="654" t="s">
        <v>780</v>
      </c>
      <c r="C55" s="633"/>
      <c r="D55" s="636"/>
      <c r="E55" s="636"/>
      <c r="F55" s="696">
        <v>0</v>
      </c>
      <c r="G55" s="696">
        <v>0</v>
      </c>
      <c r="H55" s="696">
        <v>0</v>
      </c>
      <c r="I55" s="696">
        <v>0</v>
      </c>
      <c r="J55" s="696">
        <v>0</v>
      </c>
      <c r="K55" s="696">
        <v>0</v>
      </c>
      <c r="L55" s="696">
        <v>0</v>
      </c>
      <c r="M55" s="696">
        <v>0</v>
      </c>
      <c r="N55" s="696">
        <v>0</v>
      </c>
      <c r="O55" s="696">
        <v>0</v>
      </c>
      <c r="P55" s="696">
        <v>0</v>
      </c>
      <c r="Q55" s="696">
        <v>0</v>
      </c>
      <c r="R55" s="696">
        <v>0</v>
      </c>
    </row>
    <row r="56" spans="2:18">
      <c r="B56" s="687" t="s">
        <v>794</v>
      </c>
      <c r="C56" s="684">
        <f>SUM(D56:R56)</f>
        <v>1287928.1459999997</v>
      </c>
      <c r="D56" s="679">
        <v>156794</v>
      </c>
      <c r="E56" s="679"/>
      <c r="F56" s="679">
        <v>74199</v>
      </c>
      <c r="G56" s="679">
        <f t="shared" ref="G56:M56" si="12">$C$52*G57</f>
        <v>206231.24799999996</v>
      </c>
      <c r="H56" s="679">
        <f t="shared" si="12"/>
        <v>219120.70099999997</v>
      </c>
      <c r="I56" s="679">
        <f t="shared" si="12"/>
        <v>219120.70099999997</v>
      </c>
      <c r="J56" s="679">
        <f t="shared" si="12"/>
        <v>206231.24799999996</v>
      </c>
      <c r="K56" s="679">
        <f t="shared" si="12"/>
        <v>206231.24799999996</v>
      </c>
      <c r="L56" s="679">
        <f t="shared" si="12"/>
        <v>0</v>
      </c>
      <c r="M56" s="679">
        <f t="shared" si="12"/>
        <v>0</v>
      </c>
      <c r="N56" s="636"/>
      <c r="O56" s="636"/>
      <c r="P56" s="636"/>
      <c r="Q56" s="636"/>
      <c r="R56" s="636"/>
    </row>
    <row r="57" spans="2:18">
      <c r="B57" s="687" t="s">
        <v>794</v>
      </c>
      <c r="C57" s="649">
        <v>1</v>
      </c>
      <c r="D57" s="720">
        <f>D56/$C$52</f>
        <v>0.12164519316684737</v>
      </c>
      <c r="E57" s="720">
        <f>E56/$C$52</f>
        <v>0</v>
      </c>
      <c r="F57" s="720">
        <f>F56/C52</f>
        <v>5.7565670164591166E-2</v>
      </c>
      <c r="G57" s="720">
        <v>0.16</v>
      </c>
      <c r="H57" s="720">
        <v>0.17</v>
      </c>
      <c r="I57" s="720">
        <v>0.17</v>
      </c>
      <c r="J57" s="720">
        <v>0.16</v>
      </c>
      <c r="K57" s="720">
        <v>0.16</v>
      </c>
      <c r="L57" s="720">
        <v>0</v>
      </c>
      <c r="M57" s="696">
        <v>0</v>
      </c>
      <c r="N57" s="636"/>
      <c r="O57" s="636"/>
      <c r="P57" s="636"/>
      <c r="Q57" s="636"/>
      <c r="R57" s="636"/>
    </row>
    <row r="58" spans="2:18">
      <c r="B58" s="633" t="s">
        <v>795</v>
      </c>
      <c r="C58" s="684">
        <f>SUM(D58:R58)</f>
        <v>1293773.9694500002</v>
      </c>
      <c r="D58" s="679">
        <v>155738</v>
      </c>
      <c r="E58" s="688">
        <v>0</v>
      </c>
      <c r="F58" s="688">
        <f>(D52-D58)+F52*C62</f>
        <v>169393.57650000037</v>
      </c>
      <c r="G58" s="688">
        <f>F52*C63+G52*C62</f>
        <v>103115.624</v>
      </c>
      <c r="H58" s="688">
        <f>H52*$C$62+G52*$C$63</f>
        <v>175296.56079999998</v>
      </c>
      <c r="I58" s="688">
        <f>I52*$C$62+H52*$C$63</f>
        <v>206231.24799999996</v>
      </c>
      <c r="J58" s="688">
        <f t="shared" ref="J58:R58" si="13">J52*$C$62+I52*$C$63</f>
        <v>206231.24799999996</v>
      </c>
      <c r="K58" s="688">
        <f>K52*$C$62+J52*$C$63</f>
        <v>199657.62696999998</v>
      </c>
      <c r="L58" s="688">
        <f>L52*$C$62+K52*$C$63</f>
        <v>78110.08517999998</v>
      </c>
      <c r="M58" s="688">
        <f>M52*$C$62+L52*$C$63</f>
        <v>0</v>
      </c>
      <c r="N58" s="688">
        <f t="shared" si="13"/>
        <v>0</v>
      </c>
      <c r="O58" s="688">
        <f t="shared" si="13"/>
        <v>0</v>
      </c>
      <c r="P58" s="688">
        <f t="shared" si="13"/>
        <v>0</v>
      </c>
      <c r="Q58" s="688">
        <f t="shared" si="13"/>
        <v>0</v>
      </c>
      <c r="R58" s="688">
        <f t="shared" si="13"/>
        <v>0</v>
      </c>
    </row>
    <row r="59" spans="2:18">
      <c r="B59" s="654" t="s">
        <v>796</v>
      </c>
      <c r="C59" s="693"/>
      <c r="D59" s="806">
        <f>D58/$C$52</f>
        <v>0.12082591867940402</v>
      </c>
      <c r="E59" s="806"/>
      <c r="F59" s="806">
        <f>F58/$C$58</f>
        <v>0.13092980729239106</v>
      </c>
      <c r="G59" s="806">
        <f t="shared" ref="G59:L59" si="14">G58/$C$58</f>
        <v>7.9701421140692577E-2</v>
      </c>
      <c r="H59" s="806">
        <f t="shared" si="14"/>
        <v>0.13549241593917735</v>
      </c>
      <c r="I59" s="806">
        <f t="shared" si="14"/>
        <v>0.15940284228138513</v>
      </c>
      <c r="J59" s="806">
        <f t="shared" si="14"/>
        <v>0.15940284228138513</v>
      </c>
      <c r="K59" s="806">
        <f t="shared" si="14"/>
        <v>0.15432187668366598</v>
      </c>
      <c r="L59" s="806">
        <f t="shared" si="14"/>
        <v>6.0373826514074615E-2</v>
      </c>
    </row>
    <row r="60" spans="2:18">
      <c r="B60" s="654"/>
      <c r="C60" s="693"/>
      <c r="D60" s="806"/>
      <c r="E60" s="806"/>
      <c r="F60" s="806"/>
      <c r="G60" s="806"/>
      <c r="H60" s="806"/>
      <c r="I60" s="806"/>
      <c r="J60" s="806"/>
      <c r="K60" s="806"/>
      <c r="L60" s="806"/>
    </row>
    <row r="61" spans="2:18">
      <c r="B61" s="681" t="s">
        <v>797</v>
      </c>
      <c r="D61" s="634"/>
      <c r="F61" s="805">
        <f>D59+F59</f>
        <v>0.25175572597179507</v>
      </c>
      <c r="G61" s="652">
        <f t="shared" ref="G61:L61" si="15">F61+G59</f>
        <v>0.33145714711248764</v>
      </c>
      <c r="H61" s="652">
        <f t="shared" si="15"/>
        <v>0.46694956305166502</v>
      </c>
      <c r="I61" s="652">
        <f t="shared" si="15"/>
        <v>0.62635240533305014</v>
      </c>
      <c r="J61" s="652">
        <f t="shared" si="15"/>
        <v>0.78575524761443527</v>
      </c>
      <c r="K61" s="652">
        <f t="shared" si="15"/>
        <v>0.9400771242981012</v>
      </c>
      <c r="L61" s="652">
        <f t="shared" si="15"/>
        <v>1.0004509508121757</v>
      </c>
    </row>
    <row r="62" spans="2:18">
      <c r="B62" s="654" t="s">
        <v>798</v>
      </c>
      <c r="C62" s="636">
        <v>0.6</v>
      </c>
      <c r="D62" s="634"/>
      <c r="E62" s="688"/>
      <c r="F62" s="688"/>
      <c r="G62" s="688"/>
      <c r="H62" s="688"/>
      <c r="I62" s="688"/>
      <c r="J62" s="688"/>
      <c r="K62" s="688"/>
      <c r="L62" s="688"/>
      <c r="M62" s="688"/>
    </row>
    <row r="63" spans="2:18">
      <c r="B63" s="654" t="s">
        <v>799</v>
      </c>
      <c r="C63" s="636">
        <v>0.4</v>
      </c>
      <c r="D63" s="634"/>
      <c r="E63" s="688"/>
      <c r="F63" s="640"/>
      <c r="G63" s="640"/>
      <c r="H63" s="640"/>
      <c r="I63" s="640"/>
      <c r="J63" s="640"/>
      <c r="K63" s="640"/>
      <c r="L63" s="640"/>
      <c r="M63" s="640"/>
    </row>
    <row r="64" spans="2:18">
      <c r="B64" s="654" t="s">
        <v>800</v>
      </c>
      <c r="C64" s="640">
        <v>0</v>
      </c>
      <c r="D64" s="634"/>
      <c r="F64" s="688"/>
      <c r="H64" s="692"/>
      <c r="I64" s="672"/>
      <c r="J64" s="672"/>
      <c r="K64" s="672"/>
    </row>
    <row r="65" spans="1:28">
      <c r="B65" s="654"/>
      <c r="C65" s="640"/>
      <c r="D65" s="634"/>
      <c r="F65" s="688"/>
      <c r="H65" s="692"/>
      <c r="I65" s="672"/>
      <c r="J65" s="672"/>
      <c r="K65" s="672"/>
    </row>
    <row r="66" spans="1:28">
      <c r="B66" s="633" t="s">
        <v>801</v>
      </c>
      <c r="C66" s="692">
        <f>D41*D44*D45*D48</f>
        <v>0</v>
      </c>
      <c r="D66" s="672">
        <v>0</v>
      </c>
      <c r="E66" s="672">
        <f>$C$66*E67</f>
        <v>0</v>
      </c>
      <c r="F66" s="672">
        <f>$C$66*F67</f>
        <v>0</v>
      </c>
      <c r="G66" s="688"/>
      <c r="H66" s="688"/>
      <c r="I66" s="672"/>
      <c r="J66" s="672"/>
      <c r="K66" s="672"/>
    </row>
    <row r="67" spans="1:28">
      <c r="B67" s="654" t="s">
        <v>796</v>
      </c>
      <c r="C67" s="697">
        <v>1</v>
      </c>
      <c r="D67" s="640"/>
      <c r="E67" s="640"/>
      <c r="F67" s="640"/>
      <c r="G67" s="640"/>
      <c r="H67" s="640"/>
      <c r="I67" s="672"/>
      <c r="J67" s="672"/>
      <c r="K67" s="672"/>
    </row>
    <row r="68" spans="1:28">
      <c r="B68" s="687" t="s">
        <v>802</v>
      </c>
      <c r="C68" s="688">
        <f>C57*($C$66+$E$4)</f>
        <v>435574.8</v>
      </c>
      <c r="D68" s="688">
        <f>D57*($C$66+$E$4)</f>
        <v>52985.580684610904</v>
      </c>
      <c r="E68" s="688">
        <f>E57*($C$66+$E$4*$D$39/SUM($D$39,$D$76,$D$101,$D$124,$D$147))</f>
        <v>0</v>
      </c>
      <c r="F68" s="688">
        <f>F57*($C$66+$E$4)</f>
        <v>25074.155268807765</v>
      </c>
      <c r="G68" s="688">
        <f t="shared" ref="G68:R68" si="16">G57*($C$66+$E$4)</f>
        <v>69691.967999999993</v>
      </c>
      <c r="H68" s="688">
        <f t="shared" si="16"/>
        <v>74047.716</v>
      </c>
      <c r="I68" s="688">
        <f t="shared" si="16"/>
        <v>74047.716</v>
      </c>
      <c r="J68" s="688">
        <f t="shared" si="16"/>
        <v>69691.967999999993</v>
      </c>
      <c r="K68" s="688">
        <f t="shared" si="16"/>
        <v>69691.967999999993</v>
      </c>
      <c r="L68" s="688">
        <f t="shared" si="16"/>
        <v>0</v>
      </c>
      <c r="M68" s="688">
        <f t="shared" si="16"/>
        <v>0</v>
      </c>
      <c r="N68" s="688">
        <f t="shared" si="16"/>
        <v>0</v>
      </c>
      <c r="O68" s="688">
        <f t="shared" si="16"/>
        <v>0</v>
      </c>
      <c r="P68" s="688">
        <f t="shared" si="16"/>
        <v>0</v>
      </c>
      <c r="Q68" s="688">
        <f t="shared" si="16"/>
        <v>0</v>
      </c>
      <c r="R68" s="688">
        <f t="shared" si="16"/>
        <v>0</v>
      </c>
    </row>
    <row r="69" spans="1:28">
      <c r="B69" s="687" t="s">
        <v>803</v>
      </c>
      <c r="C69" s="698">
        <f>$E$3</f>
        <v>390594.3</v>
      </c>
      <c r="D69" s="688">
        <f>$C$69*D57</f>
        <v>47513.919073369529</v>
      </c>
      <c r="E69" s="688">
        <f t="shared" ref="E69:L69" si="17">$C$69*E57</f>
        <v>0</v>
      </c>
      <c r="F69" s="688">
        <f t="shared" si="17"/>
        <v>22484.822641969371</v>
      </c>
      <c r="G69" s="688">
        <f t="shared" si="17"/>
        <v>62495.087999999996</v>
      </c>
      <c r="H69" s="688">
        <f t="shared" si="17"/>
        <v>66401.031000000003</v>
      </c>
      <c r="I69" s="688">
        <f t="shared" si="17"/>
        <v>66401.031000000003</v>
      </c>
      <c r="J69" s="688">
        <f t="shared" si="17"/>
        <v>62495.087999999996</v>
      </c>
      <c r="K69" s="688">
        <f t="shared" si="17"/>
        <v>62495.087999999996</v>
      </c>
      <c r="L69" s="688">
        <f t="shared" si="17"/>
        <v>0</v>
      </c>
    </row>
    <row r="70" spans="1:28">
      <c r="B70" s="687" t="s">
        <v>804</v>
      </c>
      <c r="C70" s="698">
        <f>$D$39/SUM($D$39,$D$76,$D$101,$D$124,$D$147)*SUMIF($D$226:$R$226,"&lt;=" &amp; $E$6,$D$232:$R$232)</f>
        <v>22471.799520000004</v>
      </c>
      <c r="D70" s="688">
        <f>$C$70*D57</f>
        <v>2733.5863934170684</v>
      </c>
      <c r="E70" s="688">
        <f>$C$70*E57</f>
        <v>0</v>
      </c>
      <c r="F70" s="688">
        <f>$C$70*F57</f>
        <v>1293.6041991731383</v>
      </c>
      <c r="G70" s="688">
        <f t="shared" ref="G70:R70" si="18">$C$70*G57</f>
        <v>3595.4879232000008</v>
      </c>
      <c r="H70" s="688">
        <f t="shared" si="18"/>
        <v>3820.2059184000009</v>
      </c>
      <c r="I70" s="688">
        <f t="shared" si="18"/>
        <v>3820.2059184000009</v>
      </c>
      <c r="J70" s="688">
        <f t="shared" si="18"/>
        <v>3595.4879232000008</v>
      </c>
      <c r="K70" s="688">
        <f t="shared" si="18"/>
        <v>3595.4879232000008</v>
      </c>
      <c r="L70" s="688">
        <f t="shared" si="18"/>
        <v>0</v>
      </c>
      <c r="M70" s="688">
        <f t="shared" si="18"/>
        <v>0</v>
      </c>
      <c r="N70" s="688">
        <f t="shared" si="18"/>
        <v>0</v>
      </c>
      <c r="O70" s="688">
        <f t="shared" si="18"/>
        <v>0</v>
      </c>
      <c r="P70" s="688">
        <f t="shared" si="18"/>
        <v>0</v>
      </c>
      <c r="Q70" s="688">
        <f t="shared" si="18"/>
        <v>0</v>
      </c>
      <c r="R70" s="688">
        <f t="shared" si="18"/>
        <v>0</v>
      </c>
    </row>
    <row r="71" spans="1:28">
      <c r="B71" s="687" t="s">
        <v>805</v>
      </c>
      <c r="C71" s="698"/>
      <c r="D71" s="640"/>
      <c r="E71" s="688">
        <v>0</v>
      </c>
      <c r="F71" s="688">
        <f t="shared" ref="F71:R71" si="19">$D$39/SUM($D$39,$D$76,$D$101,$D$124,$D$147)*G232</f>
        <v>1817.5720200000001</v>
      </c>
      <c r="G71" s="688">
        <f t="shared" si="19"/>
        <v>3304.6764000000003</v>
      </c>
      <c r="H71" s="688">
        <f t="shared" si="19"/>
        <v>3965.6116800000004</v>
      </c>
      <c r="I71" s="688">
        <f t="shared" si="19"/>
        <v>4461.3131400000002</v>
      </c>
      <c r="J71" s="688">
        <f t="shared" si="19"/>
        <v>4461.3131400000002</v>
      </c>
      <c r="K71" s="688">
        <f t="shared" si="19"/>
        <v>2974.20876</v>
      </c>
      <c r="L71" s="688">
        <f t="shared" si="19"/>
        <v>1487.1043799999995</v>
      </c>
      <c r="M71" s="688">
        <f t="shared" si="19"/>
        <v>495.70145999999937</v>
      </c>
      <c r="N71" s="688">
        <f t="shared" si="19"/>
        <v>-7.3669070843607192E-13</v>
      </c>
      <c r="O71" s="688">
        <f t="shared" si="19"/>
        <v>-7.3669070843607192E-13</v>
      </c>
      <c r="P71" s="688">
        <f t="shared" si="19"/>
        <v>-7.3669070843607192E-13</v>
      </c>
      <c r="Q71" s="688">
        <f t="shared" si="19"/>
        <v>-7.3669070843607192E-13</v>
      </c>
      <c r="R71" s="688">
        <f t="shared" si="19"/>
        <v>0</v>
      </c>
    </row>
    <row r="72" spans="1:28">
      <c r="B72" s="633" t="s">
        <v>656</v>
      </c>
      <c r="D72" s="688">
        <f>$D$49*D58</f>
        <v>7786.9000000000005</v>
      </c>
      <c r="E72" s="688">
        <f t="shared" ref="E72:R72" si="20">$D$49*E58</f>
        <v>0</v>
      </c>
      <c r="F72" s="688">
        <f>$D$49*F58</f>
        <v>8469.6788250000191</v>
      </c>
      <c r="G72" s="688">
        <f t="shared" si="20"/>
        <v>5155.7812000000004</v>
      </c>
      <c r="H72" s="688">
        <f t="shared" si="20"/>
        <v>8764.8280399999985</v>
      </c>
      <c r="I72" s="688">
        <f t="shared" si="20"/>
        <v>10311.562399999999</v>
      </c>
      <c r="J72" s="688">
        <f t="shared" si="20"/>
        <v>10311.562399999999</v>
      </c>
      <c r="K72" s="688">
        <f t="shared" si="20"/>
        <v>9982.8813484999991</v>
      </c>
      <c r="L72" s="688">
        <f t="shared" si="20"/>
        <v>3905.5042589999994</v>
      </c>
      <c r="M72" s="688">
        <f t="shared" si="20"/>
        <v>0</v>
      </c>
      <c r="N72" s="688">
        <f t="shared" si="20"/>
        <v>0</v>
      </c>
      <c r="O72" s="688">
        <f t="shared" si="20"/>
        <v>0</v>
      </c>
      <c r="P72" s="688">
        <f t="shared" si="20"/>
        <v>0</v>
      </c>
      <c r="Q72" s="688">
        <f t="shared" si="20"/>
        <v>0</v>
      </c>
      <c r="R72" s="688">
        <f t="shared" si="20"/>
        <v>0</v>
      </c>
    </row>
    <row r="74" spans="1:28" s="666" customFormat="1" hidden="1">
      <c r="A74" s="666" t="s">
        <v>806</v>
      </c>
      <c r="B74" s="666" t="s">
        <v>807</v>
      </c>
      <c r="AB74" s="667"/>
    </row>
    <row r="75" spans="1:28" s="633" customFormat="1" ht="12" hidden="1" thickBot="1">
      <c r="C75" s="633" t="s">
        <v>764</v>
      </c>
      <c r="AB75" s="670"/>
    </row>
    <row r="76" spans="1:28" ht="12" hidden="1" thickBot="1">
      <c r="B76" s="634" t="s">
        <v>686</v>
      </c>
      <c r="C76" s="634" t="s">
        <v>767</v>
      </c>
      <c r="D76" s="683">
        <v>0</v>
      </c>
      <c r="E76" s="633"/>
    </row>
    <row r="77" spans="1:28" ht="12" hidden="1" thickBot="1">
      <c r="B77" s="634" t="s">
        <v>779</v>
      </c>
      <c r="C77" s="634" t="s">
        <v>780</v>
      </c>
      <c r="D77" s="685" t="e">
        <f>D78/D76</f>
        <v>#DIV/0!</v>
      </c>
      <c r="G77" s="633"/>
      <c r="H77" s="633"/>
      <c r="I77" s="633"/>
      <c r="J77" s="633"/>
      <c r="K77" s="633"/>
      <c r="L77" s="633"/>
      <c r="M77" s="633"/>
      <c r="N77" s="633"/>
      <c r="O77" s="633"/>
      <c r="P77" s="633"/>
      <c r="Q77" s="633"/>
      <c r="R77" s="633"/>
      <c r="S77" s="633"/>
      <c r="T77" s="633"/>
      <c r="U77" s="633"/>
      <c r="V77" s="633"/>
      <c r="W77" s="633"/>
    </row>
    <row r="78" spans="1:28" ht="12" hidden="1" thickBot="1">
      <c r="B78" s="634" t="s">
        <v>808</v>
      </c>
      <c r="C78" s="634" t="s">
        <v>767</v>
      </c>
      <c r="D78" s="671">
        <v>0</v>
      </c>
    </row>
    <row r="79" spans="1:28" ht="12" hidden="1" thickBot="1">
      <c r="B79" s="634" t="s">
        <v>809</v>
      </c>
      <c r="C79" s="634" t="s">
        <v>769</v>
      </c>
      <c r="D79" s="683">
        <f>149621*12/10^6</f>
        <v>1.795452</v>
      </c>
    </row>
    <row r="80" spans="1:28" ht="12" hidden="1" thickBot="1">
      <c r="B80" s="634" t="s">
        <v>810</v>
      </c>
      <c r="C80" s="634" t="s">
        <v>780</v>
      </c>
      <c r="D80" s="685">
        <v>0.05</v>
      </c>
      <c r="G80" s="633"/>
    </row>
    <row r="81" spans="2:18" ht="12" hidden="1" thickBot="1">
      <c r="B81" s="634" t="s">
        <v>811</v>
      </c>
      <c r="C81" s="634" t="s">
        <v>780</v>
      </c>
      <c r="D81" s="685">
        <v>0.87</v>
      </c>
    </row>
    <row r="82" spans="2:18" ht="12" hidden="1" thickBot="1">
      <c r="B82" s="634" t="s">
        <v>750</v>
      </c>
      <c r="C82" s="634" t="s">
        <v>769</v>
      </c>
      <c r="D82" s="674">
        <v>8</v>
      </c>
      <c r="G82" s="633"/>
    </row>
    <row r="83" spans="2:18" ht="12" hidden="1" thickBot="1">
      <c r="B83" s="634" t="s">
        <v>812</v>
      </c>
      <c r="C83" s="634" t="s">
        <v>780</v>
      </c>
      <c r="D83" s="685">
        <v>0.05</v>
      </c>
      <c r="E83" s="699"/>
      <c r="G83" s="633"/>
    </row>
    <row r="84" spans="2:18" ht="12" hidden="1" thickBot="1">
      <c r="B84" s="634" t="s">
        <v>243</v>
      </c>
      <c r="C84" s="634" t="s">
        <v>813</v>
      </c>
      <c r="D84" s="683">
        <v>45</v>
      </c>
      <c r="G84" s="633"/>
    </row>
    <row r="85" spans="2:18" ht="12" hidden="1" thickBot="1">
      <c r="B85" s="634" t="s">
        <v>814</v>
      </c>
      <c r="C85" s="634" t="s">
        <v>780</v>
      </c>
      <c r="D85" s="685">
        <v>0.1</v>
      </c>
      <c r="E85" s="699"/>
      <c r="G85" s="633"/>
    </row>
    <row r="86" spans="2:18" hidden="1">
      <c r="D86" s="634"/>
      <c r="G86" s="633"/>
    </row>
    <row r="87" spans="2:18" hidden="1">
      <c r="B87" s="700"/>
      <c r="C87" s="677" t="s">
        <v>642</v>
      </c>
      <c r="D87" s="677" t="str">
        <f>D51</f>
        <v>Past (inc 2013)</v>
      </c>
      <c r="E87" s="677">
        <f>E51</f>
        <v>2013</v>
      </c>
      <c r="F87" s="677">
        <f t="shared" ref="F87:R87" si="21">F51</f>
        <v>2014</v>
      </c>
      <c r="G87" s="677">
        <f t="shared" si="21"/>
        <v>2015</v>
      </c>
      <c r="H87" s="677">
        <f t="shared" si="21"/>
        <v>2016</v>
      </c>
      <c r="I87" s="677">
        <f t="shared" si="21"/>
        <v>2017</v>
      </c>
      <c r="J87" s="677">
        <f t="shared" si="21"/>
        <v>2018</v>
      </c>
      <c r="K87" s="677">
        <f t="shared" si="21"/>
        <v>2019</v>
      </c>
      <c r="L87" s="677">
        <f t="shared" si="21"/>
        <v>2020</v>
      </c>
      <c r="M87" s="677">
        <f t="shared" si="21"/>
        <v>2021</v>
      </c>
      <c r="N87" s="677">
        <f t="shared" si="21"/>
        <v>2022</v>
      </c>
      <c r="O87" s="677">
        <f t="shared" si="21"/>
        <v>2023</v>
      </c>
      <c r="P87" s="677">
        <f t="shared" si="21"/>
        <v>2024</v>
      </c>
      <c r="Q87" s="677">
        <f t="shared" si="21"/>
        <v>2025</v>
      </c>
      <c r="R87" s="677">
        <f t="shared" si="21"/>
        <v>2026</v>
      </c>
    </row>
    <row r="88" spans="2:18" hidden="1">
      <c r="B88" s="633" t="s">
        <v>815</v>
      </c>
      <c r="D88" s="634"/>
      <c r="E88" s="689">
        <f>7*21000*12/10^6</f>
        <v>1.764</v>
      </c>
      <c r="F88" s="701">
        <f>E88*(1+F89)</f>
        <v>1.8522000000000001</v>
      </c>
      <c r="G88" s="701">
        <f t="shared" ref="G88:R88" si="22">F88*(1+G89)</f>
        <v>1.9448100000000001</v>
      </c>
      <c r="H88" s="701">
        <f t="shared" si="22"/>
        <v>2.722734</v>
      </c>
      <c r="I88" s="701">
        <f t="shared" si="22"/>
        <v>2.8588707000000002</v>
      </c>
      <c r="J88" s="701">
        <f t="shared" si="22"/>
        <v>3.0018142350000003</v>
      </c>
      <c r="K88" s="701">
        <f t="shared" si="22"/>
        <v>4.2025399290000003</v>
      </c>
      <c r="L88" s="701">
        <f t="shared" si="22"/>
        <v>4.4126669254500008</v>
      </c>
      <c r="M88" s="701">
        <f t="shared" si="22"/>
        <v>4.6333002717225007</v>
      </c>
      <c r="N88" s="701">
        <f t="shared" si="22"/>
        <v>6.4866203804115008</v>
      </c>
      <c r="O88" s="701">
        <f t="shared" si="22"/>
        <v>6.8109513994320761</v>
      </c>
      <c r="P88" s="701">
        <f t="shared" si="22"/>
        <v>7.1514989694036801</v>
      </c>
      <c r="Q88" s="701">
        <f t="shared" si="22"/>
        <v>7.5090739178738648</v>
      </c>
      <c r="R88" s="701">
        <f t="shared" si="22"/>
        <v>7.884527613767558</v>
      </c>
    </row>
    <row r="89" spans="2:18" hidden="1">
      <c r="B89" s="654" t="s">
        <v>816</v>
      </c>
      <c r="D89" s="634"/>
      <c r="E89" s="696">
        <f>(7-5)/5</f>
        <v>0.4</v>
      </c>
      <c r="F89" s="696">
        <v>0.05</v>
      </c>
      <c r="G89" s="696">
        <f>F89</f>
        <v>0.05</v>
      </c>
      <c r="H89" s="696">
        <v>0.4</v>
      </c>
      <c r="I89" s="696">
        <f t="shared" ref="I89:R89" si="23">$D$80</f>
        <v>0.05</v>
      </c>
      <c r="J89" s="696">
        <f t="shared" si="23"/>
        <v>0.05</v>
      </c>
      <c r="K89" s="696">
        <v>0.4</v>
      </c>
      <c r="L89" s="696">
        <f t="shared" si="23"/>
        <v>0.05</v>
      </c>
      <c r="M89" s="696">
        <f t="shared" si="23"/>
        <v>0.05</v>
      </c>
      <c r="N89" s="696">
        <v>0.4</v>
      </c>
      <c r="O89" s="696">
        <f t="shared" si="23"/>
        <v>0.05</v>
      </c>
      <c r="P89" s="696">
        <f t="shared" si="23"/>
        <v>0.05</v>
      </c>
      <c r="Q89" s="696">
        <f t="shared" si="23"/>
        <v>0.05</v>
      </c>
      <c r="R89" s="696">
        <f t="shared" si="23"/>
        <v>0.05</v>
      </c>
    </row>
    <row r="90" spans="2:18" hidden="1">
      <c r="B90" s="633" t="s">
        <v>817</v>
      </c>
      <c r="C90" s="676"/>
      <c r="D90" s="634"/>
      <c r="E90" s="696">
        <f>D81</f>
        <v>0.87</v>
      </c>
      <c r="F90" s="696">
        <f>E90+2%</f>
        <v>0.89</v>
      </c>
      <c r="G90" s="696">
        <f>F90+2%</f>
        <v>0.91</v>
      </c>
      <c r="H90" s="696">
        <f>G90+2%</f>
        <v>0.93</v>
      </c>
      <c r="I90" s="696">
        <f>H90+2%</f>
        <v>0.95000000000000007</v>
      </c>
      <c r="J90" s="696">
        <v>0.95</v>
      </c>
      <c r="K90" s="696">
        <v>0.95</v>
      </c>
      <c r="L90" s="696">
        <v>0.95</v>
      </c>
      <c r="M90" s="696">
        <v>0.95</v>
      </c>
      <c r="N90" s="696">
        <v>0.95</v>
      </c>
      <c r="O90" s="696">
        <v>0.95</v>
      </c>
      <c r="P90" s="696">
        <v>0.95</v>
      </c>
      <c r="Q90" s="696">
        <v>0.95</v>
      </c>
      <c r="R90" s="696">
        <v>0.95</v>
      </c>
    </row>
    <row r="91" spans="2:18" hidden="1">
      <c r="B91" s="633" t="s">
        <v>818</v>
      </c>
      <c r="D91" s="634"/>
      <c r="E91" s="688">
        <f>E88*$D$78*E90</f>
        <v>0</v>
      </c>
      <c r="F91" s="688">
        <f t="shared" ref="F91:R91" si="24">F88*$D$78*F90</f>
        <v>0</v>
      </c>
      <c r="G91" s="688">
        <f t="shared" si="24"/>
        <v>0</v>
      </c>
      <c r="H91" s="688">
        <f t="shared" si="24"/>
        <v>0</v>
      </c>
      <c r="I91" s="688">
        <f t="shared" si="24"/>
        <v>0</v>
      </c>
      <c r="J91" s="688">
        <f t="shared" si="24"/>
        <v>0</v>
      </c>
      <c r="K91" s="688">
        <f t="shared" si="24"/>
        <v>0</v>
      </c>
      <c r="L91" s="688">
        <f t="shared" si="24"/>
        <v>0</v>
      </c>
      <c r="M91" s="688">
        <f t="shared" si="24"/>
        <v>0</v>
      </c>
      <c r="N91" s="688">
        <f t="shared" si="24"/>
        <v>0</v>
      </c>
      <c r="O91" s="688">
        <f t="shared" si="24"/>
        <v>0</v>
      </c>
      <c r="P91" s="688">
        <f t="shared" si="24"/>
        <v>0</v>
      </c>
      <c r="Q91" s="688">
        <f t="shared" si="24"/>
        <v>0</v>
      </c>
      <c r="R91" s="688">
        <f t="shared" si="24"/>
        <v>0</v>
      </c>
    </row>
    <row r="92" spans="2:18" hidden="1">
      <c r="B92" s="633" t="s">
        <v>819</v>
      </c>
      <c r="C92" s="679">
        <f>$D76*$D82+($E$3+$E$4+SUMIF($D$226:$R$226,"&lt;="&amp;$E$6,$D$232:$R$232))*$D76/($D$76+$D$101+$D$39+$D$124+$D$147)</f>
        <v>0</v>
      </c>
      <c r="D92" s="634"/>
      <c r="E92" s="688">
        <f>$C$92/$D$84</f>
        <v>0</v>
      </c>
      <c r="F92" s="688">
        <f>$C$92/$D$84</f>
        <v>0</v>
      </c>
      <c r="G92" s="688">
        <f>$C$92/$D$84</f>
        <v>0</v>
      </c>
      <c r="H92" s="688">
        <f>$C$92/$D$84</f>
        <v>0</v>
      </c>
      <c r="I92" s="688">
        <f t="shared" ref="I92:R92" si="25">$C$92/$D$84</f>
        <v>0</v>
      </c>
      <c r="J92" s="688">
        <f t="shared" si="25"/>
        <v>0</v>
      </c>
      <c r="K92" s="688">
        <f t="shared" si="25"/>
        <v>0</v>
      </c>
      <c r="L92" s="688">
        <f t="shared" si="25"/>
        <v>0</v>
      </c>
      <c r="M92" s="688">
        <f t="shared" si="25"/>
        <v>0</v>
      </c>
      <c r="N92" s="688">
        <f t="shared" si="25"/>
        <v>0</v>
      </c>
      <c r="O92" s="688">
        <f t="shared" si="25"/>
        <v>0</v>
      </c>
      <c r="P92" s="688">
        <f t="shared" si="25"/>
        <v>0</v>
      </c>
      <c r="Q92" s="688">
        <f t="shared" si="25"/>
        <v>0</v>
      </c>
      <c r="R92" s="688">
        <f t="shared" si="25"/>
        <v>0</v>
      </c>
    </row>
    <row r="93" spans="2:18" hidden="1">
      <c r="B93" s="633" t="s">
        <v>805</v>
      </c>
      <c r="C93" s="679"/>
      <c r="D93" s="634"/>
      <c r="E93" s="688">
        <f>$D$76/SUM($D$39,$D$76,$D$101,$D$124,$D$147)*F232</f>
        <v>0</v>
      </c>
      <c r="F93" s="688">
        <f t="shared" ref="F93:R93" si="26">$D$76/SUM($D$39,$D$76,$D$101,$D$124,$D$147)*G232</f>
        <v>0</v>
      </c>
      <c r="G93" s="688">
        <f t="shared" si="26"/>
        <v>0</v>
      </c>
      <c r="H93" s="688">
        <f t="shared" si="26"/>
        <v>0</v>
      </c>
      <c r="I93" s="688">
        <f t="shared" si="26"/>
        <v>0</v>
      </c>
      <c r="J93" s="688">
        <f t="shared" si="26"/>
        <v>0</v>
      </c>
      <c r="K93" s="688">
        <f t="shared" si="26"/>
        <v>0</v>
      </c>
      <c r="L93" s="688">
        <f t="shared" si="26"/>
        <v>0</v>
      </c>
      <c r="M93" s="688">
        <f t="shared" si="26"/>
        <v>0</v>
      </c>
      <c r="N93" s="688">
        <f t="shared" si="26"/>
        <v>0</v>
      </c>
      <c r="O93" s="688">
        <f t="shared" si="26"/>
        <v>0</v>
      </c>
      <c r="P93" s="688">
        <f t="shared" si="26"/>
        <v>0</v>
      </c>
      <c r="Q93" s="688">
        <f t="shared" si="26"/>
        <v>0</v>
      </c>
      <c r="R93" s="688">
        <f t="shared" si="26"/>
        <v>0</v>
      </c>
    </row>
    <row r="94" spans="2:18" hidden="1">
      <c r="B94" s="633" t="s">
        <v>820</v>
      </c>
      <c r="C94" s="636"/>
      <c r="D94" s="634"/>
      <c r="E94" s="679">
        <f>20%*E91</f>
        <v>0</v>
      </c>
      <c r="F94" s="679">
        <f>14%*F91</f>
        <v>0</v>
      </c>
      <c r="G94" s="679">
        <f>10%*G91</f>
        <v>0</v>
      </c>
      <c r="H94" s="679">
        <f>7%*H91</f>
        <v>0</v>
      </c>
      <c r="I94" s="679">
        <f>$D$83*I91</f>
        <v>0</v>
      </c>
      <c r="J94" s="679">
        <f t="shared" ref="J94:R94" si="27">$D$83*J91</f>
        <v>0</v>
      </c>
      <c r="K94" s="679">
        <f t="shared" si="27"/>
        <v>0</v>
      </c>
      <c r="L94" s="679">
        <f t="shared" si="27"/>
        <v>0</v>
      </c>
      <c r="M94" s="679">
        <f t="shared" si="27"/>
        <v>0</v>
      </c>
      <c r="N94" s="679">
        <f t="shared" si="27"/>
        <v>0</v>
      </c>
      <c r="O94" s="679">
        <f t="shared" si="27"/>
        <v>0</v>
      </c>
      <c r="P94" s="679">
        <f t="shared" si="27"/>
        <v>0</v>
      </c>
      <c r="Q94" s="679">
        <f t="shared" si="27"/>
        <v>0</v>
      </c>
      <c r="R94" s="679">
        <f t="shared" si="27"/>
        <v>0</v>
      </c>
    </row>
    <row r="95" spans="2:18" hidden="1">
      <c r="B95" s="633" t="s">
        <v>821</v>
      </c>
      <c r="C95" s="636"/>
      <c r="D95" s="634"/>
      <c r="E95" s="679">
        <f>20%*E91</f>
        <v>0</v>
      </c>
      <c r="F95" s="679">
        <f>14%*F91</f>
        <v>0</v>
      </c>
      <c r="G95" s="679">
        <f>10%*G91</f>
        <v>0</v>
      </c>
      <c r="H95" s="679">
        <f>10%*H91</f>
        <v>0</v>
      </c>
      <c r="I95" s="679">
        <f>$D$85*I91</f>
        <v>0</v>
      </c>
      <c r="J95" s="679">
        <f t="shared" ref="J95:R95" si="28">$D$85*J91</f>
        <v>0</v>
      </c>
      <c r="K95" s="679">
        <f t="shared" si="28"/>
        <v>0</v>
      </c>
      <c r="L95" s="679">
        <f t="shared" si="28"/>
        <v>0</v>
      </c>
      <c r="M95" s="679">
        <f t="shared" si="28"/>
        <v>0</v>
      </c>
      <c r="N95" s="679">
        <f t="shared" si="28"/>
        <v>0</v>
      </c>
      <c r="O95" s="679">
        <f t="shared" si="28"/>
        <v>0</v>
      </c>
      <c r="P95" s="679">
        <f t="shared" si="28"/>
        <v>0</v>
      </c>
      <c r="Q95" s="679">
        <f t="shared" si="28"/>
        <v>0</v>
      </c>
      <c r="R95" s="679">
        <f t="shared" si="28"/>
        <v>0</v>
      </c>
    </row>
    <row r="96" spans="2:18" hidden="1">
      <c r="B96" s="633" t="s">
        <v>822</v>
      </c>
      <c r="C96" s="636"/>
      <c r="D96" s="634"/>
      <c r="E96" s="679">
        <f>E91-SUM(E92:E95)</f>
        <v>0</v>
      </c>
      <c r="F96" s="679">
        <f>F91-SUM(F92:F95)</f>
        <v>0</v>
      </c>
      <c r="G96" s="679">
        <f>G91-SUM(G92:G95)</f>
        <v>0</v>
      </c>
      <c r="H96" s="679">
        <f t="shared" ref="H96:R96" si="29">H91-SUM(H92:H95)</f>
        <v>0</v>
      </c>
      <c r="I96" s="679">
        <f t="shared" si="29"/>
        <v>0</v>
      </c>
      <c r="J96" s="679">
        <f t="shared" si="29"/>
        <v>0</v>
      </c>
      <c r="K96" s="679">
        <f t="shared" si="29"/>
        <v>0</v>
      </c>
      <c r="L96" s="679">
        <f t="shared" si="29"/>
        <v>0</v>
      </c>
      <c r="M96" s="679">
        <f t="shared" si="29"/>
        <v>0</v>
      </c>
      <c r="N96" s="679">
        <f t="shared" si="29"/>
        <v>0</v>
      </c>
      <c r="O96" s="679">
        <f t="shared" si="29"/>
        <v>0</v>
      </c>
      <c r="P96" s="679">
        <f t="shared" si="29"/>
        <v>0</v>
      </c>
      <c r="Q96" s="679">
        <f t="shared" si="29"/>
        <v>0</v>
      </c>
      <c r="R96" s="679">
        <f t="shared" si="29"/>
        <v>0</v>
      </c>
    </row>
    <row r="97" spans="1:28" hidden="1">
      <c r="B97" s="633" t="s">
        <v>661</v>
      </c>
      <c r="C97" s="636"/>
      <c r="D97" s="634"/>
      <c r="E97" s="679">
        <f>IF(E96&lt;0,E96,E96*75%)</f>
        <v>0</v>
      </c>
      <c r="F97" s="679">
        <f>IF(F96&lt;0,F96,F96*75%)</f>
        <v>0</v>
      </c>
      <c r="G97" s="679">
        <f>IF(G96&lt;0,G96,G96*78%)</f>
        <v>0</v>
      </c>
      <c r="H97" s="679">
        <f>IF(H96&lt;0,H96,H96*78%)</f>
        <v>0</v>
      </c>
      <c r="I97" s="679">
        <f>IF(I96&lt;0,I96,I96*80%)</f>
        <v>0</v>
      </c>
      <c r="J97" s="679">
        <f t="shared" ref="J97:R97" si="30">IF(J96&lt;0,J96,J96*80%)</f>
        <v>0</v>
      </c>
      <c r="K97" s="679">
        <f t="shared" si="30"/>
        <v>0</v>
      </c>
      <c r="L97" s="679">
        <f t="shared" si="30"/>
        <v>0</v>
      </c>
      <c r="M97" s="679">
        <f t="shared" si="30"/>
        <v>0</v>
      </c>
      <c r="N97" s="679">
        <f t="shared" si="30"/>
        <v>0</v>
      </c>
      <c r="O97" s="679">
        <f t="shared" si="30"/>
        <v>0</v>
      </c>
      <c r="P97" s="679">
        <f t="shared" si="30"/>
        <v>0</v>
      </c>
      <c r="Q97" s="679">
        <f t="shared" si="30"/>
        <v>0</v>
      </c>
      <c r="R97" s="679">
        <f t="shared" si="30"/>
        <v>0</v>
      </c>
    </row>
    <row r="98" spans="1:28" hidden="1">
      <c r="B98" s="634" t="s">
        <v>630</v>
      </c>
      <c r="G98" s="640"/>
    </row>
    <row r="99" spans="1:28" s="666" customFormat="1" hidden="1">
      <c r="A99" s="666" t="s">
        <v>823</v>
      </c>
      <c r="B99" s="666" t="s">
        <v>824</v>
      </c>
      <c r="AB99" s="667"/>
    </row>
    <row r="100" spans="1:28" ht="12" hidden="1" thickBot="1">
      <c r="C100" s="633" t="s">
        <v>764</v>
      </c>
      <c r="D100" s="634"/>
      <c r="E100" s="633"/>
    </row>
    <row r="101" spans="1:28" ht="12" hidden="1" thickBot="1">
      <c r="B101" s="634" t="s">
        <v>686</v>
      </c>
      <c r="C101" s="634" t="s">
        <v>767</v>
      </c>
      <c r="D101" s="683">
        <v>0</v>
      </c>
      <c r="E101" s="633"/>
    </row>
    <row r="102" spans="1:28" ht="12" hidden="1" thickBot="1">
      <c r="B102" s="634" t="s">
        <v>779</v>
      </c>
      <c r="C102" s="634" t="s">
        <v>780</v>
      </c>
      <c r="D102" s="685">
        <v>0.75</v>
      </c>
      <c r="E102" s="633"/>
      <c r="G102" s="633"/>
      <c r="H102" s="633"/>
      <c r="I102" s="633"/>
      <c r="J102" s="633"/>
      <c r="K102" s="633"/>
      <c r="L102" s="633"/>
      <c r="M102" s="633"/>
      <c r="N102" s="633"/>
      <c r="O102" s="633"/>
      <c r="P102" s="633"/>
      <c r="Q102" s="633"/>
      <c r="R102" s="633"/>
      <c r="S102" s="633"/>
      <c r="T102" s="633"/>
      <c r="U102" s="633"/>
      <c r="V102" s="633"/>
      <c r="W102" s="633"/>
    </row>
    <row r="103" spans="1:28" ht="12" hidden="1" thickBot="1">
      <c r="B103" s="634" t="s">
        <v>808</v>
      </c>
      <c r="C103" s="634" t="s">
        <v>767</v>
      </c>
      <c r="D103" s="671">
        <f>D101*D102</f>
        <v>0</v>
      </c>
    </row>
    <row r="104" spans="1:28" ht="12" hidden="1" thickBot="1">
      <c r="B104" s="634" t="s">
        <v>825</v>
      </c>
      <c r="C104" s="634" t="s">
        <v>769</v>
      </c>
      <c r="D104" s="702">
        <f>22*(1+D105)^3*21000*12/10^6</f>
        <v>6.4178730000000002</v>
      </c>
    </row>
    <row r="105" spans="1:28" ht="12" hidden="1" thickBot="1">
      <c r="B105" s="634" t="s">
        <v>810</v>
      </c>
      <c r="C105" s="634" t="s">
        <v>780</v>
      </c>
      <c r="D105" s="685">
        <v>0.05</v>
      </c>
      <c r="G105" s="633"/>
    </row>
    <row r="106" spans="1:28" ht="12" hidden="1" thickBot="1">
      <c r="B106" s="634" t="s">
        <v>811</v>
      </c>
      <c r="C106" s="634" t="s">
        <v>780</v>
      </c>
      <c r="D106" s="685">
        <v>0.5</v>
      </c>
    </row>
    <row r="107" spans="1:28" ht="12" hidden="1" thickBot="1">
      <c r="B107" s="634" t="s">
        <v>750</v>
      </c>
      <c r="C107" s="634" t="s">
        <v>769</v>
      </c>
      <c r="D107" s="674">
        <v>8</v>
      </c>
      <c r="G107" s="633"/>
    </row>
    <row r="108" spans="1:28" ht="12" hidden="1" thickBot="1">
      <c r="B108" s="634" t="s">
        <v>812</v>
      </c>
      <c r="C108" s="634" t="s">
        <v>780</v>
      </c>
      <c r="D108" s="685">
        <v>0.05</v>
      </c>
      <c r="G108" s="633"/>
    </row>
    <row r="109" spans="1:28" ht="12" hidden="1" thickBot="1">
      <c r="B109" s="634" t="s">
        <v>243</v>
      </c>
      <c r="C109" s="634" t="s">
        <v>813</v>
      </c>
      <c r="D109" s="683">
        <v>45</v>
      </c>
      <c r="G109" s="633"/>
    </row>
    <row r="110" spans="1:28" ht="12" hidden="1" thickBot="1">
      <c r="B110" s="634" t="s">
        <v>826</v>
      </c>
      <c r="C110" s="634" t="s">
        <v>780</v>
      </c>
      <c r="D110" s="703">
        <f>0.05*21000*365/10^6</f>
        <v>0.38324999999999998</v>
      </c>
      <c r="G110" s="633"/>
    </row>
    <row r="111" spans="1:28" hidden="1"/>
    <row r="112" spans="1:28" hidden="1">
      <c r="B112" s="700"/>
      <c r="C112" s="677" t="s">
        <v>642</v>
      </c>
      <c r="D112" s="677" t="str">
        <f>D87</f>
        <v>Past (inc 2013)</v>
      </c>
      <c r="E112" s="677">
        <f t="shared" ref="E112:R112" si="31">E87</f>
        <v>2013</v>
      </c>
      <c r="F112" s="677">
        <f t="shared" si="31"/>
        <v>2014</v>
      </c>
      <c r="G112" s="677">
        <f t="shared" si="31"/>
        <v>2015</v>
      </c>
      <c r="H112" s="677">
        <f t="shared" si="31"/>
        <v>2016</v>
      </c>
      <c r="I112" s="677">
        <f t="shared" si="31"/>
        <v>2017</v>
      </c>
      <c r="J112" s="677">
        <f t="shared" si="31"/>
        <v>2018</v>
      </c>
      <c r="K112" s="677">
        <f t="shared" si="31"/>
        <v>2019</v>
      </c>
      <c r="L112" s="677">
        <f t="shared" si="31"/>
        <v>2020</v>
      </c>
      <c r="M112" s="677">
        <f t="shared" si="31"/>
        <v>2021</v>
      </c>
      <c r="N112" s="677">
        <f t="shared" si="31"/>
        <v>2022</v>
      </c>
      <c r="O112" s="677">
        <f t="shared" si="31"/>
        <v>2023</v>
      </c>
      <c r="P112" s="677">
        <f t="shared" si="31"/>
        <v>2024</v>
      </c>
      <c r="Q112" s="677">
        <f t="shared" si="31"/>
        <v>2025</v>
      </c>
      <c r="R112" s="677">
        <f t="shared" si="31"/>
        <v>2026</v>
      </c>
    </row>
    <row r="113" spans="1:28" hidden="1">
      <c r="B113" s="633" t="s">
        <v>815</v>
      </c>
      <c r="D113" s="634"/>
      <c r="F113" s="701">
        <f>D104</f>
        <v>6.4178730000000002</v>
      </c>
      <c r="G113" s="689">
        <f>F113*(1+G114)</f>
        <v>6.7387666500000005</v>
      </c>
      <c r="H113" s="689">
        <f>G113*(1+H114)</f>
        <v>7.0757049825000005</v>
      </c>
      <c r="I113" s="689">
        <f t="shared" ref="I113:R113" si="32">H113*(1+I114)</f>
        <v>7.4294902316250004</v>
      </c>
      <c r="J113" s="689">
        <f t="shared" si="32"/>
        <v>7.8009647432062508</v>
      </c>
      <c r="K113" s="689">
        <f t="shared" si="32"/>
        <v>8.1910129803665637</v>
      </c>
      <c r="L113" s="689">
        <f t="shared" si="32"/>
        <v>8.6005636293848919</v>
      </c>
      <c r="M113" s="689">
        <f t="shared" si="32"/>
        <v>9.030591810854137</v>
      </c>
      <c r="N113" s="689">
        <f t="shared" si="32"/>
        <v>9.482121401396844</v>
      </c>
      <c r="O113" s="689">
        <f t="shared" si="32"/>
        <v>9.9562274714666863</v>
      </c>
      <c r="P113" s="689">
        <f t="shared" si="32"/>
        <v>10.454038845040021</v>
      </c>
      <c r="Q113" s="689">
        <f t="shared" si="32"/>
        <v>10.976740787292023</v>
      </c>
      <c r="R113" s="689">
        <f t="shared" si="32"/>
        <v>11.525577826656624</v>
      </c>
    </row>
    <row r="114" spans="1:28" hidden="1">
      <c r="B114" s="654" t="s">
        <v>827</v>
      </c>
      <c r="D114" s="634"/>
      <c r="G114" s="696">
        <f t="shared" ref="G114:R114" si="33">$D$80</f>
        <v>0.05</v>
      </c>
      <c r="H114" s="696">
        <f t="shared" si="33"/>
        <v>0.05</v>
      </c>
      <c r="I114" s="696">
        <f t="shared" si="33"/>
        <v>0.05</v>
      </c>
      <c r="J114" s="696">
        <f t="shared" si="33"/>
        <v>0.05</v>
      </c>
      <c r="K114" s="696">
        <f t="shared" si="33"/>
        <v>0.05</v>
      </c>
      <c r="L114" s="696">
        <f t="shared" si="33"/>
        <v>0.05</v>
      </c>
      <c r="M114" s="696">
        <f t="shared" si="33"/>
        <v>0.05</v>
      </c>
      <c r="N114" s="696">
        <f t="shared" si="33"/>
        <v>0.05</v>
      </c>
      <c r="O114" s="696">
        <f t="shared" si="33"/>
        <v>0.05</v>
      </c>
      <c r="P114" s="696">
        <f t="shared" si="33"/>
        <v>0.05</v>
      </c>
      <c r="Q114" s="696">
        <f t="shared" si="33"/>
        <v>0.05</v>
      </c>
      <c r="R114" s="696">
        <f t="shared" si="33"/>
        <v>0.05</v>
      </c>
    </row>
    <row r="115" spans="1:28" hidden="1">
      <c r="B115" s="633" t="s">
        <v>817</v>
      </c>
      <c r="D115" s="634"/>
      <c r="G115" s="696">
        <v>0.5</v>
      </c>
      <c r="H115" s="696">
        <f>G115+10%</f>
        <v>0.6</v>
      </c>
      <c r="I115" s="696">
        <f>H115+10%</f>
        <v>0.7</v>
      </c>
      <c r="J115" s="696">
        <f>I115+10%</f>
        <v>0.79999999999999993</v>
      </c>
      <c r="K115" s="696">
        <f>J115+10%</f>
        <v>0.89999999999999991</v>
      </c>
      <c r="L115" s="696">
        <f t="shared" ref="L115:R115" si="34">K115</f>
        <v>0.89999999999999991</v>
      </c>
      <c r="M115" s="696">
        <f t="shared" si="34"/>
        <v>0.89999999999999991</v>
      </c>
      <c r="N115" s="696">
        <f t="shared" si="34"/>
        <v>0.89999999999999991</v>
      </c>
      <c r="O115" s="696">
        <f t="shared" si="34"/>
        <v>0.89999999999999991</v>
      </c>
      <c r="P115" s="696">
        <f t="shared" si="34"/>
        <v>0.89999999999999991</v>
      </c>
      <c r="Q115" s="696">
        <f t="shared" si="34"/>
        <v>0.89999999999999991</v>
      </c>
      <c r="R115" s="696">
        <f t="shared" si="34"/>
        <v>0.89999999999999991</v>
      </c>
    </row>
    <row r="116" spans="1:28" hidden="1">
      <c r="B116" s="633" t="s">
        <v>818</v>
      </c>
      <c r="D116" s="634"/>
      <c r="G116" s="688">
        <f>G113*$D$103*G115</f>
        <v>0</v>
      </c>
      <c r="H116" s="688">
        <f t="shared" ref="H116:R116" si="35">H113*$D$103*H115</f>
        <v>0</v>
      </c>
      <c r="I116" s="688">
        <f t="shared" si="35"/>
        <v>0</v>
      </c>
      <c r="J116" s="688">
        <f t="shared" si="35"/>
        <v>0</v>
      </c>
      <c r="K116" s="688">
        <f t="shared" si="35"/>
        <v>0</v>
      </c>
      <c r="L116" s="688">
        <f t="shared" si="35"/>
        <v>0</v>
      </c>
      <c r="M116" s="688">
        <f t="shared" si="35"/>
        <v>0</v>
      </c>
      <c r="N116" s="688">
        <f t="shared" si="35"/>
        <v>0</v>
      </c>
      <c r="O116" s="688">
        <f t="shared" si="35"/>
        <v>0</v>
      </c>
      <c r="P116" s="688">
        <f t="shared" si="35"/>
        <v>0</v>
      </c>
      <c r="Q116" s="688">
        <f t="shared" si="35"/>
        <v>0</v>
      </c>
      <c r="R116" s="688">
        <f t="shared" si="35"/>
        <v>0</v>
      </c>
    </row>
    <row r="117" spans="1:28" hidden="1">
      <c r="B117" s="633" t="s">
        <v>819</v>
      </c>
      <c r="C117" s="679">
        <f>$D101*$D107+($E$3+$E$4+SUMIF($D$226:$R$226,"&lt;="&amp;$E$6,$D$232:$R$232))*$D101/($D$76+$D$101+$D$39+$D$124+$D$147)</f>
        <v>0</v>
      </c>
      <c r="D117" s="634"/>
      <c r="G117" s="688">
        <f>$C117/$D109</f>
        <v>0</v>
      </c>
      <c r="H117" s="688">
        <f t="shared" ref="H117:R117" si="36">$C117/$D109</f>
        <v>0</v>
      </c>
      <c r="I117" s="688">
        <f t="shared" si="36"/>
        <v>0</v>
      </c>
      <c r="J117" s="688">
        <f t="shared" si="36"/>
        <v>0</v>
      </c>
      <c r="K117" s="688">
        <f t="shared" si="36"/>
        <v>0</v>
      </c>
      <c r="L117" s="688">
        <f t="shared" si="36"/>
        <v>0</v>
      </c>
      <c r="M117" s="688">
        <f t="shared" si="36"/>
        <v>0</v>
      </c>
      <c r="N117" s="688">
        <f t="shared" si="36"/>
        <v>0</v>
      </c>
      <c r="O117" s="688">
        <f t="shared" si="36"/>
        <v>0</v>
      </c>
      <c r="P117" s="688">
        <f t="shared" si="36"/>
        <v>0</v>
      </c>
      <c r="Q117" s="688">
        <f t="shared" si="36"/>
        <v>0</v>
      </c>
      <c r="R117" s="688">
        <f t="shared" si="36"/>
        <v>0</v>
      </c>
    </row>
    <row r="118" spans="1:28" hidden="1">
      <c r="B118" s="633" t="s">
        <v>820</v>
      </c>
      <c r="C118" s="636"/>
      <c r="D118" s="634"/>
      <c r="G118" s="679">
        <f>$D$108*G116</f>
        <v>0</v>
      </c>
      <c r="H118" s="679">
        <f t="shared" ref="H118:R118" si="37">$D$108*H116</f>
        <v>0</v>
      </c>
      <c r="I118" s="679">
        <f t="shared" si="37"/>
        <v>0</v>
      </c>
      <c r="J118" s="679">
        <f t="shared" si="37"/>
        <v>0</v>
      </c>
      <c r="K118" s="679">
        <f t="shared" si="37"/>
        <v>0</v>
      </c>
      <c r="L118" s="679">
        <f t="shared" si="37"/>
        <v>0</v>
      </c>
      <c r="M118" s="679">
        <f t="shared" si="37"/>
        <v>0</v>
      </c>
      <c r="N118" s="679">
        <f t="shared" si="37"/>
        <v>0</v>
      </c>
      <c r="O118" s="679">
        <f t="shared" si="37"/>
        <v>0</v>
      </c>
      <c r="P118" s="679">
        <f t="shared" si="37"/>
        <v>0</v>
      </c>
      <c r="Q118" s="679">
        <f t="shared" si="37"/>
        <v>0</v>
      </c>
      <c r="R118" s="679">
        <f t="shared" si="37"/>
        <v>0</v>
      </c>
    </row>
    <row r="119" spans="1:28" hidden="1">
      <c r="B119" s="633" t="s">
        <v>821</v>
      </c>
      <c r="C119" s="636"/>
      <c r="D119" s="634"/>
      <c r="F119" s="679"/>
      <c r="G119" s="679">
        <f>$D$110*$D$103</f>
        <v>0</v>
      </c>
      <c r="H119" s="679">
        <f t="shared" ref="H119:R119" si="38">$D$110*$D$103</f>
        <v>0</v>
      </c>
      <c r="I119" s="679">
        <f t="shared" si="38"/>
        <v>0</v>
      </c>
      <c r="J119" s="679">
        <f t="shared" si="38"/>
        <v>0</v>
      </c>
      <c r="K119" s="679">
        <f t="shared" si="38"/>
        <v>0</v>
      </c>
      <c r="L119" s="679">
        <f t="shared" si="38"/>
        <v>0</v>
      </c>
      <c r="M119" s="679">
        <f t="shared" si="38"/>
        <v>0</v>
      </c>
      <c r="N119" s="679">
        <f t="shared" si="38"/>
        <v>0</v>
      </c>
      <c r="O119" s="679">
        <f t="shared" si="38"/>
        <v>0</v>
      </c>
      <c r="P119" s="679">
        <f t="shared" si="38"/>
        <v>0</v>
      </c>
      <c r="Q119" s="679">
        <f t="shared" si="38"/>
        <v>0</v>
      </c>
      <c r="R119" s="679">
        <f t="shared" si="38"/>
        <v>0</v>
      </c>
    </row>
    <row r="120" spans="1:28" hidden="1">
      <c r="B120" s="633" t="s">
        <v>805</v>
      </c>
      <c r="C120" s="636"/>
      <c r="D120" s="634"/>
      <c r="E120" s="688">
        <f>$D$101/SUM($D$39,$D$76,$D$101,$D$124,$D$147)*F232</f>
        <v>0</v>
      </c>
      <c r="F120" s="688">
        <f t="shared" ref="F120:R120" si="39">$D$101/SUM($D$39,$D$76,$D$101,$D$124,$D$147)*G232</f>
        <v>0</v>
      </c>
      <c r="G120" s="688">
        <f t="shared" si="39"/>
        <v>0</v>
      </c>
      <c r="H120" s="688">
        <f t="shared" si="39"/>
        <v>0</v>
      </c>
      <c r="I120" s="688">
        <f t="shared" si="39"/>
        <v>0</v>
      </c>
      <c r="J120" s="688">
        <f t="shared" si="39"/>
        <v>0</v>
      </c>
      <c r="K120" s="688">
        <f t="shared" si="39"/>
        <v>0</v>
      </c>
      <c r="L120" s="688">
        <f t="shared" si="39"/>
        <v>0</v>
      </c>
      <c r="M120" s="688">
        <f t="shared" si="39"/>
        <v>0</v>
      </c>
      <c r="N120" s="688">
        <f t="shared" si="39"/>
        <v>0</v>
      </c>
      <c r="O120" s="688">
        <f t="shared" si="39"/>
        <v>0</v>
      </c>
      <c r="P120" s="688">
        <f t="shared" si="39"/>
        <v>0</v>
      </c>
      <c r="Q120" s="688">
        <f t="shared" si="39"/>
        <v>0</v>
      </c>
      <c r="R120" s="688">
        <f t="shared" si="39"/>
        <v>0</v>
      </c>
    </row>
    <row r="121" spans="1:28" hidden="1">
      <c r="B121" s="633"/>
      <c r="C121" s="636"/>
      <c r="D121" s="634"/>
      <c r="G121" s="692"/>
      <c r="H121" s="692"/>
      <c r="I121" s="692"/>
      <c r="J121" s="692"/>
      <c r="K121" s="692"/>
      <c r="L121" s="692"/>
      <c r="M121" s="692"/>
      <c r="N121" s="692"/>
      <c r="O121" s="692"/>
      <c r="P121" s="692"/>
      <c r="Q121" s="692"/>
      <c r="R121" s="692"/>
    </row>
    <row r="122" spans="1:28" s="666" customFormat="1" hidden="1">
      <c r="A122" s="666" t="s">
        <v>828</v>
      </c>
      <c r="B122" s="704" t="s">
        <v>829</v>
      </c>
      <c r="AB122" s="667"/>
    </row>
    <row r="123" spans="1:28" ht="12" hidden="1" thickBot="1">
      <c r="C123" s="633" t="s">
        <v>764</v>
      </c>
      <c r="D123" s="634"/>
      <c r="E123" s="633"/>
    </row>
    <row r="124" spans="1:28" ht="12" hidden="1" thickBot="1">
      <c r="B124" s="634" t="s">
        <v>686</v>
      </c>
      <c r="C124" s="634" t="s">
        <v>767</v>
      </c>
      <c r="D124" s="683">
        <v>0</v>
      </c>
      <c r="E124" s="633"/>
    </row>
    <row r="125" spans="1:28" ht="12" hidden="1" thickBot="1">
      <c r="B125" s="634" t="s">
        <v>779</v>
      </c>
      <c r="C125" s="634" t="s">
        <v>780</v>
      </c>
      <c r="D125" s="685">
        <v>0.75</v>
      </c>
      <c r="E125" s="633"/>
      <c r="G125" s="633"/>
      <c r="H125" s="633"/>
      <c r="I125" s="633"/>
      <c r="J125" s="633"/>
      <c r="K125" s="633"/>
      <c r="L125" s="633"/>
      <c r="M125" s="633"/>
      <c r="N125" s="633"/>
      <c r="O125" s="633"/>
      <c r="P125" s="633"/>
      <c r="Q125" s="633"/>
      <c r="R125" s="633"/>
      <c r="S125" s="633"/>
      <c r="T125" s="633"/>
      <c r="U125" s="633"/>
      <c r="V125" s="633"/>
      <c r="W125" s="633"/>
    </row>
    <row r="126" spans="1:28" ht="12" hidden="1" thickBot="1">
      <c r="B126" s="634" t="s">
        <v>808</v>
      </c>
      <c r="C126" s="634" t="s">
        <v>767</v>
      </c>
      <c r="D126" s="671">
        <f>D124*D125</f>
        <v>0</v>
      </c>
    </row>
    <row r="127" spans="1:28" ht="12" hidden="1" thickBot="1">
      <c r="B127" s="634" t="s">
        <v>825</v>
      </c>
      <c r="C127" s="634" t="s">
        <v>769</v>
      </c>
      <c r="D127" s="683">
        <f>17*(1+D128)^3*21000*12/10^6</f>
        <v>4.9592655000000008</v>
      </c>
    </row>
    <row r="128" spans="1:28" ht="12" hidden="1" thickBot="1">
      <c r="B128" s="634" t="s">
        <v>810</v>
      </c>
      <c r="C128" s="634" t="s">
        <v>780</v>
      </c>
      <c r="D128" s="685">
        <v>0.05</v>
      </c>
      <c r="G128" s="633"/>
    </row>
    <row r="129" spans="2:18" ht="12" hidden="1" thickBot="1">
      <c r="B129" s="634" t="s">
        <v>811</v>
      </c>
      <c r="C129" s="634" t="s">
        <v>780</v>
      </c>
      <c r="D129" s="685">
        <v>1</v>
      </c>
    </row>
    <row r="130" spans="2:18" ht="12" hidden="1" thickBot="1">
      <c r="B130" s="634" t="s">
        <v>750</v>
      </c>
      <c r="C130" s="634" t="s">
        <v>769</v>
      </c>
      <c r="D130" s="674">
        <v>8</v>
      </c>
      <c r="G130" s="633"/>
    </row>
    <row r="131" spans="2:18" ht="12" hidden="1" thickBot="1">
      <c r="B131" s="634" t="s">
        <v>812</v>
      </c>
      <c r="C131" s="634" t="s">
        <v>780</v>
      </c>
      <c r="D131" s="685">
        <v>0.05</v>
      </c>
      <c r="G131" s="633"/>
    </row>
    <row r="132" spans="2:18" ht="12" hidden="1" thickBot="1">
      <c r="B132" s="634" t="s">
        <v>243</v>
      </c>
      <c r="C132" s="634" t="s">
        <v>813</v>
      </c>
      <c r="D132" s="683">
        <v>45</v>
      </c>
      <c r="G132" s="633"/>
    </row>
    <row r="133" spans="2:18" ht="12" hidden="1" thickBot="1">
      <c r="B133" s="634" t="s">
        <v>814</v>
      </c>
      <c r="C133" s="634" t="s">
        <v>780</v>
      </c>
      <c r="D133" s="685">
        <v>0.1</v>
      </c>
      <c r="G133" s="633"/>
    </row>
    <row r="134" spans="2:18" hidden="1"/>
    <row r="135" spans="2:18" hidden="1">
      <c r="B135" s="700"/>
      <c r="C135" s="677" t="s">
        <v>642</v>
      </c>
      <c r="D135" s="677" t="str">
        <f>D112</f>
        <v>Past (inc 2013)</v>
      </c>
      <c r="E135" s="677">
        <f t="shared" ref="E135:R135" si="40">E112</f>
        <v>2013</v>
      </c>
      <c r="F135" s="677">
        <f t="shared" si="40"/>
        <v>2014</v>
      </c>
      <c r="G135" s="677">
        <f t="shared" si="40"/>
        <v>2015</v>
      </c>
      <c r="H135" s="677">
        <f t="shared" si="40"/>
        <v>2016</v>
      </c>
      <c r="I135" s="677">
        <f t="shared" si="40"/>
        <v>2017</v>
      </c>
      <c r="J135" s="677">
        <f t="shared" si="40"/>
        <v>2018</v>
      </c>
      <c r="K135" s="677">
        <f t="shared" si="40"/>
        <v>2019</v>
      </c>
      <c r="L135" s="677">
        <f t="shared" si="40"/>
        <v>2020</v>
      </c>
      <c r="M135" s="677">
        <f t="shared" si="40"/>
        <v>2021</v>
      </c>
      <c r="N135" s="677">
        <f t="shared" si="40"/>
        <v>2022</v>
      </c>
      <c r="O135" s="677">
        <f t="shared" si="40"/>
        <v>2023</v>
      </c>
      <c r="P135" s="677">
        <f t="shared" si="40"/>
        <v>2024</v>
      </c>
      <c r="Q135" s="677">
        <f t="shared" si="40"/>
        <v>2025</v>
      </c>
      <c r="R135" s="677">
        <f t="shared" si="40"/>
        <v>2026</v>
      </c>
    </row>
    <row r="136" spans="2:18" hidden="1">
      <c r="B136" s="633" t="s">
        <v>815</v>
      </c>
      <c r="D136" s="634"/>
      <c r="F136" s="688">
        <f>D127</f>
        <v>4.9592655000000008</v>
      </c>
      <c r="G136" s="689">
        <f>F136*(1+G137)</f>
        <v>5.2072287750000008</v>
      </c>
      <c r="H136" s="689">
        <f t="shared" ref="H136:R136" si="41">G136*(1+H137)</f>
        <v>5.4675902137500012</v>
      </c>
      <c r="I136" s="689">
        <f t="shared" si="41"/>
        <v>5.7409697244375018</v>
      </c>
      <c r="J136" s="689">
        <f t="shared" si="41"/>
        <v>6.0280182106593774</v>
      </c>
      <c r="K136" s="689">
        <f t="shared" si="41"/>
        <v>6.3294191211923465</v>
      </c>
      <c r="L136" s="689">
        <f t="shared" si="41"/>
        <v>6.6458900772519645</v>
      </c>
      <c r="M136" s="689">
        <f t="shared" si="41"/>
        <v>6.9781845811145633</v>
      </c>
      <c r="N136" s="689">
        <f t="shared" si="41"/>
        <v>7.3270938101702914</v>
      </c>
      <c r="O136" s="689">
        <f t="shared" si="41"/>
        <v>7.693448500678806</v>
      </c>
      <c r="P136" s="689">
        <f t="shared" si="41"/>
        <v>8.0781209257127475</v>
      </c>
      <c r="Q136" s="689">
        <f t="shared" si="41"/>
        <v>8.4820269719983852</v>
      </c>
      <c r="R136" s="689">
        <f t="shared" si="41"/>
        <v>8.9061283205983042</v>
      </c>
    </row>
    <row r="137" spans="2:18" hidden="1">
      <c r="B137" s="654" t="s">
        <v>827</v>
      </c>
      <c r="D137" s="634"/>
      <c r="F137" s="696">
        <v>0</v>
      </c>
      <c r="G137" s="696">
        <f t="shared" ref="G137:R137" si="42">$D$80</f>
        <v>0.05</v>
      </c>
      <c r="H137" s="696">
        <f t="shared" si="42"/>
        <v>0.05</v>
      </c>
      <c r="I137" s="696">
        <f t="shared" si="42"/>
        <v>0.05</v>
      </c>
      <c r="J137" s="696">
        <f t="shared" si="42"/>
        <v>0.05</v>
      </c>
      <c r="K137" s="696">
        <f t="shared" si="42"/>
        <v>0.05</v>
      </c>
      <c r="L137" s="696">
        <f t="shared" si="42"/>
        <v>0.05</v>
      </c>
      <c r="M137" s="696">
        <f t="shared" si="42"/>
        <v>0.05</v>
      </c>
      <c r="N137" s="696">
        <f t="shared" si="42"/>
        <v>0.05</v>
      </c>
      <c r="O137" s="696">
        <f t="shared" si="42"/>
        <v>0.05</v>
      </c>
      <c r="P137" s="696">
        <f t="shared" si="42"/>
        <v>0.05</v>
      </c>
      <c r="Q137" s="696">
        <f t="shared" si="42"/>
        <v>0.05</v>
      </c>
      <c r="R137" s="696">
        <f t="shared" si="42"/>
        <v>0.05</v>
      </c>
    </row>
    <row r="138" spans="2:18" hidden="1">
      <c r="B138" s="633" t="s">
        <v>817</v>
      </c>
      <c r="D138" s="634"/>
      <c r="F138" s="696">
        <v>1</v>
      </c>
      <c r="G138" s="696">
        <v>1</v>
      </c>
      <c r="H138" s="696">
        <v>1</v>
      </c>
      <c r="I138" s="696">
        <v>1</v>
      </c>
      <c r="J138" s="696">
        <v>1</v>
      </c>
      <c r="K138" s="696">
        <v>1</v>
      </c>
      <c r="L138" s="696">
        <v>1</v>
      </c>
      <c r="M138" s="696">
        <v>1</v>
      </c>
      <c r="N138" s="696">
        <v>1</v>
      </c>
      <c r="O138" s="696">
        <v>1</v>
      </c>
      <c r="P138" s="696">
        <v>1</v>
      </c>
      <c r="Q138" s="696">
        <v>1</v>
      </c>
      <c r="R138" s="696">
        <v>1</v>
      </c>
    </row>
    <row r="139" spans="2:18" hidden="1">
      <c r="B139" s="633" t="s">
        <v>818</v>
      </c>
      <c r="D139" s="634"/>
      <c r="F139" s="688">
        <f>F136*$D$126*F138</f>
        <v>0</v>
      </c>
      <c r="G139" s="688">
        <f t="shared" ref="G139:R139" si="43">G136*$D$126*G138</f>
        <v>0</v>
      </c>
      <c r="H139" s="688">
        <f t="shared" si="43"/>
        <v>0</v>
      </c>
      <c r="I139" s="688">
        <f t="shared" si="43"/>
        <v>0</v>
      </c>
      <c r="J139" s="688">
        <f t="shared" si="43"/>
        <v>0</v>
      </c>
      <c r="K139" s="688">
        <f t="shared" si="43"/>
        <v>0</v>
      </c>
      <c r="L139" s="688">
        <f t="shared" si="43"/>
        <v>0</v>
      </c>
      <c r="M139" s="688">
        <f t="shared" si="43"/>
        <v>0</v>
      </c>
      <c r="N139" s="688">
        <f t="shared" si="43"/>
        <v>0</v>
      </c>
      <c r="O139" s="688">
        <f t="shared" si="43"/>
        <v>0</v>
      </c>
      <c r="P139" s="688">
        <f t="shared" si="43"/>
        <v>0</v>
      </c>
      <c r="Q139" s="688">
        <f t="shared" si="43"/>
        <v>0</v>
      </c>
      <c r="R139" s="688">
        <f t="shared" si="43"/>
        <v>0</v>
      </c>
    </row>
    <row r="140" spans="2:18" hidden="1">
      <c r="B140" s="633" t="s">
        <v>819</v>
      </c>
      <c r="C140" s="679">
        <f>$D124*$D130+($E$3+$E$4+SUMIF($D$226:$R$226,"&lt;="&amp;$E$6,$D$232:$R$232))*$D124/($D$76+$D$101+$D$39+$D$124+$D$147)</f>
        <v>0</v>
      </c>
      <c r="D140" s="634"/>
      <c r="F140" s="688">
        <f>$C140/$D132</f>
        <v>0</v>
      </c>
      <c r="G140" s="688">
        <f>$C140/$D132</f>
        <v>0</v>
      </c>
      <c r="H140" s="688">
        <f t="shared" ref="H140:R140" si="44">$C140/$D132</f>
        <v>0</v>
      </c>
      <c r="I140" s="688">
        <f t="shared" si="44"/>
        <v>0</v>
      </c>
      <c r="J140" s="688">
        <f t="shared" si="44"/>
        <v>0</v>
      </c>
      <c r="K140" s="688">
        <f t="shared" si="44"/>
        <v>0</v>
      </c>
      <c r="L140" s="688">
        <f t="shared" si="44"/>
        <v>0</v>
      </c>
      <c r="M140" s="688">
        <f t="shared" si="44"/>
        <v>0</v>
      </c>
      <c r="N140" s="688">
        <f t="shared" si="44"/>
        <v>0</v>
      </c>
      <c r="O140" s="688">
        <f t="shared" si="44"/>
        <v>0</v>
      </c>
      <c r="P140" s="688">
        <f t="shared" si="44"/>
        <v>0</v>
      </c>
      <c r="Q140" s="688">
        <f t="shared" si="44"/>
        <v>0</v>
      </c>
      <c r="R140" s="688">
        <f t="shared" si="44"/>
        <v>0</v>
      </c>
    </row>
    <row r="141" spans="2:18" hidden="1">
      <c r="B141" s="633" t="s">
        <v>820</v>
      </c>
      <c r="C141" s="636"/>
      <c r="D141" s="634"/>
      <c r="F141" s="679">
        <f>$D$131*F139</f>
        <v>0</v>
      </c>
      <c r="G141" s="679">
        <f>$D$131*G139</f>
        <v>0</v>
      </c>
      <c r="H141" s="679">
        <f t="shared" ref="H141:R141" si="45">$D$131*H139</f>
        <v>0</v>
      </c>
      <c r="I141" s="679">
        <f t="shared" si="45"/>
        <v>0</v>
      </c>
      <c r="J141" s="679">
        <f t="shared" si="45"/>
        <v>0</v>
      </c>
      <c r="K141" s="679">
        <f t="shared" si="45"/>
        <v>0</v>
      </c>
      <c r="L141" s="679">
        <f t="shared" si="45"/>
        <v>0</v>
      </c>
      <c r="M141" s="679">
        <f t="shared" si="45"/>
        <v>0</v>
      </c>
      <c r="N141" s="679">
        <f t="shared" si="45"/>
        <v>0</v>
      </c>
      <c r="O141" s="679">
        <f t="shared" si="45"/>
        <v>0</v>
      </c>
      <c r="P141" s="679">
        <f t="shared" si="45"/>
        <v>0</v>
      </c>
      <c r="Q141" s="679">
        <f t="shared" si="45"/>
        <v>0</v>
      </c>
      <c r="R141" s="679">
        <f t="shared" si="45"/>
        <v>0</v>
      </c>
    </row>
    <row r="142" spans="2:18" hidden="1">
      <c r="B142" s="633" t="s">
        <v>821</v>
      </c>
      <c r="C142" s="636"/>
      <c r="D142" s="634"/>
      <c r="F142" s="679">
        <f>$D133*F139</f>
        <v>0</v>
      </c>
      <c r="G142" s="679">
        <f>$D133*G139</f>
        <v>0</v>
      </c>
      <c r="H142" s="679">
        <f t="shared" ref="H142:R142" si="46">$D133*H139</f>
        <v>0</v>
      </c>
      <c r="I142" s="679">
        <f t="shared" si="46"/>
        <v>0</v>
      </c>
      <c r="J142" s="679">
        <f t="shared" si="46"/>
        <v>0</v>
      </c>
      <c r="K142" s="679">
        <f t="shared" si="46"/>
        <v>0</v>
      </c>
      <c r="L142" s="679">
        <f t="shared" si="46"/>
        <v>0</v>
      </c>
      <c r="M142" s="679">
        <f t="shared" si="46"/>
        <v>0</v>
      </c>
      <c r="N142" s="679">
        <f t="shared" si="46"/>
        <v>0</v>
      </c>
      <c r="O142" s="679">
        <f t="shared" si="46"/>
        <v>0</v>
      </c>
      <c r="P142" s="679">
        <f t="shared" si="46"/>
        <v>0</v>
      </c>
      <c r="Q142" s="679">
        <f t="shared" si="46"/>
        <v>0</v>
      </c>
      <c r="R142" s="679">
        <f t="shared" si="46"/>
        <v>0</v>
      </c>
    </row>
    <row r="143" spans="2:18" s="679" customFormat="1" hidden="1">
      <c r="B143" s="692" t="s">
        <v>805</v>
      </c>
      <c r="E143" s="679">
        <f>$D$124/SUM($D$39,$D$76,$D$101,$D$124,$D$147)*F232</f>
        <v>0</v>
      </c>
      <c r="F143" s="679">
        <f t="shared" ref="F143:R143" si="47">$D$124/SUM($D$39,$D$76,$D$101,$D$124,$D$147)*G232</f>
        <v>0</v>
      </c>
      <c r="G143" s="679">
        <f t="shared" si="47"/>
        <v>0</v>
      </c>
      <c r="H143" s="679">
        <f t="shared" si="47"/>
        <v>0</v>
      </c>
      <c r="I143" s="679">
        <f t="shared" si="47"/>
        <v>0</v>
      </c>
      <c r="J143" s="679">
        <f t="shared" si="47"/>
        <v>0</v>
      </c>
      <c r="K143" s="679">
        <f t="shared" si="47"/>
        <v>0</v>
      </c>
      <c r="L143" s="679">
        <f t="shared" si="47"/>
        <v>0</v>
      </c>
      <c r="M143" s="679">
        <f t="shared" si="47"/>
        <v>0</v>
      </c>
      <c r="N143" s="679">
        <f t="shared" si="47"/>
        <v>0</v>
      </c>
      <c r="O143" s="679">
        <f t="shared" si="47"/>
        <v>0</v>
      </c>
      <c r="P143" s="679">
        <f t="shared" si="47"/>
        <v>0</v>
      </c>
      <c r="Q143" s="679">
        <f t="shared" si="47"/>
        <v>0</v>
      </c>
      <c r="R143" s="679">
        <f t="shared" si="47"/>
        <v>0</v>
      </c>
    </row>
    <row r="144" spans="2:18" hidden="1">
      <c r="B144" s="633"/>
      <c r="C144" s="636"/>
      <c r="D144" s="634"/>
      <c r="G144" s="692"/>
      <c r="H144" s="692"/>
      <c r="I144" s="692"/>
      <c r="J144" s="692"/>
      <c r="K144" s="692"/>
      <c r="L144" s="692"/>
      <c r="M144" s="692"/>
      <c r="N144" s="692"/>
      <c r="O144" s="692"/>
      <c r="P144" s="692"/>
      <c r="Q144" s="692"/>
      <c r="R144" s="692"/>
    </row>
    <row r="145" spans="1:28" s="666" customFormat="1" hidden="1">
      <c r="A145" s="666" t="s">
        <v>830</v>
      </c>
      <c r="B145" s="704" t="s">
        <v>831</v>
      </c>
      <c r="AB145" s="667"/>
    </row>
    <row r="146" spans="1:28" ht="12" hidden="1" thickBot="1">
      <c r="C146" s="634" t="s">
        <v>764</v>
      </c>
      <c r="D146" s="634"/>
      <c r="E146" s="633"/>
    </row>
    <row r="147" spans="1:28" ht="12" hidden="1" thickBot="1">
      <c r="B147" s="634" t="s">
        <v>686</v>
      </c>
      <c r="C147" s="634" t="s">
        <v>767</v>
      </c>
      <c r="D147" s="683">
        <v>0</v>
      </c>
      <c r="E147" s="633"/>
    </row>
    <row r="148" spans="1:28" ht="12" hidden="1" thickBot="1">
      <c r="B148" s="634" t="s">
        <v>779</v>
      </c>
      <c r="C148" s="634" t="s">
        <v>780</v>
      </c>
      <c r="D148" s="685">
        <v>0.75</v>
      </c>
      <c r="E148" s="633"/>
      <c r="G148" s="633"/>
      <c r="H148" s="633"/>
      <c r="I148" s="633"/>
      <c r="J148" s="633"/>
      <c r="K148" s="633"/>
      <c r="L148" s="633"/>
      <c r="M148" s="633"/>
      <c r="N148" s="633"/>
      <c r="O148" s="633"/>
      <c r="P148" s="633"/>
      <c r="Q148" s="633"/>
      <c r="R148" s="633"/>
      <c r="S148" s="633"/>
      <c r="T148" s="633"/>
      <c r="U148" s="633"/>
      <c r="V148" s="633"/>
      <c r="W148" s="633"/>
    </row>
    <row r="149" spans="1:28" ht="12" hidden="1" thickBot="1">
      <c r="B149" s="634" t="s">
        <v>808</v>
      </c>
      <c r="C149" s="634" t="s">
        <v>767</v>
      </c>
      <c r="D149" s="671">
        <f>D147*D148</f>
        <v>0</v>
      </c>
    </row>
    <row r="150" spans="1:28" ht="12" hidden="1" thickBot="1">
      <c r="B150" s="634" t="s">
        <v>832</v>
      </c>
      <c r="D150" s="671">
        <f>D149*80%/(4*2.4)</f>
        <v>0</v>
      </c>
    </row>
    <row r="151" spans="1:28" ht="12" hidden="1" thickBot="1">
      <c r="B151" s="634" t="s">
        <v>833</v>
      </c>
      <c r="D151" s="671">
        <f>D149*20%/(1*2.4)</f>
        <v>0</v>
      </c>
      <c r="G151" s="633"/>
    </row>
    <row r="152" spans="1:28" ht="12" hidden="1" thickBot="1">
      <c r="B152" s="634" t="s">
        <v>834</v>
      </c>
      <c r="C152" s="634" t="s">
        <v>578</v>
      </c>
      <c r="D152" s="683">
        <v>20000</v>
      </c>
    </row>
    <row r="153" spans="1:28" ht="12" hidden="1" thickBot="1">
      <c r="B153" s="634" t="s">
        <v>835</v>
      </c>
      <c r="C153" s="634" t="s">
        <v>578</v>
      </c>
      <c r="D153" s="683">
        <v>5000</v>
      </c>
      <c r="G153" s="633"/>
    </row>
    <row r="154" spans="1:28" ht="12" hidden="1" thickBot="1">
      <c r="B154" s="634" t="s">
        <v>836</v>
      </c>
      <c r="C154" s="634" t="s">
        <v>837</v>
      </c>
      <c r="D154" s="705">
        <v>2</v>
      </c>
    </row>
    <row r="155" spans="1:28" ht="12" hidden="1" thickBot="1">
      <c r="B155" s="634" t="s">
        <v>838</v>
      </c>
      <c r="C155" s="634" t="s">
        <v>837</v>
      </c>
      <c r="D155" s="705">
        <v>2</v>
      </c>
    </row>
    <row r="156" spans="1:28" ht="12" hidden="1" thickBot="1">
      <c r="B156" s="634" t="s">
        <v>750</v>
      </c>
      <c r="D156" s="674">
        <v>8</v>
      </c>
    </row>
    <row r="157" spans="1:28" ht="12" hidden="1" thickBot="1">
      <c r="B157" s="634" t="s">
        <v>243</v>
      </c>
      <c r="C157" s="634" t="s">
        <v>813</v>
      </c>
      <c r="D157" s="683">
        <v>45</v>
      </c>
    </row>
    <row r="158" spans="1:28" ht="12" hidden="1" thickBot="1">
      <c r="B158" s="634" t="s">
        <v>814</v>
      </c>
      <c r="C158" s="634" t="s">
        <v>780</v>
      </c>
      <c r="D158" s="685">
        <v>0.1</v>
      </c>
    </row>
    <row r="159" spans="1:28" hidden="1"/>
    <row r="160" spans="1:28" hidden="1">
      <c r="B160" s="700"/>
      <c r="C160" s="677" t="str">
        <f t="shared" ref="C160:R160" si="48">C87</f>
        <v>Total</v>
      </c>
      <c r="D160" s="677" t="str">
        <f t="shared" si="48"/>
        <v>Past (inc 2013)</v>
      </c>
      <c r="E160" s="677">
        <f t="shared" si="48"/>
        <v>2013</v>
      </c>
      <c r="F160" s="677">
        <f t="shared" si="48"/>
        <v>2014</v>
      </c>
      <c r="G160" s="677">
        <f t="shared" si="48"/>
        <v>2015</v>
      </c>
      <c r="H160" s="677">
        <f t="shared" si="48"/>
        <v>2016</v>
      </c>
      <c r="I160" s="677">
        <f t="shared" si="48"/>
        <v>2017</v>
      </c>
      <c r="J160" s="677">
        <f t="shared" si="48"/>
        <v>2018</v>
      </c>
      <c r="K160" s="677">
        <f t="shared" si="48"/>
        <v>2019</v>
      </c>
      <c r="L160" s="677">
        <f t="shared" si="48"/>
        <v>2020</v>
      </c>
      <c r="M160" s="677">
        <f t="shared" si="48"/>
        <v>2021</v>
      </c>
      <c r="N160" s="677">
        <f t="shared" si="48"/>
        <v>2022</v>
      </c>
      <c r="O160" s="677">
        <f t="shared" si="48"/>
        <v>2023</v>
      </c>
      <c r="P160" s="677">
        <f t="shared" si="48"/>
        <v>2024</v>
      </c>
      <c r="Q160" s="677">
        <f t="shared" si="48"/>
        <v>2025</v>
      </c>
      <c r="R160" s="677">
        <f t="shared" si="48"/>
        <v>2026</v>
      </c>
    </row>
    <row r="161" spans="2:20" hidden="1">
      <c r="B161" s="633" t="s">
        <v>839</v>
      </c>
      <c r="G161" s="679">
        <f>$D$150*$D$152*$D$154*365/10^6</f>
        <v>0</v>
      </c>
      <c r="H161" s="679">
        <f>$D$150*$D$152*$D$154*365/10^6</f>
        <v>0</v>
      </c>
      <c r="I161" s="679">
        <f t="shared" ref="I161:R161" si="49">$D$150*$D$152*$D$154*365/10^6</f>
        <v>0</v>
      </c>
      <c r="J161" s="679">
        <f t="shared" si="49"/>
        <v>0</v>
      </c>
      <c r="K161" s="679">
        <f t="shared" si="49"/>
        <v>0</v>
      </c>
      <c r="L161" s="679">
        <f t="shared" si="49"/>
        <v>0</v>
      </c>
      <c r="M161" s="679">
        <f t="shared" si="49"/>
        <v>0</v>
      </c>
      <c r="N161" s="679">
        <f t="shared" si="49"/>
        <v>0</v>
      </c>
      <c r="O161" s="679">
        <f t="shared" si="49"/>
        <v>0</v>
      </c>
      <c r="P161" s="679">
        <f t="shared" si="49"/>
        <v>0</v>
      </c>
      <c r="Q161" s="679">
        <f t="shared" si="49"/>
        <v>0</v>
      </c>
      <c r="R161" s="679">
        <f t="shared" si="49"/>
        <v>0</v>
      </c>
    </row>
    <row r="162" spans="2:20" hidden="1">
      <c r="B162" s="633" t="s">
        <v>840</v>
      </c>
      <c r="G162" s="679">
        <f>$D$151*$D$153*$D$155*365/10^6</f>
        <v>0</v>
      </c>
      <c r="H162" s="679">
        <f t="shared" ref="H162:R162" si="50">$D$151*$D$153*$D$155*365/10^6</f>
        <v>0</v>
      </c>
      <c r="I162" s="679">
        <f t="shared" si="50"/>
        <v>0</v>
      </c>
      <c r="J162" s="679">
        <f t="shared" si="50"/>
        <v>0</v>
      </c>
      <c r="K162" s="679">
        <f t="shared" si="50"/>
        <v>0</v>
      </c>
      <c r="L162" s="679">
        <f t="shared" si="50"/>
        <v>0</v>
      </c>
      <c r="M162" s="679">
        <f t="shared" si="50"/>
        <v>0</v>
      </c>
      <c r="N162" s="679">
        <f t="shared" si="50"/>
        <v>0</v>
      </c>
      <c r="O162" s="679">
        <f t="shared" si="50"/>
        <v>0</v>
      </c>
      <c r="P162" s="679">
        <f t="shared" si="50"/>
        <v>0</v>
      </c>
      <c r="Q162" s="679">
        <f t="shared" si="50"/>
        <v>0</v>
      </c>
      <c r="R162" s="679">
        <f t="shared" si="50"/>
        <v>0</v>
      </c>
    </row>
    <row r="163" spans="2:20" hidden="1">
      <c r="B163" s="633" t="s">
        <v>819</v>
      </c>
      <c r="C163" s="679">
        <f>$D147*$D156+($E$3+$E$4+SUMIF($D$226:$R$226,"&lt;="&amp;$E$6,$D$232:$R$232))*$D147/($D$76+$D$101+$D$39+$D$124+$D$147)</f>
        <v>0</v>
      </c>
      <c r="G163" s="679">
        <f>$C$163/$D$157</f>
        <v>0</v>
      </c>
      <c r="H163" s="679">
        <f t="shared" ref="H163:R163" si="51">$C$163/$D$157</f>
        <v>0</v>
      </c>
      <c r="I163" s="679">
        <f t="shared" si="51"/>
        <v>0</v>
      </c>
      <c r="J163" s="679">
        <f t="shared" si="51"/>
        <v>0</v>
      </c>
      <c r="K163" s="679">
        <f t="shared" si="51"/>
        <v>0</v>
      </c>
      <c r="L163" s="679">
        <f t="shared" si="51"/>
        <v>0</v>
      </c>
      <c r="M163" s="679">
        <f t="shared" si="51"/>
        <v>0</v>
      </c>
      <c r="N163" s="679">
        <f t="shared" si="51"/>
        <v>0</v>
      </c>
      <c r="O163" s="679">
        <f t="shared" si="51"/>
        <v>0</v>
      </c>
      <c r="P163" s="679">
        <f t="shared" si="51"/>
        <v>0</v>
      </c>
      <c r="Q163" s="679">
        <f t="shared" si="51"/>
        <v>0</v>
      </c>
      <c r="R163" s="679">
        <f t="shared" si="51"/>
        <v>0</v>
      </c>
    </row>
    <row r="164" spans="2:20" hidden="1">
      <c r="B164" s="633" t="s">
        <v>841</v>
      </c>
      <c r="G164" s="688">
        <f>$D$158*SUM(G161:G162)</f>
        <v>0</v>
      </c>
      <c r="H164" s="688">
        <f t="shared" ref="H164:R164" si="52">$D$158*SUM(H161:H162)</f>
        <v>0</v>
      </c>
      <c r="I164" s="688">
        <f t="shared" si="52"/>
        <v>0</v>
      </c>
      <c r="J164" s="688">
        <f t="shared" si="52"/>
        <v>0</v>
      </c>
      <c r="K164" s="688">
        <f t="shared" si="52"/>
        <v>0</v>
      </c>
      <c r="L164" s="688">
        <f t="shared" si="52"/>
        <v>0</v>
      </c>
      <c r="M164" s="688">
        <f t="shared" si="52"/>
        <v>0</v>
      </c>
      <c r="N164" s="688">
        <f t="shared" si="52"/>
        <v>0</v>
      </c>
      <c r="O164" s="688">
        <f t="shared" si="52"/>
        <v>0</v>
      </c>
      <c r="P164" s="688">
        <f t="shared" si="52"/>
        <v>0</v>
      </c>
      <c r="Q164" s="688">
        <f t="shared" si="52"/>
        <v>0</v>
      </c>
      <c r="R164" s="688">
        <f t="shared" si="52"/>
        <v>0</v>
      </c>
    </row>
    <row r="165" spans="2:20" s="679" customFormat="1" hidden="1">
      <c r="B165" s="692" t="s">
        <v>805</v>
      </c>
      <c r="D165" s="635"/>
      <c r="E165" s="679">
        <f>$D$147/SUM($D$39,$D$76,$D$101,$D$124,$D$147)*F232</f>
        <v>0</v>
      </c>
      <c r="F165" s="679">
        <f t="shared" ref="F165:R165" si="53">$D$147/SUM($D$39,$D$76,$D$101,$D$124,$D$147)*G232</f>
        <v>0</v>
      </c>
      <c r="G165" s="679">
        <f t="shared" si="53"/>
        <v>0</v>
      </c>
      <c r="H165" s="679">
        <f t="shared" si="53"/>
        <v>0</v>
      </c>
      <c r="I165" s="679">
        <f t="shared" si="53"/>
        <v>0</v>
      </c>
      <c r="J165" s="679">
        <f t="shared" si="53"/>
        <v>0</v>
      </c>
      <c r="K165" s="679">
        <f t="shared" si="53"/>
        <v>0</v>
      </c>
      <c r="L165" s="679">
        <f t="shared" si="53"/>
        <v>0</v>
      </c>
      <c r="M165" s="679">
        <f t="shared" si="53"/>
        <v>0</v>
      </c>
      <c r="N165" s="679">
        <f t="shared" si="53"/>
        <v>0</v>
      </c>
      <c r="O165" s="679">
        <f t="shared" si="53"/>
        <v>0</v>
      </c>
      <c r="P165" s="679">
        <f t="shared" si="53"/>
        <v>0</v>
      </c>
      <c r="Q165" s="679">
        <f t="shared" si="53"/>
        <v>0</v>
      </c>
      <c r="R165" s="679">
        <f t="shared" si="53"/>
        <v>0</v>
      </c>
    </row>
    <row r="166" spans="2:20" hidden="1"/>
    <row r="167" spans="2:20" hidden="1" outlineLevel="1">
      <c r="B167" s="706" t="s">
        <v>842</v>
      </c>
      <c r="C167" s="707"/>
      <c r="D167" s="707"/>
      <c r="E167" s="707"/>
      <c r="F167" s="707"/>
      <c r="G167" s="707"/>
      <c r="H167" s="707"/>
      <c r="I167" s="707"/>
      <c r="J167" s="707"/>
      <c r="K167" s="707"/>
      <c r="L167" s="707"/>
      <c r="M167" s="707"/>
      <c r="N167" s="707"/>
      <c r="O167" s="707"/>
      <c r="P167" s="707"/>
      <c r="Q167" s="707"/>
      <c r="R167" s="707"/>
    </row>
    <row r="168" spans="2:20" hidden="1" outlineLevel="1">
      <c r="B168" s="708" t="s">
        <v>843</v>
      </c>
      <c r="C168" s="708" t="str">
        <f>C32</f>
        <v>Total</v>
      </c>
      <c r="D168" s="708" t="str">
        <f t="shared" ref="D168:R168" si="54">D32</f>
        <v>Past</v>
      </c>
      <c r="E168" s="708">
        <f t="shared" si="54"/>
        <v>2013</v>
      </c>
      <c r="F168" s="708">
        <f t="shared" si="54"/>
        <v>2014</v>
      </c>
      <c r="G168" s="708">
        <f t="shared" si="54"/>
        <v>2015</v>
      </c>
      <c r="H168" s="708">
        <f t="shared" si="54"/>
        <v>2016</v>
      </c>
      <c r="I168" s="708">
        <f t="shared" si="54"/>
        <v>2017</v>
      </c>
      <c r="J168" s="708">
        <f t="shared" si="54"/>
        <v>2018</v>
      </c>
      <c r="K168" s="708">
        <f t="shared" si="54"/>
        <v>2019</v>
      </c>
      <c r="L168" s="708">
        <f t="shared" si="54"/>
        <v>2020</v>
      </c>
      <c r="M168" s="708">
        <f t="shared" si="54"/>
        <v>2021</v>
      </c>
      <c r="N168" s="708">
        <f t="shared" si="54"/>
        <v>2022</v>
      </c>
      <c r="O168" s="708">
        <f t="shared" si="54"/>
        <v>2023</v>
      </c>
      <c r="P168" s="708">
        <f t="shared" si="54"/>
        <v>2024</v>
      </c>
      <c r="Q168" s="708">
        <f t="shared" si="54"/>
        <v>2025</v>
      </c>
      <c r="R168" s="708">
        <f t="shared" si="54"/>
        <v>2026</v>
      </c>
      <c r="S168" s="708"/>
      <c r="T168" s="708"/>
    </row>
    <row r="169" spans="2:20" hidden="1" outlineLevel="1">
      <c r="B169" s="708" t="s">
        <v>26</v>
      </c>
      <c r="C169" s="709"/>
      <c r="D169" s="709"/>
      <c r="E169" s="709">
        <f>E56</f>
        <v>0</v>
      </c>
      <c r="F169" s="709">
        <f>F56</f>
        <v>74199</v>
      </c>
      <c r="G169" s="709">
        <f t="shared" ref="G169:R169" si="55">G56</f>
        <v>206231.24799999996</v>
      </c>
      <c r="H169" s="709">
        <f t="shared" si="55"/>
        <v>219120.70099999997</v>
      </c>
      <c r="I169" s="709">
        <f t="shared" si="55"/>
        <v>219120.70099999997</v>
      </c>
      <c r="J169" s="709">
        <f t="shared" si="55"/>
        <v>206231.24799999996</v>
      </c>
      <c r="K169" s="709">
        <f t="shared" si="55"/>
        <v>206231.24799999996</v>
      </c>
      <c r="L169" s="709">
        <f t="shared" si="55"/>
        <v>0</v>
      </c>
      <c r="M169" s="709">
        <f t="shared" si="55"/>
        <v>0</v>
      </c>
      <c r="N169" s="709">
        <f t="shared" si="55"/>
        <v>0</v>
      </c>
      <c r="O169" s="709">
        <f t="shared" si="55"/>
        <v>0</v>
      </c>
      <c r="P169" s="709">
        <f t="shared" si="55"/>
        <v>0</v>
      </c>
      <c r="Q169" s="709">
        <f t="shared" si="55"/>
        <v>0</v>
      </c>
      <c r="R169" s="709">
        <f t="shared" si="55"/>
        <v>0</v>
      </c>
      <c r="S169" s="709"/>
      <c r="T169" s="709"/>
    </row>
    <row r="170" spans="2:20" hidden="1" outlineLevel="1">
      <c r="B170" s="708" t="s">
        <v>432</v>
      </c>
      <c r="D170" s="688"/>
      <c r="E170" s="688">
        <f>-SUM(E68:E70)</f>
        <v>0</v>
      </c>
      <c r="F170" s="688">
        <f>-SUM(F68:F70)</f>
        <v>-48852.582109950272</v>
      </c>
      <c r="G170" s="688">
        <f>-SUM(G68:G70)</f>
        <v>-135782.54392319999</v>
      </c>
      <c r="H170" s="688">
        <f t="shared" ref="H170:R170" si="56">-SUM(H68:H70)</f>
        <v>-144268.9529184</v>
      </c>
      <c r="I170" s="688">
        <f t="shared" si="56"/>
        <v>-144268.9529184</v>
      </c>
      <c r="J170" s="688">
        <f t="shared" si="56"/>
        <v>-135782.54392319999</v>
      </c>
      <c r="K170" s="688">
        <f t="shared" si="56"/>
        <v>-135782.54392319999</v>
      </c>
      <c r="L170" s="688">
        <f t="shared" si="56"/>
        <v>0</v>
      </c>
      <c r="M170" s="688">
        <f t="shared" si="56"/>
        <v>0</v>
      </c>
      <c r="N170" s="688">
        <f t="shared" si="56"/>
        <v>0</v>
      </c>
      <c r="O170" s="688">
        <f t="shared" si="56"/>
        <v>0</v>
      </c>
      <c r="P170" s="688">
        <f t="shared" si="56"/>
        <v>0</v>
      </c>
      <c r="Q170" s="688">
        <f t="shared" si="56"/>
        <v>0</v>
      </c>
      <c r="R170" s="688">
        <f t="shared" si="56"/>
        <v>0</v>
      </c>
      <c r="S170" s="688"/>
      <c r="T170" s="688"/>
    </row>
    <row r="171" spans="2:20" hidden="1" outlineLevel="1">
      <c r="B171" s="708" t="s">
        <v>844</v>
      </c>
      <c r="C171" s="688"/>
      <c r="D171" s="688"/>
      <c r="E171" s="688">
        <f>-E72</f>
        <v>0</v>
      </c>
      <c r="F171" s="688">
        <f>-F72</f>
        <v>-8469.6788250000191</v>
      </c>
      <c r="G171" s="688">
        <f t="shared" ref="G171:R171" si="57">-G72</f>
        <v>-5155.7812000000004</v>
      </c>
      <c r="H171" s="688">
        <f t="shared" si="57"/>
        <v>-8764.8280399999985</v>
      </c>
      <c r="I171" s="688">
        <f t="shared" si="57"/>
        <v>-10311.562399999999</v>
      </c>
      <c r="J171" s="688">
        <f t="shared" si="57"/>
        <v>-10311.562399999999</v>
      </c>
      <c r="K171" s="688">
        <f t="shared" si="57"/>
        <v>-9982.8813484999991</v>
      </c>
      <c r="L171" s="688">
        <f t="shared" si="57"/>
        <v>-3905.5042589999994</v>
      </c>
      <c r="M171" s="688">
        <f t="shared" si="57"/>
        <v>0</v>
      </c>
      <c r="N171" s="688">
        <f t="shared" si="57"/>
        <v>0</v>
      </c>
      <c r="O171" s="688">
        <f t="shared" si="57"/>
        <v>0</v>
      </c>
      <c r="P171" s="688">
        <f t="shared" si="57"/>
        <v>0</v>
      </c>
      <c r="Q171" s="688">
        <f t="shared" si="57"/>
        <v>0</v>
      </c>
      <c r="R171" s="688">
        <f t="shared" si="57"/>
        <v>0</v>
      </c>
      <c r="S171" s="688"/>
      <c r="T171" s="688"/>
    </row>
    <row r="172" spans="2:20" hidden="1" outlineLevel="1">
      <c r="B172" s="708" t="s">
        <v>805</v>
      </c>
      <c r="C172" s="688"/>
      <c r="D172" s="688"/>
      <c r="E172" s="688">
        <f>-E71</f>
        <v>0</v>
      </c>
      <c r="F172" s="688">
        <f t="shared" ref="F172:R172" si="58">-F71</f>
        <v>-1817.5720200000001</v>
      </c>
      <c r="G172" s="688">
        <f t="shared" si="58"/>
        <v>-3304.6764000000003</v>
      </c>
      <c r="H172" s="688">
        <f t="shared" si="58"/>
        <v>-3965.6116800000004</v>
      </c>
      <c r="I172" s="688">
        <f t="shared" si="58"/>
        <v>-4461.3131400000002</v>
      </c>
      <c r="J172" s="688">
        <f t="shared" si="58"/>
        <v>-4461.3131400000002</v>
      </c>
      <c r="K172" s="688">
        <f t="shared" si="58"/>
        <v>-2974.20876</v>
      </c>
      <c r="L172" s="688">
        <f t="shared" si="58"/>
        <v>-1487.1043799999995</v>
      </c>
      <c r="M172" s="688">
        <f t="shared" si="58"/>
        <v>-495.70145999999937</v>
      </c>
      <c r="N172" s="688">
        <f t="shared" si="58"/>
        <v>7.3669070843607192E-13</v>
      </c>
      <c r="O172" s="688">
        <f t="shared" si="58"/>
        <v>7.3669070843607192E-13</v>
      </c>
      <c r="P172" s="688">
        <f t="shared" si="58"/>
        <v>7.3669070843607192E-13</v>
      </c>
      <c r="Q172" s="688">
        <f t="shared" si="58"/>
        <v>7.3669070843607192E-13</v>
      </c>
      <c r="R172" s="688">
        <f t="shared" si="58"/>
        <v>0</v>
      </c>
      <c r="S172" s="688"/>
      <c r="T172" s="688"/>
    </row>
    <row r="173" spans="2:20" hidden="1" outlineLevel="1">
      <c r="B173" s="634" t="s">
        <v>845</v>
      </c>
      <c r="C173" s="688"/>
      <c r="D173" s="688"/>
      <c r="E173" s="688">
        <f>SUM(E169:E172)</f>
        <v>0</v>
      </c>
      <c r="F173" s="688">
        <f>SUM(F169:F172)</f>
        <v>15059.167045049711</v>
      </c>
      <c r="G173" s="688">
        <f t="shared" ref="G173:R173" si="59">SUM(G169:G172)</f>
        <v>61988.246476799977</v>
      </c>
      <c r="H173" s="688">
        <f t="shared" si="59"/>
        <v>62121.308361599979</v>
      </c>
      <c r="I173" s="688">
        <f t="shared" si="59"/>
        <v>60078.87254159998</v>
      </c>
      <c r="J173" s="688">
        <f t="shared" si="59"/>
        <v>55675.828536799978</v>
      </c>
      <c r="K173" s="688">
        <f t="shared" si="59"/>
        <v>57491.613968299971</v>
      </c>
      <c r="L173" s="688">
        <f t="shared" si="59"/>
        <v>-5392.6086389999991</v>
      </c>
      <c r="M173" s="688">
        <f t="shared" si="59"/>
        <v>-495.70145999999937</v>
      </c>
      <c r="N173" s="688">
        <f t="shared" si="59"/>
        <v>7.3669070843607192E-13</v>
      </c>
      <c r="O173" s="688">
        <f t="shared" si="59"/>
        <v>7.3669070843607192E-13</v>
      </c>
      <c r="P173" s="688">
        <f t="shared" si="59"/>
        <v>7.3669070843607192E-13</v>
      </c>
      <c r="Q173" s="688">
        <f t="shared" si="59"/>
        <v>7.3669070843607192E-13</v>
      </c>
      <c r="R173" s="688">
        <f t="shared" si="59"/>
        <v>0</v>
      </c>
      <c r="S173" s="688"/>
      <c r="T173" s="688"/>
    </row>
    <row r="174" spans="2:20" hidden="1" outlineLevel="1">
      <c r="B174" s="634" t="s">
        <v>846</v>
      </c>
      <c r="C174" s="636"/>
      <c r="D174" s="636"/>
      <c r="E174" s="636">
        <v>0.25</v>
      </c>
      <c r="F174" s="636">
        <v>0.22</v>
      </c>
      <c r="G174" s="636">
        <f>'[14]Vin CenterB'!G46</f>
        <v>0.22</v>
      </c>
      <c r="H174" s="636">
        <f>'[14]Vin CenterB'!H46</f>
        <v>0.2</v>
      </c>
      <c r="I174" s="636">
        <f>'[14]Vin CenterB'!I46</f>
        <v>0.2</v>
      </c>
      <c r="J174" s="636">
        <f>'[14]Vin CenterB'!J46</f>
        <v>0.2</v>
      </c>
      <c r="K174" s="636">
        <f>'[14]Vin CenterB'!K46</f>
        <v>0.2</v>
      </c>
      <c r="L174" s="636">
        <f>'[14]Vin CenterB'!L46</f>
        <v>0.2</v>
      </c>
      <c r="M174" s="636">
        <f>'[14]Vin CenterB'!M46</f>
        <v>0.2</v>
      </c>
      <c r="N174" s="636">
        <f>'[14]Vin CenterB'!N46</f>
        <v>0.2</v>
      </c>
      <c r="O174" s="636">
        <f>'[14]Vin CenterB'!O46</f>
        <v>0.2</v>
      </c>
      <c r="P174" s="636">
        <f>'[14]Vin CenterB'!P46</f>
        <v>0.2</v>
      </c>
      <c r="Q174" s="636">
        <f>'[14]Vin CenterB'!Q46</f>
        <v>0.2</v>
      </c>
      <c r="R174" s="636">
        <f>'[14]Vin CenterB'!R46</f>
        <v>0.2</v>
      </c>
      <c r="S174" s="636"/>
      <c r="T174" s="636"/>
    </row>
    <row r="175" spans="2:20" hidden="1" outlineLevel="1">
      <c r="B175" s="633" t="s">
        <v>661</v>
      </c>
      <c r="C175" s="692"/>
      <c r="D175" s="692"/>
      <c r="E175" s="692">
        <f>IF(E173&lt;0,0,E173*(1-E174))</f>
        <v>0</v>
      </c>
      <c r="F175" s="692">
        <f>IF(F173&lt;0,0,F173*(1-F174))</f>
        <v>11746.150295138776</v>
      </c>
      <c r="G175" s="692">
        <f t="shared" ref="G175:R175" si="60">IF(G173&lt;0,0,G173*(1-G174))</f>
        <v>48350.832251903987</v>
      </c>
      <c r="H175" s="692">
        <f t="shared" si="60"/>
        <v>49697.046689279989</v>
      </c>
      <c r="I175" s="692">
        <f t="shared" si="60"/>
        <v>48063.098033279988</v>
      </c>
      <c r="J175" s="692">
        <f t="shared" si="60"/>
        <v>44540.662829439985</v>
      </c>
      <c r="K175" s="692">
        <f t="shared" si="60"/>
        <v>45993.291174639977</v>
      </c>
      <c r="L175" s="692">
        <f t="shared" si="60"/>
        <v>0</v>
      </c>
      <c r="M175" s="692">
        <f t="shared" si="60"/>
        <v>0</v>
      </c>
      <c r="N175" s="692">
        <f t="shared" si="60"/>
        <v>5.8935256674885762E-13</v>
      </c>
      <c r="O175" s="692">
        <f t="shared" si="60"/>
        <v>5.8935256674885762E-13</v>
      </c>
      <c r="P175" s="692">
        <f t="shared" si="60"/>
        <v>5.8935256674885762E-13</v>
      </c>
      <c r="Q175" s="692">
        <f t="shared" si="60"/>
        <v>5.8935256674885762E-13</v>
      </c>
      <c r="R175" s="692">
        <f t="shared" si="60"/>
        <v>0</v>
      </c>
      <c r="S175" s="692"/>
      <c r="T175" s="692"/>
    </row>
    <row r="176" spans="2:20" hidden="1" outlineLevel="1">
      <c r="B176" s="634" t="s">
        <v>847</v>
      </c>
      <c r="D176" s="634"/>
      <c r="E176" s="640"/>
      <c r="F176" s="640">
        <f t="shared" ref="F176:L176" si="61">(F169+F170)/F169</f>
        <v>0.34160053221808551</v>
      </c>
      <c r="G176" s="640">
        <f t="shared" si="61"/>
        <v>0.34160053221808551</v>
      </c>
      <c r="H176" s="640">
        <f t="shared" si="61"/>
        <v>0.34160053221808551</v>
      </c>
      <c r="I176" s="640">
        <f t="shared" si="61"/>
        <v>0.34160053221808551</v>
      </c>
      <c r="J176" s="640">
        <f t="shared" si="61"/>
        <v>0.34160053221808551</v>
      </c>
      <c r="K176" s="640">
        <f t="shared" si="61"/>
        <v>0.34160053221808551</v>
      </c>
      <c r="L176" s="640" t="e">
        <f t="shared" si="61"/>
        <v>#DIV/0!</v>
      </c>
      <c r="M176" s="640"/>
      <c r="N176" s="640"/>
      <c r="O176" s="640"/>
      <c r="P176" s="640"/>
      <c r="Q176" s="640"/>
      <c r="R176" s="640"/>
    </row>
    <row r="177" spans="2:20" collapsed="1">
      <c r="B177" s="706" t="s">
        <v>848</v>
      </c>
      <c r="C177" s="707"/>
      <c r="D177" s="707"/>
      <c r="E177" s="707"/>
      <c r="F177" s="707"/>
      <c r="G177" s="707"/>
      <c r="H177" s="707"/>
      <c r="I177" s="707"/>
      <c r="J177" s="707"/>
      <c r="K177" s="707"/>
      <c r="L177" s="707"/>
      <c r="M177" s="707"/>
      <c r="N177" s="707"/>
      <c r="O177" s="707"/>
      <c r="P177" s="707"/>
      <c r="Q177" s="707"/>
      <c r="R177" s="707"/>
    </row>
    <row r="178" spans="2:20">
      <c r="B178" s="708" t="s">
        <v>843</v>
      </c>
      <c r="C178" s="708" t="str">
        <f>C160</f>
        <v>Total</v>
      </c>
      <c r="D178" s="708" t="str">
        <f t="shared" ref="D178:R178" si="62">D160</f>
        <v>Past (inc 2013)</v>
      </c>
      <c r="E178" s="708">
        <f t="shared" si="62"/>
        <v>2013</v>
      </c>
      <c r="F178" s="708">
        <f t="shared" si="62"/>
        <v>2014</v>
      </c>
      <c r="G178" s="708">
        <f t="shared" si="62"/>
        <v>2015</v>
      </c>
      <c r="H178" s="708">
        <f t="shared" si="62"/>
        <v>2016</v>
      </c>
      <c r="I178" s="708">
        <f t="shared" si="62"/>
        <v>2017</v>
      </c>
      <c r="J178" s="708">
        <f t="shared" si="62"/>
        <v>2018</v>
      </c>
      <c r="K178" s="708">
        <f t="shared" si="62"/>
        <v>2019</v>
      </c>
      <c r="L178" s="708">
        <f t="shared" si="62"/>
        <v>2020</v>
      </c>
      <c r="M178" s="708">
        <f t="shared" si="62"/>
        <v>2021</v>
      </c>
      <c r="N178" s="708">
        <f t="shared" si="62"/>
        <v>2022</v>
      </c>
      <c r="O178" s="708">
        <f t="shared" si="62"/>
        <v>2023</v>
      </c>
      <c r="P178" s="708">
        <f t="shared" si="62"/>
        <v>2024</v>
      </c>
      <c r="Q178" s="708">
        <f t="shared" si="62"/>
        <v>2025</v>
      </c>
      <c r="R178" s="708">
        <f t="shared" si="62"/>
        <v>2026</v>
      </c>
      <c r="S178" s="708"/>
      <c r="T178" s="708"/>
    </row>
    <row r="179" spans="2:20">
      <c r="B179" s="708" t="s">
        <v>26</v>
      </c>
      <c r="C179" s="709">
        <f>SUM(D179:R179)</f>
        <v>1287928.1459999997</v>
      </c>
      <c r="D179" s="709">
        <f>D56</f>
        <v>156794</v>
      </c>
      <c r="E179" s="709">
        <f t="shared" ref="E179:R179" si="63">E56</f>
        <v>0</v>
      </c>
      <c r="F179" s="709">
        <f t="shared" si="63"/>
        <v>74199</v>
      </c>
      <c r="G179" s="709">
        <f t="shared" si="63"/>
        <v>206231.24799999996</v>
      </c>
      <c r="H179" s="709">
        <f t="shared" si="63"/>
        <v>219120.70099999997</v>
      </c>
      <c r="I179" s="709">
        <f t="shared" si="63"/>
        <v>219120.70099999997</v>
      </c>
      <c r="J179" s="709">
        <f t="shared" si="63"/>
        <v>206231.24799999996</v>
      </c>
      <c r="K179" s="709">
        <f t="shared" si="63"/>
        <v>206231.24799999996</v>
      </c>
      <c r="L179" s="709">
        <f t="shared" si="63"/>
        <v>0</v>
      </c>
      <c r="M179" s="709">
        <f t="shared" si="63"/>
        <v>0</v>
      </c>
      <c r="N179" s="709">
        <f t="shared" si="63"/>
        <v>0</v>
      </c>
      <c r="O179" s="709">
        <f t="shared" si="63"/>
        <v>0</v>
      </c>
      <c r="P179" s="709">
        <f t="shared" si="63"/>
        <v>0</v>
      </c>
      <c r="Q179" s="709">
        <f t="shared" si="63"/>
        <v>0</v>
      </c>
      <c r="R179" s="709">
        <f t="shared" si="63"/>
        <v>0</v>
      </c>
      <c r="S179" s="709"/>
      <c r="T179" s="709"/>
    </row>
    <row r="180" spans="2:20">
      <c r="B180" s="708" t="s">
        <v>432</v>
      </c>
      <c r="C180" s="709">
        <f>SUM(D180:R180)</f>
        <v>-847971.20586774778</v>
      </c>
      <c r="D180" s="688">
        <f>-SUM(D68:D70)</f>
        <v>-103233.0861513975</v>
      </c>
      <c r="E180" s="688">
        <f t="shared" ref="E180:R180" si="64">-SUM(E68:E70)</f>
        <v>0</v>
      </c>
      <c r="F180" s="688">
        <f t="shared" si="64"/>
        <v>-48852.582109950272</v>
      </c>
      <c r="G180" s="688">
        <f t="shared" si="64"/>
        <v>-135782.54392319999</v>
      </c>
      <c r="H180" s="688">
        <f t="shared" si="64"/>
        <v>-144268.9529184</v>
      </c>
      <c r="I180" s="688">
        <f t="shared" si="64"/>
        <v>-144268.9529184</v>
      </c>
      <c r="J180" s="688">
        <f t="shared" si="64"/>
        <v>-135782.54392319999</v>
      </c>
      <c r="K180" s="688">
        <f t="shared" si="64"/>
        <v>-135782.54392319999</v>
      </c>
      <c r="L180" s="688">
        <f t="shared" si="64"/>
        <v>0</v>
      </c>
      <c r="M180" s="688">
        <f t="shared" si="64"/>
        <v>0</v>
      </c>
      <c r="N180" s="688">
        <f t="shared" si="64"/>
        <v>0</v>
      </c>
      <c r="O180" s="688">
        <f t="shared" si="64"/>
        <v>0</v>
      </c>
      <c r="P180" s="688">
        <f t="shared" si="64"/>
        <v>0</v>
      </c>
      <c r="Q180" s="688">
        <f t="shared" si="64"/>
        <v>0</v>
      </c>
      <c r="R180" s="688">
        <f t="shared" si="64"/>
        <v>0</v>
      </c>
      <c r="S180" s="688"/>
      <c r="T180" s="688"/>
    </row>
    <row r="181" spans="2:20">
      <c r="B181" s="708" t="s">
        <v>844</v>
      </c>
      <c r="C181" s="709">
        <f>SUM(D181:R181)</f>
        <v>-64688.698472500015</v>
      </c>
      <c r="D181" s="688">
        <f>-D72</f>
        <v>-7786.9000000000005</v>
      </c>
      <c r="E181" s="688">
        <f t="shared" ref="E181:R181" si="65">-E72</f>
        <v>0</v>
      </c>
      <c r="F181" s="688">
        <f t="shared" si="65"/>
        <v>-8469.6788250000191</v>
      </c>
      <c r="G181" s="688">
        <f t="shared" si="65"/>
        <v>-5155.7812000000004</v>
      </c>
      <c r="H181" s="688">
        <f t="shared" si="65"/>
        <v>-8764.8280399999985</v>
      </c>
      <c r="I181" s="688">
        <f t="shared" si="65"/>
        <v>-10311.562399999999</v>
      </c>
      <c r="J181" s="688">
        <f t="shared" si="65"/>
        <v>-10311.562399999999</v>
      </c>
      <c r="K181" s="688">
        <f t="shared" si="65"/>
        <v>-9982.8813484999991</v>
      </c>
      <c r="L181" s="688">
        <f t="shared" si="65"/>
        <v>-3905.5042589999994</v>
      </c>
      <c r="M181" s="688">
        <f t="shared" si="65"/>
        <v>0</v>
      </c>
      <c r="N181" s="688">
        <f t="shared" si="65"/>
        <v>0</v>
      </c>
      <c r="O181" s="688">
        <f t="shared" si="65"/>
        <v>0</v>
      </c>
      <c r="P181" s="688">
        <f t="shared" si="65"/>
        <v>0</v>
      </c>
      <c r="Q181" s="688">
        <f t="shared" si="65"/>
        <v>0</v>
      </c>
      <c r="R181" s="688">
        <f t="shared" si="65"/>
        <v>0</v>
      </c>
      <c r="S181" s="688"/>
      <c r="T181" s="688"/>
    </row>
    <row r="182" spans="2:20">
      <c r="B182" s="708" t="s">
        <v>805</v>
      </c>
      <c r="C182" s="709">
        <f>SUM(D182:R182)</f>
        <v>-22967.500980000004</v>
      </c>
      <c r="D182" s="688"/>
      <c r="E182" s="688">
        <f>-SUM(E93,E120,E143,E165)-E71</f>
        <v>0</v>
      </c>
      <c r="F182" s="688">
        <f t="shared" ref="F182:R182" si="66">-SUM(F93,F120,F143,F165)-F71</f>
        <v>-1817.5720200000001</v>
      </c>
      <c r="G182" s="688">
        <f t="shared" si="66"/>
        <v>-3304.6764000000003</v>
      </c>
      <c r="H182" s="688">
        <f t="shared" si="66"/>
        <v>-3965.6116800000004</v>
      </c>
      <c r="I182" s="688">
        <f t="shared" si="66"/>
        <v>-4461.3131400000002</v>
      </c>
      <c r="J182" s="688">
        <f t="shared" si="66"/>
        <v>-4461.3131400000002</v>
      </c>
      <c r="K182" s="688">
        <f t="shared" si="66"/>
        <v>-2974.20876</v>
      </c>
      <c r="L182" s="688">
        <f t="shared" si="66"/>
        <v>-1487.1043799999995</v>
      </c>
      <c r="M182" s="688">
        <f t="shared" si="66"/>
        <v>-495.70145999999937</v>
      </c>
      <c r="N182" s="688">
        <f t="shared" si="66"/>
        <v>7.3669070843607192E-13</v>
      </c>
      <c r="O182" s="688">
        <f t="shared" si="66"/>
        <v>7.3669070843607192E-13</v>
      </c>
      <c r="P182" s="688">
        <f t="shared" si="66"/>
        <v>7.3669070843607192E-13</v>
      </c>
      <c r="Q182" s="688">
        <f t="shared" si="66"/>
        <v>7.3669070843607192E-13</v>
      </c>
      <c r="R182" s="688">
        <f t="shared" si="66"/>
        <v>0</v>
      </c>
      <c r="S182" s="688"/>
      <c r="T182" s="688"/>
    </row>
    <row r="183" spans="2:20">
      <c r="B183" s="634" t="s">
        <v>845</v>
      </c>
      <c r="C183" s="709">
        <f>SUM(D183:R183)</f>
        <v>352300.74067975214</v>
      </c>
      <c r="D183" s="688">
        <f>D179+D180+D181+D182</f>
        <v>45774.013848602503</v>
      </c>
      <c r="E183" s="688">
        <f t="shared" ref="E183:R183" si="67">E179+E180+E181+E182</f>
        <v>0</v>
      </c>
      <c r="F183" s="688">
        <f t="shared" si="67"/>
        <v>15059.167045049711</v>
      </c>
      <c r="G183" s="688">
        <f t="shared" si="67"/>
        <v>61988.246476799977</v>
      </c>
      <c r="H183" s="688">
        <f t="shared" si="67"/>
        <v>62121.308361599979</v>
      </c>
      <c r="I183" s="688">
        <f t="shared" si="67"/>
        <v>60078.87254159998</v>
      </c>
      <c r="J183" s="688">
        <f t="shared" si="67"/>
        <v>55675.828536799978</v>
      </c>
      <c r="K183" s="688">
        <f t="shared" si="67"/>
        <v>57491.613968299971</v>
      </c>
      <c r="L183" s="688">
        <f t="shared" si="67"/>
        <v>-5392.6086389999991</v>
      </c>
      <c r="M183" s="688">
        <f t="shared" si="67"/>
        <v>-495.70145999999937</v>
      </c>
      <c r="N183" s="688">
        <f t="shared" si="67"/>
        <v>7.3669070843607192E-13</v>
      </c>
      <c r="O183" s="688">
        <f t="shared" si="67"/>
        <v>7.3669070843607192E-13</v>
      </c>
      <c r="P183" s="688">
        <f t="shared" si="67"/>
        <v>7.3669070843607192E-13</v>
      </c>
      <c r="Q183" s="688">
        <f t="shared" si="67"/>
        <v>7.3669070843607192E-13</v>
      </c>
      <c r="R183" s="688">
        <f t="shared" si="67"/>
        <v>0</v>
      </c>
      <c r="S183" s="688"/>
      <c r="T183" s="688"/>
    </row>
    <row r="184" spans="2:20">
      <c r="B184" s="634" t="s">
        <v>846</v>
      </c>
      <c r="C184" s="636"/>
      <c r="D184" s="636">
        <v>0.25</v>
      </c>
      <c r="E184" s="636">
        <v>0.25</v>
      </c>
      <c r="F184" s="636">
        <v>0.22</v>
      </c>
      <c r="G184" s="636">
        <v>0.22</v>
      </c>
      <c r="H184" s="636">
        <v>0.2</v>
      </c>
      <c r="I184" s="636">
        <v>0.2</v>
      </c>
      <c r="J184" s="636">
        <v>0.2</v>
      </c>
      <c r="K184" s="636">
        <v>0.2</v>
      </c>
      <c r="L184" s="636">
        <v>0.2</v>
      </c>
      <c r="M184" s="636">
        <v>0.2</v>
      </c>
      <c r="N184" s="636">
        <v>0.2</v>
      </c>
      <c r="O184" s="636">
        <v>0.2</v>
      </c>
      <c r="P184" s="636">
        <v>0.2</v>
      </c>
      <c r="Q184" s="636">
        <v>0.2</v>
      </c>
      <c r="R184" s="636">
        <v>0.2</v>
      </c>
      <c r="S184" s="636"/>
      <c r="T184" s="636"/>
    </row>
    <row r="185" spans="2:20">
      <c r="B185" s="633" t="s">
        <v>661</v>
      </c>
      <c r="C185" s="709">
        <f>SUM(D185:R185)</f>
        <v>276833.28156113462</v>
      </c>
      <c r="D185" s="692">
        <f>IF(D183&lt;0,D183,D183*(1-D184))</f>
        <v>34330.510386451875</v>
      </c>
      <c r="E185" s="692">
        <f>IF(E183&lt;0,E183,E183*(1-E184))</f>
        <v>0</v>
      </c>
      <c r="F185" s="692">
        <f>IF(F183&lt;0,F183,F183*(1-F184))</f>
        <v>11746.150295138776</v>
      </c>
      <c r="G185" s="692">
        <f t="shared" ref="G185:R185" si="68">IF(G183&lt;0,G183,G183*(1-G184))</f>
        <v>48350.832251903987</v>
      </c>
      <c r="H185" s="692">
        <f t="shared" si="68"/>
        <v>49697.046689279989</v>
      </c>
      <c r="I185" s="692">
        <f t="shared" si="68"/>
        <v>48063.098033279988</v>
      </c>
      <c r="J185" s="692">
        <f t="shared" si="68"/>
        <v>44540.662829439985</v>
      </c>
      <c r="K185" s="692">
        <f t="shared" si="68"/>
        <v>45993.291174639977</v>
      </c>
      <c r="L185" s="692">
        <f t="shared" si="68"/>
        <v>-5392.6086389999991</v>
      </c>
      <c r="M185" s="692">
        <f t="shared" si="68"/>
        <v>-495.70145999999937</v>
      </c>
      <c r="N185" s="692">
        <f t="shared" si="68"/>
        <v>5.8935256674885762E-13</v>
      </c>
      <c r="O185" s="692">
        <f t="shared" si="68"/>
        <v>5.8935256674885762E-13</v>
      </c>
      <c r="P185" s="692">
        <f t="shared" si="68"/>
        <v>5.8935256674885762E-13</v>
      </c>
      <c r="Q185" s="692">
        <f t="shared" si="68"/>
        <v>5.8935256674885762E-13</v>
      </c>
      <c r="R185" s="692">
        <f t="shared" si="68"/>
        <v>0</v>
      </c>
      <c r="S185" s="692"/>
      <c r="T185" s="692"/>
    </row>
    <row r="186" spans="2:20">
      <c r="B186" s="634" t="s">
        <v>847</v>
      </c>
      <c r="C186" s="640">
        <f>(C179+C180)/C179</f>
        <v>0.34160053221808545</v>
      </c>
      <c r="D186" s="640">
        <f>(D179+D180)/D179</f>
        <v>0.34160053221808556</v>
      </c>
      <c r="E186" s="640">
        <v>0</v>
      </c>
      <c r="F186" s="640">
        <f>(F179+F180)/F179</f>
        <v>0.34160053221808551</v>
      </c>
      <c r="G186" s="640">
        <f t="shared" ref="G186:R186" si="69">(G179+G180)/G179</f>
        <v>0.34160053221808551</v>
      </c>
      <c r="H186" s="640">
        <f t="shared" si="69"/>
        <v>0.34160053221808551</v>
      </c>
      <c r="I186" s="640">
        <f t="shared" si="69"/>
        <v>0.34160053221808551</v>
      </c>
      <c r="J186" s="640">
        <f t="shared" si="69"/>
        <v>0.34160053221808551</v>
      </c>
      <c r="K186" s="640">
        <f t="shared" si="69"/>
        <v>0.34160053221808551</v>
      </c>
      <c r="L186" s="640" t="e">
        <f>(L179+L180)/L179</f>
        <v>#DIV/0!</v>
      </c>
      <c r="M186" s="640" t="e">
        <f t="shared" si="69"/>
        <v>#DIV/0!</v>
      </c>
      <c r="N186" s="640" t="e">
        <f t="shared" si="69"/>
        <v>#DIV/0!</v>
      </c>
      <c r="O186" s="640" t="e">
        <f t="shared" si="69"/>
        <v>#DIV/0!</v>
      </c>
      <c r="P186" s="640" t="e">
        <f t="shared" si="69"/>
        <v>#DIV/0!</v>
      </c>
      <c r="Q186" s="640" t="e">
        <f t="shared" si="69"/>
        <v>#DIV/0!</v>
      </c>
      <c r="R186" s="640" t="e">
        <f t="shared" si="69"/>
        <v>#DIV/0!</v>
      </c>
    </row>
    <row r="187" spans="2:20">
      <c r="C187" s="640">
        <f>C185/C179</f>
        <v>0.21494466319484773</v>
      </c>
      <c r="D187" s="640">
        <f>D185/D179</f>
        <v>0.21895295984828422</v>
      </c>
      <c r="E187" s="640"/>
      <c r="F187" s="640">
        <f>F185/F179</f>
        <v>0.15830604583806757</v>
      </c>
      <c r="G187" s="640">
        <f t="shared" ref="G187:L187" si="70">G185/G179</f>
        <v>0.23444959345784494</v>
      </c>
      <c r="H187" s="640">
        <f t="shared" si="70"/>
        <v>0.22680215270614709</v>
      </c>
      <c r="I187" s="640">
        <f t="shared" si="70"/>
        <v>0.21934530974907748</v>
      </c>
      <c r="J187" s="640">
        <f t="shared" si="70"/>
        <v>0.21597436499749056</v>
      </c>
      <c r="K187" s="640">
        <f t="shared" si="70"/>
        <v>0.2230180519231498</v>
      </c>
      <c r="L187" s="640" t="e">
        <f t="shared" si="70"/>
        <v>#DIV/0!</v>
      </c>
      <c r="M187" s="640"/>
      <c r="N187" s="640"/>
      <c r="O187" s="640"/>
      <c r="P187" s="640"/>
      <c r="Q187" s="640"/>
      <c r="R187" s="640"/>
    </row>
    <row r="188" spans="2:20">
      <c r="B188" s="706" t="s">
        <v>849</v>
      </c>
      <c r="C188" s="707"/>
      <c r="D188" s="707"/>
      <c r="E188" s="707"/>
      <c r="F188" s="707"/>
      <c r="G188" s="707"/>
      <c r="H188" s="707"/>
      <c r="I188" s="707"/>
      <c r="J188" s="707"/>
      <c r="K188" s="707"/>
      <c r="L188" s="707"/>
      <c r="M188" s="707"/>
      <c r="N188" s="707"/>
      <c r="O188" s="707"/>
      <c r="P188" s="707"/>
      <c r="Q188" s="707"/>
      <c r="R188" s="707"/>
    </row>
    <row r="189" spans="2:20">
      <c r="B189" s="708" t="s">
        <v>843</v>
      </c>
      <c r="C189" s="708" t="str">
        <f>C178</f>
        <v>Total</v>
      </c>
      <c r="D189" s="708" t="str">
        <f>D178</f>
        <v>Past (inc 2013)</v>
      </c>
      <c r="E189" s="708" t="s">
        <v>790</v>
      </c>
      <c r="F189" s="708">
        <v>2014</v>
      </c>
      <c r="G189" s="708">
        <v>2015</v>
      </c>
      <c r="H189" s="708">
        <v>2016</v>
      </c>
      <c r="I189" s="708">
        <v>2017</v>
      </c>
      <c r="J189" s="708">
        <v>2018</v>
      </c>
      <c r="K189" s="708">
        <v>2019</v>
      </c>
      <c r="L189" s="708">
        <v>2020</v>
      </c>
      <c r="M189" s="708">
        <v>2021</v>
      </c>
      <c r="N189" s="708">
        <v>2022</v>
      </c>
      <c r="O189" s="708">
        <v>2023</v>
      </c>
      <c r="P189" s="708">
        <v>2024</v>
      </c>
      <c r="Q189" s="708">
        <v>2025</v>
      </c>
      <c r="R189" s="708">
        <v>2026</v>
      </c>
      <c r="S189" s="708"/>
      <c r="T189" s="708"/>
    </row>
    <row r="190" spans="2:20">
      <c r="B190" s="633" t="s">
        <v>850</v>
      </c>
      <c r="C190" s="670">
        <f>SUM(E190:L190)</f>
        <v>1293773.9694500002</v>
      </c>
      <c r="D190" s="670"/>
      <c r="E190" s="670">
        <f>D58</f>
        <v>155738</v>
      </c>
      <c r="F190" s="670">
        <f>F58</f>
        <v>169393.57650000037</v>
      </c>
      <c r="G190" s="670">
        <f t="shared" ref="G190:R190" si="71">G58</f>
        <v>103115.624</v>
      </c>
      <c r="H190" s="670">
        <f t="shared" si="71"/>
        <v>175296.56079999998</v>
      </c>
      <c r="I190" s="670">
        <f t="shared" si="71"/>
        <v>206231.24799999996</v>
      </c>
      <c r="J190" s="670">
        <f t="shared" si="71"/>
        <v>206231.24799999996</v>
      </c>
      <c r="K190" s="670">
        <f t="shared" si="71"/>
        <v>199657.62696999998</v>
      </c>
      <c r="L190" s="670">
        <f t="shared" si="71"/>
        <v>78110.08517999998</v>
      </c>
      <c r="M190" s="670">
        <f t="shared" si="71"/>
        <v>0</v>
      </c>
      <c r="N190" s="670">
        <f t="shared" si="71"/>
        <v>0</v>
      </c>
      <c r="O190" s="670">
        <f t="shared" si="71"/>
        <v>0</v>
      </c>
      <c r="P190" s="670">
        <f t="shared" si="71"/>
        <v>0</v>
      </c>
      <c r="Q190" s="670">
        <f t="shared" si="71"/>
        <v>0</v>
      </c>
      <c r="R190" s="670">
        <f t="shared" si="71"/>
        <v>0</v>
      </c>
      <c r="S190" s="670"/>
      <c r="T190" s="670"/>
    </row>
    <row r="191" spans="2:20">
      <c r="B191" s="633" t="s">
        <v>851</v>
      </c>
      <c r="C191" s="670">
        <f>SUM(E191:L191)</f>
        <v>-966325.25759111729</v>
      </c>
      <c r="D191" s="670"/>
      <c r="E191" s="670">
        <f t="shared" ref="E191:R191" si="72">SUM(E192:E195)</f>
        <v>-524826.0234621506</v>
      </c>
      <c r="F191" s="670">
        <f t="shared" si="72"/>
        <v>-61581.818908244291</v>
      </c>
      <c r="G191" s="670">
        <f t="shared" si="72"/>
        <v>-72948.066758229324</v>
      </c>
      <c r="H191" s="670">
        <f t="shared" si="72"/>
        <v>-75343.961045653326</v>
      </c>
      <c r="I191" s="670">
        <f t="shared" si="72"/>
        <v>-76482.208241653323</v>
      </c>
      <c r="J191" s="670">
        <f t="shared" si="72"/>
        <v>-75601.599440693317</v>
      </c>
      <c r="K191" s="670">
        <f t="shared" si="72"/>
        <v>-75636.07547549333</v>
      </c>
      <c r="L191" s="670">
        <f t="shared" si="72"/>
        <v>-3905.5042589999994</v>
      </c>
      <c r="M191" s="670">
        <f t="shared" si="72"/>
        <v>0</v>
      </c>
      <c r="N191" s="670">
        <f t="shared" si="72"/>
        <v>-1.473381416872144E-13</v>
      </c>
      <c r="O191" s="670">
        <f t="shared" si="72"/>
        <v>-1.473381416872144E-13</v>
      </c>
      <c r="P191" s="670">
        <f t="shared" si="72"/>
        <v>-1.473381416872144E-13</v>
      </c>
      <c r="Q191" s="670">
        <f t="shared" si="72"/>
        <v>-1.473381416872144E-13</v>
      </c>
      <c r="R191" s="670">
        <f t="shared" si="72"/>
        <v>0</v>
      </c>
      <c r="S191" s="670"/>
      <c r="T191" s="670"/>
    </row>
    <row r="192" spans="2:20">
      <c r="B192" s="634" t="s">
        <v>852</v>
      </c>
      <c r="C192" s="688"/>
      <c r="D192" s="634"/>
      <c r="E192" s="688">
        <f>-D33</f>
        <v>-222472</v>
      </c>
      <c r="F192" s="688">
        <f>-F33</f>
        <v>-28020.383333333331</v>
      </c>
      <c r="G192" s="688">
        <f t="shared" ref="G192:R192" si="73">-G33</f>
        <v>-28020.383333333331</v>
      </c>
      <c r="H192" s="688">
        <f t="shared" si="73"/>
        <v>-28020.383333333331</v>
      </c>
      <c r="I192" s="688">
        <f t="shared" si="73"/>
        <v>-28020.383333333331</v>
      </c>
      <c r="J192" s="688">
        <f t="shared" si="73"/>
        <v>-28020.383333333331</v>
      </c>
      <c r="K192" s="688">
        <f t="shared" si="73"/>
        <v>-28020.383333333331</v>
      </c>
      <c r="L192" s="688">
        <f t="shared" si="73"/>
        <v>0</v>
      </c>
      <c r="M192" s="688">
        <f t="shared" si="73"/>
        <v>0</v>
      </c>
      <c r="N192" s="688">
        <f t="shared" si="73"/>
        <v>0</v>
      </c>
      <c r="O192" s="688">
        <f t="shared" si="73"/>
        <v>0</v>
      </c>
      <c r="P192" s="688">
        <f t="shared" si="73"/>
        <v>0</v>
      </c>
      <c r="Q192" s="688">
        <f t="shared" si="73"/>
        <v>0</v>
      </c>
      <c r="R192" s="688">
        <f t="shared" si="73"/>
        <v>0</v>
      </c>
    </row>
    <row r="193" spans="2:20">
      <c r="B193" s="634" t="s">
        <v>853</v>
      </c>
      <c r="C193" s="688"/>
      <c r="D193" s="634"/>
      <c r="E193" s="688">
        <f>-D34</f>
        <v>-283123.62</v>
      </c>
      <c r="F193" s="688">
        <f>-F34</f>
        <v>-21778.74</v>
      </c>
      <c r="G193" s="688">
        <f t="shared" ref="G193:Q193" si="74">-G34</f>
        <v>-26134.487999999998</v>
      </c>
      <c r="H193" s="688">
        <f t="shared" si="74"/>
        <v>-26134.487999999998</v>
      </c>
      <c r="I193" s="688">
        <f t="shared" si="74"/>
        <v>-26134.487999999998</v>
      </c>
      <c r="J193" s="688">
        <f t="shared" si="74"/>
        <v>-26134.487999999998</v>
      </c>
      <c r="K193" s="688">
        <f t="shared" si="74"/>
        <v>-26134.487999999998</v>
      </c>
      <c r="L193" s="688">
        <f t="shared" si="74"/>
        <v>0</v>
      </c>
      <c r="M193" s="688">
        <f t="shared" si="74"/>
        <v>0</v>
      </c>
      <c r="N193" s="688">
        <f t="shared" si="74"/>
        <v>0</v>
      </c>
      <c r="O193" s="688">
        <f t="shared" si="74"/>
        <v>0</v>
      </c>
      <c r="P193" s="688">
        <f t="shared" si="74"/>
        <v>0</v>
      </c>
      <c r="Q193" s="688">
        <f t="shared" si="74"/>
        <v>0</v>
      </c>
      <c r="R193" s="688"/>
    </row>
    <row r="194" spans="2:20">
      <c r="B194" s="634" t="s">
        <v>656</v>
      </c>
      <c r="C194" s="688"/>
      <c r="D194" s="688"/>
      <c r="E194" s="688">
        <f>-D72</f>
        <v>-7786.9000000000005</v>
      </c>
      <c r="F194" s="688">
        <f>-F72</f>
        <v>-8469.6788250000191</v>
      </c>
      <c r="G194" s="688">
        <f t="shared" ref="G194:R194" si="75">-G72</f>
        <v>-5155.7812000000004</v>
      </c>
      <c r="H194" s="688">
        <f t="shared" si="75"/>
        <v>-8764.8280399999985</v>
      </c>
      <c r="I194" s="688">
        <f t="shared" si="75"/>
        <v>-10311.562399999999</v>
      </c>
      <c r="J194" s="688">
        <f t="shared" si="75"/>
        <v>-10311.562399999999</v>
      </c>
      <c r="K194" s="688">
        <f t="shared" si="75"/>
        <v>-9982.8813484999991</v>
      </c>
      <c r="L194" s="688">
        <f t="shared" si="75"/>
        <v>-3905.5042589999994</v>
      </c>
      <c r="M194" s="688">
        <f t="shared" si="75"/>
        <v>0</v>
      </c>
      <c r="N194" s="688">
        <f t="shared" si="75"/>
        <v>0</v>
      </c>
      <c r="O194" s="688">
        <f t="shared" si="75"/>
        <v>0</v>
      </c>
      <c r="P194" s="688">
        <f t="shared" si="75"/>
        <v>0</v>
      </c>
      <c r="Q194" s="688">
        <f t="shared" si="75"/>
        <v>0</v>
      </c>
      <c r="R194" s="688">
        <f t="shared" si="75"/>
        <v>0</v>
      </c>
      <c r="S194" s="688"/>
      <c r="T194" s="688"/>
    </row>
    <row r="195" spans="2:20">
      <c r="B195" s="634" t="s">
        <v>854</v>
      </c>
      <c r="C195" s="679"/>
      <c r="D195" s="679"/>
      <c r="E195" s="679">
        <f>-(D183-D185)</f>
        <v>-11443.503462150627</v>
      </c>
      <c r="F195" s="679">
        <f>-(F183-F185)</f>
        <v>-3313.0167499109357</v>
      </c>
      <c r="G195" s="679">
        <f>IF(G173&lt;0,0,-G173*G174)</f>
        <v>-13637.414224895994</v>
      </c>
      <c r="H195" s="679">
        <f>IF(H173&lt;0,0,-H173*H174)</f>
        <v>-12424.261672319997</v>
      </c>
      <c r="I195" s="679">
        <f t="shared" ref="I195:R195" si="76">IF(I173&lt;0,0,-I173*I174)</f>
        <v>-12015.774508319997</v>
      </c>
      <c r="J195" s="679">
        <f t="shared" si="76"/>
        <v>-11135.165707359996</v>
      </c>
      <c r="K195" s="679">
        <f t="shared" si="76"/>
        <v>-11498.322793659994</v>
      </c>
      <c r="L195" s="679">
        <f t="shared" si="76"/>
        <v>0</v>
      </c>
      <c r="M195" s="679">
        <f t="shared" si="76"/>
        <v>0</v>
      </c>
      <c r="N195" s="679">
        <f t="shared" si="76"/>
        <v>-1.473381416872144E-13</v>
      </c>
      <c r="O195" s="679">
        <f t="shared" si="76"/>
        <v>-1.473381416872144E-13</v>
      </c>
      <c r="P195" s="679">
        <f t="shared" si="76"/>
        <v>-1.473381416872144E-13</v>
      </c>
      <c r="Q195" s="679">
        <f t="shared" si="76"/>
        <v>-1.473381416872144E-13</v>
      </c>
      <c r="R195" s="679">
        <f t="shared" si="76"/>
        <v>0</v>
      </c>
      <c r="S195" s="679"/>
      <c r="T195" s="679"/>
    </row>
    <row r="196" spans="2:20">
      <c r="B196" s="634" t="s">
        <v>855</v>
      </c>
      <c r="C196" s="670">
        <f>C190-C191</f>
        <v>2260099.2270411174</v>
      </c>
      <c r="D196" s="670">
        <f>D190-D191</f>
        <v>0</v>
      </c>
      <c r="E196" s="670">
        <f>E190+E191</f>
        <v>-369088.0234621506</v>
      </c>
      <c r="F196" s="670">
        <f>F190+F191</f>
        <v>107811.75759175609</v>
      </c>
      <c r="G196" s="670">
        <f t="shared" ref="G196:R196" si="77">G190+G191</f>
        <v>30167.557241770672</v>
      </c>
      <c r="H196" s="670">
        <f t="shared" si="77"/>
        <v>99952.599754346651</v>
      </c>
      <c r="I196" s="670">
        <f t="shared" si="77"/>
        <v>129749.03975834664</v>
      </c>
      <c r="J196" s="670">
        <f t="shared" si="77"/>
        <v>130629.64855930665</v>
      </c>
      <c r="K196" s="670">
        <f t="shared" si="77"/>
        <v>124021.55149450665</v>
      </c>
      <c r="L196" s="670">
        <f t="shared" si="77"/>
        <v>74204.580920999986</v>
      </c>
      <c r="M196" s="670">
        <f t="shared" si="77"/>
        <v>0</v>
      </c>
      <c r="N196" s="670">
        <f t="shared" si="77"/>
        <v>-1.473381416872144E-13</v>
      </c>
      <c r="O196" s="670">
        <f t="shared" si="77"/>
        <v>-1.473381416872144E-13</v>
      </c>
      <c r="P196" s="670">
        <f t="shared" si="77"/>
        <v>-1.473381416872144E-13</v>
      </c>
      <c r="Q196" s="670">
        <f t="shared" si="77"/>
        <v>-1.473381416872144E-13</v>
      </c>
      <c r="R196" s="670">
        <f t="shared" si="77"/>
        <v>0</v>
      </c>
      <c r="S196" s="670"/>
      <c r="T196" s="670"/>
    </row>
    <row r="197" spans="2:20" s="710" customFormat="1">
      <c r="B197" s="710" t="s">
        <v>856</v>
      </c>
      <c r="E197" s="710">
        <f>(E18+1)^0</f>
        <v>1</v>
      </c>
      <c r="F197" s="822">
        <v>1</v>
      </c>
      <c r="G197" s="710">
        <f>((G21+1)*F197)</f>
        <v>1.1588799999999999</v>
      </c>
      <c r="H197" s="710">
        <f t="shared" ref="H197:R197" si="78">((H21+1)*G197)</f>
        <v>1.3423307040000001</v>
      </c>
      <c r="I197" s="710">
        <f t="shared" si="78"/>
        <v>1.5537477898800001</v>
      </c>
      <c r="J197" s="710">
        <f t="shared" si="78"/>
        <v>1.7984630667861001</v>
      </c>
      <c r="K197" s="710">
        <f t="shared" si="78"/>
        <v>2.0817209998049107</v>
      </c>
      <c r="L197" s="710">
        <f t="shared" si="78"/>
        <v>2.409592057274184</v>
      </c>
      <c r="M197" s="710">
        <f t="shared" si="78"/>
        <v>2.789102806294868</v>
      </c>
      <c r="N197" s="710">
        <f t="shared" si="78"/>
        <v>3.2283864982863095</v>
      </c>
      <c r="O197" s="710">
        <f t="shared" si="78"/>
        <v>3.7368573717664031</v>
      </c>
      <c r="P197" s="710">
        <f t="shared" si="78"/>
        <v>4.3254124078196119</v>
      </c>
      <c r="Q197" s="710">
        <f t="shared" si="78"/>
        <v>5.0066648620512009</v>
      </c>
      <c r="R197" s="710">
        <f t="shared" si="78"/>
        <v>5.7952145778242645</v>
      </c>
    </row>
    <row r="198" spans="2:20">
      <c r="B198" s="634" t="s">
        <v>857</v>
      </c>
      <c r="D198" s="634"/>
      <c r="E198" s="711">
        <f>E196/E197</f>
        <v>-369088.0234621506</v>
      </c>
      <c r="F198" s="711">
        <f>F196/F197</f>
        <v>107811.75759175609</v>
      </c>
      <c r="G198" s="711">
        <f t="shared" ref="G198:Q198" si="79">G196/G197</f>
        <v>26031.648869400346</v>
      </c>
      <c r="H198" s="711">
        <f t="shared" si="79"/>
        <v>74461.978301247771</v>
      </c>
      <c r="I198" s="711">
        <f t="shared" si="79"/>
        <v>83507.143568241212</v>
      </c>
      <c r="J198" s="711">
        <f>J196/J197</f>
        <v>72634.045686990503</v>
      </c>
      <c r="K198" s="711">
        <f t="shared" si="79"/>
        <v>59576.452130775157</v>
      </c>
      <c r="L198" s="711">
        <f t="shared" si="79"/>
        <v>30795.495319213012</v>
      </c>
      <c r="M198" s="711">
        <f t="shared" si="79"/>
        <v>0</v>
      </c>
      <c r="N198" s="711">
        <f t="shared" si="79"/>
        <v>-4.5638321732984683E-14</v>
      </c>
      <c r="O198" s="711">
        <f t="shared" si="79"/>
        <v>-3.9428355708842063E-14</v>
      </c>
      <c r="P198" s="711">
        <f t="shared" si="79"/>
        <v>-3.4063374262498541E-14</v>
      </c>
      <c r="Q198" s="711">
        <f t="shared" si="79"/>
        <v>-2.942840109071148E-14</v>
      </c>
      <c r="R198" s="711">
        <f>R196/R197</f>
        <v>0</v>
      </c>
    </row>
    <row r="199" spans="2:20">
      <c r="B199" s="634" t="s">
        <v>858</v>
      </c>
      <c r="C199" s="688">
        <f>SUM(G198:R198)</f>
        <v>347006.763875868</v>
      </c>
      <c r="D199" s="634"/>
      <c r="F199" s="817">
        <f>F198*$C$9</f>
        <v>44741.879400578779</v>
      </c>
      <c r="G199" s="817">
        <f t="shared" ref="G199:M199" si="80">G198*$C$9</f>
        <v>10803.134280801143</v>
      </c>
      <c r="H199" s="817">
        <f t="shared" si="80"/>
        <v>30901.720995017822</v>
      </c>
      <c r="I199" s="817">
        <f t="shared" si="80"/>
        <v>34655.464580820102</v>
      </c>
      <c r="J199" s="817">
        <f t="shared" si="80"/>
        <v>30143.128960101058</v>
      </c>
      <c r="K199" s="817">
        <f t="shared" si="80"/>
        <v>24724.22763427169</v>
      </c>
      <c r="L199" s="817">
        <f t="shared" si="80"/>
        <v>12780.1305574734</v>
      </c>
      <c r="M199" s="817">
        <f t="shared" si="80"/>
        <v>0</v>
      </c>
    </row>
    <row r="200" spans="2:20">
      <c r="B200" s="712" t="s">
        <v>859</v>
      </c>
      <c r="C200" s="713">
        <f>C199*$C$9</f>
        <v>144007.80700848522</v>
      </c>
      <c r="D200" s="670"/>
      <c r="E200" s="670"/>
      <c r="F200" s="808">
        <v>2012</v>
      </c>
      <c r="G200" s="808">
        <v>2013</v>
      </c>
      <c r="H200" s="808">
        <v>2014</v>
      </c>
      <c r="I200" s="808">
        <v>2015</v>
      </c>
      <c r="J200" s="808">
        <v>2016</v>
      </c>
      <c r="K200" s="808">
        <v>2017</v>
      </c>
      <c r="L200" s="808">
        <v>2018</v>
      </c>
      <c r="M200" s="808">
        <v>2019</v>
      </c>
      <c r="N200" s="808">
        <v>2020</v>
      </c>
      <c r="O200" s="808">
        <v>2021</v>
      </c>
      <c r="P200" s="670"/>
      <c r="Q200" s="670"/>
      <c r="R200" s="670"/>
      <c r="S200" s="670"/>
      <c r="T200" s="670"/>
    </row>
    <row r="201" spans="2:20">
      <c r="B201" s="633"/>
      <c r="C201" s="721"/>
      <c r="D201" s="670"/>
      <c r="E201" s="670"/>
      <c r="F201" s="670">
        <f>E192+SUM(E193:E194)/2</f>
        <v>-367927.26</v>
      </c>
      <c r="G201" s="670">
        <f>E191-F201</f>
        <v>-156898.76346215059</v>
      </c>
      <c r="H201" s="670">
        <f>F196</f>
        <v>107811.75759175609</v>
      </c>
      <c r="I201" s="670">
        <f t="shared" ref="I201:O201" si="81">G196</f>
        <v>30167.557241770672</v>
      </c>
      <c r="J201" s="670">
        <f t="shared" si="81"/>
        <v>99952.599754346651</v>
      </c>
      <c r="K201" s="670">
        <f t="shared" si="81"/>
        <v>129749.03975834664</v>
      </c>
      <c r="L201" s="670">
        <f t="shared" si="81"/>
        <v>130629.64855930665</v>
      </c>
      <c r="M201" s="670">
        <f t="shared" si="81"/>
        <v>124021.55149450665</v>
      </c>
      <c r="N201" s="670">
        <f t="shared" si="81"/>
        <v>74204.580920999986</v>
      </c>
      <c r="O201" s="670">
        <f t="shared" si="81"/>
        <v>0</v>
      </c>
      <c r="P201" s="670"/>
      <c r="Q201" s="670"/>
      <c r="R201" s="670"/>
      <c r="S201" s="670"/>
      <c r="T201" s="670"/>
    </row>
    <row r="202" spans="2:20">
      <c r="B202" s="633"/>
      <c r="C202" s="721"/>
      <c r="D202" s="670"/>
      <c r="E202" s="670"/>
      <c r="F202" s="722">
        <f>IRR(F201:O201)</f>
        <v>6.1137533080400486E-2</v>
      </c>
      <c r="G202" s="670"/>
      <c r="H202" s="670"/>
      <c r="I202" s="670"/>
      <c r="J202" s="670"/>
      <c r="K202" s="670"/>
      <c r="L202" s="670"/>
      <c r="M202" s="670"/>
      <c r="N202" s="670"/>
      <c r="O202" s="670"/>
      <c r="P202" s="670"/>
      <c r="Q202" s="670"/>
      <c r="R202" s="670"/>
      <c r="S202" s="670"/>
      <c r="T202" s="670"/>
    </row>
    <row r="203" spans="2:20">
      <c r="B203" s="633"/>
      <c r="C203" s="721"/>
      <c r="D203" s="670"/>
      <c r="E203" s="670"/>
      <c r="F203" s="670"/>
      <c r="G203" s="670"/>
      <c r="H203" s="670"/>
      <c r="I203" s="670"/>
      <c r="J203" s="670"/>
      <c r="K203" s="670"/>
      <c r="L203" s="670"/>
      <c r="M203" s="670"/>
      <c r="N203" s="670"/>
      <c r="O203" s="670"/>
      <c r="P203" s="670"/>
      <c r="Q203" s="670"/>
      <c r="R203" s="670"/>
      <c r="S203" s="670"/>
      <c r="T203" s="670"/>
    </row>
    <row r="204" spans="2:20">
      <c r="C204" s="670"/>
      <c r="D204" s="670"/>
      <c r="E204" s="670"/>
      <c r="F204" s="670">
        <f>F198*$C$9</f>
        <v>44741.879400578779</v>
      </c>
      <c r="G204" s="670">
        <f t="shared" ref="G204:M204" si="82">G198*$C$9</f>
        <v>10803.134280801143</v>
      </c>
      <c r="H204" s="670">
        <f t="shared" si="82"/>
        <v>30901.720995017822</v>
      </c>
      <c r="I204" s="670">
        <f t="shared" si="82"/>
        <v>34655.464580820102</v>
      </c>
      <c r="J204" s="670">
        <f t="shared" si="82"/>
        <v>30143.128960101058</v>
      </c>
      <c r="K204" s="670">
        <f t="shared" si="82"/>
        <v>24724.22763427169</v>
      </c>
      <c r="L204" s="670">
        <f t="shared" si="82"/>
        <v>12780.1305574734</v>
      </c>
      <c r="M204" s="670">
        <f t="shared" si="82"/>
        <v>0</v>
      </c>
      <c r="N204" s="670"/>
      <c r="O204" s="670"/>
      <c r="P204" s="670"/>
      <c r="Q204" s="670"/>
      <c r="R204" s="670"/>
      <c r="S204" s="670"/>
      <c r="T204" s="670"/>
    </row>
    <row r="205" spans="2:20" hidden="1">
      <c r="B205" s="706" t="s">
        <v>860</v>
      </c>
      <c r="C205" s="707"/>
      <c r="D205" s="707"/>
      <c r="E205" s="707"/>
      <c r="F205" s="707"/>
      <c r="G205" s="707"/>
      <c r="H205" s="707"/>
      <c r="I205" s="707"/>
      <c r="J205" s="707"/>
      <c r="K205" s="707"/>
      <c r="L205" s="707"/>
      <c r="M205" s="707"/>
      <c r="N205" s="707"/>
      <c r="O205" s="707"/>
      <c r="P205" s="707"/>
      <c r="Q205" s="707"/>
      <c r="R205" s="707"/>
    </row>
    <row r="206" spans="2:20" hidden="1">
      <c r="B206" s="708" t="s">
        <v>843</v>
      </c>
      <c r="C206" s="708" t="str">
        <f>C189</f>
        <v>Total</v>
      </c>
      <c r="D206" s="708" t="str">
        <f t="shared" ref="D206:R206" si="83">D189</f>
        <v>Past (inc 2013)</v>
      </c>
      <c r="E206" s="708" t="str">
        <f t="shared" si="83"/>
        <v>Past (inc 2013)</v>
      </c>
      <c r="F206" s="708">
        <f t="shared" si="83"/>
        <v>2014</v>
      </c>
      <c r="G206" s="708">
        <f t="shared" si="83"/>
        <v>2015</v>
      </c>
      <c r="H206" s="708">
        <f t="shared" si="83"/>
        <v>2016</v>
      </c>
      <c r="I206" s="708">
        <f t="shared" si="83"/>
        <v>2017</v>
      </c>
      <c r="J206" s="708">
        <f t="shared" si="83"/>
        <v>2018</v>
      </c>
      <c r="K206" s="708">
        <f t="shared" si="83"/>
        <v>2019</v>
      </c>
      <c r="L206" s="708">
        <f t="shared" si="83"/>
        <v>2020</v>
      </c>
      <c r="M206" s="708">
        <f t="shared" si="83"/>
        <v>2021</v>
      </c>
      <c r="N206" s="708">
        <f t="shared" si="83"/>
        <v>2022</v>
      </c>
      <c r="O206" s="708">
        <f t="shared" si="83"/>
        <v>2023</v>
      </c>
      <c r="P206" s="708">
        <f t="shared" si="83"/>
        <v>2024</v>
      </c>
      <c r="Q206" s="708">
        <f t="shared" si="83"/>
        <v>2025</v>
      </c>
      <c r="R206" s="708">
        <f t="shared" si="83"/>
        <v>2026</v>
      </c>
      <c r="S206" s="708"/>
      <c r="T206" s="708"/>
    </row>
    <row r="207" spans="2:20" hidden="1">
      <c r="B207" s="633" t="s">
        <v>850</v>
      </c>
      <c r="C207" s="670"/>
      <c r="D207" s="670"/>
      <c r="E207" s="670">
        <f>E91+E116+E139+E161+E162</f>
        <v>0</v>
      </c>
      <c r="F207" s="670">
        <f t="shared" ref="F207:R207" si="84">F91+F116+F139+F161+F162</f>
        <v>0</v>
      </c>
      <c r="G207" s="670">
        <f t="shared" si="84"/>
        <v>0</v>
      </c>
      <c r="H207" s="670">
        <f t="shared" si="84"/>
        <v>0</v>
      </c>
      <c r="I207" s="670">
        <f t="shared" si="84"/>
        <v>0</v>
      </c>
      <c r="J207" s="670">
        <f t="shared" si="84"/>
        <v>0</v>
      </c>
      <c r="K207" s="670">
        <f t="shared" si="84"/>
        <v>0</v>
      </c>
      <c r="L207" s="670">
        <f t="shared" si="84"/>
        <v>0</v>
      </c>
      <c r="M207" s="670">
        <f t="shared" si="84"/>
        <v>0</v>
      </c>
      <c r="N207" s="670">
        <f t="shared" si="84"/>
        <v>0</v>
      </c>
      <c r="O207" s="670">
        <f t="shared" si="84"/>
        <v>0</v>
      </c>
      <c r="P207" s="670">
        <f t="shared" si="84"/>
        <v>0</v>
      </c>
      <c r="Q207" s="670">
        <f t="shared" si="84"/>
        <v>0</v>
      </c>
      <c r="R207" s="670">
        <f t="shared" si="84"/>
        <v>0</v>
      </c>
      <c r="S207" s="670"/>
      <c r="T207" s="670"/>
    </row>
    <row r="208" spans="2:20" hidden="1">
      <c r="B208" s="633" t="s">
        <v>851</v>
      </c>
      <c r="C208" s="670"/>
      <c r="D208" s="670"/>
      <c r="E208" s="670">
        <f>SUM(E209:E214)</f>
        <v>11443.503462150627</v>
      </c>
      <c r="F208" s="670">
        <f t="shared" ref="F208:R208" si="85">SUM(F209:F214)</f>
        <v>0</v>
      </c>
      <c r="G208" s="670">
        <f t="shared" si="85"/>
        <v>0</v>
      </c>
      <c r="H208" s="670">
        <f t="shared" si="85"/>
        <v>0</v>
      </c>
      <c r="I208" s="670">
        <f t="shared" si="85"/>
        <v>-52268.975999999995</v>
      </c>
      <c r="J208" s="670">
        <f t="shared" si="85"/>
        <v>-52268.975999999995</v>
      </c>
      <c r="K208" s="670">
        <f t="shared" si="85"/>
        <v>-52268.975999999995</v>
      </c>
      <c r="L208" s="670">
        <f t="shared" si="85"/>
        <v>0</v>
      </c>
      <c r="M208" s="670">
        <f t="shared" si="85"/>
        <v>0</v>
      </c>
      <c r="N208" s="670">
        <f t="shared" si="85"/>
        <v>0</v>
      </c>
      <c r="O208" s="670">
        <f t="shared" si="85"/>
        <v>0</v>
      </c>
      <c r="P208" s="670">
        <f t="shared" si="85"/>
        <v>0</v>
      </c>
      <c r="Q208" s="670">
        <f t="shared" si="85"/>
        <v>0</v>
      </c>
      <c r="R208" s="670">
        <f t="shared" si="85"/>
        <v>0</v>
      </c>
      <c r="S208" s="670"/>
      <c r="T208" s="670"/>
    </row>
    <row r="209" spans="1:20" hidden="1">
      <c r="B209" s="634" t="s">
        <v>852</v>
      </c>
      <c r="C209" s="688"/>
      <c r="D209" s="634"/>
      <c r="E209" s="688">
        <v>0</v>
      </c>
      <c r="F209" s="688">
        <f t="shared" ref="F209:R209" si="86">-F33-F192</f>
        <v>0</v>
      </c>
      <c r="G209" s="688">
        <f t="shared" si="86"/>
        <v>0</v>
      </c>
      <c r="H209" s="688">
        <f t="shared" si="86"/>
        <v>0</v>
      </c>
      <c r="I209" s="688">
        <f t="shared" si="86"/>
        <v>0</v>
      </c>
      <c r="J209" s="688">
        <f t="shared" si="86"/>
        <v>0</v>
      </c>
      <c r="K209" s="688">
        <f t="shared" si="86"/>
        <v>0</v>
      </c>
      <c r="L209" s="688">
        <f t="shared" si="86"/>
        <v>0</v>
      </c>
      <c r="M209" s="688">
        <f t="shared" si="86"/>
        <v>0</v>
      </c>
      <c r="N209" s="688">
        <f t="shared" si="86"/>
        <v>0</v>
      </c>
      <c r="O209" s="688">
        <f t="shared" si="86"/>
        <v>0</v>
      </c>
      <c r="P209" s="688">
        <f t="shared" si="86"/>
        <v>0</v>
      </c>
      <c r="Q209" s="688">
        <f t="shared" si="86"/>
        <v>0</v>
      </c>
      <c r="R209" s="688">
        <f t="shared" si="86"/>
        <v>0</v>
      </c>
    </row>
    <row r="210" spans="1:20" hidden="1">
      <c r="B210" s="634" t="s">
        <v>853</v>
      </c>
      <c r="C210" s="688"/>
      <c r="D210" s="634"/>
      <c r="E210" s="688">
        <f>-D34-E193</f>
        <v>0</v>
      </c>
      <c r="F210" s="688">
        <f>-F34-F193</f>
        <v>0</v>
      </c>
      <c r="G210" s="688">
        <f>-G34-G193</f>
        <v>0</v>
      </c>
      <c r="H210" s="688">
        <f>-H34-H193</f>
        <v>0</v>
      </c>
      <c r="I210" s="688">
        <f t="shared" ref="I210:R210" si="87">-I34+I193</f>
        <v>-52268.975999999995</v>
      </c>
      <c r="J210" s="688">
        <f t="shared" si="87"/>
        <v>-52268.975999999995</v>
      </c>
      <c r="K210" s="688">
        <f t="shared" si="87"/>
        <v>-52268.975999999995</v>
      </c>
      <c r="L210" s="688">
        <f t="shared" si="87"/>
        <v>0</v>
      </c>
      <c r="M210" s="688">
        <f t="shared" si="87"/>
        <v>0</v>
      </c>
      <c r="N210" s="688">
        <f t="shared" si="87"/>
        <v>0</v>
      </c>
      <c r="O210" s="688">
        <f t="shared" si="87"/>
        <v>0</v>
      </c>
      <c r="P210" s="688">
        <f t="shared" si="87"/>
        <v>0</v>
      </c>
      <c r="Q210" s="688">
        <f t="shared" si="87"/>
        <v>0</v>
      </c>
      <c r="R210" s="688">
        <f t="shared" si="87"/>
        <v>0</v>
      </c>
    </row>
    <row r="211" spans="1:20" hidden="1">
      <c r="A211" s="688"/>
      <c r="B211" s="634" t="s">
        <v>788</v>
      </c>
      <c r="C211" s="688"/>
      <c r="D211" s="679">
        <v>0</v>
      </c>
      <c r="E211" s="688">
        <f>(-$E$5-$D$211)*E35</f>
        <v>0</v>
      </c>
      <c r="F211" s="688">
        <f>(-$E$5+$D$39*$D$48-$D$211)*F35</f>
        <v>0</v>
      </c>
      <c r="G211" s="688">
        <f>(-$E$5+$C$66-$D$211)*G67</f>
        <v>0</v>
      </c>
      <c r="H211" s="688">
        <f>(-$E$5+$C$66-$D$211)*H67</f>
        <v>0</v>
      </c>
      <c r="I211" s="688"/>
      <c r="J211" s="688"/>
      <c r="K211" s="688"/>
      <c r="L211" s="688"/>
      <c r="M211" s="688"/>
      <c r="N211" s="688"/>
      <c r="O211" s="688"/>
      <c r="P211" s="688"/>
      <c r="Q211" s="688"/>
      <c r="R211" s="688"/>
      <c r="S211" s="688"/>
      <c r="T211" s="688"/>
    </row>
    <row r="212" spans="1:20" hidden="1">
      <c r="B212" s="634" t="s">
        <v>821</v>
      </c>
      <c r="C212" s="688"/>
      <c r="D212" s="688"/>
      <c r="E212" s="688">
        <f>-(E95+E119+E142+E164)</f>
        <v>0</v>
      </c>
      <c r="F212" s="688">
        <f>-(F95+F119+F142+F164)</f>
        <v>0</v>
      </c>
      <c r="G212" s="688">
        <f t="shared" ref="G212:R212" si="88">-(G95+G119+G142+G164)</f>
        <v>0</v>
      </c>
      <c r="H212" s="688">
        <f t="shared" si="88"/>
        <v>0</v>
      </c>
      <c r="I212" s="688">
        <f t="shared" si="88"/>
        <v>0</v>
      </c>
      <c r="J212" s="688">
        <f t="shared" si="88"/>
        <v>0</v>
      </c>
      <c r="K212" s="688">
        <f t="shared" si="88"/>
        <v>0</v>
      </c>
      <c r="L212" s="688">
        <f t="shared" si="88"/>
        <v>0</v>
      </c>
      <c r="M212" s="688">
        <f t="shared" si="88"/>
        <v>0</v>
      </c>
      <c r="N212" s="688">
        <f t="shared" si="88"/>
        <v>0</v>
      </c>
      <c r="O212" s="688">
        <f t="shared" si="88"/>
        <v>0</v>
      </c>
      <c r="P212" s="688">
        <f t="shared" si="88"/>
        <v>0</v>
      </c>
      <c r="Q212" s="688">
        <f t="shared" si="88"/>
        <v>0</v>
      </c>
      <c r="R212" s="688">
        <f t="shared" si="88"/>
        <v>0</v>
      </c>
      <c r="S212" s="688"/>
      <c r="T212" s="688"/>
    </row>
    <row r="213" spans="1:20" hidden="1">
      <c r="B213" s="634" t="s">
        <v>656</v>
      </c>
      <c r="C213" s="688">
        <f>C181</f>
        <v>-64688.698472500015</v>
      </c>
      <c r="D213" s="688">
        <f>D181</f>
        <v>-7786.9000000000005</v>
      </c>
      <c r="E213" s="688">
        <f>E181-E171</f>
        <v>0</v>
      </c>
      <c r="F213" s="688">
        <f t="shared" ref="F213:R213" si="89">F181-F171</f>
        <v>0</v>
      </c>
      <c r="G213" s="688">
        <f t="shared" si="89"/>
        <v>0</v>
      </c>
      <c r="H213" s="688">
        <f t="shared" si="89"/>
        <v>0</v>
      </c>
      <c r="I213" s="688">
        <f t="shared" si="89"/>
        <v>0</v>
      </c>
      <c r="J213" s="688">
        <f t="shared" si="89"/>
        <v>0</v>
      </c>
      <c r="K213" s="688">
        <f t="shared" si="89"/>
        <v>0</v>
      </c>
      <c r="L213" s="688">
        <f t="shared" si="89"/>
        <v>0</v>
      </c>
      <c r="M213" s="688">
        <f t="shared" si="89"/>
        <v>0</v>
      </c>
      <c r="N213" s="688">
        <f t="shared" si="89"/>
        <v>0</v>
      </c>
      <c r="O213" s="688">
        <f t="shared" si="89"/>
        <v>0</v>
      </c>
      <c r="P213" s="688">
        <f t="shared" si="89"/>
        <v>0</v>
      </c>
      <c r="Q213" s="688">
        <f t="shared" si="89"/>
        <v>0</v>
      </c>
      <c r="R213" s="688">
        <f t="shared" si="89"/>
        <v>0</v>
      </c>
      <c r="S213" s="688"/>
      <c r="T213" s="688"/>
    </row>
    <row r="214" spans="1:20" hidden="1">
      <c r="B214" s="634" t="s">
        <v>854</v>
      </c>
      <c r="C214" s="679">
        <f>IF(C183&lt;0,0,C183*C184)</f>
        <v>0</v>
      </c>
      <c r="D214" s="679">
        <f>IF(D183&lt;0,0,D183*D184)</f>
        <v>11443.503462150626</v>
      </c>
      <c r="E214" s="679">
        <f t="shared" ref="E214:R214" si="90">IF(E183&lt;0,0,-E183*E184)-E195</f>
        <v>11443.503462150627</v>
      </c>
      <c r="F214" s="679">
        <f t="shared" si="90"/>
        <v>0</v>
      </c>
      <c r="G214" s="679">
        <f t="shared" si="90"/>
        <v>0</v>
      </c>
      <c r="H214" s="679">
        <f t="shared" si="90"/>
        <v>0</v>
      </c>
      <c r="I214" s="679">
        <f t="shared" si="90"/>
        <v>0</v>
      </c>
      <c r="J214" s="679">
        <f t="shared" si="90"/>
        <v>0</v>
      </c>
      <c r="K214" s="679">
        <f t="shared" si="90"/>
        <v>0</v>
      </c>
      <c r="L214" s="679">
        <f t="shared" si="90"/>
        <v>0</v>
      </c>
      <c r="M214" s="679">
        <f t="shared" si="90"/>
        <v>0</v>
      </c>
      <c r="N214" s="679">
        <f t="shared" si="90"/>
        <v>0</v>
      </c>
      <c r="O214" s="679">
        <f t="shared" si="90"/>
        <v>0</v>
      </c>
      <c r="P214" s="679">
        <f t="shared" si="90"/>
        <v>0</v>
      </c>
      <c r="Q214" s="679">
        <f t="shared" si="90"/>
        <v>0</v>
      </c>
      <c r="R214" s="679">
        <f t="shared" si="90"/>
        <v>0</v>
      </c>
      <c r="S214" s="679"/>
      <c r="T214" s="679"/>
    </row>
    <row r="215" spans="1:20" hidden="1">
      <c r="B215" s="634" t="s">
        <v>855</v>
      </c>
      <c r="C215" s="670">
        <f>C207-C208</f>
        <v>0</v>
      </c>
      <c r="D215" s="670">
        <f>D207-D208</f>
        <v>0</v>
      </c>
      <c r="E215" s="670">
        <f>IF($C$12&lt;E206,0,E207+E208)</f>
        <v>0</v>
      </c>
      <c r="F215" s="670">
        <f t="shared" ref="F215:R215" si="91">IF($C$12&lt;F206,0,F207+F208)</f>
        <v>0</v>
      </c>
      <c r="G215" s="670">
        <f t="shared" si="91"/>
        <v>0</v>
      </c>
      <c r="H215" s="670">
        <f t="shared" si="91"/>
        <v>0</v>
      </c>
      <c r="I215" s="670">
        <f t="shared" si="91"/>
        <v>-52268.975999999995</v>
      </c>
      <c r="J215" s="670">
        <f t="shared" si="91"/>
        <v>-52268.975999999995</v>
      </c>
      <c r="K215" s="670">
        <f t="shared" si="91"/>
        <v>-52268.975999999995</v>
      </c>
      <c r="L215" s="670">
        <f t="shared" si="91"/>
        <v>0</v>
      </c>
      <c r="M215" s="670">
        <f t="shared" si="91"/>
        <v>0</v>
      </c>
      <c r="N215" s="670">
        <f t="shared" si="91"/>
        <v>0</v>
      </c>
      <c r="O215" s="670">
        <f t="shared" si="91"/>
        <v>0</v>
      </c>
      <c r="P215" s="670">
        <f t="shared" si="91"/>
        <v>0</v>
      </c>
      <c r="Q215" s="670">
        <f t="shared" si="91"/>
        <v>0</v>
      </c>
      <c r="R215" s="670">
        <f t="shared" si="91"/>
        <v>0</v>
      </c>
      <c r="S215" s="670"/>
      <c r="T215" s="670"/>
    </row>
    <row r="216" spans="1:20" hidden="1">
      <c r="B216" s="634" t="s">
        <v>861</v>
      </c>
      <c r="C216" s="670"/>
      <c r="D216" s="670"/>
      <c r="E216" s="670">
        <f t="shared" ref="E216:Q216" si="92">IF($C$12&lt;&gt;E206,0,E215*(1+$C$10)/(E21-$C$10))</f>
        <v>0</v>
      </c>
      <c r="F216" s="670">
        <f t="shared" si="92"/>
        <v>0</v>
      </c>
      <c r="G216" s="670">
        <f t="shared" si="92"/>
        <v>0</v>
      </c>
      <c r="H216" s="670">
        <f t="shared" si="92"/>
        <v>0</v>
      </c>
      <c r="I216" s="670">
        <f t="shared" si="92"/>
        <v>0</v>
      </c>
      <c r="J216" s="670">
        <f t="shared" si="92"/>
        <v>0</v>
      </c>
      <c r="K216" s="670">
        <f t="shared" si="92"/>
        <v>0</v>
      </c>
      <c r="L216" s="670">
        <f t="shared" si="92"/>
        <v>0</v>
      </c>
      <c r="M216" s="670">
        <f t="shared" si="92"/>
        <v>0</v>
      </c>
      <c r="N216" s="670">
        <f t="shared" si="92"/>
        <v>0</v>
      </c>
      <c r="O216" s="670">
        <f t="shared" si="92"/>
        <v>0</v>
      </c>
      <c r="P216" s="670">
        <f t="shared" si="92"/>
        <v>0</v>
      </c>
      <c r="Q216" s="670">
        <f t="shared" si="92"/>
        <v>0</v>
      </c>
      <c r="R216" s="670">
        <f>IF($C$12&lt;&gt;R206,0,R215*(1+$C$10)/($R$21-$C$10))</f>
        <v>0</v>
      </c>
      <c r="S216" s="670"/>
      <c r="T216" s="670"/>
    </row>
    <row r="217" spans="1:20" hidden="1">
      <c r="D217" s="634"/>
      <c r="E217" s="714">
        <f>SUM(E215:E216)</f>
        <v>0</v>
      </c>
      <c r="F217" s="714">
        <f t="shared" ref="F217:R217" si="93">SUM(F215:F216)</f>
        <v>0</v>
      </c>
      <c r="G217" s="714">
        <f t="shared" si="93"/>
        <v>0</v>
      </c>
      <c r="H217" s="714">
        <f t="shared" si="93"/>
        <v>0</v>
      </c>
      <c r="I217" s="714">
        <f t="shared" si="93"/>
        <v>-52268.975999999995</v>
      </c>
      <c r="J217" s="714">
        <f t="shared" si="93"/>
        <v>-52268.975999999995</v>
      </c>
      <c r="K217" s="714">
        <f t="shared" si="93"/>
        <v>-52268.975999999995</v>
      </c>
      <c r="L217" s="714">
        <f t="shared" si="93"/>
        <v>0</v>
      </c>
      <c r="M217" s="714">
        <f t="shared" si="93"/>
        <v>0</v>
      </c>
      <c r="N217" s="714">
        <f t="shared" si="93"/>
        <v>0</v>
      </c>
      <c r="O217" s="714">
        <f t="shared" si="93"/>
        <v>0</v>
      </c>
      <c r="P217" s="714">
        <f t="shared" si="93"/>
        <v>0</v>
      </c>
      <c r="Q217" s="714">
        <f t="shared" si="93"/>
        <v>0</v>
      </c>
      <c r="R217" s="714">
        <f t="shared" si="93"/>
        <v>0</v>
      </c>
    </row>
    <row r="218" spans="1:20" s="710" customFormat="1" hidden="1">
      <c r="B218" s="710" t="s">
        <v>856</v>
      </c>
      <c r="E218" s="710">
        <f>E197</f>
        <v>1</v>
      </c>
      <c r="F218" s="710">
        <f t="shared" ref="F218:R218" si="94">F197</f>
        <v>1</v>
      </c>
      <c r="G218" s="710">
        <f t="shared" si="94"/>
        <v>1.1588799999999999</v>
      </c>
      <c r="H218" s="710">
        <f t="shared" si="94"/>
        <v>1.3423307040000001</v>
      </c>
      <c r="I218" s="710">
        <f t="shared" si="94"/>
        <v>1.5537477898800001</v>
      </c>
      <c r="J218" s="710">
        <f t="shared" si="94"/>
        <v>1.7984630667861001</v>
      </c>
      <c r="K218" s="710">
        <f t="shared" si="94"/>
        <v>2.0817209998049107</v>
      </c>
      <c r="L218" s="710">
        <f t="shared" si="94"/>
        <v>2.409592057274184</v>
      </c>
      <c r="M218" s="710">
        <f t="shared" si="94"/>
        <v>2.789102806294868</v>
      </c>
      <c r="N218" s="710">
        <f t="shared" si="94"/>
        <v>3.2283864982863095</v>
      </c>
      <c r="O218" s="710">
        <f t="shared" si="94"/>
        <v>3.7368573717664031</v>
      </c>
      <c r="P218" s="710">
        <f t="shared" si="94"/>
        <v>4.3254124078196119</v>
      </c>
      <c r="Q218" s="710">
        <f t="shared" si="94"/>
        <v>5.0066648620512009</v>
      </c>
      <c r="R218" s="710">
        <f t="shared" si="94"/>
        <v>5.7952145778242645</v>
      </c>
    </row>
    <row r="219" spans="1:20" hidden="1">
      <c r="B219" s="634" t="s">
        <v>857</v>
      </c>
      <c r="D219" s="634"/>
      <c r="E219" s="711">
        <f>E217/E218</f>
        <v>0</v>
      </c>
      <c r="F219" s="711">
        <f>F217/F218</f>
        <v>0</v>
      </c>
      <c r="G219" s="711">
        <f t="shared" ref="G219:R219" si="95">G217/G218</f>
        <v>0</v>
      </c>
      <c r="H219" s="711">
        <f t="shared" si="95"/>
        <v>0</v>
      </c>
      <c r="I219" s="711">
        <f t="shared" si="95"/>
        <v>-33640.57946884472</v>
      </c>
      <c r="J219" s="711">
        <f t="shared" si="95"/>
        <v>-29063.135610233021</v>
      </c>
      <c r="K219" s="711">
        <f t="shared" si="95"/>
        <v>-25108.540484002613</v>
      </c>
      <c r="L219" s="711">
        <f t="shared" si="95"/>
        <v>0</v>
      </c>
      <c r="M219" s="711">
        <f t="shared" si="95"/>
        <v>0</v>
      </c>
      <c r="N219" s="711">
        <f t="shared" si="95"/>
        <v>0</v>
      </c>
      <c r="O219" s="711">
        <f t="shared" si="95"/>
        <v>0</v>
      </c>
      <c r="P219" s="711">
        <f t="shared" si="95"/>
        <v>0</v>
      </c>
      <c r="Q219" s="711">
        <f t="shared" si="95"/>
        <v>0</v>
      </c>
      <c r="R219" s="711">
        <f t="shared" si="95"/>
        <v>0</v>
      </c>
    </row>
    <row r="220" spans="1:20" hidden="1">
      <c r="B220" s="634" t="s">
        <v>858</v>
      </c>
      <c r="C220" s="688">
        <f>SUM(F219:R219)</f>
        <v>-87812.255563080354</v>
      </c>
      <c r="D220" s="634"/>
    </row>
    <row r="221" spans="1:20" hidden="1">
      <c r="B221" s="712" t="s">
        <v>862</v>
      </c>
      <c r="C221" s="713">
        <f>C220*C9</f>
        <v>-36442.086058678346</v>
      </c>
      <c r="D221" s="634"/>
      <c r="F221" s="636"/>
    </row>
    <row r="222" spans="1:20" hidden="1"/>
    <row r="226" spans="2:18" ht="12" thickBot="1">
      <c r="B226" s="633" t="s">
        <v>863</v>
      </c>
      <c r="D226" s="633">
        <v>2011</v>
      </c>
      <c r="E226" s="633">
        <v>2012</v>
      </c>
      <c r="F226" s="633">
        <v>2013</v>
      </c>
      <c r="G226" s="633">
        <v>2014</v>
      </c>
      <c r="H226" s="633">
        <v>2015</v>
      </c>
      <c r="I226" s="633">
        <v>2016</v>
      </c>
      <c r="J226" s="633">
        <v>2017</v>
      </c>
      <c r="K226" s="633">
        <v>2018</v>
      </c>
      <c r="L226" s="633">
        <v>2019</v>
      </c>
      <c r="M226" s="633">
        <v>2020</v>
      </c>
      <c r="N226" s="633">
        <v>2021</v>
      </c>
      <c r="O226" s="633">
        <v>2022</v>
      </c>
      <c r="P226" s="633">
        <v>2023</v>
      </c>
      <c r="Q226" s="633">
        <v>2024</v>
      </c>
      <c r="R226" s="633">
        <v>2025</v>
      </c>
    </row>
    <row r="227" spans="2:18" ht="12" thickBot="1">
      <c r="B227" s="634" t="s">
        <v>864</v>
      </c>
      <c r="C227" s="671">
        <f>F1*E2</f>
        <v>82616.91</v>
      </c>
      <c r="D227" s="634"/>
    </row>
    <row r="228" spans="2:18" ht="12" thickBot="1">
      <c r="B228" s="634" t="s">
        <v>865</v>
      </c>
      <c r="C228" s="679"/>
      <c r="D228" s="715">
        <v>0</v>
      </c>
      <c r="E228" s="716">
        <v>0</v>
      </c>
      <c r="F228" s="716">
        <v>0</v>
      </c>
      <c r="G228" s="717">
        <v>0.2</v>
      </c>
      <c r="H228" s="717">
        <v>0.2</v>
      </c>
      <c r="I228" s="717">
        <v>0.2</v>
      </c>
      <c r="J228" s="717">
        <v>0.2</v>
      </c>
      <c r="K228" s="717">
        <v>0.2</v>
      </c>
      <c r="L228" s="717">
        <v>0</v>
      </c>
      <c r="M228" s="717">
        <v>0</v>
      </c>
    </row>
    <row r="229" spans="2:18">
      <c r="B229" s="634" t="s">
        <v>866</v>
      </c>
      <c r="C229" s="679"/>
      <c r="D229" s="634">
        <f>IF(D228&gt;0,C229+1,0)</f>
        <v>0</v>
      </c>
      <c r="E229" s="634">
        <f t="shared" ref="E229:K229" si="96">IF(E228&gt;0,D229+1,0)</f>
        <v>0</v>
      </c>
      <c r="F229" s="634">
        <f t="shared" si="96"/>
        <v>0</v>
      </c>
      <c r="G229" s="634">
        <f>IF(G228&gt;0,F229+1,0)</f>
        <v>1</v>
      </c>
      <c r="H229" s="634">
        <f t="shared" si="96"/>
        <v>2</v>
      </c>
      <c r="I229" s="634">
        <f t="shared" si="96"/>
        <v>3</v>
      </c>
      <c r="J229" s="634">
        <f t="shared" si="96"/>
        <v>4</v>
      </c>
      <c r="K229" s="634">
        <f t="shared" si="96"/>
        <v>5</v>
      </c>
      <c r="L229" s="634">
        <f>IF(L228&gt;0,K229+1,0)</f>
        <v>0</v>
      </c>
      <c r="M229" s="634">
        <f>IF(M228&gt;0,L229+1,0)</f>
        <v>0</v>
      </c>
      <c r="N229" s="634">
        <f>IF(N228&gt;0,M229+1,0)</f>
        <v>0</v>
      </c>
      <c r="O229" s="634">
        <f>IF(O228&gt;0,N229+1,0)</f>
        <v>0</v>
      </c>
      <c r="P229" s="634">
        <f>IF(P228&gt;0,O229+1,0)</f>
        <v>0</v>
      </c>
    </row>
    <row r="230" spans="2:18">
      <c r="B230" s="634" t="s">
        <v>867</v>
      </c>
      <c r="D230" s="688">
        <f>$C$227*D228</f>
        <v>0</v>
      </c>
      <c r="E230" s="688">
        <f>$C$227*E228</f>
        <v>0</v>
      </c>
      <c r="F230" s="679">
        <f>$C$227*F228</f>
        <v>0</v>
      </c>
      <c r="G230" s="679">
        <f>$C$227*G228</f>
        <v>16523.382000000001</v>
      </c>
      <c r="H230" s="679">
        <f t="shared" ref="H230:M230" si="97">$C$227*H228</f>
        <v>16523.382000000001</v>
      </c>
      <c r="I230" s="679">
        <f t="shared" si="97"/>
        <v>16523.382000000001</v>
      </c>
      <c r="J230" s="679">
        <f t="shared" si="97"/>
        <v>16523.382000000001</v>
      </c>
      <c r="K230" s="679">
        <f t="shared" si="97"/>
        <v>16523.382000000001</v>
      </c>
      <c r="L230" s="679">
        <f t="shared" si="97"/>
        <v>0</v>
      </c>
      <c r="M230" s="679">
        <f t="shared" si="97"/>
        <v>0</v>
      </c>
      <c r="N230" s="679">
        <v>0</v>
      </c>
      <c r="O230" s="679">
        <v>0</v>
      </c>
      <c r="P230" s="679">
        <v>0</v>
      </c>
      <c r="Q230" s="679">
        <v>0</v>
      </c>
      <c r="R230" s="679">
        <v>0</v>
      </c>
    </row>
    <row r="231" spans="2:18">
      <c r="B231" s="634" t="s">
        <v>868</v>
      </c>
      <c r="D231" s="688">
        <f>D230</f>
        <v>0</v>
      </c>
      <c r="E231" s="688">
        <f t="shared" ref="E231:R231" si="98">D253+E230</f>
        <v>0</v>
      </c>
      <c r="F231" s="688">
        <f t="shared" si="98"/>
        <v>0</v>
      </c>
      <c r="G231" s="688">
        <f t="shared" si="98"/>
        <v>16523.382000000001</v>
      </c>
      <c r="H231" s="688">
        <f t="shared" si="98"/>
        <v>33046.764000000003</v>
      </c>
      <c r="I231" s="688">
        <f t="shared" si="98"/>
        <v>44062.351999999999</v>
      </c>
      <c r="J231" s="688">
        <f t="shared" si="98"/>
        <v>49570.145999999993</v>
      </c>
      <c r="K231" s="688">
        <f t="shared" si="98"/>
        <v>49570.145999999993</v>
      </c>
      <c r="L231" s="688">
        <f t="shared" si="98"/>
        <v>33046.763999999996</v>
      </c>
      <c r="M231" s="688">
        <f t="shared" si="98"/>
        <v>16523.381999999994</v>
      </c>
      <c r="N231" s="688">
        <f t="shared" si="98"/>
        <v>5507.7939999999926</v>
      </c>
      <c r="O231" s="688">
        <f>N253+O230</f>
        <v>-8.1854523159563541E-12</v>
      </c>
      <c r="P231" s="688">
        <f t="shared" si="98"/>
        <v>-8.1854523159563541E-12</v>
      </c>
      <c r="Q231" s="688">
        <f t="shared" si="98"/>
        <v>-8.1854523159563541E-12</v>
      </c>
      <c r="R231" s="688">
        <f t="shared" si="98"/>
        <v>-8.1854523159563541E-12</v>
      </c>
    </row>
    <row r="232" spans="2:18" ht="12" thickBot="1">
      <c r="B232" s="634" t="s">
        <v>869</v>
      </c>
      <c r="D232" s="688">
        <f>D231*E20</f>
        <v>0</v>
      </c>
      <c r="E232" s="688">
        <f t="shared" ref="E232:R232" si="99">E231*E20</f>
        <v>0</v>
      </c>
      <c r="F232" s="688">
        <f t="shared" si="99"/>
        <v>0</v>
      </c>
      <c r="G232" s="688">
        <f t="shared" si="99"/>
        <v>1817.5720200000001</v>
      </c>
      <c r="H232" s="688">
        <f t="shared" si="99"/>
        <v>3304.6764000000003</v>
      </c>
      <c r="I232" s="688">
        <f t="shared" si="99"/>
        <v>3965.6116800000004</v>
      </c>
      <c r="J232" s="688">
        <f t="shared" si="99"/>
        <v>4461.3131400000002</v>
      </c>
      <c r="K232" s="688">
        <f t="shared" si="99"/>
        <v>4461.3131400000002</v>
      </c>
      <c r="L232" s="688">
        <f t="shared" si="99"/>
        <v>2974.20876</v>
      </c>
      <c r="M232" s="688">
        <f t="shared" si="99"/>
        <v>1487.1043799999995</v>
      </c>
      <c r="N232" s="688">
        <f t="shared" si="99"/>
        <v>495.70145999999937</v>
      </c>
      <c r="O232" s="688">
        <f t="shared" si="99"/>
        <v>-7.3669070843607192E-13</v>
      </c>
      <c r="P232" s="688">
        <f t="shared" si="99"/>
        <v>-7.3669070843607192E-13</v>
      </c>
      <c r="Q232" s="688">
        <f t="shared" si="99"/>
        <v>-7.3669070843607192E-13</v>
      </c>
      <c r="R232" s="688">
        <f t="shared" si="99"/>
        <v>-7.3669070843607192E-13</v>
      </c>
    </row>
    <row r="233" spans="2:18" ht="12" thickBot="1">
      <c r="B233" s="634" t="s">
        <v>870</v>
      </c>
      <c r="C233" s="718">
        <v>3</v>
      </c>
      <c r="D233" s="688"/>
      <c r="E233" s="688"/>
      <c r="F233" s="688"/>
      <c r="G233" s="688"/>
      <c r="H233" s="688"/>
      <c r="I233" s="688"/>
      <c r="J233" s="688"/>
      <c r="K233" s="688"/>
      <c r="L233" s="688"/>
      <c r="M233" s="688"/>
      <c r="N233" s="688"/>
      <c r="O233" s="688"/>
      <c r="P233" s="688"/>
      <c r="Q233" s="688"/>
      <c r="R233" s="688"/>
    </row>
    <row r="234" spans="2:18" ht="12" thickBot="1">
      <c r="B234" s="634" t="s">
        <v>871</v>
      </c>
      <c r="C234" s="718">
        <v>2015</v>
      </c>
      <c r="D234" s="688"/>
      <c r="E234" s="688"/>
      <c r="F234" s="688"/>
      <c r="G234" s="688"/>
      <c r="H234" s="688"/>
      <c r="I234" s="688"/>
      <c r="J234" s="688"/>
      <c r="K234" s="688"/>
      <c r="L234" s="688"/>
      <c r="M234" s="688"/>
      <c r="N234" s="688"/>
      <c r="O234" s="688"/>
      <c r="P234" s="688"/>
      <c r="Q234" s="688"/>
      <c r="R234" s="688"/>
    </row>
    <row r="235" spans="2:18">
      <c r="B235" s="634" t="s">
        <v>872</v>
      </c>
      <c r="C235" s="688"/>
      <c r="D235" s="634"/>
    </row>
    <row r="236" spans="2:18" hidden="1">
      <c r="B236" s="634">
        <f>HLOOKUP(1,$D$229:$R$230,1,0)</f>
        <v>1</v>
      </c>
      <c r="C236" s="688"/>
      <c r="D236" s="688">
        <f>IF(IF(D226=$C$234,1,IF(D226&gt;$C$234,C236+1,0))&gt;$C$233,-100,IF(D226=$C$234,1,IF(D226&gt;$C$234,C236+1,0)))</f>
        <v>0</v>
      </c>
      <c r="E236" s="688">
        <f t="shared" ref="E236:R236" si="100">IF(IF(E226=$C$234,1,IF(E226&gt;$C$234,D236+1,0))&gt;$C$233,-100,IF(E226=$C$234,1,IF(E226&gt;$C$234,D236+1,0)))</f>
        <v>0</v>
      </c>
      <c r="F236" s="688">
        <f t="shared" si="100"/>
        <v>0</v>
      </c>
      <c r="G236" s="688">
        <f t="shared" si="100"/>
        <v>0</v>
      </c>
      <c r="H236" s="688">
        <f t="shared" si="100"/>
        <v>1</v>
      </c>
      <c r="I236" s="688">
        <f t="shared" si="100"/>
        <v>2</v>
      </c>
      <c r="J236" s="688">
        <f t="shared" si="100"/>
        <v>3</v>
      </c>
      <c r="K236" s="688">
        <f t="shared" si="100"/>
        <v>-100</v>
      </c>
      <c r="L236" s="688">
        <f t="shared" si="100"/>
        <v>-99</v>
      </c>
      <c r="M236" s="688">
        <f t="shared" si="100"/>
        <v>-98</v>
      </c>
      <c r="N236" s="688">
        <f t="shared" si="100"/>
        <v>-97</v>
      </c>
      <c r="O236" s="688">
        <f t="shared" si="100"/>
        <v>-96</v>
      </c>
      <c r="P236" s="688">
        <f t="shared" si="100"/>
        <v>-95</v>
      </c>
      <c r="Q236" s="688">
        <f t="shared" si="100"/>
        <v>-94</v>
      </c>
      <c r="R236" s="688">
        <f t="shared" si="100"/>
        <v>-93</v>
      </c>
    </row>
    <row r="237" spans="2:18" hidden="1">
      <c r="B237" s="634">
        <f>HLOOKUP(2,$D$229:$R$230,1,0)</f>
        <v>2</v>
      </c>
      <c r="C237" s="688"/>
      <c r="D237" s="688">
        <f>IF(ISNA($B237),0,IF(C236&gt;0,C236,0))</f>
        <v>0</v>
      </c>
      <c r="E237" s="688">
        <f t="shared" ref="D237:R243" si="101">IF(ISNA($B237),0,IF(D236&gt;0,D236,0))</f>
        <v>0</v>
      </c>
      <c r="F237" s="688">
        <f t="shared" si="101"/>
        <v>0</v>
      </c>
      <c r="G237" s="688">
        <f t="shared" si="101"/>
        <v>0</v>
      </c>
      <c r="H237" s="688">
        <f t="shared" si="101"/>
        <v>0</v>
      </c>
      <c r="I237" s="688">
        <f t="shared" si="101"/>
        <v>1</v>
      </c>
      <c r="J237" s="688">
        <f t="shared" si="101"/>
        <v>2</v>
      </c>
      <c r="K237" s="688">
        <f t="shared" si="101"/>
        <v>3</v>
      </c>
      <c r="L237" s="688">
        <f t="shared" si="101"/>
        <v>0</v>
      </c>
      <c r="M237" s="688">
        <f t="shared" si="101"/>
        <v>0</v>
      </c>
      <c r="N237" s="688">
        <f t="shared" si="101"/>
        <v>0</v>
      </c>
      <c r="O237" s="688">
        <f t="shared" si="101"/>
        <v>0</v>
      </c>
      <c r="P237" s="688">
        <f t="shared" si="101"/>
        <v>0</v>
      </c>
      <c r="Q237" s="688">
        <f t="shared" si="101"/>
        <v>0</v>
      </c>
      <c r="R237" s="688">
        <f t="shared" si="101"/>
        <v>0</v>
      </c>
    </row>
    <row r="238" spans="2:18" hidden="1">
      <c r="B238" s="634">
        <f>HLOOKUP(3,$D$229:$R$230,1,0)</f>
        <v>3</v>
      </c>
      <c r="C238" s="688"/>
      <c r="D238" s="688">
        <f>IF(ISNA($B238),0,IF(C237&gt;0,C237,0))</f>
        <v>0</v>
      </c>
      <c r="E238" s="688">
        <f t="shared" si="101"/>
        <v>0</v>
      </c>
      <c r="F238" s="688">
        <f t="shared" si="101"/>
        <v>0</v>
      </c>
      <c r="G238" s="688">
        <f t="shared" si="101"/>
        <v>0</v>
      </c>
      <c r="H238" s="688">
        <f t="shared" si="101"/>
        <v>0</v>
      </c>
      <c r="I238" s="688">
        <f t="shared" si="101"/>
        <v>0</v>
      </c>
      <c r="J238" s="688">
        <f t="shared" si="101"/>
        <v>1</v>
      </c>
      <c r="K238" s="688">
        <f t="shared" si="101"/>
        <v>2</v>
      </c>
      <c r="L238" s="688">
        <f t="shared" si="101"/>
        <v>3</v>
      </c>
      <c r="M238" s="688">
        <f t="shared" si="101"/>
        <v>0</v>
      </c>
      <c r="N238" s="688">
        <f t="shared" si="101"/>
        <v>0</v>
      </c>
      <c r="O238" s="688">
        <f t="shared" si="101"/>
        <v>0</v>
      </c>
      <c r="P238" s="688">
        <f t="shared" si="101"/>
        <v>0</v>
      </c>
      <c r="Q238" s="688">
        <f t="shared" si="101"/>
        <v>0</v>
      </c>
      <c r="R238" s="688">
        <f t="shared" si="101"/>
        <v>0</v>
      </c>
    </row>
    <row r="239" spans="2:18" hidden="1">
      <c r="B239" s="634">
        <f>HLOOKUP(4,$D$229:$R$230,1,0)</f>
        <v>4</v>
      </c>
      <c r="C239" s="688"/>
      <c r="D239" s="688">
        <f>IF(ISNA($B239),0,IF(C238&gt;0,C238,0))</f>
        <v>0</v>
      </c>
      <c r="E239" s="688">
        <f t="shared" si="101"/>
        <v>0</v>
      </c>
      <c r="F239" s="688">
        <f t="shared" si="101"/>
        <v>0</v>
      </c>
      <c r="G239" s="688">
        <f t="shared" si="101"/>
        <v>0</v>
      </c>
      <c r="H239" s="688">
        <f t="shared" si="101"/>
        <v>0</v>
      </c>
      <c r="I239" s="688">
        <f t="shared" si="101"/>
        <v>0</v>
      </c>
      <c r="J239" s="688">
        <f t="shared" si="101"/>
        <v>0</v>
      </c>
      <c r="K239" s="688">
        <f t="shared" si="101"/>
        <v>1</v>
      </c>
      <c r="L239" s="688">
        <f t="shared" si="101"/>
        <v>2</v>
      </c>
      <c r="M239" s="688">
        <f t="shared" si="101"/>
        <v>3</v>
      </c>
      <c r="N239" s="688">
        <f t="shared" si="101"/>
        <v>0</v>
      </c>
      <c r="O239" s="688">
        <f t="shared" si="101"/>
        <v>0</v>
      </c>
      <c r="P239" s="688">
        <f t="shared" si="101"/>
        <v>0</v>
      </c>
      <c r="Q239" s="688">
        <f t="shared" si="101"/>
        <v>0</v>
      </c>
      <c r="R239" s="688">
        <f t="shared" si="101"/>
        <v>0</v>
      </c>
    </row>
    <row r="240" spans="2:18" hidden="1">
      <c r="B240" s="634">
        <f>HLOOKUP(5,$D$229:$R$230,1,0)</f>
        <v>5</v>
      </c>
      <c r="C240" s="688"/>
      <c r="D240" s="688">
        <f t="shared" si="101"/>
        <v>0</v>
      </c>
      <c r="E240" s="688">
        <f t="shared" si="101"/>
        <v>0</v>
      </c>
      <c r="F240" s="688">
        <f t="shared" si="101"/>
        <v>0</v>
      </c>
      <c r="G240" s="688">
        <f t="shared" si="101"/>
        <v>0</v>
      </c>
      <c r="H240" s="688">
        <f t="shared" si="101"/>
        <v>0</v>
      </c>
      <c r="I240" s="688">
        <f t="shared" si="101"/>
        <v>0</v>
      </c>
      <c r="J240" s="688">
        <f t="shared" si="101"/>
        <v>0</v>
      </c>
      <c r="K240" s="688">
        <f t="shared" si="101"/>
        <v>0</v>
      </c>
      <c r="L240" s="688">
        <f t="shared" si="101"/>
        <v>1</v>
      </c>
      <c r="M240" s="688">
        <f t="shared" si="101"/>
        <v>2</v>
      </c>
      <c r="N240" s="688">
        <f t="shared" si="101"/>
        <v>3</v>
      </c>
      <c r="O240" s="688">
        <f t="shared" si="101"/>
        <v>0</v>
      </c>
      <c r="P240" s="688">
        <f t="shared" si="101"/>
        <v>0</v>
      </c>
      <c r="Q240" s="688">
        <f t="shared" si="101"/>
        <v>0</v>
      </c>
      <c r="R240" s="688">
        <f t="shared" si="101"/>
        <v>0</v>
      </c>
    </row>
    <row r="241" spans="2:18" hidden="1">
      <c r="B241" s="634" t="e">
        <f>HLOOKUP(6,$D$229:$R$230,1,0)</f>
        <v>#N/A</v>
      </c>
      <c r="C241" s="688"/>
      <c r="D241" s="688">
        <f t="shared" si="101"/>
        <v>0</v>
      </c>
      <c r="E241" s="688">
        <f t="shared" si="101"/>
        <v>0</v>
      </c>
      <c r="F241" s="688">
        <f t="shared" si="101"/>
        <v>0</v>
      </c>
      <c r="G241" s="688">
        <f t="shared" si="101"/>
        <v>0</v>
      </c>
      <c r="H241" s="688">
        <f t="shared" si="101"/>
        <v>0</v>
      </c>
      <c r="I241" s="688">
        <f t="shared" si="101"/>
        <v>0</v>
      </c>
      <c r="J241" s="688">
        <f t="shared" si="101"/>
        <v>0</v>
      </c>
      <c r="K241" s="688">
        <f t="shared" si="101"/>
        <v>0</v>
      </c>
      <c r="L241" s="688">
        <f t="shared" si="101"/>
        <v>0</v>
      </c>
      <c r="M241" s="688">
        <f t="shared" si="101"/>
        <v>0</v>
      </c>
      <c r="N241" s="688">
        <f t="shared" si="101"/>
        <v>0</v>
      </c>
      <c r="O241" s="688">
        <f t="shared" si="101"/>
        <v>0</v>
      </c>
      <c r="P241" s="688">
        <f t="shared" si="101"/>
        <v>0</v>
      </c>
      <c r="Q241" s="688">
        <f t="shared" si="101"/>
        <v>0</v>
      </c>
      <c r="R241" s="688">
        <f t="shared" si="101"/>
        <v>0</v>
      </c>
    </row>
    <row r="242" spans="2:18" hidden="1">
      <c r="B242" s="634" t="e">
        <f>HLOOKUP(7,$D$229:$R$230,1,0)</f>
        <v>#N/A</v>
      </c>
      <c r="C242" s="688"/>
      <c r="D242" s="688">
        <f t="shared" si="101"/>
        <v>0</v>
      </c>
      <c r="E242" s="688">
        <f t="shared" si="101"/>
        <v>0</v>
      </c>
      <c r="F242" s="688">
        <f t="shared" si="101"/>
        <v>0</v>
      </c>
      <c r="G242" s="688">
        <f t="shared" si="101"/>
        <v>0</v>
      </c>
      <c r="H242" s="688">
        <f t="shared" si="101"/>
        <v>0</v>
      </c>
      <c r="I242" s="688">
        <f t="shared" si="101"/>
        <v>0</v>
      </c>
      <c r="J242" s="688">
        <f t="shared" si="101"/>
        <v>0</v>
      </c>
      <c r="K242" s="688">
        <f t="shared" si="101"/>
        <v>0</v>
      </c>
      <c r="L242" s="688">
        <f t="shared" si="101"/>
        <v>0</v>
      </c>
      <c r="M242" s="688">
        <f t="shared" si="101"/>
        <v>0</v>
      </c>
      <c r="N242" s="688">
        <f t="shared" si="101"/>
        <v>0</v>
      </c>
      <c r="O242" s="688">
        <f t="shared" si="101"/>
        <v>0</v>
      </c>
      <c r="P242" s="688">
        <f t="shared" si="101"/>
        <v>0</v>
      </c>
      <c r="Q242" s="688">
        <f t="shared" si="101"/>
        <v>0</v>
      </c>
      <c r="R242" s="688">
        <f t="shared" si="101"/>
        <v>0</v>
      </c>
    </row>
    <row r="243" spans="2:18" hidden="1">
      <c r="B243" s="634" t="e">
        <f>HLOOKUP(8,$D$229:$R$230,1,0)</f>
        <v>#N/A</v>
      </c>
      <c r="C243" s="688"/>
      <c r="D243" s="688">
        <f t="shared" si="101"/>
        <v>0</v>
      </c>
      <c r="E243" s="688">
        <f t="shared" si="101"/>
        <v>0</v>
      </c>
      <c r="F243" s="688">
        <f t="shared" si="101"/>
        <v>0</v>
      </c>
      <c r="G243" s="688">
        <f t="shared" si="101"/>
        <v>0</v>
      </c>
      <c r="H243" s="688">
        <f t="shared" si="101"/>
        <v>0</v>
      </c>
      <c r="I243" s="688">
        <f t="shared" si="101"/>
        <v>0</v>
      </c>
      <c r="J243" s="688">
        <f t="shared" si="101"/>
        <v>0</v>
      </c>
      <c r="K243" s="688">
        <f t="shared" si="101"/>
        <v>0</v>
      </c>
      <c r="L243" s="688">
        <f t="shared" si="101"/>
        <v>0</v>
      </c>
      <c r="M243" s="688">
        <f t="shared" si="101"/>
        <v>0</v>
      </c>
      <c r="N243" s="688">
        <f t="shared" si="101"/>
        <v>0</v>
      </c>
      <c r="O243" s="688">
        <f t="shared" si="101"/>
        <v>0</v>
      </c>
      <c r="P243" s="688">
        <f t="shared" si="101"/>
        <v>0</v>
      </c>
      <c r="Q243" s="688">
        <f t="shared" si="101"/>
        <v>0</v>
      </c>
      <c r="R243" s="688">
        <f t="shared" si="101"/>
        <v>0</v>
      </c>
    </row>
    <row r="244" spans="2:18">
      <c r="B244" s="634" t="s">
        <v>873</v>
      </c>
      <c r="D244" s="719">
        <f>IF(ISERR(-SUM(D245:D252)),0,-SUM(D245:D252))</f>
        <v>0</v>
      </c>
      <c r="E244" s="719">
        <f t="shared" ref="E244:R244" si="102">IF(ISERR(-SUM(E245:E252)),0,-SUM(E245:E252))</f>
        <v>0</v>
      </c>
      <c r="F244" s="719">
        <f t="shared" si="102"/>
        <v>0</v>
      </c>
      <c r="G244" s="719">
        <f>IF(ISERR(-SUM(G245:G252)),0,-SUM(G245:G252))</f>
        <v>0</v>
      </c>
      <c r="H244" s="719">
        <f t="shared" si="102"/>
        <v>-5507.7940000000008</v>
      </c>
      <c r="I244" s="719">
        <f t="shared" si="102"/>
        <v>-11015.588000000002</v>
      </c>
      <c r="J244" s="719">
        <f t="shared" si="102"/>
        <v>-16523.382000000001</v>
      </c>
      <c r="K244" s="719">
        <f>IF(ISERR(-SUM(K245:K252)),0,-SUM(K245:K252))</f>
        <v>-16523.382000000001</v>
      </c>
      <c r="L244" s="719">
        <f t="shared" si="102"/>
        <v>-16523.382000000001</v>
      </c>
      <c r="M244" s="719">
        <f t="shared" si="102"/>
        <v>-11015.588000000002</v>
      </c>
      <c r="N244" s="719">
        <f t="shared" si="102"/>
        <v>-5507.7940000000008</v>
      </c>
      <c r="O244" s="719">
        <f>IF(ISERR(-SUM(O245:O252)),0,-SUM(O245:O252))</f>
        <v>0</v>
      </c>
      <c r="P244" s="719">
        <f t="shared" si="102"/>
        <v>0</v>
      </c>
      <c r="Q244" s="719">
        <f t="shared" si="102"/>
        <v>0</v>
      </c>
      <c r="R244" s="719">
        <f t="shared" si="102"/>
        <v>0</v>
      </c>
    </row>
    <row r="245" spans="2:18" hidden="1">
      <c r="B245" s="634">
        <f>HLOOKUP(1,$D$229:$R$230,1,0)</f>
        <v>1</v>
      </c>
      <c r="D245" s="719">
        <f>IF(ISERR(IF(D236&gt;0,HLOOKUP($B245,$D$229:$R$230,2,0)/$C$233,0)),0,IF(D236&gt;0,HLOOKUP($B245,$D$229:$R$230,2,0)/$C$233,0))</f>
        <v>0</v>
      </c>
      <c r="E245" s="719">
        <f t="shared" ref="D245:R252" si="103">IF(ISERR(IF(E236&gt;0,HLOOKUP($B245,$D$229:$R$230,2,0)/$C$233,0)),0,IF(E236&gt;0,HLOOKUP($B245,$D$229:$R$230,2,0)/$C$233,0))</f>
        <v>0</v>
      </c>
      <c r="F245" s="719">
        <f t="shared" si="103"/>
        <v>0</v>
      </c>
      <c r="G245" s="719">
        <f t="shared" si="103"/>
        <v>0</v>
      </c>
      <c r="H245" s="719">
        <f>IF(ISERR(IF(H236&gt;0,HLOOKUP($B245,$D$229:$R$230,2,0)/$C$233,0)),0,IF(H236&gt;0,HLOOKUP($B245,$D$229:$R$230,2,0)/$C$233,0))</f>
        <v>5507.7940000000008</v>
      </c>
      <c r="I245" s="719">
        <f t="shared" si="103"/>
        <v>5507.7940000000008</v>
      </c>
      <c r="J245" s="719">
        <f t="shared" si="103"/>
        <v>5507.7940000000008</v>
      </c>
      <c r="K245" s="719">
        <f t="shared" si="103"/>
        <v>0</v>
      </c>
      <c r="L245" s="719">
        <f t="shared" si="103"/>
        <v>0</v>
      </c>
      <c r="M245" s="719">
        <f t="shared" si="103"/>
        <v>0</v>
      </c>
      <c r="N245" s="719">
        <f t="shared" si="103"/>
        <v>0</v>
      </c>
      <c r="O245" s="719">
        <f t="shared" si="103"/>
        <v>0</v>
      </c>
      <c r="P245" s="719">
        <f t="shared" si="103"/>
        <v>0</v>
      </c>
      <c r="Q245" s="719">
        <f t="shared" si="103"/>
        <v>0</v>
      </c>
      <c r="R245" s="719">
        <f t="shared" si="103"/>
        <v>0</v>
      </c>
    </row>
    <row r="246" spans="2:18" hidden="1">
      <c r="B246" s="634">
        <f>HLOOKUP(2,$D$229:$R$230,1,0)</f>
        <v>2</v>
      </c>
      <c r="D246" s="719">
        <f t="shared" si="103"/>
        <v>0</v>
      </c>
      <c r="E246" s="719">
        <f t="shared" si="103"/>
        <v>0</v>
      </c>
      <c r="F246" s="719">
        <f t="shared" si="103"/>
        <v>0</v>
      </c>
      <c r="G246" s="719">
        <f t="shared" si="103"/>
        <v>0</v>
      </c>
      <c r="H246" s="719">
        <f t="shared" si="103"/>
        <v>0</v>
      </c>
      <c r="I246" s="719">
        <f t="shared" si="103"/>
        <v>5507.7940000000008</v>
      </c>
      <c r="J246" s="719">
        <f t="shared" si="103"/>
        <v>5507.7940000000008</v>
      </c>
      <c r="K246" s="719">
        <f t="shared" si="103"/>
        <v>5507.7940000000008</v>
      </c>
      <c r="L246" s="719">
        <f t="shared" si="103"/>
        <v>0</v>
      </c>
      <c r="M246" s="719">
        <f t="shared" si="103"/>
        <v>0</v>
      </c>
      <c r="N246" s="719">
        <f t="shared" si="103"/>
        <v>0</v>
      </c>
      <c r="O246" s="719">
        <f t="shared" si="103"/>
        <v>0</v>
      </c>
      <c r="P246" s="719">
        <f t="shared" si="103"/>
        <v>0</v>
      </c>
      <c r="Q246" s="719">
        <f t="shared" si="103"/>
        <v>0</v>
      </c>
      <c r="R246" s="719">
        <f t="shared" si="103"/>
        <v>0</v>
      </c>
    </row>
    <row r="247" spans="2:18" hidden="1">
      <c r="B247" s="634">
        <f>HLOOKUP(3,$D$229:$R$230,1,0)</f>
        <v>3</v>
      </c>
      <c r="D247" s="719">
        <f>IF(ISERR(IF(D238&gt;0,HLOOKUP($B247,$D$229:$R$230,2,0)/$C$233,0)),0,IF(D238&gt;0,HLOOKUP($B247,$D$229:$R$230,2,0)/$C$233,0))</f>
        <v>0</v>
      </c>
      <c r="E247" s="719">
        <f t="shared" si="103"/>
        <v>0</v>
      </c>
      <c r="F247" s="719">
        <f t="shared" si="103"/>
        <v>0</v>
      </c>
      <c r="G247" s="719">
        <f t="shared" si="103"/>
        <v>0</v>
      </c>
      <c r="H247" s="719">
        <f t="shared" si="103"/>
        <v>0</v>
      </c>
      <c r="I247" s="719">
        <f t="shared" si="103"/>
        <v>0</v>
      </c>
      <c r="J247" s="719">
        <f t="shared" si="103"/>
        <v>5507.7940000000008</v>
      </c>
      <c r="K247" s="719">
        <f t="shared" si="103"/>
        <v>5507.7940000000008</v>
      </c>
      <c r="L247" s="719">
        <f t="shared" si="103"/>
        <v>5507.7940000000008</v>
      </c>
      <c r="M247" s="719">
        <f t="shared" si="103"/>
        <v>0</v>
      </c>
      <c r="N247" s="719">
        <f t="shared" si="103"/>
        <v>0</v>
      </c>
      <c r="O247" s="719">
        <f t="shared" si="103"/>
        <v>0</v>
      </c>
      <c r="P247" s="719">
        <f t="shared" si="103"/>
        <v>0</v>
      </c>
      <c r="Q247" s="719">
        <f t="shared" si="103"/>
        <v>0</v>
      </c>
      <c r="R247" s="719">
        <f t="shared" si="103"/>
        <v>0</v>
      </c>
    </row>
    <row r="248" spans="2:18" hidden="1">
      <c r="B248" s="634">
        <f>HLOOKUP(4,$D$229:$R$230,1,0)</f>
        <v>4</v>
      </c>
      <c r="D248" s="719">
        <f t="shared" si="103"/>
        <v>0</v>
      </c>
      <c r="E248" s="719">
        <f t="shared" si="103"/>
        <v>0</v>
      </c>
      <c r="F248" s="719">
        <f t="shared" si="103"/>
        <v>0</v>
      </c>
      <c r="G248" s="719">
        <f t="shared" si="103"/>
        <v>0</v>
      </c>
      <c r="H248" s="719">
        <f t="shared" si="103"/>
        <v>0</v>
      </c>
      <c r="I248" s="719">
        <f t="shared" si="103"/>
        <v>0</v>
      </c>
      <c r="J248" s="719">
        <f t="shared" si="103"/>
        <v>0</v>
      </c>
      <c r="K248" s="719">
        <f t="shared" si="103"/>
        <v>5507.7940000000008</v>
      </c>
      <c r="L248" s="719">
        <f t="shared" si="103"/>
        <v>5507.7940000000008</v>
      </c>
      <c r="M248" s="719">
        <f t="shared" si="103"/>
        <v>5507.7940000000008</v>
      </c>
      <c r="N248" s="719">
        <f t="shared" si="103"/>
        <v>0</v>
      </c>
      <c r="O248" s="719">
        <f t="shared" si="103"/>
        <v>0</v>
      </c>
      <c r="P248" s="719">
        <f t="shared" si="103"/>
        <v>0</v>
      </c>
      <c r="Q248" s="719">
        <f t="shared" si="103"/>
        <v>0</v>
      </c>
      <c r="R248" s="719">
        <f t="shared" si="103"/>
        <v>0</v>
      </c>
    </row>
    <row r="249" spans="2:18" hidden="1">
      <c r="B249" s="634">
        <f>HLOOKUP(5,$D$229:$R$230,1,0)</f>
        <v>5</v>
      </c>
      <c r="D249" s="719">
        <f t="shared" si="103"/>
        <v>0</v>
      </c>
      <c r="E249" s="719">
        <f t="shared" si="103"/>
        <v>0</v>
      </c>
      <c r="F249" s="719">
        <f t="shared" si="103"/>
        <v>0</v>
      </c>
      <c r="G249" s="719">
        <f t="shared" si="103"/>
        <v>0</v>
      </c>
      <c r="H249" s="719">
        <f t="shared" si="103"/>
        <v>0</v>
      </c>
      <c r="I249" s="719">
        <f t="shared" si="103"/>
        <v>0</v>
      </c>
      <c r="J249" s="719">
        <f t="shared" si="103"/>
        <v>0</v>
      </c>
      <c r="K249" s="719">
        <f t="shared" si="103"/>
        <v>0</v>
      </c>
      <c r="L249" s="719">
        <f t="shared" si="103"/>
        <v>5507.7940000000008</v>
      </c>
      <c r="M249" s="719">
        <f t="shared" si="103"/>
        <v>5507.7940000000008</v>
      </c>
      <c r="N249" s="719">
        <f t="shared" si="103"/>
        <v>5507.7940000000008</v>
      </c>
      <c r="O249" s="719">
        <f t="shared" si="103"/>
        <v>0</v>
      </c>
      <c r="P249" s="719">
        <f t="shared" si="103"/>
        <v>0</v>
      </c>
      <c r="Q249" s="719">
        <f t="shared" si="103"/>
        <v>0</v>
      </c>
      <c r="R249" s="719">
        <f t="shared" si="103"/>
        <v>0</v>
      </c>
    </row>
    <row r="250" spans="2:18" hidden="1">
      <c r="B250" s="634" t="e">
        <f>HLOOKUP(6,$D$229:$R$230,1,0)</f>
        <v>#N/A</v>
      </c>
      <c r="D250" s="719">
        <f t="shared" si="103"/>
        <v>0</v>
      </c>
      <c r="E250" s="719">
        <f t="shared" si="103"/>
        <v>0</v>
      </c>
      <c r="F250" s="719">
        <f t="shared" si="103"/>
        <v>0</v>
      </c>
      <c r="G250" s="719">
        <f t="shared" si="103"/>
        <v>0</v>
      </c>
      <c r="H250" s="719">
        <f t="shared" si="103"/>
        <v>0</v>
      </c>
      <c r="I250" s="719">
        <f t="shared" si="103"/>
        <v>0</v>
      </c>
      <c r="J250" s="719">
        <f t="shared" si="103"/>
        <v>0</v>
      </c>
      <c r="K250" s="719">
        <f t="shared" si="103"/>
        <v>0</v>
      </c>
      <c r="L250" s="719">
        <f t="shared" si="103"/>
        <v>0</v>
      </c>
      <c r="M250" s="719">
        <f t="shared" si="103"/>
        <v>0</v>
      </c>
      <c r="N250" s="719">
        <f t="shared" si="103"/>
        <v>0</v>
      </c>
      <c r="O250" s="719">
        <f t="shared" si="103"/>
        <v>0</v>
      </c>
      <c r="P250" s="719">
        <f t="shared" si="103"/>
        <v>0</v>
      </c>
      <c r="Q250" s="719">
        <f t="shared" si="103"/>
        <v>0</v>
      </c>
      <c r="R250" s="719">
        <f t="shared" si="103"/>
        <v>0</v>
      </c>
    </row>
    <row r="251" spans="2:18" hidden="1">
      <c r="B251" s="634" t="e">
        <f>HLOOKUP(7,$D$229:$R$230,1,0)</f>
        <v>#N/A</v>
      </c>
      <c r="D251" s="719">
        <f t="shared" si="103"/>
        <v>0</v>
      </c>
      <c r="E251" s="719">
        <f t="shared" si="103"/>
        <v>0</v>
      </c>
      <c r="F251" s="719">
        <f t="shared" si="103"/>
        <v>0</v>
      </c>
      <c r="G251" s="719">
        <f t="shared" si="103"/>
        <v>0</v>
      </c>
      <c r="H251" s="719">
        <f t="shared" si="103"/>
        <v>0</v>
      </c>
      <c r="I251" s="719">
        <f t="shared" si="103"/>
        <v>0</v>
      </c>
      <c r="J251" s="719">
        <f t="shared" si="103"/>
        <v>0</v>
      </c>
      <c r="K251" s="719">
        <f t="shared" si="103"/>
        <v>0</v>
      </c>
      <c r="L251" s="719">
        <f t="shared" si="103"/>
        <v>0</v>
      </c>
      <c r="M251" s="719">
        <f t="shared" si="103"/>
        <v>0</v>
      </c>
      <c r="N251" s="719">
        <f t="shared" si="103"/>
        <v>0</v>
      </c>
      <c r="O251" s="719">
        <f t="shared" si="103"/>
        <v>0</v>
      </c>
      <c r="P251" s="719">
        <f t="shared" si="103"/>
        <v>0</v>
      </c>
      <c r="Q251" s="719">
        <f t="shared" si="103"/>
        <v>0</v>
      </c>
      <c r="R251" s="719">
        <f t="shared" si="103"/>
        <v>0</v>
      </c>
    </row>
    <row r="252" spans="2:18" hidden="1">
      <c r="B252" s="634" t="e">
        <f>HLOOKUP(8,$D$229:$R$230,1,0)</f>
        <v>#N/A</v>
      </c>
      <c r="D252" s="719">
        <f t="shared" si="103"/>
        <v>0</v>
      </c>
      <c r="E252" s="719">
        <f t="shared" si="103"/>
        <v>0</v>
      </c>
      <c r="F252" s="719">
        <f t="shared" si="103"/>
        <v>0</v>
      </c>
      <c r="G252" s="719">
        <f t="shared" si="103"/>
        <v>0</v>
      </c>
      <c r="H252" s="719">
        <f t="shared" si="103"/>
        <v>0</v>
      </c>
      <c r="I252" s="719">
        <f t="shared" si="103"/>
        <v>0</v>
      </c>
      <c r="J252" s="719">
        <f t="shared" si="103"/>
        <v>0</v>
      </c>
      <c r="K252" s="719">
        <f t="shared" si="103"/>
        <v>0</v>
      </c>
      <c r="L252" s="719">
        <f t="shared" si="103"/>
        <v>0</v>
      </c>
      <c r="M252" s="719">
        <f t="shared" si="103"/>
        <v>0</v>
      </c>
      <c r="N252" s="719">
        <f t="shared" si="103"/>
        <v>0</v>
      </c>
      <c r="O252" s="719">
        <f t="shared" si="103"/>
        <v>0</v>
      </c>
      <c r="P252" s="719">
        <f t="shared" si="103"/>
        <v>0</v>
      </c>
      <c r="Q252" s="719">
        <f t="shared" si="103"/>
        <v>0</v>
      </c>
      <c r="R252" s="719">
        <f t="shared" si="103"/>
        <v>0</v>
      </c>
    </row>
    <row r="253" spans="2:18">
      <c r="B253" s="634" t="s">
        <v>874</v>
      </c>
      <c r="D253" s="688">
        <f t="shared" ref="D253:R253" si="104">D231+D244</f>
        <v>0</v>
      </c>
      <c r="E253" s="688">
        <f t="shared" si="104"/>
        <v>0</v>
      </c>
      <c r="F253" s="688">
        <f t="shared" si="104"/>
        <v>0</v>
      </c>
      <c r="G253" s="688">
        <f>G231+G244</f>
        <v>16523.382000000001</v>
      </c>
      <c r="H253" s="688">
        <f t="shared" si="104"/>
        <v>27538.97</v>
      </c>
      <c r="I253" s="688">
        <f t="shared" si="104"/>
        <v>33046.763999999996</v>
      </c>
      <c r="J253" s="688">
        <f t="shared" si="104"/>
        <v>33046.763999999996</v>
      </c>
      <c r="K253" s="688">
        <f t="shared" si="104"/>
        <v>33046.763999999996</v>
      </c>
      <c r="L253" s="688">
        <f t="shared" si="104"/>
        <v>16523.381999999994</v>
      </c>
      <c r="M253" s="688">
        <f t="shared" si="104"/>
        <v>5507.7939999999926</v>
      </c>
      <c r="N253" s="688">
        <f t="shared" si="104"/>
        <v>-8.1854523159563541E-12</v>
      </c>
      <c r="O253" s="688">
        <f t="shared" si="104"/>
        <v>-8.1854523159563541E-12</v>
      </c>
      <c r="P253" s="688">
        <f t="shared" si="104"/>
        <v>-8.1854523159563541E-12</v>
      </c>
      <c r="Q253" s="688">
        <f t="shared" si="104"/>
        <v>-8.1854523159563541E-12</v>
      </c>
      <c r="R253" s="688">
        <f t="shared" si="104"/>
        <v>-8.1854523159563541E-12</v>
      </c>
    </row>
    <row r="256" spans="2:18">
      <c r="G256" s="688"/>
    </row>
  </sheetData>
  <pageMargins left="0.7" right="0.7" top="0.75" bottom="0.75" header="0.3" footer="0.3"/>
  <pageSetup paperSize="9" orientation="portrait" r:id="rId1"/>
  <legacy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0"/>
  </sheetPr>
  <dimension ref="A1:IV234"/>
  <sheetViews>
    <sheetView topLeftCell="A173" zoomScaleNormal="100" workbookViewId="0">
      <selection activeCell="C186" sqref="C186:E207"/>
    </sheetView>
  </sheetViews>
  <sheetFormatPr defaultRowHeight="11.25"/>
  <cols>
    <col min="1" max="1" width="9.140625" style="634"/>
    <col min="2" max="2" width="32.140625" style="634" bestFit="1" customWidth="1"/>
    <col min="3" max="3" width="12.85546875" style="634" bestFit="1" customWidth="1"/>
    <col min="4" max="4" width="12.140625" style="635" customWidth="1"/>
    <col min="5" max="5" width="12.140625" style="634" customWidth="1"/>
    <col min="6" max="6" width="11.140625" style="634" bestFit="1" customWidth="1"/>
    <col min="7" max="7" width="14.42578125" style="634" bestFit="1" customWidth="1"/>
    <col min="8" max="8" width="10.5703125" style="634" customWidth="1"/>
    <col min="9" max="9" width="12" style="634" bestFit="1" customWidth="1"/>
    <col min="10" max="10" width="12.85546875" style="634" bestFit="1" customWidth="1"/>
    <col min="11" max="15" width="10.85546875" style="634" bestFit="1" customWidth="1"/>
    <col min="16" max="17" width="9.5703125" style="634" bestFit="1" customWidth="1"/>
    <col min="18" max="18" width="9.85546875" style="634" bestFit="1" customWidth="1"/>
    <col min="19" max="257" width="9.140625" style="634"/>
    <col min="258" max="258" width="32.140625" style="634" bestFit="1" customWidth="1"/>
    <col min="259" max="259" width="12.85546875" style="634" bestFit="1" customWidth="1"/>
    <col min="260" max="261" width="12.140625" style="634" customWidth="1"/>
    <col min="262" max="262" width="11.140625" style="634" bestFit="1" customWidth="1"/>
    <col min="263" max="263" width="14.42578125" style="634" bestFit="1" customWidth="1"/>
    <col min="264" max="264" width="10.5703125" style="634" customWidth="1"/>
    <col min="265" max="265" width="12" style="634" bestFit="1" customWidth="1"/>
    <col min="266" max="266" width="12.85546875" style="634" bestFit="1" customWidth="1"/>
    <col min="267" max="271" width="10.85546875" style="634" bestFit="1" customWidth="1"/>
    <col min="272" max="273" width="9.5703125" style="634" bestFit="1" customWidth="1"/>
    <col min="274" max="274" width="9.85546875" style="634" bestFit="1" customWidth="1"/>
    <col min="275" max="513" width="9.140625" style="634"/>
    <col min="514" max="514" width="32.140625" style="634" bestFit="1" customWidth="1"/>
    <col min="515" max="515" width="12.85546875" style="634" bestFit="1" customWidth="1"/>
    <col min="516" max="517" width="12.140625" style="634" customWidth="1"/>
    <col min="518" max="518" width="11.140625" style="634" bestFit="1" customWidth="1"/>
    <col min="519" max="519" width="14.42578125" style="634" bestFit="1" customWidth="1"/>
    <col min="520" max="520" width="10.5703125" style="634" customWidth="1"/>
    <col min="521" max="521" width="12" style="634" bestFit="1" customWidth="1"/>
    <col min="522" max="522" width="12.85546875" style="634" bestFit="1" customWidth="1"/>
    <col min="523" max="527" width="10.85546875" style="634" bestFit="1" customWidth="1"/>
    <col min="528" max="529" width="9.5703125" style="634" bestFit="1" customWidth="1"/>
    <col min="530" max="530" width="9.85546875" style="634" bestFit="1" customWidth="1"/>
    <col min="531" max="769" width="9.140625" style="634"/>
    <col min="770" max="770" width="32.140625" style="634" bestFit="1" customWidth="1"/>
    <col min="771" max="771" width="12.85546875" style="634" bestFit="1" customWidth="1"/>
    <col min="772" max="773" width="12.140625" style="634" customWidth="1"/>
    <col min="774" max="774" width="11.140625" style="634" bestFit="1" customWidth="1"/>
    <col min="775" max="775" width="14.42578125" style="634" bestFit="1" customWidth="1"/>
    <col min="776" max="776" width="10.5703125" style="634" customWidth="1"/>
    <col min="777" max="777" width="12" style="634" bestFit="1" customWidth="1"/>
    <col min="778" max="778" width="12.85546875" style="634" bestFit="1" customWidth="1"/>
    <col min="779" max="783" width="10.85546875" style="634" bestFit="1" customWidth="1"/>
    <col min="784" max="785" width="9.5703125" style="634" bestFit="1" customWidth="1"/>
    <col min="786" max="786" width="9.85546875" style="634" bestFit="1" customWidth="1"/>
    <col min="787" max="1025" width="9.140625" style="634"/>
    <col min="1026" max="1026" width="32.140625" style="634" bestFit="1" customWidth="1"/>
    <col min="1027" max="1027" width="12.85546875" style="634" bestFit="1" customWidth="1"/>
    <col min="1028" max="1029" width="12.140625" style="634" customWidth="1"/>
    <col min="1030" max="1030" width="11.140625" style="634" bestFit="1" customWidth="1"/>
    <col min="1031" max="1031" width="14.42578125" style="634" bestFit="1" customWidth="1"/>
    <col min="1032" max="1032" width="10.5703125" style="634" customWidth="1"/>
    <col min="1033" max="1033" width="12" style="634" bestFit="1" customWidth="1"/>
    <col min="1034" max="1034" width="12.85546875" style="634" bestFit="1" customWidth="1"/>
    <col min="1035" max="1039" width="10.85546875" style="634" bestFit="1" customWidth="1"/>
    <col min="1040" max="1041" width="9.5703125" style="634" bestFit="1" customWidth="1"/>
    <col min="1042" max="1042" width="9.85546875" style="634" bestFit="1" customWidth="1"/>
    <col min="1043" max="1281" width="9.140625" style="634"/>
    <col min="1282" max="1282" width="32.140625" style="634" bestFit="1" customWidth="1"/>
    <col min="1283" max="1283" width="12.85546875" style="634" bestFit="1" customWidth="1"/>
    <col min="1284" max="1285" width="12.140625" style="634" customWidth="1"/>
    <col min="1286" max="1286" width="11.140625" style="634" bestFit="1" customWidth="1"/>
    <col min="1287" max="1287" width="14.42578125" style="634" bestFit="1" customWidth="1"/>
    <col min="1288" max="1288" width="10.5703125" style="634" customWidth="1"/>
    <col min="1289" max="1289" width="12" style="634" bestFit="1" customWidth="1"/>
    <col min="1290" max="1290" width="12.85546875" style="634" bestFit="1" customWidth="1"/>
    <col min="1291" max="1295" width="10.85546875" style="634" bestFit="1" customWidth="1"/>
    <col min="1296" max="1297" width="9.5703125" style="634" bestFit="1" customWidth="1"/>
    <col min="1298" max="1298" width="9.85546875" style="634" bestFit="1" customWidth="1"/>
    <col min="1299" max="1537" width="9.140625" style="634"/>
    <col min="1538" max="1538" width="32.140625" style="634" bestFit="1" customWidth="1"/>
    <col min="1539" max="1539" width="12.85546875" style="634" bestFit="1" customWidth="1"/>
    <col min="1540" max="1541" width="12.140625" style="634" customWidth="1"/>
    <col min="1542" max="1542" width="11.140625" style="634" bestFit="1" customWidth="1"/>
    <col min="1543" max="1543" width="14.42578125" style="634" bestFit="1" customWidth="1"/>
    <col min="1544" max="1544" width="10.5703125" style="634" customWidth="1"/>
    <col min="1545" max="1545" width="12" style="634" bestFit="1" customWidth="1"/>
    <col min="1546" max="1546" width="12.85546875" style="634" bestFit="1" customWidth="1"/>
    <col min="1547" max="1551" width="10.85546875" style="634" bestFit="1" customWidth="1"/>
    <col min="1552" max="1553" width="9.5703125" style="634" bestFit="1" customWidth="1"/>
    <col min="1554" max="1554" width="9.85546875" style="634" bestFit="1" customWidth="1"/>
    <col min="1555" max="1793" width="9.140625" style="634"/>
    <col min="1794" max="1794" width="32.140625" style="634" bestFit="1" customWidth="1"/>
    <col min="1795" max="1795" width="12.85546875" style="634" bestFit="1" customWidth="1"/>
    <col min="1796" max="1797" width="12.140625" style="634" customWidth="1"/>
    <col min="1798" max="1798" width="11.140625" style="634" bestFit="1" customWidth="1"/>
    <col min="1799" max="1799" width="14.42578125" style="634" bestFit="1" customWidth="1"/>
    <col min="1800" max="1800" width="10.5703125" style="634" customWidth="1"/>
    <col min="1801" max="1801" width="12" style="634" bestFit="1" customWidth="1"/>
    <col min="1802" max="1802" width="12.85546875" style="634" bestFit="1" customWidth="1"/>
    <col min="1803" max="1807" width="10.85546875" style="634" bestFit="1" customWidth="1"/>
    <col min="1808" max="1809" width="9.5703125" style="634" bestFit="1" customWidth="1"/>
    <col min="1810" max="1810" width="9.85546875" style="634" bestFit="1" customWidth="1"/>
    <col min="1811" max="2049" width="9.140625" style="634"/>
    <col min="2050" max="2050" width="32.140625" style="634" bestFit="1" customWidth="1"/>
    <col min="2051" max="2051" width="12.85546875" style="634" bestFit="1" customWidth="1"/>
    <col min="2052" max="2053" width="12.140625" style="634" customWidth="1"/>
    <col min="2054" max="2054" width="11.140625" style="634" bestFit="1" customWidth="1"/>
    <col min="2055" max="2055" width="14.42578125" style="634" bestFit="1" customWidth="1"/>
    <col min="2056" max="2056" width="10.5703125" style="634" customWidth="1"/>
    <col min="2057" max="2057" width="12" style="634" bestFit="1" customWidth="1"/>
    <col min="2058" max="2058" width="12.85546875" style="634" bestFit="1" customWidth="1"/>
    <col min="2059" max="2063" width="10.85546875" style="634" bestFit="1" customWidth="1"/>
    <col min="2064" max="2065" width="9.5703125" style="634" bestFit="1" customWidth="1"/>
    <col min="2066" max="2066" width="9.85546875" style="634" bestFit="1" customWidth="1"/>
    <col min="2067" max="2305" width="9.140625" style="634"/>
    <col min="2306" max="2306" width="32.140625" style="634" bestFit="1" customWidth="1"/>
    <col min="2307" max="2307" width="12.85546875" style="634" bestFit="1" customWidth="1"/>
    <col min="2308" max="2309" width="12.140625" style="634" customWidth="1"/>
    <col min="2310" max="2310" width="11.140625" style="634" bestFit="1" customWidth="1"/>
    <col min="2311" max="2311" width="14.42578125" style="634" bestFit="1" customWidth="1"/>
    <col min="2312" max="2312" width="10.5703125" style="634" customWidth="1"/>
    <col min="2313" max="2313" width="12" style="634" bestFit="1" customWidth="1"/>
    <col min="2314" max="2314" width="12.85546875" style="634" bestFit="1" customWidth="1"/>
    <col min="2315" max="2319" width="10.85546875" style="634" bestFit="1" customWidth="1"/>
    <col min="2320" max="2321" width="9.5703125" style="634" bestFit="1" customWidth="1"/>
    <col min="2322" max="2322" width="9.85546875" style="634" bestFit="1" customWidth="1"/>
    <col min="2323" max="2561" width="9.140625" style="634"/>
    <col min="2562" max="2562" width="32.140625" style="634" bestFit="1" customWidth="1"/>
    <col min="2563" max="2563" width="12.85546875" style="634" bestFit="1" customWidth="1"/>
    <col min="2564" max="2565" width="12.140625" style="634" customWidth="1"/>
    <col min="2566" max="2566" width="11.140625" style="634" bestFit="1" customWidth="1"/>
    <col min="2567" max="2567" width="14.42578125" style="634" bestFit="1" customWidth="1"/>
    <col min="2568" max="2568" width="10.5703125" style="634" customWidth="1"/>
    <col min="2569" max="2569" width="12" style="634" bestFit="1" customWidth="1"/>
    <col min="2570" max="2570" width="12.85546875" style="634" bestFit="1" customWidth="1"/>
    <col min="2571" max="2575" width="10.85546875" style="634" bestFit="1" customWidth="1"/>
    <col min="2576" max="2577" width="9.5703125" style="634" bestFit="1" customWidth="1"/>
    <col min="2578" max="2578" width="9.85546875" style="634" bestFit="1" customWidth="1"/>
    <col min="2579" max="2817" width="9.140625" style="634"/>
    <col min="2818" max="2818" width="32.140625" style="634" bestFit="1" customWidth="1"/>
    <col min="2819" max="2819" width="12.85546875" style="634" bestFit="1" customWidth="1"/>
    <col min="2820" max="2821" width="12.140625" style="634" customWidth="1"/>
    <col min="2822" max="2822" width="11.140625" style="634" bestFit="1" customWidth="1"/>
    <col min="2823" max="2823" width="14.42578125" style="634" bestFit="1" customWidth="1"/>
    <col min="2824" max="2824" width="10.5703125" style="634" customWidth="1"/>
    <col min="2825" max="2825" width="12" style="634" bestFit="1" customWidth="1"/>
    <col min="2826" max="2826" width="12.85546875" style="634" bestFit="1" customWidth="1"/>
    <col min="2827" max="2831" width="10.85546875" style="634" bestFit="1" customWidth="1"/>
    <col min="2832" max="2833" width="9.5703125" style="634" bestFit="1" customWidth="1"/>
    <col min="2834" max="2834" width="9.85546875" style="634" bestFit="1" customWidth="1"/>
    <col min="2835" max="3073" width="9.140625" style="634"/>
    <col min="3074" max="3074" width="32.140625" style="634" bestFit="1" customWidth="1"/>
    <col min="3075" max="3075" width="12.85546875" style="634" bestFit="1" customWidth="1"/>
    <col min="3076" max="3077" width="12.140625" style="634" customWidth="1"/>
    <col min="3078" max="3078" width="11.140625" style="634" bestFit="1" customWidth="1"/>
    <col min="3079" max="3079" width="14.42578125" style="634" bestFit="1" customWidth="1"/>
    <col min="3080" max="3080" width="10.5703125" style="634" customWidth="1"/>
    <col min="3081" max="3081" width="12" style="634" bestFit="1" customWidth="1"/>
    <col min="3082" max="3082" width="12.85546875" style="634" bestFit="1" customWidth="1"/>
    <col min="3083" max="3087" width="10.85546875" style="634" bestFit="1" customWidth="1"/>
    <col min="3088" max="3089" width="9.5703125" style="634" bestFit="1" customWidth="1"/>
    <col min="3090" max="3090" width="9.85546875" style="634" bestFit="1" customWidth="1"/>
    <col min="3091" max="3329" width="9.140625" style="634"/>
    <col min="3330" max="3330" width="32.140625" style="634" bestFit="1" customWidth="1"/>
    <col min="3331" max="3331" width="12.85546875" style="634" bestFit="1" customWidth="1"/>
    <col min="3332" max="3333" width="12.140625" style="634" customWidth="1"/>
    <col min="3334" max="3334" width="11.140625" style="634" bestFit="1" customWidth="1"/>
    <col min="3335" max="3335" width="14.42578125" style="634" bestFit="1" customWidth="1"/>
    <col min="3336" max="3336" width="10.5703125" style="634" customWidth="1"/>
    <col min="3337" max="3337" width="12" style="634" bestFit="1" customWidth="1"/>
    <col min="3338" max="3338" width="12.85546875" style="634" bestFit="1" customWidth="1"/>
    <col min="3339" max="3343" width="10.85546875" style="634" bestFit="1" customWidth="1"/>
    <col min="3344" max="3345" width="9.5703125" style="634" bestFit="1" customWidth="1"/>
    <col min="3346" max="3346" width="9.85546875" style="634" bestFit="1" customWidth="1"/>
    <col min="3347" max="3585" width="9.140625" style="634"/>
    <col min="3586" max="3586" width="32.140625" style="634" bestFit="1" customWidth="1"/>
    <col min="3587" max="3587" width="12.85546875" style="634" bestFit="1" customWidth="1"/>
    <col min="3588" max="3589" width="12.140625" style="634" customWidth="1"/>
    <col min="3590" max="3590" width="11.140625" style="634" bestFit="1" customWidth="1"/>
    <col min="3591" max="3591" width="14.42578125" style="634" bestFit="1" customWidth="1"/>
    <col min="3592" max="3592" width="10.5703125" style="634" customWidth="1"/>
    <col min="3593" max="3593" width="12" style="634" bestFit="1" customWidth="1"/>
    <col min="3594" max="3594" width="12.85546875" style="634" bestFit="1" customWidth="1"/>
    <col min="3595" max="3599" width="10.85546875" style="634" bestFit="1" customWidth="1"/>
    <col min="3600" max="3601" width="9.5703125" style="634" bestFit="1" customWidth="1"/>
    <col min="3602" max="3602" width="9.85546875" style="634" bestFit="1" customWidth="1"/>
    <col min="3603" max="3841" width="9.140625" style="634"/>
    <col min="3842" max="3842" width="32.140625" style="634" bestFit="1" customWidth="1"/>
    <col min="3843" max="3843" width="12.85546875" style="634" bestFit="1" customWidth="1"/>
    <col min="3844" max="3845" width="12.140625" style="634" customWidth="1"/>
    <col min="3846" max="3846" width="11.140625" style="634" bestFit="1" customWidth="1"/>
    <col min="3847" max="3847" width="14.42578125" style="634" bestFit="1" customWidth="1"/>
    <col min="3848" max="3848" width="10.5703125" style="634" customWidth="1"/>
    <col min="3849" max="3849" width="12" style="634" bestFit="1" customWidth="1"/>
    <col min="3850" max="3850" width="12.85546875" style="634" bestFit="1" customWidth="1"/>
    <col min="3851" max="3855" width="10.85546875" style="634" bestFit="1" customWidth="1"/>
    <col min="3856" max="3857" width="9.5703125" style="634" bestFit="1" customWidth="1"/>
    <col min="3858" max="3858" width="9.85546875" style="634" bestFit="1" customWidth="1"/>
    <col min="3859" max="4097" width="9.140625" style="634"/>
    <col min="4098" max="4098" width="32.140625" style="634" bestFit="1" customWidth="1"/>
    <col min="4099" max="4099" width="12.85546875" style="634" bestFit="1" customWidth="1"/>
    <col min="4100" max="4101" width="12.140625" style="634" customWidth="1"/>
    <col min="4102" max="4102" width="11.140625" style="634" bestFit="1" customWidth="1"/>
    <col min="4103" max="4103" width="14.42578125" style="634" bestFit="1" customWidth="1"/>
    <col min="4104" max="4104" width="10.5703125" style="634" customWidth="1"/>
    <col min="4105" max="4105" width="12" style="634" bestFit="1" customWidth="1"/>
    <col min="4106" max="4106" width="12.85546875" style="634" bestFit="1" customWidth="1"/>
    <col min="4107" max="4111" width="10.85546875" style="634" bestFit="1" customWidth="1"/>
    <col min="4112" max="4113" width="9.5703125" style="634" bestFit="1" customWidth="1"/>
    <col min="4114" max="4114" width="9.85546875" style="634" bestFit="1" customWidth="1"/>
    <col min="4115" max="4353" width="9.140625" style="634"/>
    <col min="4354" max="4354" width="32.140625" style="634" bestFit="1" customWidth="1"/>
    <col min="4355" max="4355" width="12.85546875" style="634" bestFit="1" customWidth="1"/>
    <col min="4356" max="4357" width="12.140625" style="634" customWidth="1"/>
    <col min="4358" max="4358" width="11.140625" style="634" bestFit="1" customWidth="1"/>
    <col min="4359" max="4359" width="14.42578125" style="634" bestFit="1" customWidth="1"/>
    <col min="4360" max="4360" width="10.5703125" style="634" customWidth="1"/>
    <col min="4361" max="4361" width="12" style="634" bestFit="1" customWidth="1"/>
    <col min="4362" max="4362" width="12.85546875" style="634" bestFit="1" customWidth="1"/>
    <col min="4363" max="4367" width="10.85546875" style="634" bestFit="1" customWidth="1"/>
    <col min="4368" max="4369" width="9.5703125" style="634" bestFit="1" customWidth="1"/>
    <col min="4370" max="4370" width="9.85546875" style="634" bestFit="1" customWidth="1"/>
    <col min="4371" max="4609" width="9.140625" style="634"/>
    <col min="4610" max="4610" width="32.140625" style="634" bestFit="1" customWidth="1"/>
    <col min="4611" max="4611" width="12.85546875" style="634" bestFit="1" customWidth="1"/>
    <col min="4612" max="4613" width="12.140625" style="634" customWidth="1"/>
    <col min="4614" max="4614" width="11.140625" style="634" bestFit="1" customWidth="1"/>
    <col min="4615" max="4615" width="14.42578125" style="634" bestFit="1" customWidth="1"/>
    <col min="4616" max="4616" width="10.5703125" style="634" customWidth="1"/>
    <col min="4617" max="4617" width="12" style="634" bestFit="1" customWidth="1"/>
    <col min="4618" max="4618" width="12.85546875" style="634" bestFit="1" customWidth="1"/>
    <col min="4619" max="4623" width="10.85546875" style="634" bestFit="1" customWidth="1"/>
    <col min="4624" max="4625" width="9.5703125" style="634" bestFit="1" customWidth="1"/>
    <col min="4626" max="4626" width="9.85546875" style="634" bestFit="1" customWidth="1"/>
    <col min="4627" max="4865" width="9.140625" style="634"/>
    <col min="4866" max="4866" width="32.140625" style="634" bestFit="1" customWidth="1"/>
    <col min="4867" max="4867" width="12.85546875" style="634" bestFit="1" customWidth="1"/>
    <col min="4868" max="4869" width="12.140625" style="634" customWidth="1"/>
    <col min="4870" max="4870" width="11.140625" style="634" bestFit="1" customWidth="1"/>
    <col min="4871" max="4871" width="14.42578125" style="634" bestFit="1" customWidth="1"/>
    <col min="4872" max="4872" width="10.5703125" style="634" customWidth="1"/>
    <col min="4873" max="4873" width="12" style="634" bestFit="1" customWidth="1"/>
    <col min="4874" max="4874" width="12.85546875" style="634" bestFit="1" customWidth="1"/>
    <col min="4875" max="4879" width="10.85546875" style="634" bestFit="1" customWidth="1"/>
    <col min="4880" max="4881" width="9.5703125" style="634" bestFit="1" customWidth="1"/>
    <col min="4882" max="4882" width="9.85546875" style="634" bestFit="1" customWidth="1"/>
    <col min="4883" max="5121" width="9.140625" style="634"/>
    <col min="5122" max="5122" width="32.140625" style="634" bestFit="1" customWidth="1"/>
    <col min="5123" max="5123" width="12.85546875" style="634" bestFit="1" customWidth="1"/>
    <col min="5124" max="5125" width="12.140625" style="634" customWidth="1"/>
    <col min="5126" max="5126" width="11.140625" style="634" bestFit="1" customWidth="1"/>
    <col min="5127" max="5127" width="14.42578125" style="634" bestFit="1" customWidth="1"/>
    <col min="5128" max="5128" width="10.5703125" style="634" customWidth="1"/>
    <col min="5129" max="5129" width="12" style="634" bestFit="1" customWidth="1"/>
    <col min="5130" max="5130" width="12.85546875" style="634" bestFit="1" customWidth="1"/>
    <col min="5131" max="5135" width="10.85546875" style="634" bestFit="1" customWidth="1"/>
    <col min="5136" max="5137" width="9.5703125" style="634" bestFit="1" customWidth="1"/>
    <col min="5138" max="5138" width="9.85546875" style="634" bestFit="1" customWidth="1"/>
    <col min="5139" max="5377" width="9.140625" style="634"/>
    <col min="5378" max="5378" width="32.140625" style="634" bestFit="1" customWidth="1"/>
    <col min="5379" max="5379" width="12.85546875" style="634" bestFit="1" customWidth="1"/>
    <col min="5380" max="5381" width="12.140625" style="634" customWidth="1"/>
    <col min="5382" max="5382" width="11.140625" style="634" bestFit="1" customWidth="1"/>
    <col min="5383" max="5383" width="14.42578125" style="634" bestFit="1" customWidth="1"/>
    <col min="5384" max="5384" width="10.5703125" style="634" customWidth="1"/>
    <col min="5385" max="5385" width="12" style="634" bestFit="1" customWidth="1"/>
    <col min="5386" max="5386" width="12.85546875" style="634" bestFit="1" customWidth="1"/>
    <col min="5387" max="5391" width="10.85546875" style="634" bestFit="1" customWidth="1"/>
    <col min="5392" max="5393" width="9.5703125" style="634" bestFit="1" customWidth="1"/>
    <col min="5394" max="5394" width="9.85546875" style="634" bestFit="1" customWidth="1"/>
    <col min="5395" max="5633" width="9.140625" style="634"/>
    <col min="5634" max="5634" width="32.140625" style="634" bestFit="1" customWidth="1"/>
    <col min="5635" max="5635" width="12.85546875" style="634" bestFit="1" customWidth="1"/>
    <col min="5636" max="5637" width="12.140625" style="634" customWidth="1"/>
    <col min="5638" max="5638" width="11.140625" style="634" bestFit="1" customWidth="1"/>
    <col min="5639" max="5639" width="14.42578125" style="634" bestFit="1" customWidth="1"/>
    <col min="5640" max="5640" width="10.5703125" style="634" customWidth="1"/>
    <col min="5641" max="5641" width="12" style="634" bestFit="1" customWidth="1"/>
    <col min="5642" max="5642" width="12.85546875" style="634" bestFit="1" customWidth="1"/>
    <col min="5643" max="5647" width="10.85546875" style="634" bestFit="1" customWidth="1"/>
    <col min="5648" max="5649" width="9.5703125" style="634" bestFit="1" customWidth="1"/>
    <col min="5650" max="5650" width="9.85546875" style="634" bestFit="1" customWidth="1"/>
    <col min="5651" max="5889" width="9.140625" style="634"/>
    <col min="5890" max="5890" width="32.140625" style="634" bestFit="1" customWidth="1"/>
    <col min="5891" max="5891" width="12.85546875" style="634" bestFit="1" customWidth="1"/>
    <col min="5892" max="5893" width="12.140625" style="634" customWidth="1"/>
    <col min="5894" max="5894" width="11.140625" style="634" bestFit="1" customWidth="1"/>
    <col min="5895" max="5895" width="14.42578125" style="634" bestFit="1" customWidth="1"/>
    <col min="5896" max="5896" width="10.5703125" style="634" customWidth="1"/>
    <col min="5897" max="5897" width="12" style="634" bestFit="1" customWidth="1"/>
    <col min="5898" max="5898" width="12.85546875" style="634" bestFit="1" customWidth="1"/>
    <col min="5899" max="5903" width="10.85546875" style="634" bestFit="1" customWidth="1"/>
    <col min="5904" max="5905" width="9.5703125" style="634" bestFit="1" customWidth="1"/>
    <col min="5906" max="5906" width="9.85546875" style="634" bestFit="1" customWidth="1"/>
    <col min="5907" max="6145" width="9.140625" style="634"/>
    <col min="6146" max="6146" width="32.140625" style="634" bestFit="1" customWidth="1"/>
    <col min="6147" max="6147" width="12.85546875" style="634" bestFit="1" customWidth="1"/>
    <col min="6148" max="6149" width="12.140625" style="634" customWidth="1"/>
    <col min="6150" max="6150" width="11.140625" style="634" bestFit="1" customWidth="1"/>
    <col min="6151" max="6151" width="14.42578125" style="634" bestFit="1" customWidth="1"/>
    <col min="6152" max="6152" width="10.5703125" style="634" customWidth="1"/>
    <col min="6153" max="6153" width="12" style="634" bestFit="1" customWidth="1"/>
    <col min="6154" max="6154" width="12.85546875" style="634" bestFit="1" customWidth="1"/>
    <col min="6155" max="6159" width="10.85546875" style="634" bestFit="1" customWidth="1"/>
    <col min="6160" max="6161" width="9.5703125" style="634" bestFit="1" customWidth="1"/>
    <col min="6162" max="6162" width="9.85546875" style="634" bestFit="1" customWidth="1"/>
    <col min="6163" max="6401" width="9.140625" style="634"/>
    <col min="6402" max="6402" width="32.140625" style="634" bestFit="1" customWidth="1"/>
    <col min="6403" max="6403" width="12.85546875" style="634" bestFit="1" customWidth="1"/>
    <col min="6404" max="6405" width="12.140625" style="634" customWidth="1"/>
    <col min="6406" max="6406" width="11.140625" style="634" bestFit="1" customWidth="1"/>
    <col min="6407" max="6407" width="14.42578125" style="634" bestFit="1" customWidth="1"/>
    <col min="6408" max="6408" width="10.5703125" style="634" customWidth="1"/>
    <col min="6409" max="6409" width="12" style="634" bestFit="1" customWidth="1"/>
    <col min="6410" max="6410" width="12.85546875" style="634" bestFit="1" customWidth="1"/>
    <col min="6411" max="6415" width="10.85546875" style="634" bestFit="1" customWidth="1"/>
    <col min="6416" max="6417" width="9.5703125" style="634" bestFit="1" customWidth="1"/>
    <col min="6418" max="6418" width="9.85546875" style="634" bestFit="1" customWidth="1"/>
    <col min="6419" max="6657" width="9.140625" style="634"/>
    <col min="6658" max="6658" width="32.140625" style="634" bestFit="1" customWidth="1"/>
    <col min="6659" max="6659" width="12.85546875" style="634" bestFit="1" customWidth="1"/>
    <col min="6660" max="6661" width="12.140625" style="634" customWidth="1"/>
    <col min="6662" max="6662" width="11.140625" style="634" bestFit="1" customWidth="1"/>
    <col min="6663" max="6663" width="14.42578125" style="634" bestFit="1" customWidth="1"/>
    <col min="6664" max="6664" width="10.5703125" style="634" customWidth="1"/>
    <col min="6665" max="6665" width="12" style="634" bestFit="1" customWidth="1"/>
    <col min="6666" max="6666" width="12.85546875" style="634" bestFit="1" customWidth="1"/>
    <col min="6667" max="6671" width="10.85546875" style="634" bestFit="1" customWidth="1"/>
    <col min="6672" max="6673" width="9.5703125" style="634" bestFit="1" customWidth="1"/>
    <col min="6674" max="6674" width="9.85546875" style="634" bestFit="1" customWidth="1"/>
    <col min="6675" max="6913" width="9.140625" style="634"/>
    <col min="6914" max="6914" width="32.140625" style="634" bestFit="1" customWidth="1"/>
    <col min="6915" max="6915" width="12.85546875" style="634" bestFit="1" customWidth="1"/>
    <col min="6916" max="6917" width="12.140625" style="634" customWidth="1"/>
    <col min="6918" max="6918" width="11.140625" style="634" bestFit="1" customWidth="1"/>
    <col min="6919" max="6919" width="14.42578125" style="634" bestFit="1" customWidth="1"/>
    <col min="6920" max="6920" width="10.5703125" style="634" customWidth="1"/>
    <col min="6921" max="6921" width="12" style="634" bestFit="1" customWidth="1"/>
    <col min="6922" max="6922" width="12.85546875" style="634" bestFit="1" customWidth="1"/>
    <col min="6923" max="6927" width="10.85546875" style="634" bestFit="1" customWidth="1"/>
    <col min="6928" max="6929" width="9.5703125" style="634" bestFit="1" customWidth="1"/>
    <col min="6930" max="6930" width="9.85546875" style="634" bestFit="1" customWidth="1"/>
    <col min="6931" max="7169" width="9.140625" style="634"/>
    <col min="7170" max="7170" width="32.140625" style="634" bestFit="1" customWidth="1"/>
    <col min="7171" max="7171" width="12.85546875" style="634" bestFit="1" customWidth="1"/>
    <col min="7172" max="7173" width="12.140625" style="634" customWidth="1"/>
    <col min="7174" max="7174" width="11.140625" style="634" bestFit="1" customWidth="1"/>
    <col min="7175" max="7175" width="14.42578125" style="634" bestFit="1" customWidth="1"/>
    <col min="7176" max="7176" width="10.5703125" style="634" customWidth="1"/>
    <col min="7177" max="7177" width="12" style="634" bestFit="1" customWidth="1"/>
    <col min="7178" max="7178" width="12.85546875" style="634" bestFit="1" customWidth="1"/>
    <col min="7179" max="7183" width="10.85546875" style="634" bestFit="1" customWidth="1"/>
    <col min="7184" max="7185" width="9.5703125" style="634" bestFit="1" customWidth="1"/>
    <col min="7186" max="7186" width="9.85546875" style="634" bestFit="1" customWidth="1"/>
    <col min="7187" max="7425" width="9.140625" style="634"/>
    <col min="7426" max="7426" width="32.140625" style="634" bestFit="1" customWidth="1"/>
    <col min="7427" max="7427" width="12.85546875" style="634" bestFit="1" customWidth="1"/>
    <col min="7428" max="7429" width="12.140625" style="634" customWidth="1"/>
    <col min="7430" max="7430" width="11.140625" style="634" bestFit="1" customWidth="1"/>
    <col min="7431" max="7431" width="14.42578125" style="634" bestFit="1" customWidth="1"/>
    <col min="7432" max="7432" width="10.5703125" style="634" customWidth="1"/>
    <col min="7433" max="7433" width="12" style="634" bestFit="1" customWidth="1"/>
    <col min="7434" max="7434" width="12.85546875" style="634" bestFit="1" customWidth="1"/>
    <col min="7435" max="7439" width="10.85546875" style="634" bestFit="1" customWidth="1"/>
    <col min="7440" max="7441" width="9.5703125" style="634" bestFit="1" customWidth="1"/>
    <col min="7442" max="7442" width="9.85546875" style="634" bestFit="1" customWidth="1"/>
    <col min="7443" max="7681" width="9.140625" style="634"/>
    <col min="7682" max="7682" width="32.140625" style="634" bestFit="1" customWidth="1"/>
    <col min="7683" max="7683" width="12.85546875" style="634" bestFit="1" customWidth="1"/>
    <col min="7684" max="7685" width="12.140625" style="634" customWidth="1"/>
    <col min="7686" max="7686" width="11.140625" style="634" bestFit="1" customWidth="1"/>
    <col min="7687" max="7687" width="14.42578125" style="634" bestFit="1" customWidth="1"/>
    <col min="7688" max="7688" width="10.5703125" style="634" customWidth="1"/>
    <col min="7689" max="7689" width="12" style="634" bestFit="1" customWidth="1"/>
    <col min="7690" max="7690" width="12.85546875" style="634" bestFit="1" customWidth="1"/>
    <col min="7691" max="7695" width="10.85546875" style="634" bestFit="1" customWidth="1"/>
    <col min="7696" max="7697" width="9.5703125" style="634" bestFit="1" customWidth="1"/>
    <col min="7698" max="7698" width="9.85546875" style="634" bestFit="1" customWidth="1"/>
    <col min="7699" max="7937" width="9.140625" style="634"/>
    <col min="7938" max="7938" width="32.140625" style="634" bestFit="1" customWidth="1"/>
    <col min="7939" max="7939" width="12.85546875" style="634" bestFit="1" customWidth="1"/>
    <col min="7940" max="7941" width="12.140625" style="634" customWidth="1"/>
    <col min="7942" max="7942" width="11.140625" style="634" bestFit="1" customWidth="1"/>
    <col min="7943" max="7943" width="14.42578125" style="634" bestFit="1" customWidth="1"/>
    <col min="7944" max="7944" width="10.5703125" style="634" customWidth="1"/>
    <col min="7945" max="7945" width="12" style="634" bestFit="1" customWidth="1"/>
    <col min="7946" max="7946" width="12.85546875" style="634" bestFit="1" customWidth="1"/>
    <col min="7947" max="7951" width="10.85546875" style="634" bestFit="1" customWidth="1"/>
    <col min="7952" max="7953" width="9.5703125" style="634" bestFit="1" customWidth="1"/>
    <col min="7954" max="7954" width="9.85546875" style="634" bestFit="1" customWidth="1"/>
    <col min="7955" max="8193" width="9.140625" style="634"/>
    <col min="8194" max="8194" width="32.140625" style="634" bestFit="1" customWidth="1"/>
    <col min="8195" max="8195" width="12.85546875" style="634" bestFit="1" customWidth="1"/>
    <col min="8196" max="8197" width="12.140625" style="634" customWidth="1"/>
    <col min="8198" max="8198" width="11.140625" style="634" bestFit="1" customWidth="1"/>
    <col min="8199" max="8199" width="14.42578125" style="634" bestFit="1" customWidth="1"/>
    <col min="8200" max="8200" width="10.5703125" style="634" customWidth="1"/>
    <col min="8201" max="8201" width="12" style="634" bestFit="1" customWidth="1"/>
    <col min="8202" max="8202" width="12.85546875" style="634" bestFit="1" customWidth="1"/>
    <col min="8203" max="8207" width="10.85546875" style="634" bestFit="1" customWidth="1"/>
    <col min="8208" max="8209" width="9.5703125" style="634" bestFit="1" customWidth="1"/>
    <col min="8210" max="8210" width="9.85546875" style="634" bestFit="1" customWidth="1"/>
    <col min="8211" max="8449" width="9.140625" style="634"/>
    <col min="8450" max="8450" width="32.140625" style="634" bestFit="1" customWidth="1"/>
    <col min="8451" max="8451" width="12.85546875" style="634" bestFit="1" customWidth="1"/>
    <col min="8452" max="8453" width="12.140625" style="634" customWidth="1"/>
    <col min="8454" max="8454" width="11.140625" style="634" bestFit="1" customWidth="1"/>
    <col min="8455" max="8455" width="14.42578125" style="634" bestFit="1" customWidth="1"/>
    <col min="8456" max="8456" width="10.5703125" style="634" customWidth="1"/>
    <col min="8457" max="8457" width="12" style="634" bestFit="1" customWidth="1"/>
    <col min="8458" max="8458" width="12.85546875" style="634" bestFit="1" customWidth="1"/>
    <col min="8459" max="8463" width="10.85546875" style="634" bestFit="1" customWidth="1"/>
    <col min="8464" max="8465" width="9.5703125" style="634" bestFit="1" customWidth="1"/>
    <col min="8466" max="8466" width="9.85546875" style="634" bestFit="1" customWidth="1"/>
    <col min="8467" max="8705" width="9.140625" style="634"/>
    <col min="8706" max="8706" width="32.140625" style="634" bestFit="1" customWidth="1"/>
    <col min="8707" max="8707" width="12.85546875" style="634" bestFit="1" customWidth="1"/>
    <col min="8708" max="8709" width="12.140625" style="634" customWidth="1"/>
    <col min="8710" max="8710" width="11.140625" style="634" bestFit="1" customWidth="1"/>
    <col min="8711" max="8711" width="14.42578125" style="634" bestFit="1" customWidth="1"/>
    <col min="8712" max="8712" width="10.5703125" style="634" customWidth="1"/>
    <col min="8713" max="8713" width="12" style="634" bestFit="1" customWidth="1"/>
    <col min="8714" max="8714" width="12.85546875" style="634" bestFit="1" customWidth="1"/>
    <col min="8715" max="8719" width="10.85546875" style="634" bestFit="1" customWidth="1"/>
    <col min="8720" max="8721" width="9.5703125" style="634" bestFit="1" customWidth="1"/>
    <col min="8722" max="8722" width="9.85546875" style="634" bestFit="1" customWidth="1"/>
    <col min="8723" max="8961" width="9.140625" style="634"/>
    <col min="8962" max="8962" width="32.140625" style="634" bestFit="1" customWidth="1"/>
    <col min="8963" max="8963" width="12.85546875" style="634" bestFit="1" customWidth="1"/>
    <col min="8964" max="8965" width="12.140625" style="634" customWidth="1"/>
    <col min="8966" max="8966" width="11.140625" style="634" bestFit="1" customWidth="1"/>
    <col min="8967" max="8967" width="14.42578125" style="634" bestFit="1" customWidth="1"/>
    <col min="8968" max="8968" width="10.5703125" style="634" customWidth="1"/>
    <col min="8969" max="8969" width="12" style="634" bestFit="1" customWidth="1"/>
    <col min="8970" max="8970" width="12.85546875" style="634" bestFit="1" customWidth="1"/>
    <col min="8971" max="8975" width="10.85546875" style="634" bestFit="1" customWidth="1"/>
    <col min="8976" max="8977" width="9.5703125" style="634" bestFit="1" customWidth="1"/>
    <col min="8978" max="8978" width="9.85546875" style="634" bestFit="1" customWidth="1"/>
    <col min="8979" max="9217" width="9.140625" style="634"/>
    <col min="9218" max="9218" width="32.140625" style="634" bestFit="1" customWidth="1"/>
    <col min="9219" max="9219" width="12.85546875" style="634" bestFit="1" customWidth="1"/>
    <col min="9220" max="9221" width="12.140625" style="634" customWidth="1"/>
    <col min="9222" max="9222" width="11.140625" style="634" bestFit="1" customWidth="1"/>
    <col min="9223" max="9223" width="14.42578125" style="634" bestFit="1" customWidth="1"/>
    <col min="9224" max="9224" width="10.5703125" style="634" customWidth="1"/>
    <col min="9225" max="9225" width="12" style="634" bestFit="1" customWidth="1"/>
    <col min="9226" max="9226" width="12.85546875" style="634" bestFit="1" customWidth="1"/>
    <col min="9227" max="9231" width="10.85546875" style="634" bestFit="1" customWidth="1"/>
    <col min="9232" max="9233" width="9.5703125" style="634" bestFit="1" customWidth="1"/>
    <col min="9234" max="9234" width="9.85546875" style="634" bestFit="1" customWidth="1"/>
    <col min="9235" max="9473" width="9.140625" style="634"/>
    <col min="9474" max="9474" width="32.140625" style="634" bestFit="1" customWidth="1"/>
    <col min="9475" max="9475" width="12.85546875" style="634" bestFit="1" customWidth="1"/>
    <col min="9476" max="9477" width="12.140625" style="634" customWidth="1"/>
    <col min="9478" max="9478" width="11.140625" style="634" bestFit="1" customWidth="1"/>
    <col min="9479" max="9479" width="14.42578125" style="634" bestFit="1" customWidth="1"/>
    <col min="9480" max="9480" width="10.5703125" style="634" customWidth="1"/>
    <col min="9481" max="9481" width="12" style="634" bestFit="1" customWidth="1"/>
    <col min="9482" max="9482" width="12.85546875" style="634" bestFit="1" customWidth="1"/>
    <col min="9483" max="9487" width="10.85546875" style="634" bestFit="1" customWidth="1"/>
    <col min="9488" max="9489" width="9.5703125" style="634" bestFit="1" customWidth="1"/>
    <col min="9490" max="9490" width="9.85546875" style="634" bestFit="1" customWidth="1"/>
    <col min="9491" max="9729" width="9.140625" style="634"/>
    <col min="9730" max="9730" width="32.140625" style="634" bestFit="1" customWidth="1"/>
    <col min="9731" max="9731" width="12.85546875" style="634" bestFit="1" customWidth="1"/>
    <col min="9732" max="9733" width="12.140625" style="634" customWidth="1"/>
    <col min="9734" max="9734" width="11.140625" style="634" bestFit="1" customWidth="1"/>
    <col min="9735" max="9735" width="14.42578125" style="634" bestFit="1" customWidth="1"/>
    <col min="9736" max="9736" width="10.5703125" style="634" customWidth="1"/>
    <col min="9737" max="9737" width="12" style="634" bestFit="1" customWidth="1"/>
    <col min="9738" max="9738" width="12.85546875" style="634" bestFit="1" customWidth="1"/>
    <col min="9739" max="9743" width="10.85546875" style="634" bestFit="1" customWidth="1"/>
    <col min="9744" max="9745" width="9.5703125" style="634" bestFit="1" customWidth="1"/>
    <col min="9746" max="9746" width="9.85546875" style="634" bestFit="1" customWidth="1"/>
    <col min="9747" max="9985" width="9.140625" style="634"/>
    <col min="9986" max="9986" width="32.140625" style="634" bestFit="1" customWidth="1"/>
    <col min="9987" max="9987" width="12.85546875" style="634" bestFit="1" customWidth="1"/>
    <col min="9988" max="9989" width="12.140625" style="634" customWidth="1"/>
    <col min="9990" max="9990" width="11.140625" style="634" bestFit="1" customWidth="1"/>
    <col min="9991" max="9991" width="14.42578125" style="634" bestFit="1" customWidth="1"/>
    <col min="9992" max="9992" width="10.5703125" style="634" customWidth="1"/>
    <col min="9993" max="9993" width="12" style="634" bestFit="1" customWidth="1"/>
    <col min="9994" max="9994" width="12.85546875" style="634" bestFit="1" customWidth="1"/>
    <col min="9995" max="9999" width="10.85546875" style="634" bestFit="1" customWidth="1"/>
    <col min="10000" max="10001" width="9.5703125" style="634" bestFit="1" customWidth="1"/>
    <col min="10002" max="10002" width="9.85546875" style="634" bestFit="1" customWidth="1"/>
    <col min="10003" max="10241" width="9.140625" style="634"/>
    <col min="10242" max="10242" width="32.140625" style="634" bestFit="1" customWidth="1"/>
    <col min="10243" max="10243" width="12.85546875" style="634" bestFit="1" customWidth="1"/>
    <col min="10244" max="10245" width="12.140625" style="634" customWidth="1"/>
    <col min="10246" max="10246" width="11.140625" style="634" bestFit="1" customWidth="1"/>
    <col min="10247" max="10247" width="14.42578125" style="634" bestFit="1" customWidth="1"/>
    <col min="10248" max="10248" width="10.5703125" style="634" customWidth="1"/>
    <col min="10249" max="10249" width="12" style="634" bestFit="1" customWidth="1"/>
    <col min="10250" max="10250" width="12.85546875" style="634" bestFit="1" customWidth="1"/>
    <col min="10251" max="10255" width="10.85546875" style="634" bestFit="1" customWidth="1"/>
    <col min="10256" max="10257" width="9.5703125" style="634" bestFit="1" customWidth="1"/>
    <col min="10258" max="10258" width="9.85546875" style="634" bestFit="1" customWidth="1"/>
    <col min="10259" max="10497" width="9.140625" style="634"/>
    <col min="10498" max="10498" width="32.140625" style="634" bestFit="1" customWidth="1"/>
    <col min="10499" max="10499" width="12.85546875" style="634" bestFit="1" customWidth="1"/>
    <col min="10500" max="10501" width="12.140625" style="634" customWidth="1"/>
    <col min="10502" max="10502" width="11.140625" style="634" bestFit="1" customWidth="1"/>
    <col min="10503" max="10503" width="14.42578125" style="634" bestFit="1" customWidth="1"/>
    <col min="10504" max="10504" width="10.5703125" style="634" customWidth="1"/>
    <col min="10505" max="10505" width="12" style="634" bestFit="1" customWidth="1"/>
    <col min="10506" max="10506" width="12.85546875" style="634" bestFit="1" customWidth="1"/>
    <col min="10507" max="10511" width="10.85546875" style="634" bestFit="1" customWidth="1"/>
    <col min="10512" max="10513" width="9.5703125" style="634" bestFit="1" customWidth="1"/>
    <col min="10514" max="10514" width="9.85546875" style="634" bestFit="1" customWidth="1"/>
    <col min="10515" max="10753" width="9.140625" style="634"/>
    <col min="10754" max="10754" width="32.140625" style="634" bestFit="1" customWidth="1"/>
    <col min="10755" max="10755" width="12.85546875" style="634" bestFit="1" customWidth="1"/>
    <col min="10756" max="10757" width="12.140625" style="634" customWidth="1"/>
    <col min="10758" max="10758" width="11.140625" style="634" bestFit="1" customWidth="1"/>
    <col min="10759" max="10759" width="14.42578125" style="634" bestFit="1" customWidth="1"/>
    <col min="10760" max="10760" width="10.5703125" style="634" customWidth="1"/>
    <col min="10761" max="10761" width="12" style="634" bestFit="1" customWidth="1"/>
    <col min="10762" max="10762" width="12.85546875" style="634" bestFit="1" customWidth="1"/>
    <col min="10763" max="10767" width="10.85546875" style="634" bestFit="1" customWidth="1"/>
    <col min="10768" max="10769" width="9.5703125" style="634" bestFit="1" customWidth="1"/>
    <col min="10770" max="10770" width="9.85546875" style="634" bestFit="1" customWidth="1"/>
    <col min="10771" max="11009" width="9.140625" style="634"/>
    <col min="11010" max="11010" width="32.140625" style="634" bestFit="1" customWidth="1"/>
    <col min="11011" max="11011" width="12.85546875" style="634" bestFit="1" customWidth="1"/>
    <col min="11012" max="11013" width="12.140625" style="634" customWidth="1"/>
    <col min="11014" max="11014" width="11.140625" style="634" bestFit="1" customWidth="1"/>
    <col min="11015" max="11015" width="14.42578125" style="634" bestFit="1" customWidth="1"/>
    <col min="11016" max="11016" width="10.5703125" style="634" customWidth="1"/>
    <col min="11017" max="11017" width="12" style="634" bestFit="1" customWidth="1"/>
    <col min="11018" max="11018" width="12.85546875" style="634" bestFit="1" customWidth="1"/>
    <col min="11019" max="11023" width="10.85546875" style="634" bestFit="1" customWidth="1"/>
    <col min="11024" max="11025" width="9.5703125" style="634" bestFit="1" customWidth="1"/>
    <col min="11026" max="11026" width="9.85546875" style="634" bestFit="1" customWidth="1"/>
    <col min="11027" max="11265" width="9.140625" style="634"/>
    <col min="11266" max="11266" width="32.140625" style="634" bestFit="1" customWidth="1"/>
    <col min="11267" max="11267" width="12.85546875" style="634" bestFit="1" customWidth="1"/>
    <col min="11268" max="11269" width="12.140625" style="634" customWidth="1"/>
    <col min="11270" max="11270" width="11.140625" style="634" bestFit="1" customWidth="1"/>
    <col min="11271" max="11271" width="14.42578125" style="634" bestFit="1" customWidth="1"/>
    <col min="11272" max="11272" width="10.5703125" style="634" customWidth="1"/>
    <col min="11273" max="11273" width="12" style="634" bestFit="1" customWidth="1"/>
    <col min="11274" max="11274" width="12.85546875" style="634" bestFit="1" customWidth="1"/>
    <col min="11275" max="11279" width="10.85546875" style="634" bestFit="1" customWidth="1"/>
    <col min="11280" max="11281" width="9.5703125" style="634" bestFit="1" customWidth="1"/>
    <col min="11282" max="11282" width="9.85546875" style="634" bestFit="1" customWidth="1"/>
    <col min="11283" max="11521" width="9.140625" style="634"/>
    <col min="11522" max="11522" width="32.140625" style="634" bestFit="1" customWidth="1"/>
    <col min="11523" max="11523" width="12.85546875" style="634" bestFit="1" customWidth="1"/>
    <col min="11524" max="11525" width="12.140625" style="634" customWidth="1"/>
    <col min="11526" max="11526" width="11.140625" style="634" bestFit="1" customWidth="1"/>
    <col min="11527" max="11527" width="14.42578125" style="634" bestFit="1" customWidth="1"/>
    <col min="11528" max="11528" width="10.5703125" style="634" customWidth="1"/>
    <col min="11529" max="11529" width="12" style="634" bestFit="1" customWidth="1"/>
    <col min="11530" max="11530" width="12.85546875" style="634" bestFit="1" customWidth="1"/>
    <col min="11531" max="11535" width="10.85546875" style="634" bestFit="1" customWidth="1"/>
    <col min="11536" max="11537" width="9.5703125" style="634" bestFit="1" customWidth="1"/>
    <col min="11538" max="11538" width="9.85546875" style="634" bestFit="1" customWidth="1"/>
    <col min="11539" max="11777" width="9.140625" style="634"/>
    <col min="11778" max="11778" width="32.140625" style="634" bestFit="1" customWidth="1"/>
    <col min="11779" max="11779" width="12.85546875" style="634" bestFit="1" customWidth="1"/>
    <col min="11780" max="11781" width="12.140625" style="634" customWidth="1"/>
    <col min="11782" max="11782" width="11.140625" style="634" bestFit="1" customWidth="1"/>
    <col min="11783" max="11783" width="14.42578125" style="634" bestFit="1" customWidth="1"/>
    <col min="11784" max="11784" width="10.5703125" style="634" customWidth="1"/>
    <col min="11785" max="11785" width="12" style="634" bestFit="1" customWidth="1"/>
    <col min="11786" max="11786" width="12.85546875" style="634" bestFit="1" customWidth="1"/>
    <col min="11787" max="11791" width="10.85546875" style="634" bestFit="1" customWidth="1"/>
    <col min="11792" max="11793" width="9.5703125" style="634" bestFit="1" customWidth="1"/>
    <col min="11794" max="11794" width="9.85546875" style="634" bestFit="1" customWidth="1"/>
    <col min="11795" max="12033" width="9.140625" style="634"/>
    <col min="12034" max="12034" width="32.140625" style="634" bestFit="1" customWidth="1"/>
    <col min="12035" max="12035" width="12.85546875" style="634" bestFit="1" customWidth="1"/>
    <col min="12036" max="12037" width="12.140625" style="634" customWidth="1"/>
    <col min="12038" max="12038" width="11.140625" style="634" bestFit="1" customWidth="1"/>
    <col min="12039" max="12039" width="14.42578125" style="634" bestFit="1" customWidth="1"/>
    <col min="12040" max="12040" width="10.5703125" style="634" customWidth="1"/>
    <col min="12041" max="12041" width="12" style="634" bestFit="1" customWidth="1"/>
    <col min="12042" max="12042" width="12.85546875" style="634" bestFit="1" customWidth="1"/>
    <col min="12043" max="12047" width="10.85546875" style="634" bestFit="1" customWidth="1"/>
    <col min="12048" max="12049" width="9.5703125" style="634" bestFit="1" customWidth="1"/>
    <col min="12050" max="12050" width="9.85546875" style="634" bestFit="1" customWidth="1"/>
    <col min="12051" max="12289" width="9.140625" style="634"/>
    <col min="12290" max="12290" width="32.140625" style="634" bestFit="1" customWidth="1"/>
    <col min="12291" max="12291" width="12.85546875" style="634" bestFit="1" customWidth="1"/>
    <col min="12292" max="12293" width="12.140625" style="634" customWidth="1"/>
    <col min="12294" max="12294" width="11.140625" style="634" bestFit="1" customWidth="1"/>
    <col min="12295" max="12295" width="14.42578125" style="634" bestFit="1" customWidth="1"/>
    <col min="12296" max="12296" width="10.5703125" style="634" customWidth="1"/>
    <col min="12297" max="12297" width="12" style="634" bestFit="1" customWidth="1"/>
    <col min="12298" max="12298" width="12.85546875" style="634" bestFit="1" customWidth="1"/>
    <col min="12299" max="12303" width="10.85546875" style="634" bestFit="1" customWidth="1"/>
    <col min="12304" max="12305" width="9.5703125" style="634" bestFit="1" customWidth="1"/>
    <col min="12306" max="12306" width="9.85546875" style="634" bestFit="1" customWidth="1"/>
    <col min="12307" max="12545" width="9.140625" style="634"/>
    <col min="12546" max="12546" width="32.140625" style="634" bestFit="1" customWidth="1"/>
    <col min="12547" max="12547" width="12.85546875" style="634" bestFit="1" customWidth="1"/>
    <col min="12548" max="12549" width="12.140625" style="634" customWidth="1"/>
    <col min="12550" max="12550" width="11.140625" style="634" bestFit="1" customWidth="1"/>
    <col min="12551" max="12551" width="14.42578125" style="634" bestFit="1" customWidth="1"/>
    <col min="12552" max="12552" width="10.5703125" style="634" customWidth="1"/>
    <col min="12553" max="12553" width="12" style="634" bestFit="1" customWidth="1"/>
    <col min="12554" max="12554" width="12.85546875" style="634" bestFit="1" customWidth="1"/>
    <col min="12555" max="12559" width="10.85546875" style="634" bestFit="1" customWidth="1"/>
    <col min="12560" max="12561" width="9.5703125" style="634" bestFit="1" customWidth="1"/>
    <col min="12562" max="12562" width="9.85546875" style="634" bestFit="1" customWidth="1"/>
    <col min="12563" max="12801" width="9.140625" style="634"/>
    <col min="12802" max="12802" width="32.140625" style="634" bestFit="1" customWidth="1"/>
    <col min="12803" max="12803" width="12.85546875" style="634" bestFit="1" customWidth="1"/>
    <col min="12804" max="12805" width="12.140625" style="634" customWidth="1"/>
    <col min="12806" max="12806" width="11.140625" style="634" bestFit="1" customWidth="1"/>
    <col min="12807" max="12807" width="14.42578125" style="634" bestFit="1" customWidth="1"/>
    <col min="12808" max="12808" width="10.5703125" style="634" customWidth="1"/>
    <col min="12809" max="12809" width="12" style="634" bestFit="1" customWidth="1"/>
    <col min="12810" max="12810" width="12.85546875" style="634" bestFit="1" customWidth="1"/>
    <col min="12811" max="12815" width="10.85546875" style="634" bestFit="1" customWidth="1"/>
    <col min="12816" max="12817" width="9.5703125" style="634" bestFit="1" customWidth="1"/>
    <col min="12818" max="12818" width="9.85546875" style="634" bestFit="1" customWidth="1"/>
    <col min="12819" max="13057" width="9.140625" style="634"/>
    <col min="13058" max="13058" width="32.140625" style="634" bestFit="1" customWidth="1"/>
    <col min="13059" max="13059" width="12.85546875" style="634" bestFit="1" customWidth="1"/>
    <col min="13060" max="13061" width="12.140625" style="634" customWidth="1"/>
    <col min="13062" max="13062" width="11.140625" style="634" bestFit="1" customWidth="1"/>
    <col min="13063" max="13063" width="14.42578125" style="634" bestFit="1" customWidth="1"/>
    <col min="13064" max="13064" width="10.5703125" style="634" customWidth="1"/>
    <col min="13065" max="13065" width="12" style="634" bestFit="1" customWidth="1"/>
    <col min="13066" max="13066" width="12.85546875" style="634" bestFit="1" customWidth="1"/>
    <col min="13067" max="13071" width="10.85546875" style="634" bestFit="1" customWidth="1"/>
    <col min="13072" max="13073" width="9.5703125" style="634" bestFit="1" customWidth="1"/>
    <col min="13074" max="13074" width="9.85546875" style="634" bestFit="1" customWidth="1"/>
    <col min="13075" max="13313" width="9.140625" style="634"/>
    <col min="13314" max="13314" width="32.140625" style="634" bestFit="1" customWidth="1"/>
    <col min="13315" max="13315" width="12.85546875" style="634" bestFit="1" customWidth="1"/>
    <col min="13316" max="13317" width="12.140625" style="634" customWidth="1"/>
    <col min="13318" max="13318" width="11.140625" style="634" bestFit="1" customWidth="1"/>
    <col min="13319" max="13319" width="14.42578125" style="634" bestFit="1" customWidth="1"/>
    <col min="13320" max="13320" width="10.5703125" style="634" customWidth="1"/>
    <col min="13321" max="13321" width="12" style="634" bestFit="1" customWidth="1"/>
    <col min="13322" max="13322" width="12.85546875" style="634" bestFit="1" customWidth="1"/>
    <col min="13323" max="13327" width="10.85546875" style="634" bestFit="1" customWidth="1"/>
    <col min="13328" max="13329" width="9.5703125" style="634" bestFit="1" customWidth="1"/>
    <col min="13330" max="13330" width="9.85546875" style="634" bestFit="1" customWidth="1"/>
    <col min="13331" max="13569" width="9.140625" style="634"/>
    <col min="13570" max="13570" width="32.140625" style="634" bestFit="1" customWidth="1"/>
    <col min="13571" max="13571" width="12.85546875" style="634" bestFit="1" customWidth="1"/>
    <col min="13572" max="13573" width="12.140625" style="634" customWidth="1"/>
    <col min="13574" max="13574" width="11.140625" style="634" bestFit="1" customWidth="1"/>
    <col min="13575" max="13575" width="14.42578125" style="634" bestFit="1" customWidth="1"/>
    <col min="13576" max="13576" width="10.5703125" style="634" customWidth="1"/>
    <col min="13577" max="13577" width="12" style="634" bestFit="1" customWidth="1"/>
    <col min="13578" max="13578" width="12.85546875" style="634" bestFit="1" customWidth="1"/>
    <col min="13579" max="13583" width="10.85546875" style="634" bestFit="1" customWidth="1"/>
    <col min="13584" max="13585" width="9.5703125" style="634" bestFit="1" customWidth="1"/>
    <col min="13586" max="13586" width="9.85546875" style="634" bestFit="1" customWidth="1"/>
    <col min="13587" max="13825" width="9.140625" style="634"/>
    <col min="13826" max="13826" width="32.140625" style="634" bestFit="1" customWidth="1"/>
    <col min="13827" max="13827" width="12.85546875" style="634" bestFit="1" customWidth="1"/>
    <col min="13828" max="13829" width="12.140625" style="634" customWidth="1"/>
    <col min="13830" max="13830" width="11.140625" style="634" bestFit="1" customWidth="1"/>
    <col min="13831" max="13831" width="14.42578125" style="634" bestFit="1" customWidth="1"/>
    <col min="13832" max="13832" width="10.5703125" style="634" customWidth="1"/>
    <col min="13833" max="13833" width="12" style="634" bestFit="1" customWidth="1"/>
    <col min="13834" max="13834" width="12.85546875" style="634" bestFit="1" customWidth="1"/>
    <col min="13835" max="13839" width="10.85546875" style="634" bestFit="1" customWidth="1"/>
    <col min="13840" max="13841" width="9.5703125" style="634" bestFit="1" customWidth="1"/>
    <col min="13842" max="13842" width="9.85546875" style="634" bestFit="1" customWidth="1"/>
    <col min="13843" max="14081" width="9.140625" style="634"/>
    <col min="14082" max="14082" width="32.140625" style="634" bestFit="1" customWidth="1"/>
    <col min="14083" max="14083" width="12.85546875" style="634" bestFit="1" customWidth="1"/>
    <col min="14084" max="14085" width="12.140625" style="634" customWidth="1"/>
    <col min="14086" max="14086" width="11.140625" style="634" bestFit="1" customWidth="1"/>
    <col min="14087" max="14087" width="14.42578125" style="634" bestFit="1" customWidth="1"/>
    <col min="14088" max="14088" width="10.5703125" style="634" customWidth="1"/>
    <col min="14089" max="14089" width="12" style="634" bestFit="1" customWidth="1"/>
    <col min="14090" max="14090" width="12.85546875" style="634" bestFit="1" customWidth="1"/>
    <col min="14091" max="14095" width="10.85546875" style="634" bestFit="1" customWidth="1"/>
    <col min="14096" max="14097" width="9.5703125" style="634" bestFit="1" customWidth="1"/>
    <col min="14098" max="14098" width="9.85546875" style="634" bestFit="1" customWidth="1"/>
    <col min="14099" max="14337" width="9.140625" style="634"/>
    <col min="14338" max="14338" width="32.140625" style="634" bestFit="1" customWidth="1"/>
    <col min="14339" max="14339" width="12.85546875" style="634" bestFit="1" customWidth="1"/>
    <col min="14340" max="14341" width="12.140625" style="634" customWidth="1"/>
    <col min="14342" max="14342" width="11.140625" style="634" bestFit="1" customWidth="1"/>
    <col min="14343" max="14343" width="14.42578125" style="634" bestFit="1" customWidth="1"/>
    <col min="14344" max="14344" width="10.5703125" style="634" customWidth="1"/>
    <col min="14345" max="14345" width="12" style="634" bestFit="1" customWidth="1"/>
    <col min="14346" max="14346" width="12.85546875" style="634" bestFit="1" customWidth="1"/>
    <col min="14347" max="14351" width="10.85546875" style="634" bestFit="1" customWidth="1"/>
    <col min="14352" max="14353" width="9.5703125" style="634" bestFit="1" customWidth="1"/>
    <col min="14354" max="14354" width="9.85546875" style="634" bestFit="1" customWidth="1"/>
    <col min="14355" max="14593" width="9.140625" style="634"/>
    <col min="14594" max="14594" width="32.140625" style="634" bestFit="1" customWidth="1"/>
    <col min="14595" max="14595" width="12.85546875" style="634" bestFit="1" customWidth="1"/>
    <col min="14596" max="14597" width="12.140625" style="634" customWidth="1"/>
    <col min="14598" max="14598" width="11.140625" style="634" bestFit="1" customWidth="1"/>
    <col min="14599" max="14599" width="14.42578125" style="634" bestFit="1" customWidth="1"/>
    <col min="14600" max="14600" width="10.5703125" style="634" customWidth="1"/>
    <col min="14601" max="14601" width="12" style="634" bestFit="1" customWidth="1"/>
    <col min="14602" max="14602" width="12.85546875" style="634" bestFit="1" customWidth="1"/>
    <col min="14603" max="14607" width="10.85546875" style="634" bestFit="1" customWidth="1"/>
    <col min="14608" max="14609" width="9.5703125" style="634" bestFit="1" customWidth="1"/>
    <col min="14610" max="14610" width="9.85546875" style="634" bestFit="1" customWidth="1"/>
    <col min="14611" max="14849" width="9.140625" style="634"/>
    <col min="14850" max="14850" width="32.140625" style="634" bestFit="1" customWidth="1"/>
    <col min="14851" max="14851" width="12.85546875" style="634" bestFit="1" customWidth="1"/>
    <col min="14852" max="14853" width="12.140625" style="634" customWidth="1"/>
    <col min="14854" max="14854" width="11.140625" style="634" bestFit="1" customWidth="1"/>
    <col min="14855" max="14855" width="14.42578125" style="634" bestFit="1" customWidth="1"/>
    <col min="14856" max="14856" width="10.5703125" style="634" customWidth="1"/>
    <col min="14857" max="14857" width="12" style="634" bestFit="1" customWidth="1"/>
    <col min="14858" max="14858" width="12.85546875" style="634" bestFit="1" customWidth="1"/>
    <col min="14859" max="14863" width="10.85546875" style="634" bestFit="1" customWidth="1"/>
    <col min="14864" max="14865" width="9.5703125" style="634" bestFit="1" customWidth="1"/>
    <col min="14866" max="14866" width="9.85546875" style="634" bestFit="1" customWidth="1"/>
    <col min="14867" max="15105" width="9.140625" style="634"/>
    <col min="15106" max="15106" width="32.140625" style="634" bestFit="1" customWidth="1"/>
    <col min="15107" max="15107" width="12.85546875" style="634" bestFit="1" customWidth="1"/>
    <col min="15108" max="15109" width="12.140625" style="634" customWidth="1"/>
    <col min="15110" max="15110" width="11.140625" style="634" bestFit="1" customWidth="1"/>
    <col min="15111" max="15111" width="14.42578125" style="634" bestFit="1" customWidth="1"/>
    <col min="15112" max="15112" width="10.5703125" style="634" customWidth="1"/>
    <col min="15113" max="15113" width="12" style="634" bestFit="1" customWidth="1"/>
    <col min="15114" max="15114" width="12.85546875" style="634" bestFit="1" customWidth="1"/>
    <col min="15115" max="15119" width="10.85546875" style="634" bestFit="1" customWidth="1"/>
    <col min="15120" max="15121" width="9.5703125" style="634" bestFit="1" customWidth="1"/>
    <col min="15122" max="15122" width="9.85546875" style="634" bestFit="1" customWidth="1"/>
    <col min="15123" max="15361" width="9.140625" style="634"/>
    <col min="15362" max="15362" width="32.140625" style="634" bestFit="1" customWidth="1"/>
    <col min="15363" max="15363" width="12.85546875" style="634" bestFit="1" customWidth="1"/>
    <col min="15364" max="15365" width="12.140625" style="634" customWidth="1"/>
    <col min="15366" max="15366" width="11.140625" style="634" bestFit="1" customWidth="1"/>
    <col min="15367" max="15367" width="14.42578125" style="634" bestFit="1" customWidth="1"/>
    <col min="15368" max="15368" width="10.5703125" style="634" customWidth="1"/>
    <col min="15369" max="15369" width="12" style="634" bestFit="1" customWidth="1"/>
    <col min="15370" max="15370" width="12.85546875" style="634" bestFit="1" customWidth="1"/>
    <col min="15371" max="15375" width="10.85546875" style="634" bestFit="1" customWidth="1"/>
    <col min="15376" max="15377" width="9.5703125" style="634" bestFit="1" customWidth="1"/>
    <col min="15378" max="15378" width="9.85546875" style="634" bestFit="1" customWidth="1"/>
    <col min="15379" max="15617" width="9.140625" style="634"/>
    <col min="15618" max="15618" width="32.140625" style="634" bestFit="1" customWidth="1"/>
    <col min="15619" max="15619" width="12.85546875" style="634" bestFit="1" customWidth="1"/>
    <col min="15620" max="15621" width="12.140625" style="634" customWidth="1"/>
    <col min="15622" max="15622" width="11.140625" style="634" bestFit="1" customWidth="1"/>
    <col min="15623" max="15623" width="14.42578125" style="634" bestFit="1" customWidth="1"/>
    <col min="15624" max="15624" width="10.5703125" style="634" customWidth="1"/>
    <col min="15625" max="15625" width="12" style="634" bestFit="1" customWidth="1"/>
    <col min="15626" max="15626" width="12.85546875" style="634" bestFit="1" customWidth="1"/>
    <col min="15627" max="15631" width="10.85546875" style="634" bestFit="1" customWidth="1"/>
    <col min="15632" max="15633" width="9.5703125" style="634" bestFit="1" customWidth="1"/>
    <col min="15634" max="15634" width="9.85546875" style="634" bestFit="1" customWidth="1"/>
    <col min="15635" max="15873" width="9.140625" style="634"/>
    <col min="15874" max="15874" width="32.140625" style="634" bestFit="1" customWidth="1"/>
    <col min="15875" max="15875" width="12.85546875" style="634" bestFit="1" customWidth="1"/>
    <col min="15876" max="15877" width="12.140625" style="634" customWidth="1"/>
    <col min="15878" max="15878" width="11.140625" style="634" bestFit="1" customWidth="1"/>
    <col min="15879" max="15879" width="14.42578125" style="634" bestFit="1" customWidth="1"/>
    <col min="15880" max="15880" width="10.5703125" style="634" customWidth="1"/>
    <col min="15881" max="15881" width="12" style="634" bestFit="1" customWidth="1"/>
    <col min="15882" max="15882" width="12.85546875" style="634" bestFit="1" customWidth="1"/>
    <col min="15883" max="15887" width="10.85546875" style="634" bestFit="1" customWidth="1"/>
    <col min="15888" max="15889" width="9.5703125" style="634" bestFit="1" customWidth="1"/>
    <col min="15890" max="15890" width="9.85546875" style="634" bestFit="1" customWidth="1"/>
    <col min="15891" max="16129" width="9.140625" style="634"/>
    <col min="16130" max="16130" width="32.140625" style="634" bestFit="1" customWidth="1"/>
    <col min="16131" max="16131" width="12.85546875" style="634" bestFit="1" customWidth="1"/>
    <col min="16132" max="16133" width="12.140625" style="634" customWidth="1"/>
    <col min="16134" max="16134" width="11.140625" style="634" bestFit="1" customWidth="1"/>
    <col min="16135" max="16135" width="14.42578125" style="634" bestFit="1" customWidth="1"/>
    <col min="16136" max="16136" width="10.5703125" style="634" customWidth="1"/>
    <col min="16137" max="16137" width="12" style="634" bestFit="1" customWidth="1"/>
    <col min="16138" max="16138" width="12.85546875" style="634" bestFit="1" customWidth="1"/>
    <col min="16139" max="16143" width="10.85546875" style="634" bestFit="1" customWidth="1"/>
    <col min="16144" max="16145" width="9.5703125" style="634" bestFit="1" customWidth="1"/>
    <col min="16146" max="16146" width="9.85546875" style="634" bestFit="1" customWidth="1"/>
    <col min="16147" max="16384" width="9.140625" style="634"/>
  </cols>
  <sheetData>
    <row r="1" spans="1:18" ht="15.75" customHeight="1" thickBot="1">
      <c r="A1" s="633"/>
      <c r="B1" s="633" t="s">
        <v>746</v>
      </c>
      <c r="E1" s="634" t="s">
        <v>747</v>
      </c>
      <c r="F1" s="636">
        <v>0.25</v>
      </c>
      <c r="G1" s="633"/>
    </row>
    <row r="2" spans="1:18">
      <c r="A2" s="633"/>
      <c r="B2" s="637" t="s">
        <v>748</v>
      </c>
      <c r="C2" s="638"/>
      <c r="D2" s="638"/>
      <c r="E2" s="639">
        <f>SUM(E3:E5)</f>
        <v>636900</v>
      </c>
    </row>
    <row r="3" spans="1:18">
      <c r="A3" s="633"/>
      <c r="B3" s="641" t="s">
        <v>678</v>
      </c>
      <c r="C3" s="642"/>
      <c r="D3" s="642"/>
      <c r="E3" s="643">
        <f>SUM(E27:E28)</f>
        <v>120000</v>
      </c>
      <c r="G3" s="633"/>
    </row>
    <row r="4" spans="1:18">
      <c r="A4" s="633"/>
      <c r="B4" s="641" t="s">
        <v>749</v>
      </c>
      <c r="C4" s="642"/>
      <c r="D4" s="642"/>
      <c r="E4" s="643">
        <f>E29+E30</f>
        <v>14700</v>
      </c>
      <c r="G4" s="633"/>
    </row>
    <row r="5" spans="1:18">
      <c r="A5" s="633"/>
      <c r="B5" s="641" t="s">
        <v>750</v>
      </c>
      <c r="C5" s="642"/>
      <c r="D5" s="642"/>
      <c r="E5" s="643">
        <f>D45*D51+D77*D83++D103*D109+D132*D141</f>
        <v>502200</v>
      </c>
      <c r="G5" s="633"/>
    </row>
    <row r="6" spans="1:18" ht="12" thickBot="1">
      <c r="A6" s="633"/>
      <c r="B6" s="644" t="s">
        <v>751</v>
      </c>
      <c r="C6" s="645"/>
      <c r="D6" s="646"/>
      <c r="E6" s="647">
        <v>2018</v>
      </c>
      <c r="G6" s="633"/>
    </row>
    <row r="7" spans="1:18">
      <c r="A7" s="633"/>
      <c r="G7" s="633"/>
    </row>
    <row r="8" spans="1:18" ht="12" thickBot="1">
      <c r="A8" s="633"/>
      <c r="B8" s="633" t="s">
        <v>752</v>
      </c>
      <c r="G8" s="633"/>
    </row>
    <row r="9" spans="1:18" ht="12" thickBot="1">
      <c r="A9" s="633"/>
      <c r="B9" s="633" t="s">
        <v>636</v>
      </c>
      <c r="C9" s="648">
        <v>1</v>
      </c>
      <c r="G9" s="633"/>
    </row>
    <row r="10" spans="1:18" ht="12" thickBot="1">
      <c r="A10" s="633"/>
      <c r="B10" s="649" t="s">
        <v>753</v>
      </c>
      <c r="C10" s="650">
        <v>0.02</v>
      </c>
      <c r="D10" s="633"/>
      <c r="E10" s="651"/>
    </row>
    <row r="11" spans="1:18" ht="12" thickBot="1">
      <c r="A11" s="633"/>
      <c r="B11" s="652" t="s">
        <v>754</v>
      </c>
      <c r="D11" s="634"/>
      <c r="E11" s="636"/>
    </row>
    <row r="12" spans="1:18" ht="12" thickBot="1">
      <c r="A12" s="633"/>
      <c r="B12" s="633" t="s">
        <v>755</v>
      </c>
      <c r="C12" s="653">
        <v>2027</v>
      </c>
      <c r="D12" s="634"/>
      <c r="E12" s="651"/>
    </row>
    <row r="13" spans="1:18" ht="12" thickBot="1">
      <c r="A13" s="633"/>
      <c r="C13" s="654"/>
      <c r="D13" s="634"/>
      <c r="E13" s="655">
        <v>2013</v>
      </c>
      <c r="F13" s="655">
        <f>E13+1</f>
        <v>2014</v>
      </c>
      <c r="G13" s="655">
        <f t="shared" ref="G13:R13" si="0">F13+1</f>
        <v>2015</v>
      </c>
      <c r="H13" s="655">
        <f t="shared" si="0"/>
        <v>2016</v>
      </c>
      <c r="I13" s="655">
        <f t="shared" si="0"/>
        <v>2017</v>
      </c>
      <c r="J13" s="655">
        <f t="shared" si="0"/>
        <v>2018</v>
      </c>
      <c r="K13" s="655">
        <f t="shared" si="0"/>
        <v>2019</v>
      </c>
      <c r="L13" s="655">
        <f t="shared" si="0"/>
        <v>2020</v>
      </c>
      <c r="M13" s="655">
        <f t="shared" si="0"/>
        <v>2021</v>
      </c>
      <c r="N13" s="655">
        <f t="shared" si="0"/>
        <v>2022</v>
      </c>
      <c r="O13" s="655">
        <f t="shared" si="0"/>
        <v>2023</v>
      </c>
      <c r="P13" s="655">
        <f t="shared" si="0"/>
        <v>2024</v>
      </c>
      <c r="Q13" s="655">
        <f t="shared" si="0"/>
        <v>2025</v>
      </c>
      <c r="R13" s="655">
        <f t="shared" si="0"/>
        <v>2026</v>
      </c>
    </row>
    <row r="14" spans="1:18">
      <c r="A14" s="633"/>
      <c r="C14" s="654"/>
      <c r="D14" s="656" t="s">
        <v>756</v>
      </c>
      <c r="E14" s="657">
        <f>1-E19</f>
        <v>0.8</v>
      </c>
      <c r="F14" s="657">
        <f t="shared" ref="F14:R14" si="1">1-F19</f>
        <v>0.8</v>
      </c>
      <c r="G14" s="657">
        <f t="shared" si="1"/>
        <v>0.75</v>
      </c>
      <c r="H14" s="657">
        <f t="shared" si="1"/>
        <v>0.75</v>
      </c>
      <c r="I14" s="657">
        <f t="shared" si="1"/>
        <v>0.75</v>
      </c>
      <c r="J14" s="657">
        <f t="shared" si="1"/>
        <v>0.75</v>
      </c>
      <c r="K14" s="657">
        <f t="shared" si="1"/>
        <v>0.75</v>
      </c>
      <c r="L14" s="657">
        <f t="shared" si="1"/>
        <v>0.75</v>
      </c>
      <c r="M14" s="657">
        <f t="shared" si="1"/>
        <v>0.75</v>
      </c>
      <c r="N14" s="657">
        <f t="shared" si="1"/>
        <v>0.75</v>
      </c>
      <c r="O14" s="657">
        <f t="shared" si="1"/>
        <v>0.75</v>
      </c>
      <c r="P14" s="657">
        <f t="shared" si="1"/>
        <v>0.75</v>
      </c>
      <c r="Q14" s="657">
        <f t="shared" si="1"/>
        <v>0.75</v>
      </c>
      <c r="R14" s="657">
        <f t="shared" si="1"/>
        <v>0.75</v>
      </c>
    </row>
    <row r="15" spans="1:18">
      <c r="A15" s="633"/>
      <c r="C15" s="654"/>
      <c r="D15" s="641" t="s">
        <v>610</v>
      </c>
      <c r="E15" s="659">
        <v>1.61</v>
      </c>
      <c r="F15" s="802">
        <v>1.6</v>
      </c>
      <c r="G15" s="802">
        <f t="shared" ref="G15:R15" si="2">F15</f>
        <v>1.6</v>
      </c>
      <c r="H15" s="802">
        <f t="shared" si="2"/>
        <v>1.6</v>
      </c>
      <c r="I15" s="802">
        <f t="shared" si="2"/>
        <v>1.6</v>
      </c>
      <c r="J15" s="802">
        <f t="shared" si="2"/>
        <v>1.6</v>
      </c>
      <c r="K15" s="802">
        <f t="shared" si="2"/>
        <v>1.6</v>
      </c>
      <c r="L15" s="802">
        <f t="shared" si="2"/>
        <v>1.6</v>
      </c>
      <c r="M15" s="802">
        <f t="shared" si="2"/>
        <v>1.6</v>
      </c>
      <c r="N15" s="659">
        <f t="shared" si="2"/>
        <v>1.6</v>
      </c>
      <c r="O15" s="659">
        <f t="shared" si="2"/>
        <v>1.6</v>
      </c>
      <c r="P15" s="659">
        <f t="shared" si="2"/>
        <v>1.6</v>
      </c>
      <c r="Q15" s="659">
        <f t="shared" si="2"/>
        <v>1.6</v>
      </c>
      <c r="R15" s="659">
        <f t="shared" si="2"/>
        <v>1.6</v>
      </c>
    </row>
    <row r="16" spans="1:18">
      <c r="A16" s="633"/>
      <c r="C16" s="654"/>
      <c r="D16" s="641" t="s">
        <v>757</v>
      </c>
      <c r="E16" s="660">
        <v>8.3000000000000004E-2</v>
      </c>
      <c r="F16" s="803">
        <v>5.5E-2</v>
      </c>
      <c r="G16" s="803">
        <v>5.5E-2</v>
      </c>
      <c r="H16" s="803">
        <v>5.5E-2</v>
      </c>
      <c r="I16" s="803">
        <v>5.5E-2</v>
      </c>
      <c r="J16" s="803">
        <v>5.5E-2</v>
      </c>
      <c r="K16" s="803">
        <v>5.5E-2</v>
      </c>
      <c r="L16" s="803">
        <v>5.5E-2</v>
      </c>
      <c r="M16" s="803">
        <v>5.5E-2</v>
      </c>
      <c r="N16" s="803">
        <v>5.5E-2</v>
      </c>
      <c r="O16" s="803">
        <v>5.5E-2</v>
      </c>
      <c r="P16" s="803">
        <v>5.5E-2</v>
      </c>
      <c r="Q16" s="803">
        <v>5.5E-2</v>
      </c>
      <c r="R16" s="803">
        <v>5.5E-2</v>
      </c>
    </row>
    <row r="17" spans="1:28">
      <c r="A17" s="633"/>
      <c r="C17" s="654"/>
      <c r="D17" s="641" t="s">
        <v>609</v>
      </c>
      <c r="E17" s="661">
        <v>0.08</v>
      </c>
      <c r="F17" s="803">
        <v>7.0000000000000007E-2</v>
      </c>
      <c r="G17" s="803">
        <v>7.0000000000000007E-2</v>
      </c>
      <c r="H17" s="803">
        <v>7.0000000000000007E-2</v>
      </c>
      <c r="I17" s="803">
        <v>7.0000000000000007E-2</v>
      </c>
      <c r="J17" s="803">
        <v>7.0000000000000007E-2</v>
      </c>
      <c r="K17" s="803">
        <v>7.0000000000000007E-2</v>
      </c>
      <c r="L17" s="803">
        <v>7.0000000000000007E-2</v>
      </c>
      <c r="M17" s="803">
        <v>7.0000000000000007E-2</v>
      </c>
      <c r="N17" s="662">
        <v>7.0000000000000007E-2</v>
      </c>
      <c r="O17" s="662">
        <v>7.0000000000000007E-2</v>
      </c>
      <c r="P17" s="662">
        <v>7.0000000000000007E-2</v>
      </c>
      <c r="Q17" s="662">
        <v>7.0000000000000007E-2</v>
      </c>
      <c r="R17" s="663">
        <v>7.0000000000000007E-2</v>
      </c>
    </row>
    <row r="18" spans="1:28">
      <c r="A18" s="633"/>
      <c r="C18" s="654"/>
      <c r="D18" s="641" t="s">
        <v>758</v>
      </c>
      <c r="E18" s="660">
        <f>E15*E17+E16</f>
        <v>0.21179999999999999</v>
      </c>
      <c r="F18" s="660">
        <f t="shared" ref="F18:R18" si="3">F15*F17+F16</f>
        <v>0.16700000000000001</v>
      </c>
      <c r="G18" s="660">
        <f t="shared" si="3"/>
        <v>0.16700000000000001</v>
      </c>
      <c r="H18" s="660">
        <f t="shared" si="3"/>
        <v>0.16700000000000001</v>
      </c>
      <c r="I18" s="660">
        <f t="shared" si="3"/>
        <v>0.16700000000000001</v>
      </c>
      <c r="J18" s="660">
        <f t="shared" si="3"/>
        <v>0.16700000000000001</v>
      </c>
      <c r="K18" s="660">
        <f t="shared" si="3"/>
        <v>0.16700000000000001</v>
      </c>
      <c r="L18" s="660">
        <f t="shared" si="3"/>
        <v>0.16700000000000001</v>
      </c>
      <c r="M18" s="660">
        <f t="shared" si="3"/>
        <v>0.16700000000000001</v>
      </c>
      <c r="N18" s="660">
        <f t="shared" si="3"/>
        <v>0.16700000000000001</v>
      </c>
      <c r="O18" s="660">
        <f t="shared" si="3"/>
        <v>0.16700000000000001</v>
      </c>
      <c r="P18" s="660">
        <f t="shared" si="3"/>
        <v>0.16700000000000001</v>
      </c>
      <c r="Q18" s="660">
        <f t="shared" si="3"/>
        <v>0.16700000000000001</v>
      </c>
      <c r="R18" s="660">
        <f t="shared" si="3"/>
        <v>0.16700000000000001</v>
      </c>
    </row>
    <row r="19" spans="1:28">
      <c r="A19" s="633"/>
      <c r="C19" s="654"/>
      <c r="D19" s="641" t="s">
        <v>759</v>
      </c>
      <c r="E19" s="661">
        <v>0.2</v>
      </c>
      <c r="F19" s="661">
        <v>0.2</v>
      </c>
      <c r="G19" s="661">
        <f>F1</f>
        <v>0.25</v>
      </c>
      <c r="H19" s="661">
        <f t="shared" ref="H19:R20" si="4">G19</f>
        <v>0.25</v>
      </c>
      <c r="I19" s="661">
        <f t="shared" si="4"/>
        <v>0.25</v>
      </c>
      <c r="J19" s="661">
        <f t="shared" si="4"/>
        <v>0.25</v>
      </c>
      <c r="K19" s="661">
        <f t="shared" si="4"/>
        <v>0.25</v>
      </c>
      <c r="L19" s="661">
        <f t="shared" si="4"/>
        <v>0.25</v>
      </c>
      <c r="M19" s="661">
        <f t="shared" si="4"/>
        <v>0.25</v>
      </c>
      <c r="N19" s="661">
        <f t="shared" si="4"/>
        <v>0.25</v>
      </c>
      <c r="O19" s="661">
        <f t="shared" si="4"/>
        <v>0.25</v>
      </c>
      <c r="P19" s="661">
        <f t="shared" si="4"/>
        <v>0.25</v>
      </c>
      <c r="Q19" s="661">
        <f t="shared" si="4"/>
        <v>0.25</v>
      </c>
      <c r="R19" s="661">
        <f t="shared" si="4"/>
        <v>0.25</v>
      </c>
    </row>
    <row r="20" spans="1:28">
      <c r="A20" s="633"/>
      <c r="C20" s="654"/>
      <c r="D20" s="641" t="s">
        <v>760</v>
      </c>
      <c r="E20" s="661">
        <v>0.14000000000000001</v>
      </c>
      <c r="F20" s="662">
        <v>0.12</v>
      </c>
      <c r="G20" s="662">
        <f>F20-1%</f>
        <v>0.11</v>
      </c>
      <c r="H20" s="662">
        <f>G20-1%</f>
        <v>0.1</v>
      </c>
      <c r="I20" s="662">
        <f>H20-1%</f>
        <v>9.0000000000000011E-2</v>
      </c>
      <c r="J20" s="662">
        <f>I20</f>
        <v>9.0000000000000011E-2</v>
      </c>
      <c r="K20" s="662">
        <f t="shared" si="4"/>
        <v>9.0000000000000011E-2</v>
      </c>
      <c r="L20" s="662">
        <f t="shared" si="4"/>
        <v>9.0000000000000011E-2</v>
      </c>
      <c r="M20" s="662">
        <f t="shared" si="4"/>
        <v>9.0000000000000011E-2</v>
      </c>
      <c r="N20" s="662">
        <f t="shared" si="4"/>
        <v>9.0000000000000011E-2</v>
      </c>
      <c r="O20" s="662">
        <f t="shared" si="4"/>
        <v>9.0000000000000011E-2</v>
      </c>
      <c r="P20" s="662">
        <f t="shared" si="4"/>
        <v>9.0000000000000011E-2</v>
      </c>
      <c r="Q20" s="662">
        <f t="shared" si="4"/>
        <v>9.0000000000000011E-2</v>
      </c>
      <c r="R20" s="662">
        <f t="shared" si="4"/>
        <v>9.0000000000000011E-2</v>
      </c>
    </row>
    <row r="21" spans="1:28" ht="12" thickBot="1">
      <c r="A21" s="633"/>
      <c r="C21" s="654"/>
      <c r="D21" s="644" t="s">
        <v>14</v>
      </c>
      <c r="E21" s="664">
        <f>E14*E18+(1-0.22)*E19*E20</f>
        <v>0.19128000000000001</v>
      </c>
      <c r="F21" s="664">
        <f t="shared" ref="F21:R21" si="5">F14*F18+(1-0.22)*F19*F20</f>
        <v>0.15232000000000004</v>
      </c>
      <c r="G21" s="664">
        <f t="shared" si="5"/>
        <v>0.1467</v>
      </c>
      <c r="H21" s="664">
        <f t="shared" si="5"/>
        <v>0.14474999999999999</v>
      </c>
      <c r="I21" s="664">
        <f t="shared" si="5"/>
        <v>0.14280000000000001</v>
      </c>
      <c r="J21" s="664">
        <f t="shared" si="5"/>
        <v>0.14280000000000001</v>
      </c>
      <c r="K21" s="664">
        <f t="shared" si="5"/>
        <v>0.14280000000000001</v>
      </c>
      <c r="L21" s="664">
        <f t="shared" si="5"/>
        <v>0.14280000000000001</v>
      </c>
      <c r="M21" s="664">
        <f t="shared" si="5"/>
        <v>0.14280000000000001</v>
      </c>
      <c r="N21" s="664">
        <f t="shared" si="5"/>
        <v>0.14280000000000001</v>
      </c>
      <c r="O21" s="664">
        <f t="shared" si="5"/>
        <v>0.14280000000000001</v>
      </c>
      <c r="P21" s="664">
        <f t="shared" si="5"/>
        <v>0.14280000000000001</v>
      </c>
      <c r="Q21" s="664">
        <f t="shared" si="5"/>
        <v>0.14280000000000001</v>
      </c>
      <c r="R21" s="664">
        <f t="shared" si="5"/>
        <v>0.14280000000000001</v>
      </c>
    </row>
    <row r="22" spans="1:28">
      <c r="A22" s="633"/>
      <c r="G22" s="633"/>
    </row>
    <row r="23" spans="1:28" s="633" customFormat="1">
      <c r="B23" s="633" t="s">
        <v>761</v>
      </c>
      <c r="D23" s="665"/>
    </row>
    <row r="24" spans="1:28" s="666" customFormat="1">
      <c r="A24" s="666" t="s">
        <v>762</v>
      </c>
      <c r="B24" s="666" t="s">
        <v>763</v>
      </c>
      <c r="AB24" s="667"/>
    </row>
    <row r="25" spans="1:28" s="633" customFormat="1" ht="12" thickBot="1">
      <c r="C25" s="668" t="s">
        <v>764</v>
      </c>
      <c r="D25" s="669"/>
      <c r="E25" s="668" t="s">
        <v>765</v>
      </c>
      <c r="AB25" s="670"/>
    </row>
    <row r="26" spans="1:28" ht="12" thickBot="1">
      <c r="B26" s="634" t="s">
        <v>766</v>
      </c>
      <c r="C26" s="634" t="s">
        <v>767</v>
      </c>
      <c r="D26" s="671">
        <v>9800</v>
      </c>
      <c r="K26" s="672"/>
      <c r="AB26" s="673"/>
    </row>
    <row r="27" spans="1:28" ht="12" thickBot="1">
      <c r="B27" s="634" t="s">
        <v>768</v>
      </c>
      <c r="C27" s="634" t="s">
        <v>769</v>
      </c>
      <c r="D27" s="674">
        <f>E27/D26</f>
        <v>12.244897959183673</v>
      </c>
      <c r="E27" s="675">
        <v>120000</v>
      </c>
      <c r="F27" s="676"/>
      <c r="G27" s="676"/>
      <c r="AB27" s="673"/>
    </row>
    <row r="28" spans="1:28" ht="12" thickBot="1">
      <c r="B28" s="634" t="s">
        <v>770</v>
      </c>
      <c r="C28" s="634" t="s">
        <v>769</v>
      </c>
      <c r="D28" s="674">
        <v>0</v>
      </c>
      <c r="E28" s="675">
        <f>D28*D26</f>
        <v>0</v>
      </c>
      <c r="F28" s="723"/>
      <c r="AB28" s="673"/>
    </row>
    <row r="29" spans="1:28" ht="12" thickBot="1">
      <c r="B29" s="634" t="s">
        <v>771</v>
      </c>
      <c r="C29" s="634" t="s">
        <v>769</v>
      </c>
      <c r="D29" s="674">
        <v>0.6</v>
      </c>
      <c r="E29" s="675">
        <f>D26*D29</f>
        <v>5880</v>
      </c>
      <c r="AB29" s="673"/>
    </row>
    <row r="30" spans="1:28" ht="12" thickBot="1">
      <c r="B30" s="634" t="s">
        <v>772</v>
      </c>
      <c r="C30" s="634" t="s">
        <v>769</v>
      </c>
      <c r="D30" s="674">
        <v>0.9</v>
      </c>
      <c r="E30" s="675">
        <f>D30*D26</f>
        <v>8820</v>
      </c>
      <c r="AB30" s="673"/>
    </row>
    <row r="31" spans="1:28">
      <c r="D31" s="634"/>
      <c r="H31" s="654"/>
      <c r="AB31" s="673"/>
    </row>
    <row r="32" spans="1:28">
      <c r="B32" s="677" t="s">
        <v>773</v>
      </c>
      <c r="C32" s="678" t="s">
        <v>642</v>
      </c>
      <c r="D32" s="678" t="s">
        <v>774</v>
      </c>
      <c r="E32" s="677">
        <v>2014</v>
      </c>
      <c r="F32" s="677">
        <f>E32+1</f>
        <v>2015</v>
      </c>
      <c r="G32" s="677">
        <f t="shared" ref="G32:R32" si="6">F32+1</f>
        <v>2016</v>
      </c>
      <c r="H32" s="677">
        <f t="shared" si="6"/>
        <v>2017</v>
      </c>
      <c r="I32" s="677">
        <f t="shared" si="6"/>
        <v>2018</v>
      </c>
      <c r="J32" s="677">
        <f t="shared" si="6"/>
        <v>2019</v>
      </c>
      <c r="K32" s="677">
        <f t="shared" si="6"/>
        <v>2020</v>
      </c>
      <c r="L32" s="677">
        <f t="shared" si="6"/>
        <v>2021</v>
      </c>
      <c r="M32" s="677">
        <f t="shared" si="6"/>
        <v>2022</v>
      </c>
      <c r="N32" s="677">
        <f t="shared" si="6"/>
        <v>2023</v>
      </c>
      <c r="O32" s="677">
        <f t="shared" si="6"/>
        <v>2024</v>
      </c>
      <c r="P32" s="677">
        <f t="shared" si="6"/>
        <v>2025</v>
      </c>
      <c r="Q32" s="677">
        <f t="shared" si="6"/>
        <v>2026</v>
      </c>
      <c r="R32" s="677">
        <f t="shared" si="6"/>
        <v>2027</v>
      </c>
      <c r="AB32" s="673"/>
    </row>
    <row r="33" spans="1:28">
      <c r="C33" s="654"/>
      <c r="D33" s="672">
        <v>0</v>
      </c>
      <c r="E33" s="672">
        <v>0</v>
      </c>
      <c r="F33" s="679">
        <v>120000</v>
      </c>
      <c r="G33" s="679">
        <v>0</v>
      </c>
      <c r="H33" s="672"/>
      <c r="I33" s="672"/>
      <c r="AB33" s="673"/>
    </row>
    <row r="34" spans="1:28">
      <c r="B34" s="633" t="s">
        <v>775</v>
      </c>
      <c r="C34" s="680">
        <f>E4</f>
        <v>14700</v>
      </c>
      <c r="D34" s="672">
        <v>0</v>
      </c>
      <c r="E34" s="672">
        <f>$D$33*E35</f>
        <v>0</v>
      </c>
      <c r="F34" s="672">
        <f>$C$34*F35</f>
        <v>11760</v>
      </c>
      <c r="G34" s="672">
        <f>$C$34*G35</f>
        <v>2940</v>
      </c>
      <c r="H34" s="672">
        <f>$C$34*H35</f>
        <v>0</v>
      </c>
      <c r="I34" s="672">
        <f>$D$33*I35</f>
        <v>0</v>
      </c>
      <c r="J34" s="672"/>
      <c r="AB34" s="673"/>
    </row>
    <row r="35" spans="1:28">
      <c r="B35" s="654" t="s">
        <v>776</v>
      </c>
      <c r="C35" s="654"/>
      <c r="D35" s="640">
        <f>D34/C34</f>
        <v>0</v>
      </c>
      <c r="E35" s="640">
        <v>0</v>
      </c>
      <c r="F35" s="640">
        <v>0.8</v>
      </c>
      <c r="G35" s="640">
        <v>0.2</v>
      </c>
      <c r="H35" s="640">
        <v>0</v>
      </c>
      <c r="I35" s="640">
        <v>0</v>
      </c>
      <c r="J35" s="640"/>
      <c r="K35" s="640"/>
      <c r="L35" s="640"/>
      <c r="AB35" s="673"/>
    </row>
    <row r="36" spans="1:28">
      <c r="B36" s="654"/>
      <c r="C36" s="654"/>
      <c r="D36" s="640"/>
      <c r="E36" s="640"/>
      <c r="G36" s="640"/>
      <c r="H36" s="640"/>
      <c r="AB36" s="673"/>
    </row>
    <row r="37" spans="1:28">
      <c r="B37" s="654" t="s">
        <v>885</v>
      </c>
      <c r="C37" s="654">
        <v>15</v>
      </c>
      <c r="D37" s="640"/>
      <c r="E37" s="640"/>
      <c r="G37" s="640"/>
      <c r="H37" s="640"/>
      <c r="AB37" s="673"/>
    </row>
    <row r="38" spans="1:28">
      <c r="B38" s="654"/>
      <c r="C38" s="654"/>
      <c r="D38" s="640"/>
      <c r="E38" s="640"/>
      <c r="G38" s="640"/>
      <c r="H38" s="640"/>
      <c r="AB38" s="673"/>
    </row>
    <row r="39" spans="1:28">
      <c r="B39" s="654" t="s">
        <v>886</v>
      </c>
      <c r="C39" s="698">
        <v>0</v>
      </c>
      <c r="D39" s="640"/>
      <c r="E39" s="640"/>
      <c r="F39" s="636">
        <v>0.5</v>
      </c>
      <c r="G39" s="640">
        <v>0.5</v>
      </c>
      <c r="H39" s="640">
        <v>0</v>
      </c>
      <c r="I39" s="636">
        <v>0</v>
      </c>
      <c r="AB39" s="673"/>
    </row>
    <row r="40" spans="1:28">
      <c r="B40" s="654" t="s">
        <v>3</v>
      </c>
      <c r="C40" s="654"/>
      <c r="D40" s="640"/>
      <c r="E40" s="640"/>
      <c r="F40" s="679">
        <f>F39*$C$39</f>
        <v>0</v>
      </c>
      <c r="G40" s="679">
        <f>G39*$C$39</f>
        <v>0</v>
      </c>
      <c r="H40" s="679">
        <f>H39*$C$39</f>
        <v>0</v>
      </c>
      <c r="I40" s="679">
        <f>I39*$C$39</f>
        <v>0</v>
      </c>
      <c r="AB40" s="673"/>
    </row>
    <row r="41" spans="1:28">
      <c r="B41" s="654" t="s">
        <v>656</v>
      </c>
      <c r="C41" s="654"/>
      <c r="D41" s="640"/>
      <c r="E41" s="640"/>
      <c r="F41" s="676">
        <f>F40*15%</f>
        <v>0</v>
      </c>
      <c r="G41" s="676">
        <f>G40*15%</f>
        <v>0</v>
      </c>
      <c r="H41" s="676">
        <f>H40*15%</f>
        <v>0</v>
      </c>
      <c r="I41" s="676">
        <f>I40*15%</f>
        <v>0</v>
      </c>
      <c r="AB41" s="673"/>
    </row>
    <row r="42" spans="1:28">
      <c r="H42" s="654"/>
    </row>
    <row r="43" spans="1:28" s="666" customFormat="1">
      <c r="A43" s="666" t="s">
        <v>777</v>
      </c>
      <c r="B43" s="666" t="s">
        <v>875</v>
      </c>
      <c r="AB43" s="667"/>
    </row>
    <row r="44" spans="1:28" s="633" customFormat="1" ht="12" thickBot="1">
      <c r="C44" s="633" t="s">
        <v>764</v>
      </c>
      <c r="D44" s="665"/>
      <c r="H44" s="681"/>
      <c r="I44" s="681"/>
      <c r="Y44" s="679"/>
      <c r="Z44" s="679"/>
      <c r="AA44" s="679"/>
      <c r="AB44" s="682"/>
    </row>
    <row r="45" spans="1:28" ht="12" thickBot="1">
      <c r="B45" s="634" t="s">
        <v>686</v>
      </c>
      <c r="C45" s="634" t="s">
        <v>767</v>
      </c>
      <c r="D45" s="683">
        <v>83700</v>
      </c>
      <c r="F45" s="676"/>
      <c r="G45" s="633"/>
      <c r="H45" s="684"/>
      <c r="I45" s="681"/>
      <c r="J45" s="633"/>
      <c r="K45" s="633"/>
      <c r="L45" s="633"/>
      <c r="M45" s="633"/>
      <c r="N45" s="633"/>
      <c r="O45" s="633"/>
      <c r="P45" s="633"/>
      <c r="Q45" s="633"/>
      <c r="R45" s="633"/>
      <c r="S45" s="633"/>
      <c r="T45" s="633"/>
      <c r="U45" s="633"/>
      <c r="V45" s="633"/>
      <c r="W45" s="633"/>
      <c r="AB45" s="636"/>
    </row>
    <row r="46" spans="1:28" ht="12" thickBot="1">
      <c r="B46" s="634" t="s">
        <v>779</v>
      </c>
      <c r="C46" s="634" t="s">
        <v>780</v>
      </c>
      <c r="D46" s="685">
        <v>0.8</v>
      </c>
      <c r="F46" s="676"/>
      <c r="G46" s="654"/>
      <c r="H46" s="654"/>
      <c r="I46" s="686"/>
      <c r="AB46" s="682"/>
    </row>
    <row r="47" spans="1:28" ht="12" thickBot="1">
      <c r="B47" s="634" t="s">
        <v>781</v>
      </c>
      <c r="C47" s="634" t="s">
        <v>767</v>
      </c>
      <c r="D47" s="671">
        <f>D45*D46</f>
        <v>66960</v>
      </c>
      <c r="E47" s="634" t="s">
        <v>999</v>
      </c>
      <c r="G47" s="687"/>
      <c r="H47" s="654"/>
      <c r="I47" s="688"/>
      <c r="K47" s="689"/>
      <c r="L47" s="689"/>
      <c r="M47" s="689"/>
      <c r="N47" s="689"/>
      <c r="O47" s="689"/>
      <c r="P47" s="689"/>
      <c r="Q47" s="689"/>
      <c r="R47" s="689"/>
      <c r="S47" s="689"/>
      <c r="T47" s="689"/>
      <c r="U47" s="689"/>
      <c r="V47" s="689"/>
      <c r="W47" s="689"/>
      <c r="AB47" s="682"/>
    </row>
    <row r="48" spans="1:28" ht="12" thickBot="1">
      <c r="B48" s="634" t="s">
        <v>876</v>
      </c>
      <c r="C48" s="634" t="s">
        <v>769</v>
      </c>
      <c r="D48" s="674">
        <v>13.5</v>
      </c>
      <c r="G48" s="724"/>
      <c r="H48" s="633"/>
      <c r="I48" s="636"/>
      <c r="J48" s="636"/>
      <c r="K48" s="636"/>
      <c r="L48" s="636"/>
      <c r="M48" s="636"/>
      <c r="N48" s="636"/>
      <c r="O48" s="636"/>
      <c r="P48" s="636"/>
      <c r="Q48" s="636"/>
      <c r="R48" s="636"/>
      <c r="S48" s="636"/>
      <c r="T48" s="636"/>
      <c r="U48" s="636"/>
      <c r="V48" s="636"/>
      <c r="W48" s="636"/>
      <c r="AB48" s="690"/>
    </row>
    <row r="49" spans="2:28" ht="12" thickBot="1">
      <c r="B49" s="634" t="s">
        <v>786</v>
      </c>
      <c r="C49" s="634" t="s">
        <v>780</v>
      </c>
      <c r="D49" s="685">
        <v>0.05</v>
      </c>
      <c r="G49" s="633"/>
      <c r="H49" s="684"/>
      <c r="I49" s="691"/>
      <c r="AB49" s="690"/>
    </row>
    <row r="50" spans="2:28" ht="12" thickBot="1">
      <c r="B50" s="634" t="s">
        <v>787</v>
      </c>
      <c r="C50" s="634" t="s">
        <v>780</v>
      </c>
      <c r="D50" s="685">
        <v>0</v>
      </c>
      <c r="G50" s="654"/>
      <c r="H50" s="654"/>
      <c r="I50" s="686"/>
    </row>
    <row r="51" spans="2:28" ht="12" thickBot="1">
      <c r="B51" s="634" t="s">
        <v>788</v>
      </c>
      <c r="C51" s="634" t="s">
        <v>769</v>
      </c>
      <c r="D51" s="674">
        <v>6</v>
      </c>
    </row>
    <row r="52" spans="2:28" ht="12" thickBot="1">
      <c r="B52" s="634" t="s">
        <v>789</v>
      </c>
      <c r="C52" s="634" t="s">
        <v>780</v>
      </c>
      <c r="D52" s="685">
        <v>0.05</v>
      </c>
    </row>
    <row r="53" spans="2:28">
      <c r="D53" s="634"/>
      <c r="G53" s="633"/>
      <c r="H53" s="692"/>
      <c r="I53" s="672"/>
    </row>
    <row r="54" spans="2:28">
      <c r="B54" s="677" t="s">
        <v>681</v>
      </c>
      <c r="C54" s="678" t="s">
        <v>642</v>
      </c>
      <c r="D54" s="678" t="s">
        <v>774</v>
      </c>
      <c r="E54" s="677">
        <f>E32</f>
        <v>2014</v>
      </c>
      <c r="F54" s="677">
        <f t="shared" ref="F54:R54" si="7">F32</f>
        <v>2015</v>
      </c>
      <c r="G54" s="677">
        <f t="shared" si="7"/>
        <v>2016</v>
      </c>
      <c r="H54" s="677">
        <f t="shared" si="7"/>
        <v>2017</v>
      </c>
      <c r="I54" s="677">
        <f t="shared" si="7"/>
        <v>2018</v>
      </c>
      <c r="J54" s="677">
        <f t="shared" si="7"/>
        <v>2019</v>
      </c>
      <c r="K54" s="677">
        <f t="shared" si="7"/>
        <v>2020</v>
      </c>
      <c r="L54" s="677">
        <f t="shared" si="7"/>
        <v>2021</v>
      </c>
      <c r="M54" s="677">
        <f t="shared" si="7"/>
        <v>2022</v>
      </c>
      <c r="N54" s="677">
        <f t="shared" si="7"/>
        <v>2023</v>
      </c>
      <c r="O54" s="677">
        <f t="shared" si="7"/>
        <v>2024</v>
      </c>
      <c r="P54" s="677">
        <f t="shared" si="7"/>
        <v>2025</v>
      </c>
      <c r="Q54" s="677">
        <f t="shared" si="7"/>
        <v>2026</v>
      </c>
      <c r="R54" s="677">
        <f t="shared" si="7"/>
        <v>2027</v>
      </c>
    </row>
    <row r="55" spans="2:28">
      <c r="B55" s="633" t="s">
        <v>791</v>
      </c>
      <c r="C55" s="684">
        <f>SUM(D55:R55)</f>
        <v>903960</v>
      </c>
      <c r="D55" s="670">
        <f>D56*$D$47*D57</f>
        <v>0</v>
      </c>
      <c r="E55" s="670">
        <f t="shared" ref="E55:K55" si="8">E56*$D$47*E57</f>
        <v>0</v>
      </c>
      <c r="F55" s="670">
        <f t="shared" si="8"/>
        <v>632772</v>
      </c>
      <c r="G55" s="670">
        <f t="shared" si="8"/>
        <v>271188</v>
      </c>
      <c r="H55" s="670">
        <f t="shared" si="8"/>
        <v>0</v>
      </c>
      <c r="I55" s="670">
        <f t="shared" si="8"/>
        <v>0</v>
      </c>
      <c r="J55" s="670">
        <f t="shared" si="8"/>
        <v>0</v>
      </c>
      <c r="K55" s="670">
        <f t="shared" si="8"/>
        <v>0</v>
      </c>
      <c r="L55" s="633"/>
      <c r="M55" s="633"/>
      <c r="N55" s="633"/>
      <c r="O55" s="633"/>
      <c r="P55" s="633"/>
      <c r="Q55" s="633"/>
      <c r="R55" s="633"/>
    </row>
    <row r="56" spans="2:28">
      <c r="B56" s="654" t="s">
        <v>792</v>
      </c>
      <c r="C56" s="693">
        <f>SUM(D56:R56)</f>
        <v>1</v>
      </c>
      <c r="D56" s="640">
        <v>0</v>
      </c>
      <c r="E56" s="636">
        <v>0</v>
      </c>
      <c r="F56" s="640">
        <v>0.7</v>
      </c>
      <c r="G56" s="640">
        <v>0.3</v>
      </c>
      <c r="H56" s="640">
        <v>0</v>
      </c>
      <c r="I56" s="636">
        <v>0</v>
      </c>
      <c r="J56" s="636"/>
      <c r="K56" s="636"/>
    </row>
    <row r="57" spans="2:28" s="679" customFormat="1">
      <c r="B57" s="725" t="s">
        <v>793</v>
      </c>
      <c r="C57" s="698"/>
      <c r="D57" s="679">
        <f>D48*(1-D50)</f>
        <v>13.5</v>
      </c>
      <c r="E57" s="679">
        <f>D57</f>
        <v>13.5</v>
      </c>
      <c r="F57" s="679">
        <f>E57*(1+F58)</f>
        <v>13.5</v>
      </c>
      <c r="G57" s="679">
        <f t="shared" ref="G57:R57" si="9">F57*(1+G58)</f>
        <v>13.5</v>
      </c>
      <c r="H57" s="679">
        <f t="shared" si="9"/>
        <v>13.5</v>
      </c>
      <c r="I57" s="679">
        <f>H57*(1+I58)</f>
        <v>13.5</v>
      </c>
      <c r="J57" s="679">
        <f t="shared" si="9"/>
        <v>13.5</v>
      </c>
      <c r="K57" s="679">
        <f t="shared" si="9"/>
        <v>13.5</v>
      </c>
      <c r="L57" s="679">
        <f t="shared" si="9"/>
        <v>13.5</v>
      </c>
      <c r="M57" s="679">
        <f t="shared" si="9"/>
        <v>13.5</v>
      </c>
      <c r="N57" s="679">
        <f t="shared" si="9"/>
        <v>13.5</v>
      </c>
      <c r="O57" s="679">
        <f t="shared" si="9"/>
        <v>13.5</v>
      </c>
      <c r="P57" s="679">
        <f t="shared" si="9"/>
        <v>13.5</v>
      </c>
      <c r="Q57" s="679">
        <f t="shared" si="9"/>
        <v>13.5</v>
      </c>
      <c r="R57" s="679">
        <f t="shared" si="9"/>
        <v>13.5</v>
      </c>
    </row>
    <row r="58" spans="2:28">
      <c r="B58" s="654" t="s">
        <v>780</v>
      </c>
      <c r="C58" s="633"/>
      <c r="D58" s="636"/>
      <c r="E58" s="636"/>
      <c r="F58" s="636"/>
      <c r="G58" s="696">
        <v>0</v>
      </c>
      <c r="H58" s="696">
        <v>0</v>
      </c>
      <c r="I58" s="696">
        <v>0</v>
      </c>
      <c r="J58" s="696">
        <f>I58</f>
        <v>0</v>
      </c>
      <c r="K58" s="696">
        <f t="shared" ref="K58:R58" si="10">J58</f>
        <v>0</v>
      </c>
      <c r="L58" s="696">
        <f t="shared" si="10"/>
        <v>0</v>
      </c>
      <c r="M58" s="696">
        <f t="shared" si="10"/>
        <v>0</v>
      </c>
      <c r="N58" s="696">
        <f t="shared" si="10"/>
        <v>0</v>
      </c>
      <c r="O58" s="696">
        <f t="shared" si="10"/>
        <v>0</v>
      </c>
      <c r="P58" s="696">
        <f t="shared" si="10"/>
        <v>0</v>
      </c>
      <c r="Q58" s="696">
        <f t="shared" si="10"/>
        <v>0</v>
      </c>
      <c r="R58" s="696">
        <f t="shared" si="10"/>
        <v>0</v>
      </c>
    </row>
    <row r="59" spans="2:28">
      <c r="B59" s="687" t="s">
        <v>794</v>
      </c>
      <c r="C59" s="670">
        <f>SUM(F59:R59)</f>
        <v>903960</v>
      </c>
      <c r="D59" s="679"/>
      <c r="E59" s="679"/>
      <c r="F59" s="691">
        <f>$C$55*F60</f>
        <v>0</v>
      </c>
      <c r="G59" s="691">
        <f t="shared" ref="G59:R59" si="11">$C$55*G60</f>
        <v>723168</v>
      </c>
      <c r="H59" s="691">
        <f t="shared" si="11"/>
        <v>180792</v>
      </c>
      <c r="I59" s="691">
        <f t="shared" si="11"/>
        <v>0</v>
      </c>
      <c r="J59" s="691">
        <f t="shared" si="11"/>
        <v>0</v>
      </c>
      <c r="K59" s="691">
        <f t="shared" si="11"/>
        <v>0</v>
      </c>
      <c r="L59" s="691">
        <f t="shared" si="11"/>
        <v>0</v>
      </c>
      <c r="M59" s="691">
        <f t="shared" si="11"/>
        <v>0</v>
      </c>
      <c r="N59" s="691">
        <f t="shared" si="11"/>
        <v>0</v>
      </c>
      <c r="O59" s="691">
        <f t="shared" si="11"/>
        <v>0</v>
      </c>
      <c r="P59" s="691">
        <f t="shared" si="11"/>
        <v>0</v>
      </c>
      <c r="Q59" s="691">
        <f t="shared" si="11"/>
        <v>0</v>
      </c>
      <c r="R59" s="691">
        <f t="shared" si="11"/>
        <v>0</v>
      </c>
    </row>
    <row r="60" spans="2:28">
      <c r="B60" s="687"/>
      <c r="C60" s="633"/>
      <c r="D60" s="679"/>
      <c r="E60" s="679">
        <v>0</v>
      </c>
      <c r="F60" s="686">
        <v>0</v>
      </c>
      <c r="G60" s="686">
        <v>0.8</v>
      </c>
      <c r="H60" s="686">
        <v>0.2</v>
      </c>
      <c r="I60" s="686">
        <v>0</v>
      </c>
      <c r="J60" s="686">
        <v>0</v>
      </c>
      <c r="K60" s="686">
        <f t="shared" ref="K60:R60" si="12">J62</f>
        <v>0</v>
      </c>
      <c r="L60" s="686">
        <f t="shared" si="12"/>
        <v>0</v>
      </c>
      <c r="M60" s="686">
        <f t="shared" si="12"/>
        <v>0</v>
      </c>
      <c r="N60" s="686">
        <f t="shared" si="12"/>
        <v>0</v>
      </c>
      <c r="O60" s="686">
        <f t="shared" si="12"/>
        <v>0</v>
      </c>
      <c r="P60" s="686">
        <f t="shared" si="12"/>
        <v>0</v>
      </c>
      <c r="Q60" s="686">
        <f t="shared" si="12"/>
        <v>0</v>
      </c>
      <c r="R60" s="686">
        <f t="shared" si="12"/>
        <v>0</v>
      </c>
    </row>
    <row r="61" spans="2:28">
      <c r="B61" s="633" t="s">
        <v>795</v>
      </c>
      <c r="C61" s="684">
        <f>SUM(D61:R61)</f>
        <v>903960</v>
      </c>
      <c r="D61" s="679">
        <v>0</v>
      </c>
      <c r="E61" s="688">
        <f>(D55-D61)+E55*C64</f>
        <v>0</v>
      </c>
      <c r="F61" s="688">
        <f>E55*$C$65+F55*$C$64</f>
        <v>379663.2</v>
      </c>
      <c r="G61" s="688">
        <f t="shared" ref="G61:R61" si="13">F55*$C$65+G55*$C$64</f>
        <v>415821.6</v>
      </c>
      <c r="H61" s="688">
        <f t="shared" si="13"/>
        <v>108475.20000000001</v>
      </c>
      <c r="I61" s="688">
        <f t="shared" si="13"/>
        <v>0</v>
      </c>
      <c r="J61" s="688">
        <f t="shared" si="13"/>
        <v>0</v>
      </c>
      <c r="K61" s="688">
        <f t="shared" si="13"/>
        <v>0</v>
      </c>
      <c r="L61" s="688">
        <f t="shared" si="13"/>
        <v>0</v>
      </c>
      <c r="M61" s="688">
        <f t="shared" si="13"/>
        <v>0</v>
      </c>
      <c r="N61" s="688">
        <f t="shared" si="13"/>
        <v>0</v>
      </c>
      <c r="O61" s="688">
        <f t="shared" si="13"/>
        <v>0</v>
      </c>
      <c r="P61" s="688">
        <f t="shared" si="13"/>
        <v>0</v>
      </c>
      <c r="Q61" s="688">
        <f t="shared" si="13"/>
        <v>0</v>
      </c>
      <c r="R61" s="688">
        <f t="shared" si="13"/>
        <v>0</v>
      </c>
    </row>
    <row r="62" spans="2:28">
      <c r="B62" s="654" t="s">
        <v>796</v>
      </c>
      <c r="C62" s="693">
        <f>SUM(D62:N62)</f>
        <v>1</v>
      </c>
      <c r="D62" s="695">
        <f t="shared" ref="D62:R62" si="14">D61/$C$61</f>
        <v>0</v>
      </c>
      <c r="E62" s="695">
        <f t="shared" si="14"/>
        <v>0</v>
      </c>
      <c r="F62" s="695">
        <f t="shared" si="14"/>
        <v>0.42000000000000004</v>
      </c>
      <c r="G62" s="695">
        <f t="shared" si="14"/>
        <v>0.45999999999999996</v>
      </c>
      <c r="H62" s="695">
        <f t="shared" si="14"/>
        <v>0.12000000000000001</v>
      </c>
      <c r="I62" s="695">
        <f t="shared" si="14"/>
        <v>0</v>
      </c>
      <c r="J62" s="695">
        <f t="shared" si="14"/>
        <v>0</v>
      </c>
      <c r="K62" s="695">
        <f t="shared" si="14"/>
        <v>0</v>
      </c>
      <c r="L62" s="695">
        <f t="shared" si="14"/>
        <v>0</v>
      </c>
      <c r="M62" s="695">
        <f t="shared" si="14"/>
        <v>0</v>
      </c>
      <c r="N62" s="695">
        <f t="shared" si="14"/>
        <v>0</v>
      </c>
      <c r="O62" s="695">
        <f t="shared" si="14"/>
        <v>0</v>
      </c>
      <c r="P62" s="695">
        <f t="shared" si="14"/>
        <v>0</v>
      </c>
      <c r="Q62" s="695">
        <f t="shared" si="14"/>
        <v>0</v>
      </c>
      <c r="R62" s="695">
        <f t="shared" si="14"/>
        <v>0</v>
      </c>
    </row>
    <row r="63" spans="2:28">
      <c r="B63" s="681" t="s">
        <v>797</v>
      </c>
      <c r="D63" s="634"/>
      <c r="G63" s="633"/>
      <c r="H63" s="692"/>
      <c r="I63" s="672"/>
      <c r="J63" s="672"/>
      <c r="K63" s="672"/>
    </row>
    <row r="64" spans="2:28">
      <c r="B64" s="654" t="s">
        <v>798</v>
      </c>
      <c r="C64" s="636">
        <v>0.6</v>
      </c>
      <c r="D64" s="634"/>
      <c r="E64" s="688"/>
      <c r="F64" s="679"/>
      <c r="G64" s="679"/>
      <c r="H64" s="679"/>
      <c r="I64" s="679"/>
      <c r="J64" s="679"/>
      <c r="K64" s="679"/>
      <c r="L64" s="679">
        <f t="shared" ref="L64:R64" si="15">J55*$C$66+K55*$C$65+L55*$C$64</f>
        <v>0</v>
      </c>
      <c r="M64" s="679">
        <f t="shared" si="15"/>
        <v>0</v>
      </c>
      <c r="N64" s="679">
        <f t="shared" si="15"/>
        <v>0</v>
      </c>
      <c r="O64" s="679">
        <f t="shared" si="15"/>
        <v>0</v>
      </c>
      <c r="P64" s="679">
        <f t="shared" si="15"/>
        <v>0</v>
      </c>
      <c r="Q64" s="679">
        <f t="shared" si="15"/>
        <v>0</v>
      </c>
      <c r="R64" s="679">
        <f t="shared" si="15"/>
        <v>0</v>
      </c>
    </row>
    <row r="65" spans="1:256">
      <c r="B65" s="654" t="s">
        <v>799</v>
      </c>
      <c r="C65" s="636">
        <v>0.4</v>
      </c>
      <c r="D65" s="634"/>
      <c r="E65" s="688"/>
      <c r="F65" s="679"/>
      <c r="G65" s="679"/>
      <c r="H65" s="679"/>
      <c r="I65" s="679"/>
      <c r="J65" s="672"/>
      <c r="K65" s="672"/>
    </row>
    <row r="66" spans="1:256">
      <c r="B66" s="654" t="s">
        <v>800</v>
      </c>
      <c r="C66" s="640">
        <v>0</v>
      </c>
      <c r="D66" s="634"/>
      <c r="F66" s="679"/>
      <c r="G66" s="679"/>
      <c r="H66" s="679"/>
      <c r="I66" s="679"/>
      <c r="J66" s="672"/>
      <c r="K66" s="672"/>
    </row>
    <row r="67" spans="1:256">
      <c r="B67" s="633" t="s">
        <v>801</v>
      </c>
      <c r="C67" s="692">
        <f>D45*D51</f>
        <v>502200</v>
      </c>
      <c r="D67" s="672">
        <f t="shared" ref="D67:I67" si="16">$C$67*D68</f>
        <v>0</v>
      </c>
      <c r="E67" s="672">
        <f t="shared" si="16"/>
        <v>0</v>
      </c>
      <c r="F67" s="672">
        <f t="shared" si="16"/>
        <v>251100</v>
      </c>
      <c r="G67" s="672">
        <f t="shared" si="16"/>
        <v>200880</v>
      </c>
      <c r="H67" s="672">
        <f t="shared" si="16"/>
        <v>50220</v>
      </c>
      <c r="I67" s="672">
        <f t="shared" si="16"/>
        <v>0</v>
      </c>
      <c r="J67" s="672"/>
      <c r="K67" s="672"/>
      <c r="IV67" s="672"/>
    </row>
    <row r="68" spans="1:256">
      <c r="B68" s="654" t="s">
        <v>796</v>
      </c>
      <c r="C68" s="654"/>
      <c r="D68" s="640">
        <v>0</v>
      </c>
      <c r="E68" s="640">
        <v>0</v>
      </c>
      <c r="F68" s="640">
        <v>0.5</v>
      </c>
      <c r="G68" s="640">
        <v>0.4</v>
      </c>
      <c r="H68" s="640">
        <v>0.1</v>
      </c>
      <c r="I68" s="640">
        <v>0</v>
      </c>
      <c r="J68" s="672"/>
      <c r="K68" s="672"/>
    </row>
    <row r="69" spans="1:256">
      <c r="B69" s="687" t="s">
        <v>802</v>
      </c>
      <c r="C69" s="724">
        <f>SUM(F69:R69)</f>
        <v>516900</v>
      </c>
      <c r="D69" s="640"/>
      <c r="F69" s="688">
        <f t="shared" ref="F69:R69" si="17">F60*($C$67+$E$4*$D$45/SUM($D$45,$D$77,$D$103,$D$132))</f>
        <v>0</v>
      </c>
      <c r="G69" s="688">
        <f t="shared" si="17"/>
        <v>413520</v>
      </c>
      <c r="H69" s="688">
        <f t="shared" si="17"/>
        <v>103380</v>
      </c>
      <c r="I69" s="688">
        <f t="shared" si="17"/>
        <v>0</v>
      </c>
      <c r="J69" s="688">
        <f t="shared" si="17"/>
        <v>0</v>
      </c>
      <c r="K69" s="688">
        <f t="shared" si="17"/>
        <v>0</v>
      </c>
      <c r="L69" s="688">
        <f t="shared" si="17"/>
        <v>0</v>
      </c>
      <c r="M69" s="688">
        <f t="shared" si="17"/>
        <v>0</v>
      </c>
      <c r="N69" s="688">
        <f t="shared" si="17"/>
        <v>0</v>
      </c>
      <c r="O69" s="688">
        <f t="shared" si="17"/>
        <v>0</v>
      </c>
      <c r="P69" s="688">
        <f t="shared" si="17"/>
        <v>0</v>
      </c>
      <c r="Q69" s="688">
        <f t="shared" si="17"/>
        <v>0</v>
      </c>
      <c r="R69" s="688">
        <f t="shared" si="17"/>
        <v>0</v>
      </c>
    </row>
    <row r="70" spans="1:256">
      <c r="A70" s="676"/>
      <c r="B70" s="687" t="s">
        <v>803</v>
      </c>
      <c r="C70" s="698">
        <f>$E$3*D45/SUM($D$45,$D$77,$D$103,$D$132)</f>
        <v>120000</v>
      </c>
      <c r="D70" s="640"/>
      <c r="F70" s="688"/>
      <c r="G70" s="688">
        <f>G60*$C$70</f>
        <v>96000</v>
      </c>
      <c r="H70" s="688">
        <f>H60*$C$70</f>
        <v>24000</v>
      </c>
      <c r="I70" s="688">
        <f>I60*$C$70</f>
        <v>0</v>
      </c>
      <c r="J70" s="688">
        <f>J60*$C$70</f>
        <v>0</v>
      </c>
      <c r="K70" s="688">
        <f>K60*G70</f>
        <v>0</v>
      </c>
      <c r="L70" s="688">
        <f t="shared" ref="L70:R70" si="18">L60*$C$70</f>
        <v>0</v>
      </c>
      <c r="M70" s="688">
        <f t="shared" si="18"/>
        <v>0</v>
      </c>
      <c r="N70" s="688">
        <f t="shared" si="18"/>
        <v>0</v>
      </c>
      <c r="O70" s="688">
        <f t="shared" si="18"/>
        <v>0</v>
      </c>
      <c r="P70" s="688">
        <f t="shared" si="18"/>
        <v>0</v>
      </c>
      <c r="Q70" s="688">
        <f t="shared" si="18"/>
        <v>0</v>
      </c>
      <c r="R70" s="688">
        <f t="shared" si="18"/>
        <v>0</v>
      </c>
    </row>
    <row r="71" spans="1:256">
      <c r="B71" s="687" t="s">
        <v>804</v>
      </c>
      <c r="C71" s="698">
        <f>$D$45/SUM($D$45,$D$77,$D$103,$D$132)*SUMIF($D$207:$R$207,"&lt;=" &amp; $E$6,$D$213:$R$213)</f>
        <v>41716.950000000004</v>
      </c>
      <c r="D71" s="640"/>
      <c r="F71" s="688">
        <f>F60*$C$71</f>
        <v>0</v>
      </c>
      <c r="G71" s="688">
        <f>G60*$C$71</f>
        <v>33373.560000000005</v>
      </c>
      <c r="H71" s="688">
        <f t="shared" ref="H71:R71" si="19">H60*$C$71</f>
        <v>8343.3900000000012</v>
      </c>
      <c r="I71" s="688">
        <f t="shared" si="19"/>
        <v>0</v>
      </c>
      <c r="J71" s="688">
        <f t="shared" si="19"/>
        <v>0</v>
      </c>
      <c r="K71" s="688">
        <f t="shared" si="19"/>
        <v>0</v>
      </c>
      <c r="L71" s="688">
        <f t="shared" si="19"/>
        <v>0</v>
      </c>
      <c r="M71" s="688">
        <f t="shared" si="19"/>
        <v>0</v>
      </c>
      <c r="N71" s="688">
        <f t="shared" si="19"/>
        <v>0</v>
      </c>
      <c r="O71" s="688">
        <f t="shared" si="19"/>
        <v>0</v>
      </c>
      <c r="P71" s="688">
        <f t="shared" si="19"/>
        <v>0</v>
      </c>
      <c r="Q71" s="688">
        <f t="shared" si="19"/>
        <v>0</v>
      </c>
      <c r="R71" s="688">
        <f t="shared" si="19"/>
        <v>0</v>
      </c>
    </row>
    <row r="72" spans="1:256">
      <c r="B72" s="687" t="s">
        <v>805</v>
      </c>
      <c r="C72" s="698"/>
      <c r="D72" s="640"/>
      <c r="F72" s="688"/>
      <c r="G72" s="688">
        <f>I213*$D$45/SUM($D$45,$D$77,$D$103,$D$132)</f>
        <v>11464.2</v>
      </c>
      <c r="H72" s="688">
        <f>J213*$D$45/SUM($D$45,$D$77,$D$103,$D$132)</f>
        <v>8598.1500000000015</v>
      </c>
      <c r="I72" s="688">
        <f t="shared" ref="I72:R72" si="20">K213*$D$45/SUM($D$45,$D$77,$D$103,$D$132)</f>
        <v>5732.1</v>
      </c>
      <c r="J72" s="688">
        <f t="shared" si="20"/>
        <v>2866.05</v>
      </c>
      <c r="K72" s="688">
        <f t="shared" si="20"/>
        <v>0</v>
      </c>
      <c r="L72" s="688">
        <f t="shared" si="20"/>
        <v>0</v>
      </c>
      <c r="M72" s="688">
        <f t="shared" si="20"/>
        <v>0</v>
      </c>
      <c r="N72" s="688">
        <f t="shared" si="20"/>
        <v>0</v>
      </c>
      <c r="O72" s="688">
        <f t="shared" si="20"/>
        <v>0</v>
      </c>
      <c r="P72" s="688">
        <f t="shared" si="20"/>
        <v>0</v>
      </c>
      <c r="Q72" s="688">
        <f t="shared" si="20"/>
        <v>0</v>
      </c>
      <c r="R72" s="688">
        <f t="shared" si="20"/>
        <v>0</v>
      </c>
    </row>
    <row r="73" spans="1:256">
      <c r="B73" s="633" t="s">
        <v>656</v>
      </c>
      <c r="D73" s="688">
        <f>$D$52*D61</f>
        <v>0</v>
      </c>
      <c r="E73" s="688">
        <f>$D$52*E61</f>
        <v>0</v>
      </c>
      <c r="F73" s="688">
        <f>$D$52*F61</f>
        <v>18983.16</v>
      </c>
      <c r="G73" s="688">
        <f>$D$52*G61</f>
        <v>20791.080000000002</v>
      </c>
      <c r="H73" s="688">
        <f t="shared" ref="H73:R73" si="21">$D$52*H61</f>
        <v>5423.7600000000011</v>
      </c>
      <c r="I73" s="688">
        <f t="shared" si="21"/>
        <v>0</v>
      </c>
      <c r="J73" s="688">
        <f t="shared" si="21"/>
        <v>0</v>
      </c>
      <c r="K73" s="688">
        <f t="shared" si="21"/>
        <v>0</v>
      </c>
      <c r="L73" s="688">
        <f t="shared" si="21"/>
        <v>0</v>
      </c>
      <c r="M73" s="688">
        <f t="shared" si="21"/>
        <v>0</v>
      </c>
      <c r="N73" s="688">
        <f t="shared" si="21"/>
        <v>0</v>
      </c>
      <c r="O73" s="688">
        <f t="shared" si="21"/>
        <v>0</v>
      </c>
      <c r="P73" s="688">
        <f t="shared" si="21"/>
        <v>0</v>
      </c>
      <c r="Q73" s="688">
        <f t="shared" si="21"/>
        <v>0</v>
      </c>
      <c r="R73" s="688">
        <f t="shared" si="21"/>
        <v>0</v>
      </c>
    </row>
    <row r="75" spans="1:256" s="666" customFormat="1" hidden="1">
      <c r="A75" s="666" t="s">
        <v>806</v>
      </c>
      <c r="B75" s="666" t="s">
        <v>807</v>
      </c>
      <c r="AB75" s="667"/>
    </row>
    <row r="76" spans="1:256" s="633" customFormat="1" hidden="1">
      <c r="C76" s="633" t="s">
        <v>764</v>
      </c>
      <c r="AB76" s="670"/>
    </row>
    <row r="77" spans="1:256" ht="12" hidden="1" thickBot="1">
      <c r="B77" s="634" t="s">
        <v>686</v>
      </c>
      <c r="C77" s="634" t="s">
        <v>767</v>
      </c>
      <c r="D77" s="683">
        <v>0</v>
      </c>
      <c r="E77" s="633"/>
    </row>
    <row r="78" spans="1:256" ht="12" hidden="1" thickBot="1">
      <c r="B78" s="634" t="s">
        <v>779</v>
      </c>
      <c r="C78" s="634" t="s">
        <v>780</v>
      </c>
      <c r="D78" s="685">
        <v>0.75</v>
      </c>
      <c r="G78" s="633"/>
      <c r="H78" s="633"/>
      <c r="I78" s="633"/>
      <c r="J78" s="633"/>
      <c r="K78" s="633"/>
      <c r="L78" s="633"/>
      <c r="M78" s="633"/>
      <c r="N78" s="633"/>
      <c r="O78" s="633"/>
      <c r="P78" s="633"/>
      <c r="Q78" s="633"/>
      <c r="R78" s="633"/>
      <c r="S78" s="633"/>
      <c r="T78" s="633"/>
      <c r="U78" s="633"/>
      <c r="V78" s="633"/>
      <c r="W78" s="633"/>
    </row>
    <row r="79" spans="1:256" ht="12" hidden="1" thickBot="1">
      <c r="B79" s="634" t="s">
        <v>808</v>
      </c>
      <c r="C79" s="634" t="s">
        <v>767</v>
      </c>
      <c r="D79" s="671">
        <f>D77*D78</f>
        <v>0</v>
      </c>
    </row>
    <row r="80" spans="1:256" ht="12" hidden="1" thickBot="1">
      <c r="B80" s="634" t="s">
        <v>809</v>
      </c>
      <c r="C80" s="634" t="s">
        <v>769</v>
      </c>
      <c r="D80" s="683">
        <f>35*21000*12/10^6</f>
        <v>8.82</v>
      </c>
    </row>
    <row r="81" spans="2:18" ht="12" hidden="1" thickBot="1">
      <c r="B81" s="634" t="s">
        <v>810</v>
      </c>
      <c r="C81" s="634" t="s">
        <v>780</v>
      </c>
      <c r="D81" s="685">
        <v>0.05</v>
      </c>
      <c r="G81" s="633"/>
    </row>
    <row r="82" spans="2:18" ht="12" hidden="1" thickBot="1">
      <c r="B82" s="634" t="s">
        <v>811</v>
      </c>
      <c r="C82" s="634" t="s">
        <v>780</v>
      </c>
      <c r="D82" s="685">
        <v>0.8</v>
      </c>
    </row>
    <row r="83" spans="2:18" ht="12" hidden="1" thickBot="1">
      <c r="B83" s="634" t="s">
        <v>750</v>
      </c>
      <c r="C83" s="634" t="s">
        <v>769</v>
      </c>
      <c r="D83" s="674">
        <v>11</v>
      </c>
      <c r="G83" s="633"/>
    </row>
    <row r="84" spans="2:18" ht="12" hidden="1" thickBot="1">
      <c r="B84" s="634" t="s">
        <v>812</v>
      </c>
      <c r="C84" s="634" t="s">
        <v>780</v>
      </c>
      <c r="D84" s="685">
        <v>0.05</v>
      </c>
      <c r="G84" s="633"/>
    </row>
    <row r="85" spans="2:18" ht="12" hidden="1" thickBot="1">
      <c r="B85" s="634" t="s">
        <v>243</v>
      </c>
      <c r="C85" s="634" t="s">
        <v>813</v>
      </c>
      <c r="D85" s="683">
        <v>45</v>
      </c>
      <c r="G85" s="633"/>
    </row>
    <row r="86" spans="2:18" ht="12" hidden="1" thickBot="1">
      <c r="B86" s="634" t="s">
        <v>814</v>
      </c>
      <c r="C86" s="634" t="s">
        <v>780</v>
      </c>
      <c r="D86" s="685">
        <v>0.1</v>
      </c>
      <c r="G86" s="633"/>
    </row>
    <row r="87" spans="2:18" hidden="1">
      <c r="D87" s="634"/>
      <c r="G87" s="633"/>
    </row>
    <row r="88" spans="2:18" hidden="1">
      <c r="B88" s="700"/>
      <c r="C88" s="677" t="s">
        <v>642</v>
      </c>
      <c r="D88" s="677" t="str">
        <f>D54</f>
        <v>Past</v>
      </c>
      <c r="E88" s="677">
        <f t="shared" ref="E88:R88" si="22">E54</f>
        <v>2014</v>
      </c>
      <c r="F88" s="677">
        <f t="shared" si="22"/>
        <v>2015</v>
      </c>
      <c r="G88" s="677">
        <f t="shared" si="22"/>
        <v>2016</v>
      </c>
      <c r="H88" s="677">
        <f t="shared" si="22"/>
        <v>2017</v>
      </c>
      <c r="I88" s="677">
        <f t="shared" si="22"/>
        <v>2018</v>
      </c>
      <c r="J88" s="677">
        <f t="shared" si="22"/>
        <v>2019</v>
      </c>
      <c r="K88" s="677">
        <f t="shared" si="22"/>
        <v>2020</v>
      </c>
      <c r="L88" s="677">
        <f t="shared" si="22"/>
        <v>2021</v>
      </c>
      <c r="M88" s="677">
        <f t="shared" si="22"/>
        <v>2022</v>
      </c>
      <c r="N88" s="677">
        <f t="shared" si="22"/>
        <v>2023</v>
      </c>
      <c r="O88" s="677">
        <f t="shared" si="22"/>
        <v>2024</v>
      </c>
      <c r="P88" s="677">
        <f t="shared" si="22"/>
        <v>2025</v>
      </c>
      <c r="Q88" s="677">
        <f t="shared" si="22"/>
        <v>2026</v>
      </c>
      <c r="R88" s="677">
        <f t="shared" si="22"/>
        <v>2027</v>
      </c>
    </row>
    <row r="89" spans="2:18" hidden="1">
      <c r="B89" s="633" t="s">
        <v>815</v>
      </c>
      <c r="D89" s="634"/>
      <c r="F89" s="688">
        <f>D80</f>
        <v>8.82</v>
      </c>
      <c r="G89" s="689">
        <f>F89*(1+G90)</f>
        <v>9.261000000000001</v>
      </c>
      <c r="H89" s="689">
        <f t="shared" ref="H89:R89" si="23">G89*(1+H90)</f>
        <v>9.7240500000000019</v>
      </c>
      <c r="I89" s="689">
        <f t="shared" si="23"/>
        <v>10.210252500000003</v>
      </c>
      <c r="J89" s="689">
        <f t="shared" si="23"/>
        <v>10.720765125000003</v>
      </c>
      <c r="K89" s="689">
        <f t="shared" si="23"/>
        <v>11.256803381250004</v>
      </c>
      <c r="L89" s="689">
        <f t="shared" si="23"/>
        <v>11.819643550312504</v>
      </c>
      <c r="M89" s="689">
        <f t="shared" si="23"/>
        <v>12.41062572782813</v>
      </c>
      <c r="N89" s="689">
        <f t="shared" si="23"/>
        <v>13.031157014219536</v>
      </c>
      <c r="O89" s="689">
        <f t="shared" si="23"/>
        <v>13.682714864930514</v>
      </c>
      <c r="P89" s="689">
        <f t="shared" si="23"/>
        <v>14.366850608177041</v>
      </c>
      <c r="Q89" s="689">
        <f t="shared" si="23"/>
        <v>15.085193138585893</v>
      </c>
      <c r="R89" s="689">
        <f t="shared" si="23"/>
        <v>15.839452795515189</v>
      </c>
    </row>
    <row r="90" spans="2:18" hidden="1">
      <c r="B90" s="654" t="s">
        <v>816</v>
      </c>
      <c r="D90" s="634"/>
      <c r="E90" s="726"/>
      <c r="F90" s="696">
        <f t="shared" ref="F90:R90" si="24">$D$81</f>
        <v>0.05</v>
      </c>
      <c r="G90" s="696">
        <f t="shared" si="24"/>
        <v>0.05</v>
      </c>
      <c r="H90" s="696">
        <f t="shared" si="24"/>
        <v>0.05</v>
      </c>
      <c r="I90" s="696">
        <f t="shared" si="24"/>
        <v>0.05</v>
      </c>
      <c r="J90" s="696">
        <f t="shared" si="24"/>
        <v>0.05</v>
      </c>
      <c r="K90" s="696">
        <f t="shared" si="24"/>
        <v>0.05</v>
      </c>
      <c r="L90" s="696">
        <f t="shared" si="24"/>
        <v>0.05</v>
      </c>
      <c r="M90" s="696">
        <f t="shared" si="24"/>
        <v>0.05</v>
      </c>
      <c r="N90" s="696">
        <f t="shared" si="24"/>
        <v>0.05</v>
      </c>
      <c r="O90" s="696">
        <f t="shared" si="24"/>
        <v>0.05</v>
      </c>
      <c r="P90" s="696">
        <f t="shared" si="24"/>
        <v>0.05</v>
      </c>
      <c r="Q90" s="696">
        <f t="shared" si="24"/>
        <v>0.05</v>
      </c>
      <c r="R90" s="696">
        <f t="shared" si="24"/>
        <v>0.05</v>
      </c>
    </row>
    <row r="91" spans="2:18" hidden="1">
      <c r="B91" s="633" t="s">
        <v>817</v>
      </c>
      <c r="D91" s="634"/>
      <c r="E91" s="727"/>
      <c r="F91" s="696"/>
      <c r="G91" s="696">
        <v>0</v>
      </c>
      <c r="H91" s="696">
        <v>0.8</v>
      </c>
      <c r="I91" s="696">
        <v>0.9</v>
      </c>
      <c r="J91" s="696">
        <v>0.95</v>
      </c>
      <c r="K91" s="696">
        <f t="shared" ref="K91:R91" si="25">J91</f>
        <v>0.95</v>
      </c>
      <c r="L91" s="696">
        <f t="shared" si="25"/>
        <v>0.95</v>
      </c>
      <c r="M91" s="696">
        <f t="shared" si="25"/>
        <v>0.95</v>
      </c>
      <c r="N91" s="696">
        <f t="shared" si="25"/>
        <v>0.95</v>
      </c>
      <c r="O91" s="696">
        <f t="shared" si="25"/>
        <v>0.95</v>
      </c>
      <c r="P91" s="696">
        <f t="shared" si="25"/>
        <v>0.95</v>
      </c>
      <c r="Q91" s="696">
        <f t="shared" si="25"/>
        <v>0.95</v>
      </c>
      <c r="R91" s="696">
        <f t="shared" si="25"/>
        <v>0.95</v>
      </c>
    </row>
    <row r="92" spans="2:18" hidden="1">
      <c r="B92" s="633" t="s">
        <v>818</v>
      </c>
      <c r="D92" s="634"/>
      <c r="E92" s="688"/>
      <c r="F92" s="688">
        <v>0</v>
      </c>
      <c r="G92" s="688">
        <f>G89*$D$79*G91</f>
        <v>0</v>
      </c>
      <c r="H92" s="688">
        <f>H89*$D$79*H91</f>
        <v>0</v>
      </c>
      <c r="I92" s="688">
        <f t="shared" ref="I92:R92" si="26">I89*$D$79*I91</f>
        <v>0</v>
      </c>
      <c r="J92" s="688">
        <f t="shared" si="26"/>
        <v>0</v>
      </c>
      <c r="K92" s="688">
        <f t="shared" si="26"/>
        <v>0</v>
      </c>
      <c r="L92" s="688">
        <f t="shared" si="26"/>
        <v>0</v>
      </c>
      <c r="M92" s="688">
        <f t="shared" si="26"/>
        <v>0</v>
      </c>
      <c r="N92" s="688">
        <f t="shared" si="26"/>
        <v>0</v>
      </c>
      <c r="O92" s="688">
        <f t="shared" si="26"/>
        <v>0</v>
      </c>
      <c r="P92" s="688">
        <f t="shared" si="26"/>
        <v>0</v>
      </c>
      <c r="Q92" s="688">
        <f t="shared" si="26"/>
        <v>0</v>
      </c>
      <c r="R92" s="688">
        <f t="shared" si="26"/>
        <v>0</v>
      </c>
    </row>
    <row r="93" spans="2:18" hidden="1">
      <c r="B93" s="633" t="s">
        <v>819</v>
      </c>
      <c r="C93" s="679">
        <f>$D77*$D83+($E$3+$E$4+SUMIF($D$207:$R$207,"&lt;="&amp;$E$6,$D$213:$R$213))*$D77/SUM($D$77,$D$132,$D$45,$D$103)</f>
        <v>0</v>
      </c>
      <c r="D93" s="634"/>
      <c r="E93" s="688"/>
      <c r="F93" s="688">
        <v>0</v>
      </c>
      <c r="G93" s="688">
        <v>0</v>
      </c>
      <c r="H93" s="688">
        <f>-$C$93/$D$85</f>
        <v>0</v>
      </c>
      <c r="I93" s="688">
        <f t="shared" ref="I93:R93" si="27">-$C$93/$D$85</f>
        <v>0</v>
      </c>
      <c r="J93" s="688">
        <f t="shared" si="27"/>
        <v>0</v>
      </c>
      <c r="K93" s="688">
        <f t="shared" si="27"/>
        <v>0</v>
      </c>
      <c r="L93" s="688">
        <f t="shared" si="27"/>
        <v>0</v>
      </c>
      <c r="M93" s="688">
        <f t="shared" si="27"/>
        <v>0</v>
      </c>
      <c r="N93" s="688">
        <f t="shared" si="27"/>
        <v>0</v>
      </c>
      <c r="O93" s="688">
        <f t="shared" si="27"/>
        <v>0</v>
      </c>
      <c r="P93" s="688">
        <f t="shared" si="27"/>
        <v>0</v>
      </c>
      <c r="Q93" s="688">
        <f t="shared" si="27"/>
        <v>0</v>
      </c>
      <c r="R93" s="688">
        <f t="shared" si="27"/>
        <v>0</v>
      </c>
    </row>
    <row r="94" spans="2:18" hidden="1">
      <c r="B94" s="633" t="s">
        <v>805</v>
      </c>
      <c r="C94" s="679"/>
      <c r="D94" s="634"/>
      <c r="E94" s="688"/>
      <c r="F94" s="688"/>
      <c r="G94" s="688">
        <v>0</v>
      </c>
      <c r="H94" s="688">
        <f t="shared" ref="H94:R94" si="28">-J213*$D$77/SUM($D$77,$D$132,$D$45,$D$103)</f>
        <v>0</v>
      </c>
      <c r="I94" s="688">
        <f t="shared" si="28"/>
        <v>0</v>
      </c>
      <c r="J94" s="688">
        <f t="shared" si="28"/>
        <v>0</v>
      </c>
      <c r="K94" s="688">
        <f t="shared" si="28"/>
        <v>0</v>
      </c>
      <c r="L94" s="688">
        <f t="shared" si="28"/>
        <v>0</v>
      </c>
      <c r="M94" s="688">
        <f t="shared" si="28"/>
        <v>0</v>
      </c>
      <c r="N94" s="688">
        <f t="shared" si="28"/>
        <v>0</v>
      </c>
      <c r="O94" s="688">
        <f t="shared" si="28"/>
        <v>0</v>
      </c>
      <c r="P94" s="688">
        <f t="shared" si="28"/>
        <v>0</v>
      </c>
      <c r="Q94" s="688">
        <f t="shared" si="28"/>
        <v>0</v>
      </c>
      <c r="R94" s="688">
        <f t="shared" si="28"/>
        <v>0</v>
      </c>
    </row>
    <row r="95" spans="2:18" hidden="1">
      <c r="B95" s="633" t="s">
        <v>820</v>
      </c>
      <c r="C95" s="636"/>
      <c r="D95" s="634"/>
      <c r="E95" s="679"/>
      <c r="F95" s="679">
        <f>-$D$84*F92</f>
        <v>0</v>
      </c>
      <c r="G95" s="679">
        <f>-$D$84*G92</f>
        <v>0</v>
      </c>
      <c r="H95" s="679">
        <f t="shared" ref="H95:R95" si="29">-$D$84*H92</f>
        <v>0</v>
      </c>
      <c r="I95" s="679">
        <f t="shared" si="29"/>
        <v>0</v>
      </c>
      <c r="J95" s="679">
        <f t="shared" si="29"/>
        <v>0</v>
      </c>
      <c r="K95" s="679">
        <f t="shared" si="29"/>
        <v>0</v>
      </c>
      <c r="L95" s="679">
        <f t="shared" si="29"/>
        <v>0</v>
      </c>
      <c r="M95" s="679">
        <f t="shared" si="29"/>
        <v>0</v>
      </c>
      <c r="N95" s="679">
        <f t="shared" si="29"/>
        <v>0</v>
      </c>
      <c r="O95" s="679">
        <f t="shared" si="29"/>
        <v>0</v>
      </c>
      <c r="P95" s="679">
        <f t="shared" si="29"/>
        <v>0</v>
      </c>
      <c r="Q95" s="679">
        <f t="shared" si="29"/>
        <v>0</v>
      </c>
      <c r="R95" s="679">
        <f t="shared" si="29"/>
        <v>0</v>
      </c>
    </row>
    <row r="96" spans="2:18" hidden="1">
      <c r="B96" s="633" t="s">
        <v>821</v>
      </c>
      <c r="C96" s="636"/>
      <c r="D96" s="634"/>
      <c r="E96" s="679"/>
      <c r="F96" s="679">
        <f>-$D$86*F92</f>
        <v>0</v>
      </c>
      <c r="G96" s="679">
        <f>-$D$86*G92</f>
        <v>0</v>
      </c>
      <c r="H96" s="679">
        <f t="shared" ref="H96:R96" si="30">-$D$86*H92</f>
        <v>0</v>
      </c>
      <c r="I96" s="679">
        <f t="shared" si="30"/>
        <v>0</v>
      </c>
      <c r="J96" s="679">
        <f t="shared" si="30"/>
        <v>0</v>
      </c>
      <c r="K96" s="679">
        <f t="shared" si="30"/>
        <v>0</v>
      </c>
      <c r="L96" s="679">
        <f t="shared" si="30"/>
        <v>0</v>
      </c>
      <c r="M96" s="679">
        <f t="shared" si="30"/>
        <v>0</v>
      </c>
      <c r="N96" s="679">
        <f t="shared" si="30"/>
        <v>0</v>
      </c>
      <c r="O96" s="679">
        <f t="shared" si="30"/>
        <v>0</v>
      </c>
      <c r="P96" s="679">
        <f t="shared" si="30"/>
        <v>0</v>
      </c>
      <c r="Q96" s="679">
        <f t="shared" si="30"/>
        <v>0</v>
      </c>
      <c r="R96" s="679">
        <f t="shared" si="30"/>
        <v>0</v>
      </c>
    </row>
    <row r="97" spans="1:20" hidden="1">
      <c r="B97" s="633" t="s">
        <v>822</v>
      </c>
      <c r="C97" s="636"/>
      <c r="D97" s="634"/>
      <c r="E97" s="679"/>
      <c r="F97" s="679">
        <f>SUM(F92:F96)</f>
        <v>0</v>
      </c>
      <c r="G97" s="679">
        <f>SUM(G92:G96)</f>
        <v>0</v>
      </c>
      <c r="H97" s="679">
        <f t="shared" ref="H97:R97" si="31">SUM(H92:H96)</f>
        <v>0</v>
      </c>
      <c r="I97" s="679">
        <f t="shared" si="31"/>
        <v>0</v>
      </c>
      <c r="J97" s="679">
        <f t="shared" si="31"/>
        <v>0</v>
      </c>
      <c r="K97" s="679">
        <f t="shared" si="31"/>
        <v>0</v>
      </c>
      <c r="L97" s="679">
        <f t="shared" si="31"/>
        <v>0</v>
      </c>
      <c r="M97" s="679">
        <f t="shared" si="31"/>
        <v>0</v>
      </c>
      <c r="N97" s="679">
        <f t="shared" si="31"/>
        <v>0</v>
      </c>
      <c r="O97" s="679">
        <f t="shared" si="31"/>
        <v>0</v>
      </c>
      <c r="P97" s="679">
        <f t="shared" si="31"/>
        <v>0</v>
      </c>
      <c r="Q97" s="679">
        <f t="shared" si="31"/>
        <v>0</v>
      </c>
      <c r="R97" s="679">
        <f t="shared" si="31"/>
        <v>0</v>
      </c>
    </row>
    <row r="98" spans="1:20" s="640" customFormat="1" hidden="1">
      <c r="B98" s="728" t="s">
        <v>846</v>
      </c>
      <c r="F98" s="640">
        <v>0.22</v>
      </c>
      <c r="G98" s="640">
        <v>0.2</v>
      </c>
      <c r="H98" s="640">
        <f>G98</f>
        <v>0.2</v>
      </c>
      <c r="I98" s="640">
        <f t="shared" ref="I98:R98" si="32">H98</f>
        <v>0.2</v>
      </c>
      <c r="J98" s="640">
        <f t="shared" si="32"/>
        <v>0.2</v>
      </c>
      <c r="K98" s="640">
        <f t="shared" si="32"/>
        <v>0.2</v>
      </c>
      <c r="L98" s="640">
        <f t="shared" si="32"/>
        <v>0.2</v>
      </c>
      <c r="M98" s="640">
        <f t="shared" si="32"/>
        <v>0.2</v>
      </c>
      <c r="N98" s="640">
        <f t="shared" si="32"/>
        <v>0.2</v>
      </c>
      <c r="O98" s="640">
        <f t="shared" si="32"/>
        <v>0.2</v>
      </c>
      <c r="P98" s="640">
        <f t="shared" si="32"/>
        <v>0.2</v>
      </c>
      <c r="Q98" s="640">
        <f t="shared" si="32"/>
        <v>0.2</v>
      </c>
      <c r="R98" s="640">
        <f t="shared" si="32"/>
        <v>0.2</v>
      </c>
    </row>
    <row r="99" spans="1:20" hidden="1">
      <c r="B99" s="633" t="s">
        <v>661</v>
      </c>
      <c r="C99" s="636"/>
      <c r="D99" s="634"/>
      <c r="E99" s="679"/>
      <c r="F99" s="679">
        <f>IF(F97&lt;0,F97,F97*(1-F98))</f>
        <v>0</v>
      </c>
      <c r="G99" s="679">
        <f>IF(G97&lt;0,G97,G97*(1-G98))</f>
        <v>0</v>
      </c>
      <c r="H99" s="679">
        <f t="shared" ref="H99:R99" si="33">IF(H97&lt;0,H97,H97*(1-H98))</f>
        <v>0</v>
      </c>
      <c r="I99" s="679">
        <f t="shared" si="33"/>
        <v>0</v>
      </c>
      <c r="J99" s="679">
        <f t="shared" si="33"/>
        <v>0</v>
      </c>
      <c r="K99" s="679">
        <f t="shared" si="33"/>
        <v>0</v>
      </c>
      <c r="L99" s="679">
        <f t="shared" si="33"/>
        <v>0</v>
      </c>
      <c r="M99" s="679">
        <f t="shared" si="33"/>
        <v>0</v>
      </c>
      <c r="N99" s="679">
        <f t="shared" si="33"/>
        <v>0</v>
      </c>
      <c r="O99" s="679">
        <f t="shared" si="33"/>
        <v>0</v>
      </c>
      <c r="P99" s="679">
        <f t="shared" si="33"/>
        <v>0</v>
      </c>
      <c r="Q99" s="679">
        <f t="shared" si="33"/>
        <v>0</v>
      </c>
      <c r="R99" s="679">
        <f t="shared" si="33"/>
        <v>0</v>
      </c>
    </row>
    <row r="100" spans="1:20" hidden="1">
      <c r="B100" s="633"/>
      <c r="C100" s="636"/>
      <c r="D100" s="634"/>
      <c r="E100" s="679"/>
      <c r="F100" s="679"/>
      <c r="G100" s="679"/>
      <c r="H100" s="679"/>
      <c r="I100" s="679"/>
      <c r="J100" s="679"/>
      <c r="K100" s="679"/>
      <c r="L100" s="679"/>
      <c r="M100" s="679"/>
      <c r="N100" s="679"/>
      <c r="O100" s="679"/>
      <c r="P100" s="679"/>
      <c r="Q100" s="679"/>
      <c r="R100" s="679"/>
    </row>
    <row r="101" spans="1:20" hidden="1">
      <c r="A101" s="666" t="s">
        <v>823</v>
      </c>
      <c r="B101" s="666" t="s">
        <v>877</v>
      </c>
      <c r="C101" s="666"/>
      <c r="D101" s="666"/>
      <c r="E101" s="666"/>
      <c r="F101" s="666"/>
      <c r="G101" s="666"/>
      <c r="H101" s="666"/>
      <c r="I101" s="666"/>
      <c r="J101" s="666"/>
      <c r="K101" s="666"/>
      <c r="L101" s="666"/>
      <c r="M101" s="666"/>
      <c r="N101" s="666"/>
      <c r="O101" s="666"/>
      <c r="P101" s="666"/>
      <c r="Q101" s="666"/>
      <c r="R101" s="666"/>
      <c r="S101" s="666"/>
      <c r="T101" s="666"/>
    </row>
    <row r="102" spans="1:20" hidden="1">
      <c r="A102" s="633"/>
      <c r="B102" s="633"/>
      <c r="C102" s="633" t="s">
        <v>764</v>
      </c>
      <c r="D102" s="633"/>
      <c r="E102" s="633"/>
      <c r="F102" s="633"/>
      <c r="G102" s="633"/>
      <c r="H102" s="633"/>
      <c r="I102" s="633"/>
      <c r="J102" s="633"/>
      <c r="K102" s="633"/>
      <c r="L102" s="633"/>
      <c r="M102" s="633"/>
      <c r="N102" s="633"/>
      <c r="O102" s="633"/>
      <c r="P102" s="633"/>
      <c r="Q102" s="633"/>
      <c r="R102" s="633"/>
      <c r="S102" s="633"/>
      <c r="T102" s="633"/>
    </row>
    <row r="103" spans="1:20" ht="12" hidden="1" thickBot="1">
      <c r="B103" s="634" t="s">
        <v>686</v>
      </c>
      <c r="C103" s="634" t="s">
        <v>767</v>
      </c>
      <c r="D103" s="683">
        <v>0</v>
      </c>
      <c r="E103" s="633"/>
    </row>
    <row r="104" spans="1:20" ht="12" hidden="1" thickBot="1">
      <c r="B104" s="634" t="s">
        <v>779</v>
      </c>
      <c r="C104" s="634" t="s">
        <v>780</v>
      </c>
      <c r="D104" s="685">
        <v>0.75</v>
      </c>
      <c r="G104" s="633"/>
      <c r="H104" s="633"/>
      <c r="I104" s="633"/>
      <c r="J104" s="633"/>
      <c r="K104" s="633"/>
      <c r="L104" s="633"/>
      <c r="M104" s="633"/>
      <c r="N104" s="633"/>
      <c r="O104" s="633"/>
      <c r="P104" s="633"/>
      <c r="Q104" s="633"/>
      <c r="R104" s="633"/>
      <c r="S104" s="633"/>
      <c r="T104" s="633"/>
    </row>
    <row r="105" spans="1:20" ht="12" hidden="1" thickBot="1">
      <c r="B105" s="634" t="s">
        <v>808</v>
      </c>
      <c r="C105" s="634" t="s">
        <v>767</v>
      </c>
      <c r="D105" s="683">
        <f>D103*D104</f>
        <v>0</v>
      </c>
      <c r="H105" s="729"/>
    </row>
    <row r="106" spans="1:20" ht="12" hidden="1" thickBot="1">
      <c r="B106" s="634" t="s">
        <v>809</v>
      </c>
      <c r="C106" s="634" t="s">
        <v>769</v>
      </c>
      <c r="D106" s="730">
        <f>(30+5)*21000*12/10^6</f>
        <v>8.82</v>
      </c>
      <c r="J106" s="688"/>
    </row>
    <row r="107" spans="1:20" ht="12" hidden="1" thickBot="1">
      <c r="B107" s="634" t="s">
        <v>810</v>
      </c>
      <c r="C107" s="634" t="s">
        <v>780</v>
      </c>
      <c r="D107" s="685">
        <v>0.05</v>
      </c>
      <c r="G107" s="633"/>
    </row>
    <row r="108" spans="1:20" ht="12" hidden="1" thickBot="1">
      <c r="B108" s="634" t="s">
        <v>811</v>
      </c>
      <c r="C108" s="634" t="s">
        <v>780</v>
      </c>
      <c r="D108" s="685">
        <v>0.8</v>
      </c>
    </row>
    <row r="109" spans="1:20" ht="12" hidden="1" thickBot="1">
      <c r="B109" s="634" t="s">
        <v>750</v>
      </c>
      <c r="C109" s="634" t="s">
        <v>769</v>
      </c>
      <c r="D109" s="674">
        <v>11</v>
      </c>
      <c r="G109" s="633"/>
    </row>
    <row r="110" spans="1:20" ht="12" hidden="1" thickBot="1">
      <c r="B110" s="634" t="s">
        <v>812</v>
      </c>
      <c r="C110" s="634" t="s">
        <v>780</v>
      </c>
      <c r="D110" s="685">
        <v>0.05</v>
      </c>
      <c r="G110" s="633"/>
    </row>
    <row r="111" spans="1:20" ht="12" hidden="1" thickBot="1">
      <c r="B111" s="634" t="s">
        <v>243</v>
      </c>
      <c r="C111" s="634" t="s">
        <v>813</v>
      </c>
      <c r="D111" s="683">
        <v>45</v>
      </c>
      <c r="G111" s="633"/>
    </row>
    <row r="112" spans="1:20" ht="12" hidden="1" thickBot="1">
      <c r="B112" s="634" t="s">
        <v>814</v>
      </c>
      <c r="C112" s="634" t="s">
        <v>780</v>
      </c>
      <c r="D112" s="685">
        <v>0.1</v>
      </c>
      <c r="G112" s="633"/>
    </row>
    <row r="113" spans="1:20" hidden="1">
      <c r="D113" s="634"/>
      <c r="G113" s="633"/>
    </row>
    <row r="114" spans="1:20" hidden="1">
      <c r="D114" s="634"/>
      <c r="G114" s="633"/>
    </row>
    <row r="115" spans="1:20" hidden="1">
      <c r="B115" s="706" t="s">
        <v>878</v>
      </c>
      <c r="C115" s="707"/>
      <c r="D115" s="707"/>
      <c r="E115" s="707"/>
      <c r="F115" s="707"/>
      <c r="G115" s="707"/>
      <c r="H115" s="707"/>
      <c r="I115" s="707"/>
      <c r="J115" s="707"/>
      <c r="K115" s="707"/>
      <c r="L115" s="707"/>
      <c r="M115" s="707"/>
      <c r="N115" s="707"/>
      <c r="O115" s="707"/>
      <c r="P115" s="707"/>
      <c r="Q115" s="707"/>
      <c r="R115" s="707"/>
    </row>
    <row r="116" spans="1:20" hidden="1">
      <c r="B116" s="700"/>
      <c r="C116" s="677"/>
      <c r="D116" s="677" t="str">
        <f>D32</f>
        <v>Past</v>
      </c>
      <c r="E116" s="677">
        <f>E32</f>
        <v>2014</v>
      </c>
      <c r="F116" s="677">
        <f t="shared" ref="F116:R116" si="34">F32</f>
        <v>2015</v>
      </c>
      <c r="G116" s="677">
        <f t="shared" si="34"/>
        <v>2016</v>
      </c>
      <c r="H116" s="677">
        <f t="shared" si="34"/>
        <v>2017</v>
      </c>
      <c r="I116" s="677">
        <f t="shared" si="34"/>
        <v>2018</v>
      </c>
      <c r="J116" s="677">
        <f t="shared" si="34"/>
        <v>2019</v>
      </c>
      <c r="K116" s="677">
        <f t="shared" si="34"/>
        <v>2020</v>
      </c>
      <c r="L116" s="677">
        <f t="shared" si="34"/>
        <v>2021</v>
      </c>
      <c r="M116" s="677">
        <f t="shared" si="34"/>
        <v>2022</v>
      </c>
      <c r="N116" s="677">
        <f t="shared" si="34"/>
        <v>2023</v>
      </c>
      <c r="O116" s="677">
        <f t="shared" si="34"/>
        <v>2024</v>
      </c>
      <c r="P116" s="677">
        <f t="shared" si="34"/>
        <v>2025</v>
      </c>
      <c r="Q116" s="677">
        <f t="shared" si="34"/>
        <v>2026</v>
      </c>
      <c r="R116" s="677">
        <f t="shared" si="34"/>
        <v>2027</v>
      </c>
    </row>
    <row r="117" spans="1:20" hidden="1">
      <c r="B117" s="633" t="s">
        <v>815</v>
      </c>
      <c r="D117" s="634"/>
      <c r="E117" s="688"/>
      <c r="F117" s="701">
        <f>D106</f>
        <v>8.82</v>
      </c>
      <c r="G117" s="701">
        <f>F117*(1+G118)</f>
        <v>9.261000000000001</v>
      </c>
      <c r="H117" s="701">
        <f t="shared" ref="H117:R117" si="35">G117*(1+H118)</f>
        <v>9.7240500000000019</v>
      </c>
      <c r="I117" s="701">
        <f t="shared" si="35"/>
        <v>10.210252500000003</v>
      </c>
      <c r="J117" s="701">
        <f t="shared" si="35"/>
        <v>10.720765125000003</v>
      </c>
      <c r="K117" s="701">
        <f t="shared" si="35"/>
        <v>11.256803381250004</v>
      </c>
      <c r="L117" s="701">
        <f t="shared" si="35"/>
        <v>11.819643550312504</v>
      </c>
      <c r="M117" s="701">
        <f t="shared" si="35"/>
        <v>12.41062572782813</v>
      </c>
      <c r="N117" s="701">
        <f t="shared" si="35"/>
        <v>13.031157014219536</v>
      </c>
      <c r="O117" s="701">
        <f t="shared" si="35"/>
        <v>13.682714864930514</v>
      </c>
      <c r="P117" s="701">
        <f t="shared" si="35"/>
        <v>14.366850608177041</v>
      </c>
      <c r="Q117" s="701">
        <f t="shared" si="35"/>
        <v>15.085193138585893</v>
      </c>
      <c r="R117" s="701">
        <f t="shared" si="35"/>
        <v>15.839452795515189</v>
      </c>
    </row>
    <row r="118" spans="1:20" hidden="1">
      <c r="B118" s="654" t="s">
        <v>816</v>
      </c>
      <c r="D118" s="634"/>
      <c r="F118" s="696"/>
      <c r="G118" s="696">
        <v>0.05</v>
      </c>
      <c r="H118" s="696">
        <f t="shared" ref="H118:R119" si="36">G118</f>
        <v>0.05</v>
      </c>
      <c r="I118" s="696">
        <f t="shared" si="36"/>
        <v>0.05</v>
      </c>
      <c r="J118" s="696">
        <f t="shared" si="36"/>
        <v>0.05</v>
      </c>
      <c r="K118" s="696">
        <f t="shared" si="36"/>
        <v>0.05</v>
      </c>
      <c r="L118" s="696">
        <f t="shared" si="36"/>
        <v>0.05</v>
      </c>
      <c r="M118" s="696">
        <f t="shared" si="36"/>
        <v>0.05</v>
      </c>
      <c r="N118" s="696">
        <f t="shared" si="36"/>
        <v>0.05</v>
      </c>
      <c r="O118" s="696">
        <f t="shared" si="36"/>
        <v>0.05</v>
      </c>
      <c r="P118" s="696">
        <f t="shared" si="36"/>
        <v>0.05</v>
      </c>
      <c r="Q118" s="696">
        <f t="shared" si="36"/>
        <v>0.05</v>
      </c>
      <c r="R118" s="696">
        <f t="shared" si="36"/>
        <v>0.05</v>
      </c>
    </row>
    <row r="119" spans="1:20" hidden="1">
      <c r="B119" s="633" t="s">
        <v>817</v>
      </c>
      <c r="D119" s="634"/>
      <c r="E119" s="636"/>
      <c r="F119" s="696"/>
      <c r="G119" s="696">
        <v>0</v>
      </c>
      <c r="H119" s="696">
        <v>0.9</v>
      </c>
      <c r="I119" s="696">
        <f>H119+5%</f>
        <v>0.95000000000000007</v>
      </c>
      <c r="J119" s="696">
        <f>I119</f>
        <v>0.95000000000000007</v>
      </c>
      <c r="K119" s="696">
        <f t="shared" si="36"/>
        <v>0.95000000000000007</v>
      </c>
      <c r="L119" s="696">
        <f t="shared" si="36"/>
        <v>0.95000000000000007</v>
      </c>
      <c r="M119" s="696">
        <f t="shared" si="36"/>
        <v>0.95000000000000007</v>
      </c>
      <c r="N119" s="696">
        <f t="shared" si="36"/>
        <v>0.95000000000000007</v>
      </c>
      <c r="O119" s="696">
        <f t="shared" si="36"/>
        <v>0.95000000000000007</v>
      </c>
      <c r="P119" s="696">
        <f t="shared" si="36"/>
        <v>0.95000000000000007</v>
      </c>
      <c r="Q119" s="696">
        <f t="shared" si="36"/>
        <v>0.95000000000000007</v>
      </c>
      <c r="R119" s="696">
        <f t="shared" si="36"/>
        <v>0.95000000000000007</v>
      </c>
    </row>
    <row r="120" spans="1:20" hidden="1">
      <c r="B120" s="633" t="s">
        <v>818</v>
      </c>
      <c r="D120" s="634"/>
      <c r="E120" s="688"/>
      <c r="F120" s="688">
        <v>0</v>
      </c>
      <c r="G120" s="688">
        <f>G117*G119*$D$105</f>
        <v>0</v>
      </c>
      <c r="H120" s="688">
        <f t="shared" ref="H120:R120" si="37">H117*H119*$D$105</f>
        <v>0</v>
      </c>
      <c r="I120" s="688">
        <f t="shared" si="37"/>
        <v>0</v>
      </c>
      <c r="J120" s="688">
        <f t="shared" si="37"/>
        <v>0</v>
      </c>
      <c r="K120" s="688">
        <f t="shared" si="37"/>
        <v>0</v>
      </c>
      <c r="L120" s="688">
        <f t="shared" si="37"/>
        <v>0</v>
      </c>
      <c r="M120" s="688">
        <f t="shared" si="37"/>
        <v>0</v>
      </c>
      <c r="N120" s="688">
        <f t="shared" si="37"/>
        <v>0</v>
      </c>
      <c r="O120" s="688">
        <f t="shared" si="37"/>
        <v>0</v>
      </c>
      <c r="P120" s="688">
        <f t="shared" si="37"/>
        <v>0</v>
      </c>
      <c r="Q120" s="688">
        <f t="shared" si="37"/>
        <v>0</v>
      </c>
      <c r="R120" s="688">
        <f t="shared" si="37"/>
        <v>0</v>
      </c>
    </row>
    <row r="121" spans="1:20" hidden="1">
      <c r="B121" s="633" t="s">
        <v>243</v>
      </c>
      <c r="C121" s="679">
        <f>$D$109*$D$103+($E$3+$E$4+SUMIF($D$207:$R$207,"&lt;="&amp;$E$6,$D$213:$R$213))*$D$103/SUM($D$77,$D$132,$D$45,$D$103)</f>
        <v>0</v>
      </c>
      <c r="D121" s="634"/>
      <c r="E121" s="688"/>
      <c r="F121" s="688">
        <v>0</v>
      </c>
      <c r="G121" s="688">
        <v>0</v>
      </c>
      <c r="H121" s="688">
        <f t="shared" ref="H121:R121" si="38">-$C$121/$D$111</f>
        <v>0</v>
      </c>
      <c r="I121" s="688">
        <f t="shared" si="38"/>
        <v>0</v>
      </c>
      <c r="J121" s="688">
        <f t="shared" si="38"/>
        <v>0</v>
      </c>
      <c r="K121" s="688">
        <f t="shared" si="38"/>
        <v>0</v>
      </c>
      <c r="L121" s="688">
        <f t="shared" si="38"/>
        <v>0</v>
      </c>
      <c r="M121" s="688">
        <f t="shared" si="38"/>
        <v>0</v>
      </c>
      <c r="N121" s="688">
        <f t="shared" si="38"/>
        <v>0</v>
      </c>
      <c r="O121" s="688">
        <f t="shared" si="38"/>
        <v>0</v>
      </c>
      <c r="P121" s="688">
        <f t="shared" si="38"/>
        <v>0</v>
      </c>
      <c r="Q121" s="688">
        <f t="shared" si="38"/>
        <v>0</v>
      </c>
      <c r="R121" s="688">
        <f t="shared" si="38"/>
        <v>0</v>
      </c>
    </row>
    <row r="122" spans="1:20" hidden="1">
      <c r="B122" s="633" t="s">
        <v>879</v>
      </c>
      <c r="C122" s="636"/>
      <c r="D122" s="634"/>
      <c r="E122" s="679"/>
      <c r="F122" s="679">
        <f>-$D110*F120</f>
        <v>0</v>
      </c>
      <c r="G122" s="679">
        <f>-$D110*G120</f>
        <v>0</v>
      </c>
      <c r="H122" s="679">
        <f t="shared" ref="H122:R122" si="39">-$D110*H120</f>
        <v>0</v>
      </c>
      <c r="I122" s="679">
        <f t="shared" si="39"/>
        <v>0</v>
      </c>
      <c r="J122" s="679">
        <f t="shared" si="39"/>
        <v>0</v>
      </c>
      <c r="K122" s="679">
        <f t="shared" si="39"/>
        <v>0</v>
      </c>
      <c r="L122" s="679">
        <f t="shared" si="39"/>
        <v>0</v>
      </c>
      <c r="M122" s="679">
        <f t="shared" si="39"/>
        <v>0</v>
      </c>
      <c r="N122" s="679">
        <f t="shared" si="39"/>
        <v>0</v>
      </c>
      <c r="O122" s="679">
        <f t="shared" si="39"/>
        <v>0</v>
      </c>
      <c r="P122" s="679">
        <f t="shared" si="39"/>
        <v>0</v>
      </c>
      <c r="Q122" s="679">
        <f t="shared" si="39"/>
        <v>0</v>
      </c>
      <c r="R122" s="679">
        <f t="shared" si="39"/>
        <v>0</v>
      </c>
    </row>
    <row r="123" spans="1:20" hidden="1">
      <c r="B123" s="633" t="s">
        <v>821</v>
      </c>
      <c r="C123" s="636"/>
      <c r="D123" s="634"/>
      <c r="E123" s="679"/>
      <c r="F123" s="679">
        <f>-$D112*F120</f>
        <v>0</v>
      </c>
      <c r="G123" s="679">
        <f>-$D112*G120</f>
        <v>0</v>
      </c>
      <c r="H123" s="679">
        <f t="shared" ref="H123:R123" si="40">-$D112*H120</f>
        <v>0</v>
      </c>
      <c r="I123" s="679">
        <f t="shared" si="40"/>
        <v>0</v>
      </c>
      <c r="J123" s="679">
        <f t="shared" si="40"/>
        <v>0</v>
      </c>
      <c r="K123" s="679">
        <f t="shared" si="40"/>
        <v>0</v>
      </c>
      <c r="L123" s="679">
        <f t="shared" si="40"/>
        <v>0</v>
      </c>
      <c r="M123" s="679">
        <f t="shared" si="40"/>
        <v>0</v>
      </c>
      <c r="N123" s="679">
        <f t="shared" si="40"/>
        <v>0</v>
      </c>
      <c r="O123" s="679">
        <f t="shared" si="40"/>
        <v>0</v>
      </c>
      <c r="P123" s="679">
        <f t="shared" si="40"/>
        <v>0</v>
      </c>
      <c r="Q123" s="679">
        <f t="shared" si="40"/>
        <v>0</v>
      </c>
      <c r="R123" s="679">
        <f t="shared" si="40"/>
        <v>0</v>
      </c>
    </row>
    <row r="124" spans="1:20" hidden="1">
      <c r="B124" s="731" t="s">
        <v>805</v>
      </c>
      <c r="C124" s="636"/>
      <c r="D124" s="634"/>
      <c r="E124" s="679"/>
      <c r="F124" s="679"/>
      <c r="G124" s="679">
        <v>0</v>
      </c>
      <c r="H124" s="679">
        <f t="shared" ref="H124:R124" si="41">-J213*$D$103/SUM($D$77,$D$132,$D$45,$D$103)</f>
        <v>0</v>
      </c>
      <c r="I124" s="679">
        <f t="shared" si="41"/>
        <v>0</v>
      </c>
      <c r="J124" s="679">
        <f t="shared" si="41"/>
        <v>0</v>
      </c>
      <c r="K124" s="679">
        <f t="shared" si="41"/>
        <v>0</v>
      </c>
      <c r="L124" s="679">
        <f t="shared" si="41"/>
        <v>0</v>
      </c>
      <c r="M124" s="679">
        <f t="shared" si="41"/>
        <v>0</v>
      </c>
      <c r="N124" s="679">
        <f t="shared" si="41"/>
        <v>0</v>
      </c>
      <c r="O124" s="679">
        <f t="shared" si="41"/>
        <v>0</v>
      </c>
      <c r="P124" s="679">
        <f t="shared" si="41"/>
        <v>0</v>
      </c>
      <c r="Q124" s="679">
        <f t="shared" si="41"/>
        <v>0</v>
      </c>
      <c r="R124" s="679">
        <f t="shared" si="41"/>
        <v>0</v>
      </c>
      <c r="S124" s="679"/>
      <c r="T124" s="679"/>
    </row>
    <row r="125" spans="1:20" hidden="1">
      <c r="B125" s="633" t="s">
        <v>845</v>
      </c>
      <c r="C125" s="636"/>
      <c r="D125" s="634"/>
      <c r="E125" s="679"/>
      <c r="F125" s="679">
        <f>F120+SUM(F121:F124)</f>
        <v>0</v>
      </c>
      <c r="G125" s="679">
        <f>G120+SUM(G121:G124)</f>
        <v>0</v>
      </c>
      <c r="H125" s="679">
        <f t="shared" ref="H125:R125" si="42">H120+SUM(H121:H124)</f>
        <v>0</v>
      </c>
      <c r="I125" s="679">
        <f t="shared" si="42"/>
        <v>0</v>
      </c>
      <c r="J125" s="679">
        <f t="shared" si="42"/>
        <v>0</v>
      </c>
      <c r="K125" s="679">
        <f t="shared" si="42"/>
        <v>0</v>
      </c>
      <c r="L125" s="679">
        <f t="shared" si="42"/>
        <v>0</v>
      </c>
      <c r="M125" s="679">
        <f t="shared" si="42"/>
        <v>0</v>
      </c>
      <c r="N125" s="679">
        <f t="shared" si="42"/>
        <v>0</v>
      </c>
      <c r="O125" s="679">
        <f t="shared" si="42"/>
        <v>0</v>
      </c>
      <c r="P125" s="679">
        <f t="shared" si="42"/>
        <v>0</v>
      </c>
      <c r="Q125" s="679">
        <f t="shared" si="42"/>
        <v>0</v>
      </c>
      <c r="R125" s="679">
        <f t="shared" si="42"/>
        <v>0</v>
      </c>
    </row>
    <row r="126" spans="1:20" hidden="1">
      <c r="B126" s="634" t="s">
        <v>846</v>
      </c>
      <c r="C126" s="636"/>
      <c r="D126" s="636"/>
      <c r="E126" s="636"/>
      <c r="F126" s="636">
        <v>0.22</v>
      </c>
      <c r="G126" s="636">
        <v>0.2</v>
      </c>
      <c r="H126" s="636">
        <f>G126</f>
        <v>0.2</v>
      </c>
      <c r="I126" s="636">
        <f t="shared" ref="I126:R126" si="43">H126</f>
        <v>0.2</v>
      </c>
      <c r="J126" s="636">
        <f t="shared" si="43"/>
        <v>0.2</v>
      </c>
      <c r="K126" s="636">
        <f t="shared" si="43"/>
        <v>0.2</v>
      </c>
      <c r="L126" s="636">
        <f t="shared" si="43"/>
        <v>0.2</v>
      </c>
      <c r="M126" s="636">
        <f t="shared" si="43"/>
        <v>0.2</v>
      </c>
      <c r="N126" s="636">
        <f t="shared" si="43"/>
        <v>0.2</v>
      </c>
      <c r="O126" s="636">
        <f t="shared" si="43"/>
        <v>0.2</v>
      </c>
      <c r="P126" s="636">
        <f t="shared" si="43"/>
        <v>0.2</v>
      </c>
      <c r="Q126" s="636">
        <f t="shared" si="43"/>
        <v>0.2</v>
      </c>
      <c r="R126" s="636">
        <f t="shared" si="43"/>
        <v>0.2</v>
      </c>
      <c r="S126" s="636"/>
      <c r="T126" s="636"/>
    </row>
    <row r="127" spans="1:20" hidden="1">
      <c r="B127" s="633" t="s">
        <v>661</v>
      </c>
      <c r="C127" s="692"/>
      <c r="D127" s="692"/>
      <c r="E127" s="692"/>
      <c r="F127" s="692">
        <f>IF(F125&lt;0,F125,F125*(1-F126))</f>
        <v>0</v>
      </c>
      <c r="G127" s="692">
        <f>IF(G125&lt;0,G125,G125*(1-G126))</f>
        <v>0</v>
      </c>
      <c r="H127" s="692">
        <f>IF(H125&lt;0,H125,H125*(1-H126))</f>
        <v>0</v>
      </c>
      <c r="I127" s="692">
        <f t="shared" ref="I127:R127" si="44">IF(I125&lt;0,I125,I125*(1-I126))</f>
        <v>0</v>
      </c>
      <c r="J127" s="692">
        <f t="shared" si="44"/>
        <v>0</v>
      </c>
      <c r="K127" s="692">
        <f t="shared" si="44"/>
        <v>0</v>
      </c>
      <c r="L127" s="692">
        <f t="shared" si="44"/>
        <v>0</v>
      </c>
      <c r="M127" s="692">
        <f t="shared" si="44"/>
        <v>0</v>
      </c>
      <c r="N127" s="692">
        <f t="shared" si="44"/>
        <v>0</v>
      </c>
      <c r="O127" s="692">
        <f t="shared" si="44"/>
        <v>0</v>
      </c>
      <c r="P127" s="692">
        <f t="shared" si="44"/>
        <v>0</v>
      </c>
      <c r="Q127" s="692">
        <f t="shared" si="44"/>
        <v>0</v>
      </c>
      <c r="R127" s="692">
        <f t="shared" si="44"/>
        <v>0</v>
      </c>
      <c r="S127" s="692"/>
      <c r="T127" s="692"/>
    </row>
    <row r="128" spans="1:20" ht="14.25">
      <c r="A128" s="604"/>
      <c r="B128" s="604"/>
      <c r="C128" s="604"/>
      <c r="D128" s="604"/>
      <c r="E128" s="604"/>
      <c r="F128" s="604"/>
      <c r="G128" s="604"/>
      <c r="H128" s="604"/>
      <c r="I128" s="604"/>
      <c r="J128" s="604"/>
      <c r="K128" s="732"/>
      <c r="L128" s="604"/>
      <c r="M128" s="604"/>
      <c r="N128" s="604"/>
      <c r="O128" s="604"/>
      <c r="P128" s="604"/>
      <c r="Q128" s="604"/>
      <c r="R128" s="604"/>
      <c r="S128" s="604"/>
      <c r="T128" s="604"/>
    </row>
    <row r="129" spans="1:28">
      <c r="B129" s="634" t="s">
        <v>630</v>
      </c>
      <c r="G129" s="640"/>
    </row>
    <row r="130" spans="1:28" s="666" customFormat="1" hidden="1">
      <c r="A130" s="666" t="s">
        <v>828</v>
      </c>
      <c r="B130" s="666" t="s">
        <v>831</v>
      </c>
      <c r="AB130" s="667"/>
    </row>
    <row r="131" spans="1:28" hidden="1">
      <c r="C131" s="634" t="s">
        <v>764</v>
      </c>
      <c r="D131" s="634"/>
      <c r="E131" s="633"/>
    </row>
    <row r="132" spans="1:28" ht="12" hidden="1" thickBot="1">
      <c r="B132" s="634" t="s">
        <v>686</v>
      </c>
      <c r="C132" s="634" t="s">
        <v>767</v>
      </c>
      <c r="D132" s="683">
        <v>0</v>
      </c>
      <c r="E132" s="633"/>
    </row>
    <row r="133" spans="1:28" ht="12" hidden="1" thickBot="1">
      <c r="B133" s="634" t="s">
        <v>779</v>
      </c>
      <c r="C133" s="634" t="s">
        <v>780</v>
      </c>
      <c r="D133" s="685">
        <v>0.7</v>
      </c>
      <c r="E133" s="633"/>
      <c r="G133" s="633"/>
      <c r="H133" s="633"/>
      <c r="I133" s="633"/>
      <c r="J133" s="633"/>
      <c r="K133" s="633"/>
      <c r="L133" s="633"/>
      <c r="M133" s="633"/>
      <c r="N133" s="633"/>
      <c r="O133" s="633"/>
      <c r="P133" s="633"/>
      <c r="Q133" s="633"/>
      <c r="R133" s="633"/>
      <c r="S133" s="633"/>
      <c r="T133" s="633"/>
      <c r="U133" s="633"/>
      <c r="V133" s="633"/>
      <c r="W133" s="633"/>
    </row>
    <row r="134" spans="1:28" ht="12" hidden="1" thickBot="1">
      <c r="B134" s="634" t="s">
        <v>808</v>
      </c>
      <c r="C134" s="634" t="s">
        <v>767</v>
      </c>
      <c r="D134" s="671">
        <f>D132*D133</f>
        <v>0</v>
      </c>
    </row>
    <row r="135" spans="1:28" ht="12" hidden="1" thickBot="1">
      <c r="B135" s="634" t="s">
        <v>832</v>
      </c>
      <c r="D135" s="671">
        <f>D134*50%/(4*2.4)</f>
        <v>0</v>
      </c>
    </row>
    <row r="136" spans="1:28" ht="12" hidden="1" thickBot="1">
      <c r="B136" s="634" t="s">
        <v>833</v>
      </c>
      <c r="D136" s="671">
        <f>D134*50%/(1*2.4)</f>
        <v>0</v>
      </c>
      <c r="G136" s="633"/>
    </row>
    <row r="137" spans="1:28" ht="12" hidden="1" thickBot="1">
      <c r="B137" s="634" t="s">
        <v>834</v>
      </c>
      <c r="C137" s="634" t="s">
        <v>578</v>
      </c>
      <c r="D137" s="683">
        <v>20000</v>
      </c>
    </row>
    <row r="138" spans="1:28" ht="12" hidden="1" thickBot="1">
      <c r="B138" s="634" t="s">
        <v>835</v>
      </c>
      <c r="C138" s="634" t="s">
        <v>578</v>
      </c>
      <c r="D138" s="683">
        <v>5000</v>
      </c>
      <c r="G138" s="633"/>
    </row>
    <row r="139" spans="1:28" ht="12" hidden="1" thickBot="1">
      <c r="B139" s="634" t="s">
        <v>836</v>
      </c>
      <c r="C139" s="634" t="s">
        <v>837</v>
      </c>
      <c r="D139" s="705">
        <v>2</v>
      </c>
    </row>
    <row r="140" spans="1:28" ht="12" hidden="1" thickBot="1">
      <c r="B140" s="634" t="s">
        <v>838</v>
      </c>
      <c r="C140" s="634" t="s">
        <v>837</v>
      </c>
      <c r="D140" s="705">
        <v>2</v>
      </c>
    </row>
    <row r="141" spans="1:28" ht="12" hidden="1" thickBot="1">
      <c r="B141" s="634" t="s">
        <v>750</v>
      </c>
      <c r="D141" s="674">
        <v>11</v>
      </c>
    </row>
    <row r="142" spans="1:28" ht="12" hidden="1" thickBot="1">
      <c r="B142" s="634" t="s">
        <v>243</v>
      </c>
      <c r="C142" s="634" t="s">
        <v>813</v>
      </c>
      <c r="D142" s="683">
        <v>45</v>
      </c>
    </row>
    <row r="143" spans="1:28" ht="12" hidden="1" thickBot="1">
      <c r="B143" s="634" t="s">
        <v>814</v>
      </c>
      <c r="C143" s="634" t="s">
        <v>780</v>
      </c>
      <c r="D143" s="685">
        <v>0.1</v>
      </c>
    </row>
    <row r="144" spans="1:28" hidden="1"/>
    <row r="145" spans="2:20" hidden="1">
      <c r="B145" s="700"/>
      <c r="C145" s="677" t="str">
        <f t="shared" ref="C145:R145" si="45">C88</f>
        <v>Total</v>
      </c>
      <c r="D145" s="677" t="str">
        <f t="shared" si="45"/>
        <v>Past</v>
      </c>
      <c r="E145" s="677">
        <f t="shared" si="45"/>
        <v>2014</v>
      </c>
      <c r="F145" s="677">
        <f t="shared" si="45"/>
        <v>2015</v>
      </c>
      <c r="G145" s="677">
        <f t="shared" si="45"/>
        <v>2016</v>
      </c>
      <c r="H145" s="677">
        <f t="shared" si="45"/>
        <v>2017</v>
      </c>
      <c r="I145" s="677">
        <f t="shared" si="45"/>
        <v>2018</v>
      </c>
      <c r="J145" s="677">
        <f t="shared" si="45"/>
        <v>2019</v>
      </c>
      <c r="K145" s="677">
        <f t="shared" si="45"/>
        <v>2020</v>
      </c>
      <c r="L145" s="677">
        <f t="shared" si="45"/>
        <v>2021</v>
      </c>
      <c r="M145" s="677">
        <f t="shared" si="45"/>
        <v>2022</v>
      </c>
      <c r="N145" s="677">
        <f t="shared" si="45"/>
        <v>2023</v>
      </c>
      <c r="O145" s="677">
        <f t="shared" si="45"/>
        <v>2024</v>
      </c>
      <c r="P145" s="677">
        <f t="shared" si="45"/>
        <v>2025</v>
      </c>
      <c r="Q145" s="677">
        <f t="shared" si="45"/>
        <v>2026</v>
      </c>
      <c r="R145" s="677">
        <f t="shared" si="45"/>
        <v>2027</v>
      </c>
    </row>
    <row r="146" spans="2:20" hidden="1">
      <c r="B146" s="633" t="s">
        <v>839</v>
      </c>
      <c r="F146" s="679">
        <v>0</v>
      </c>
      <c r="G146" s="679">
        <v>0</v>
      </c>
      <c r="H146" s="679">
        <f t="shared" ref="H146:R146" si="46">$D$135*$D$137*$D$139*365/10^6</f>
        <v>0</v>
      </c>
      <c r="I146" s="679">
        <f t="shared" si="46"/>
        <v>0</v>
      </c>
      <c r="J146" s="679">
        <f t="shared" si="46"/>
        <v>0</v>
      </c>
      <c r="K146" s="679">
        <f t="shared" si="46"/>
        <v>0</v>
      </c>
      <c r="L146" s="679">
        <f t="shared" si="46"/>
        <v>0</v>
      </c>
      <c r="M146" s="679">
        <f t="shared" si="46"/>
        <v>0</v>
      </c>
      <c r="N146" s="679">
        <f t="shared" si="46"/>
        <v>0</v>
      </c>
      <c r="O146" s="679">
        <f t="shared" si="46"/>
        <v>0</v>
      </c>
      <c r="P146" s="679">
        <f t="shared" si="46"/>
        <v>0</v>
      </c>
      <c r="Q146" s="679">
        <f t="shared" si="46"/>
        <v>0</v>
      </c>
      <c r="R146" s="679">
        <f t="shared" si="46"/>
        <v>0</v>
      </c>
    </row>
    <row r="147" spans="2:20" hidden="1">
      <c r="B147" s="633" t="s">
        <v>840</v>
      </c>
      <c r="F147" s="679">
        <v>0</v>
      </c>
      <c r="G147" s="679">
        <v>0</v>
      </c>
      <c r="H147" s="679">
        <f t="shared" ref="H147:R147" si="47">$D$136*$D$138*$D$140*365/10^6</f>
        <v>0</v>
      </c>
      <c r="I147" s="679">
        <f t="shared" si="47"/>
        <v>0</v>
      </c>
      <c r="J147" s="679">
        <f t="shared" si="47"/>
        <v>0</v>
      </c>
      <c r="K147" s="679">
        <f t="shared" si="47"/>
        <v>0</v>
      </c>
      <c r="L147" s="679">
        <f t="shared" si="47"/>
        <v>0</v>
      </c>
      <c r="M147" s="679">
        <f t="shared" si="47"/>
        <v>0</v>
      </c>
      <c r="N147" s="679">
        <f t="shared" si="47"/>
        <v>0</v>
      </c>
      <c r="O147" s="679">
        <f t="shared" si="47"/>
        <v>0</v>
      </c>
      <c r="P147" s="679">
        <f t="shared" si="47"/>
        <v>0</v>
      </c>
      <c r="Q147" s="679">
        <f t="shared" si="47"/>
        <v>0</v>
      </c>
      <c r="R147" s="679">
        <f t="shared" si="47"/>
        <v>0</v>
      </c>
    </row>
    <row r="148" spans="2:20" hidden="1">
      <c r="B148" s="633" t="s">
        <v>819</v>
      </c>
      <c r="C148" s="679">
        <f>$D$141*$D$132+($E$3+$E$4+SUMIF($D$207:$R$207,"&lt;="&amp;$E$6,$D$213:$R$213))*$D$132/SUM($D$77,$D$132,$D$45,$D$103)</f>
        <v>0</v>
      </c>
      <c r="F148" s="679">
        <v>0</v>
      </c>
      <c r="G148" s="679">
        <v>0</v>
      </c>
      <c r="H148" s="679">
        <f t="shared" ref="H148:R148" si="48">-$C$148/$D$142</f>
        <v>0</v>
      </c>
      <c r="I148" s="679">
        <f t="shared" si="48"/>
        <v>0</v>
      </c>
      <c r="J148" s="679">
        <f t="shared" si="48"/>
        <v>0</v>
      </c>
      <c r="K148" s="679">
        <f t="shared" si="48"/>
        <v>0</v>
      </c>
      <c r="L148" s="679">
        <f t="shared" si="48"/>
        <v>0</v>
      </c>
      <c r="M148" s="679">
        <f t="shared" si="48"/>
        <v>0</v>
      </c>
      <c r="N148" s="679">
        <f t="shared" si="48"/>
        <v>0</v>
      </c>
      <c r="O148" s="679">
        <f t="shared" si="48"/>
        <v>0</v>
      </c>
      <c r="P148" s="679">
        <f t="shared" si="48"/>
        <v>0</v>
      </c>
      <c r="Q148" s="679">
        <f t="shared" si="48"/>
        <v>0</v>
      </c>
      <c r="R148" s="679">
        <f t="shared" si="48"/>
        <v>0</v>
      </c>
    </row>
    <row r="149" spans="2:20" hidden="1">
      <c r="B149" s="633" t="s">
        <v>805</v>
      </c>
      <c r="C149" s="679"/>
      <c r="F149" s="679"/>
      <c r="G149" s="679">
        <v>0</v>
      </c>
      <c r="H149" s="679">
        <f t="shared" ref="H149:R149" si="49">-J213*$D$132/SUM($D$77,$D$132,$D$45,$D$103)</f>
        <v>0</v>
      </c>
      <c r="I149" s="679">
        <f t="shared" si="49"/>
        <v>0</v>
      </c>
      <c r="J149" s="679">
        <f t="shared" si="49"/>
        <v>0</v>
      </c>
      <c r="K149" s="679">
        <f t="shared" si="49"/>
        <v>0</v>
      </c>
      <c r="L149" s="679">
        <f t="shared" si="49"/>
        <v>0</v>
      </c>
      <c r="M149" s="679">
        <f t="shared" si="49"/>
        <v>0</v>
      </c>
      <c r="N149" s="679">
        <f t="shared" si="49"/>
        <v>0</v>
      </c>
      <c r="O149" s="679">
        <f t="shared" si="49"/>
        <v>0</v>
      </c>
      <c r="P149" s="679">
        <f t="shared" si="49"/>
        <v>0</v>
      </c>
      <c r="Q149" s="679">
        <f t="shared" si="49"/>
        <v>0</v>
      </c>
      <c r="R149" s="679">
        <f t="shared" si="49"/>
        <v>0</v>
      </c>
    </row>
    <row r="150" spans="2:20" hidden="1">
      <c r="B150" s="633" t="s">
        <v>841</v>
      </c>
      <c r="F150" s="679">
        <f>-$D$143*SUM(F146:F147)</f>
        <v>0</v>
      </c>
      <c r="G150" s="679">
        <f>-$D$143*SUM(G146:G147)</f>
        <v>0</v>
      </c>
      <c r="H150" s="679">
        <f t="shared" ref="H150:R150" si="50">-$D$143*SUM(H146:H147)</f>
        <v>0</v>
      </c>
      <c r="I150" s="679">
        <f t="shared" si="50"/>
        <v>0</v>
      </c>
      <c r="J150" s="679">
        <f t="shared" si="50"/>
        <v>0</v>
      </c>
      <c r="K150" s="679">
        <f t="shared" si="50"/>
        <v>0</v>
      </c>
      <c r="L150" s="679">
        <f t="shared" si="50"/>
        <v>0</v>
      </c>
      <c r="M150" s="679">
        <f t="shared" si="50"/>
        <v>0</v>
      </c>
      <c r="N150" s="679">
        <f t="shared" si="50"/>
        <v>0</v>
      </c>
      <c r="O150" s="679">
        <f t="shared" si="50"/>
        <v>0</v>
      </c>
      <c r="P150" s="679">
        <f t="shared" si="50"/>
        <v>0</v>
      </c>
      <c r="Q150" s="679">
        <f t="shared" si="50"/>
        <v>0</v>
      </c>
      <c r="R150" s="679">
        <f t="shared" si="50"/>
        <v>0</v>
      </c>
    </row>
    <row r="152" spans="2:20">
      <c r="B152" s="706" t="s">
        <v>880</v>
      </c>
      <c r="C152" s="707"/>
      <c r="D152" s="707"/>
      <c r="E152" s="707"/>
      <c r="F152" s="707"/>
      <c r="G152" s="707"/>
      <c r="H152" s="707"/>
      <c r="I152" s="707"/>
      <c r="J152" s="707"/>
      <c r="K152" s="707"/>
      <c r="L152" s="707"/>
      <c r="M152" s="707"/>
      <c r="N152" s="707"/>
      <c r="O152" s="707"/>
      <c r="P152" s="707"/>
      <c r="Q152" s="707"/>
      <c r="R152" s="707"/>
    </row>
    <row r="153" spans="2:20">
      <c r="B153" s="708" t="s">
        <v>843</v>
      </c>
      <c r="C153" s="708" t="str">
        <f>C32</f>
        <v>Total</v>
      </c>
      <c r="D153" s="708" t="str">
        <f t="shared" ref="D153:R153" si="51">D32</f>
        <v>Past</v>
      </c>
      <c r="E153" s="708">
        <f t="shared" si="51"/>
        <v>2014</v>
      </c>
      <c r="F153" s="708">
        <f t="shared" si="51"/>
        <v>2015</v>
      </c>
      <c r="G153" s="708">
        <f t="shared" si="51"/>
        <v>2016</v>
      </c>
      <c r="H153" s="708">
        <f t="shared" si="51"/>
        <v>2017</v>
      </c>
      <c r="I153" s="708">
        <f t="shared" si="51"/>
        <v>2018</v>
      </c>
      <c r="J153" s="708">
        <f t="shared" si="51"/>
        <v>2019</v>
      </c>
      <c r="K153" s="708">
        <f t="shared" si="51"/>
        <v>2020</v>
      </c>
      <c r="L153" s="708">
        <f t="shared" si="51"/>
        <v>2021</v>
      </c>
      <c r="M153" s="708">
        <f t="shared" si="51"/>
        <v>2022</v>
      </c>
      <c r="N153" s="708">
        <f t="shared" si="51"/>
        <v>2023</v>
      </c>
      <c r="O153" s="708">
        <f t="shared" si="51"/>
        <v>2024</v>
      </c>
      <c r="P153" s="708">
        <f t="shared" si="51"/>
        <v>2025</v>
      </c>
      <c r="Q153" s="708">
        <f t="shared" si="51"/>
        <v>2026</v>
      </c>
      <c r="R153" s="708">
        <f t="shared" si="51"/>
        <v>2027</v>
      </c>
      <c r="S153" s="708"/>
      <c r="T153" s="708"/>
    </row>
    <row r="154" spans="2:20">
      <c r="B154" s="708" t="s">
        <v>26</v>
      </c>
      <c r="C154" s="709"/>
      <c r="D154" s="709"/>
      <c r="E154" s="709">
        <f>E59</f>
        <v>0</v>
      </c>
      <c r="F154" s="709">
        <f>F59</f>
        <v>0</v>
      </c>
      <c r="G154" s="709">
        <f>G59</f>
        <v>723168</v>
      </c>
      <c r="H154" s="709">
        <f t="shared" ref="H154:R154" si="52">H59</f>
        <v>180792</v>
      </c>
      <c r="I154" s="709">
        <f t="shared" si="52"/>
        <v>0</v>
      </c>
      <c r="J154" s="709">
        <f t="shared" si="52"/>
        <v>0</v>
      </c>
      <c r="K154" s="709">
        <f t="shared" si="52"/>
        <v>0</v>
      </c>
      <c r="L154" s="709">
        <f t="shared" si="52"/>
        <v>0</v>
      </c>
      <c r="M154" s="709">
        <f t="shared" si="52"/>
        <v>0</v>
      </c>
      <c r="N154" s="709">
        <f t="shared" si="52"/>
        <v>0</v>
      </c>
      <c r="O154" s="709">
        <f t="shared" si="52"/>
        <v>0</v>
      </c>
      <c r="P154" s="709">
        <f t="shared" si="52"/>
        <v>0</v>
      </c>
      <c r="Q154" s="709">
        <f t="shared" si="52"/>
        <v>0</v>
      </c>
      <c r="R154" s="709">
        <f t="shared" si="52"/>
        <v>0</v>
      </c>
      <c r="S154" s="709"/>
      <c r="T154" s="709"/>
    </row>
    <row r="155" spans="2:20">
      <c r="B155" s="708" t="s">
        <v>432</v>
      </c>
      <c r="D155" s="688"/>
      <c r="E155" s="688">
        <f>-SUM(E69:E71)</f>
        <v>0</v>
      </c>
      <c r="F155" s="688">
        <f>-SUM(F69:F71)</f>
        <v>0</v>
      </c>
      <c r="G155" s="688">
        <f>-SUM(G69:G71)</f>
        <v>-542893.56000000006</v>
      </c>
      <c r="H155" s="688">
        <f t="shared" ref="H155:R155" si="53">-SUM(H69:H71)</f>
        <v>-135723.39000000001</v>
      </c>
      <c r="I155" s="688">
        <f>-SUM(I69:I71)</f>
        <v>0</v>
      </c>
      <c r="J155" s="688">
        <f t="shared" si="53"/>
        <v>0</v>
      </c>
      <c r="K155" s="688">
        <f t="shared" si="53"/>
        <v>0</v>
      </c>
      <c r="L155" s="688">
        <f t="shared" si="53"/>
        <v>0</v>
      </c>
      <c r="M155" s="688">
        <f t="shared" si="53"/>
        <v>0</v>
      </c>
      <c r="N155" s="688">
        <f t="shared" si="53"/>
        <v>0</v>
      </c>
      <c r="O155" s="688">
        <f t="shared" si="53"/>
        <v>0</v>
      </c>
      <c r="P155" s="688">
        <f t="shared" si="53"/>
        <v>0</v>
      </c>
      <c r="Q155" s="688">
        <f t="shared" si="53"/>
        <v>0</v>
      </c>
      <c r="R155" s="688">
        <f t="shared" si="53"/>
        <v>0</v>
      </c>
      <c r="S155" s="688"/>
      <c r="T155" s="688"/>
    </row>
    <row r="156" spans="2:20">
      <c r="B156" s="708" t="s">
        <v>844</v>
      </c>
      <c r="C156" s="688"/>
      <c r="D156" s="688"/>
      <c r="E156" s="688">
        <f>-E73</f>
        <v>0</v>
      </c>
      <c r="F156" s="688">
        <f>-F73</f>
        <v>-18983.16</v>
      </c>
      <c r="G156" s="688">
        <f>-G73</f>
        <v>-20791.080000000002</v>
      </c>
      <c r="H156" s="688">
        <f t="shared" ref="H156:R156" si="54">-H73</f>
        <v>-5423.7600000000011</v>
      </c>
      <c r="I156" s="688">
        <f t="shared" si="54"/>
        <v>0</v>
      </c>
      <c r="J156" s="688">
        <f t="shared" si="54"/>
        <v>0</v>
      </c>
      <c r="K156" s="688">
        <f t="shared" si="54"/>
        <v>0</v>
      </c>
      <c r="L156" s="688">
        <f t="shared" si="54"/>
        <v>0</v>
      </c>
      <c r="M156" s="688">
        <f t="shared" si="54"/>
        <v>0</v>
      </c>
      <c r="N156" s="688">
        <f t="shared" si="54"/>
        <v>0</v>
      </c>
      <c r="O156" s="688">
        <f t="shared" si="54"/>
        <v>0</v>
      </c>
      <c r="P156" s="688">
        <f t="shared" si="54"/>
        <v>0</v>
      </c>
      <c r="Q156" s="688">
        <f t="shared" si="54"/>
        <v>0</v>
      </c>
      <c r="R156" s="688">
        <f t="shared" si="54"/>
        <v>0</v>
      </c>
      <c r="S156" s="688"/>
      <c r="T156" s="688"/>
    </row>
    <row r="157" spans="2:20">
      <c r="B157" s="708" t="s">
        <v>805</v>
      </c>
      <c r="C157" s="688"/>
      <c r="D157" s="688"/>
      <c r="E157" s="688">
        <f>-E72</f>
        <v>0</v>
      </c>
      <c r="F157" s="688">
        <f>-F72</f>
        <v>0</v>
      </c>
      <c r="G157" s="688">
        <f>-G72</f>
        <v>-11464.2</v>
      </c>
      <c r="H157" s="688">
        <f t="shared" ref="H157:R157" si="55">-H72</f>
        <v>-8598.1500000000015</v>
      </c>
      <c r="I157" s="688">
        <f t="shared" si="55"/>
        <v>-5732.1</v>
      </c>
      <c r="J157" s="688">
        <f t="shared" si="55"/>
        <v>-2866.05</v>
      </c>
      <c r="K157" s="688">
        <f t="shared" si="55"/>
        <v>0</v>
      </c>
      <c r="L157" s="688">
        <f t="shared" si="55"/>
        <v>0</v>
      </c>
      <c r="M157" s="688">
        <f t="shared" si="55"/>
        <v>0</v>
      </c>
      <c r="N157" s="688">
        <f t="shared" si="55"/>
        <v>0</v>
      </c>
      <c r="O157" s="688">
        <f t="shared" si="55"/>
        <v>0</v>
      </c>
      <c r="P157" s="688">
        <f t="shared" si="55"/>
        <v>0</v>
      </c>
      <c r="Q157" s="688">
        <f t="shared" si="55"/>
        <v>0</v>
      </c>
      <c r="R157" s="688">
        <f t="shared" si="55"/>
        <v>0</v>
      </c>
      <c r="S157" s="688"/>
      <c r="T157" s="688"/>
    </row>
    <row r="158" spans="2:20">
      <c r="B158" s="634" t="s">
        <v>845</v>
      </c>
      <c r="C158" s="688"/>
      <c r="D158" s="688"/>
      <c r="E158" s="688">
        <f>SUM(E154:E157)</f>
        <v>0</v>
      </c>
      <c r="F158" s="688">
        <f>SUM(F154:F157)</f>
        <v>-18983.16</v>
      </c>
      <c r="G158" s="688">
        <f>SUM(G154:G157)</f>
        <v>148019.15999999992</v>
      </c>
      <c r="H158" s="688">
        <f t="shared" ref="H158:R158" si="56">SUM(H154:H157)</f>
        <v>31046.699999999983</v>
      </c>
      <c r="I158" s="688">
        <f t="shared" si="56"/>
        <v>-5732.1</v>
      </c>
      <c r="J158" s="688">
        <f t="shared" si="56"/>
        <v>-2866.05</v>
      </c>
      <c r="K158" s="688">
        <f t="shared" si="56"/>
        <v>0</v>
      </c>
      <c r="L158" s="688">
        <f t="shared" si="56"/>
        <v>0</v>
      </c>
      <c r="M158" s="688">
        <f t="shared" si="56"/>
        <v>0</v>
      </c>
      <c r="N158" s="688">
        <f t="shared" si="56"/>
        <v>0</v>
      </c>
      <c r="O158" s="688">
        <f t="shared" si="56"/>
        <v>0</v>
      </c>
      <c r="P158" s="688">
        <f t="shared" si="56"/>
        <v>0</v>
      </c>
      <c r="Q158" s="688">
        <f t="shared" si="56"/>
        <v>0</v>
      </c>
      <c r="R158" s="688">
        <f t="shared" si="56"/>
        <v>0</v>
      </c>
      <c r="S158" s="688"/>
      <c r="T158" s="688"/>
    </row>
    <row r="159" spans="2:20">
      <c r="B159" s="634" t="s">
        <v>846</v>
      </c>
      <c r="C159" s="636"/>
      <c r="D159" s="636"/>
      <c r="E159" s="636">
        <v>0.22</v>
      </c>
      <c r="F159" s="636">
        <v>0.22</v>
      </c>
      <c r="G159" s="636">
        <v>0.2</v>
      </c>
      <c r="H159" s="636">
        <f>'[10]Vin CenterB'!H46</f>
        <v>0.2</v>
      </c>
      <c r="I159" s="636">
        <f>'[10]Vin CenterB'!I46</f>
        <v>0.2</v>
      </c>
      <c r="J159" s="636">
        <f>'[10]Vin CenterB'!J46</f>
        <v>0.2</v>
      </c>
      <c r="K159" s="636">
        <f>'[10]Vin CenterB'!K46</f>
        <v>0.2</v>
      </c>
      <c r="L159" s="636">
        <f>'[10]Vin CenterB'!L46</f>
        <v>0.2</v>
      </c>
      <c r="M159" s="636">
        <f>'[10]Vin CenterB'!M46</f>
        <v>0.2</v>
      </c>
      <c r="N159" s="636">
        <f>'[10]Vin CenterB'!N46</f>
        <v>0.2</v>
      </c>
      <c r="O159" s="636">
        <f>'[10]Vin CenterB'!O46</f>
        <v>0.2</v>
      </c>
      <c r="P159" s="636">
        <f>'[10]Vin CenterB'!P46</f>
        <v>0.2</v>
      </c>
      <c r="Q159" s="636">
        <f>'[10]Vin CenterB'!Q46</f>
        <v>0.2</v>
      </c>
      <c r="R159" s="636">
        <f>'[10]Vin CenterB'!R46</f>
        <v>0.2</v>
      </c>
      <c r="S159" s="636"/>
      <c r="T159" s="636"/>
    </row>
    <row r="160" spans="2:20">
      <c r="B160" s="633" t="s">
        <v>661</v>
      </c>
      <c r="C160" s="692"/>
      <c r="D160" s="692"/>
      <c r="E160" s="692">
        <f>IF(E158&lt;0,E158,E158*(1-E159))</f>
        <v>0</v>
      </c>
      <c r="F160" s="692">
        <f>IF(F158&lt;0,F158,F158*(1-F159))</f>
        <v>-18983.16</v>
      </c>
      <c r="G160" s="692">
        <f>IF(G158&lt;0,G158,G158*(1-G159))</f>
        <v>118415.32799999994</v>
      </c>
      <c r="H160" s="692">
        <f t="shared" ref="H160:R160" si="57">IF(H158&lt;0,H158,H158*(1-H159))</f>
        <v>24837.359999999986</v>
      </c>
      <c r="I160" s="692">
        <f t="shared" si="57"/>
        <v>-5732.1</v>
      </c>
      <c r="J160" s="692">
        <f t="shared" si="57"/>
        <v>-2866.05</v>
      </c>
      <c r="K160" s="692">
        <f t="shared" si="57"/>
        <v>0</v>
      </c>
      <c r="L160" s="692">
        <f t="shared" si="57"/>
        <v>0</v>
      </c>
      <c r="M160" s="692">
        <f t="shared" si="57"/>
        <v>0</v>
      </c>
      <c r="N160" s="692">
        <f t="shared" si="57"/>
        <v>0</v>
      </c>
      <c r="O160" s="692">
        <f t="shared" si="57"/>
        <v>0</v>
      </c>
      <c r="P160" s="692">
        <f t="shared" si="57"/>
        <v>0</v>
      </c>
      <c r="Q160" s="692">
        <f t="shared" si="57"/>
        <v>0</v>
      </c>
      <c r="R160" s="692">
        <f t="shared" si="57"/>
        <v>0</v>
      </c>
      <c r="S160" s="692"/>
      <c r="T160" s="692"/>
    </row>
    <row r="161" spans="2:20">
      <c r="D161" s="634"/>
      <c r="E161" s="640" t="e">
        <f>SUM(E154:E155)/E154</f>
        <v>#DIV/0!</v>
      </c>
      <c r="F161" s="640" t="e">
        <f>SUM(F154:F155)/F154</f>
        <v>#DIV/0!</v>
      </c>
      <c r="G161" s="640">
        <f>SUM(G154:G155)/G154</f>
        <v>0.24928431567768478</v>
      </c>
      <c r="H161" s="640">
        <f>SUM(H154:H155)/H154</f>
        <v>0.24928431567768478</v>
      </c>
      <c r="I161" s="640" t="e">
        <f>SUM(I154:I155)/I154</f>
        <v>#DIV/0!</v>
      </c>
      <c r="K161" s="733">
        <f>(SUM(G154:H154)+SUM(G155:H155))/SUM(G154:H154)</f>
        <v>0.24928431567768478</v>
      </c>
    </row>
    <row r="162" spans="2:20">
      <c r="D162" s="634"/>
      <c r="E162" s="640"/>
      <c r="F162" s="640"/>
      <c r="G162" s="640"/>
      <c r="H162" s="640"/>
      <c r="I162" s="640"/>
      <c r="K162" s="695">
        <f>SUM(F160:L160)/SUM(G154:H154)</f>
        <v>0.1279607261383246</v>
      </c>
    </row>
    <row r="163" spans="2:20">
      <c r="B163" s="706" t="s">
        <v>881</v>
      </c>
      <c r="C163" s="707"/>
      <c r="D163" s="707"/>
      <c r="E163" s="707"/>
      <c r="F163" s="707"/>
      <c r="G163" s="707"/>
      <c r="H163" s="707"/>
      <c r="I163" s="707"/>
      <c r="J163" s="707"/>
      <c r="K163" s="707"/>
      <c r="L163" s="707"/>
      <c r="M163" s="707"/>
      <c r="N163" s="707"/>
      <c r="O163" s="707"/>
      <c r="P163" s="707"/>
      <c r="Q163" s="707"/>
      <c r="R163" s="707"/>
    </row>
    <row r="164" spans="2:20">
      <c r="B164" s="708" t="s">
        <v>843</v>
      </c>
      <c r="C164" s="708" t="str">
        <f>C145</f>
        <v>Total</v>
      </c>
      <c r="D164" s="708" t="str">
        <f t="shared" ref="D164:R164" si="58">D145</f>
        <v>Past</v>
      </c>
      <c r="E164" s="708">
        <f t="shared" si="58"/>
        <v>2014</v>
      </c>
      <c r="F164" s="708">
        <f t="shared" si="58"/>
        <v>2015</v>
      </c>
      <c r="G164" s="708">
        <f t="shared" si="58"/>
        <v>2016</v>
      </c>
      <c r="H164" s="708">
        <f t="shared" si="58"/>
        <v>2017</v>
      </c>
      <c r="I164" s="708">
        <f t="shared" si="58"/>
        <v>2018</v>
      </c>
      <c r="J164" s="708">
        <f t="shared" si="58"/>
        <v>2019</v>
      </c>
      <c r="K164" s="708">
        <f t="shared" si="58"/>
        <v>2020</v>
      </c>
      <c r="L164" s="708">
        <f t="shared" si="58"/>
        <v>2021</v>
      </c>
      <c r="M164" s="708">
        <f t="shared" si="58"/>
        <v>2022</v>
      </c>
      <c r="N164" s="708">
        <f t="shared" si="58"/>
        <v>2023</v>
      </c>
      <c r="O164" s="708">
        <f t="shared" si="58"/>
        <v>2024</v>
      </c>
      <c r="P164" s="708">
        <f t="shared" si="58"/>
        <v>2025</v>
      </c>
      <c r="Q164" s="708">
        <f t="shared" si="58"/>
        <v>2026</v>
      </c>
      <c r="R164" s="708">
        <f t="shared" si="58"/>
        <v>2027</v>
      </c>
      <c r="S164" s="708"/>
      <c r="T164" s="708"/>
    </row>
    <row r="165" spans="2:20">
      <c r="B165" s="708" t="s">
        <v>26</v>
      </c>
      <c r="C165" s="709">
        <f>SUM(E165:R165)</f>
        <v>903960</v>
      </c>
      <c r="D165" s="709"/>
      <c r="E165" s="709">
        <f t="shared" ref="E165:L165" si="59">SUM(E154,E146,E147,E120,E92,E40)</f>
        <v>0</v>
      </c>
      <c r="F165" s="709">
        <f t="shared" si="59"/>
        <v>0</v>
      </c>
      <c r="G165" s="709">
        <f t="shared" si="59"/>
        <v>723168</v>
      </c>
      <c r="H165" s="709">
        <f t="shared" si="59"/>
        <v>180792</v>
      </c>
      <c r="I165" s="709">
        <f t="shared" si="59"/>
        <v>0</v>
      </c>
      <c r="J165" s="709">
        <f t="shared" si="59"/>
        <v>0</v>
      </c>
      <c r="K165" s="709">
        <f t="shared" si="59"/>
        <v>0</v>
      </c>
      <c r="L165" s="709">
        <f t="shared" si="59"/>
        <v>0</v>
      </c>
      <c r="M165" s="709">
        <f t="shared" ref="M165:R165" si="60">SUM(M154,M146,M147,M120,M92)</f>
        <v>0</v>
      </c>
      <c r="N165" s="709">
        <f t="shared" si="60"/>
        <v>0</v>
      </c>
      <c r="O165" s="709">
        <f t="shared" si="60"/>
        <v>0</v>
      </c>
      <c r="P165" s="709">
        <f t="shared" si="60"/>
        <v>0</v>
      </c>
      <c r="Q165" s="709">
        <f t="shared" si="60"/>
        <v>0</v>
      </c>
      <c r="R165" s="709">
        <f t="shared" si="60"/>
        <v>0</v>
      </c>
      <c r="S165" s="709"/>
      <c r="T165" s="709"/>
    </row>
    <row r="166" spans="2:20">
      <c r="B166" s="708" t="s">
        <v>432</v>
      </c>
      <c r="C166" s="709">
        <f t="shared" ref="C166:C171" si="61">SUM(E166:R166)</f>
        <v>-678616.95000000007</v>
      </c>
      <c r="D166" s="688"/>
      <c r="E166" s="688">
        <f>SUM(E155,E148,E150,E121,E123,E93,E96)</f>
        <v>0</v>
      </c>
      <c r="F166" s="688">
        <f>SUM(F155,F148,F150,F121,F123,F93,F96)</f>
        <v>0</v>
      </c>
      <c r="G166" s="688">
        <f>SUM(G155,G148,G150,G121,G123,G93,G96)</f>
        <v>-542893.56000000006</v>
      </c>
      <c r="H166" s="688">
        <f t="shared" ref="H166:R166" si="62">SUM(H155,H148,H150,H121,H123,H93,H96)</f>
        <v>-135723.39000000001</v>
      </c>
      <c r="I166" s="688">
        <f t="shared" si="62"/>
        <v>0</v>
      </c>
      <c r="J166" s="688">
        <f t="shared" si="62"/>
        <v>0</v>
      </c>
      <c r="K166" s="688">
        <f t="shared" si="62"/>
        <v>0</v>
      </c>
      <c r="L166" s="688">
        <f t="shared" si="62"/>
        <v>0</v>
      </c>
      <c r="M166" s="688">
        <f t="shared" si="62"/>
        <v>0</v>
      </c>
      <c r="N166" s="688">
        <f t="shared" si="62"/>
        <v>0</v>
      </c>
      <c r="O166" s="688">
        <f t="shared" si="62"/>
        <v>0</v>
      </c>
      <c r="P166" s="688">
        <f t="shared" si="62"/>
        <v>0</v>
      </c>
      <c r="Q166" s="688">
        <f t="shared" si="62"/>
        <v>0</v>
      </c>
      <c r="R166" s="688">
        <f t="shared" si="62"/>
        <v>0</v>
      </c>
      <c r="S166" s="688"/>
      <c r="T166" s="688"/>
    </row>
    <row r="167" spans="2:20">
      <c r="B167" s="708" t="s">
        <v>844</v>
      </c>
      <c r="C167" s="709">
        <f t="shared" si="61"/>
        <v>-45198.000000000007</v>
      </c>
      <c r="D167" s="688"/>
      <c r="E167" s="688">
        <f t="shared" ref="E167:J167" si="63">SUM(E156,E122,E95,-E41)</f>
        <v>0</v>
      </c>
      <c r="F167" s="688">
        <v>0</v>
      </c>
      <c r="G167" s="688">
        <f>SUM(G156,G122,G95,-G41)+SUM(F156,F122,F95,-F41)</f>
        <v>-39774.240000000005</v>
      </c>
      <c r="H167" s="688">
        <f t="shared" si="63"/>
        <v>-5423.7600000000011</v>
      </c>
      <c r="I167" s="688">
        <f t="shared" si="63"/>
        <v>0</v>
      </c>
      <c r="J167" s="688">
        <f t="shared" si="63"/>
        <v>0</v>
      </c>
      <c r="K167" s="688">
        <f t="shared" ref="K167:R167" si="64">SUM(K156,K122,K95)</f>
        <v>0</v>
      </c>
      <c r="L167" s="688">
        <f t="shared" si="64"/>
        <v>0</v>
      </c>
      <c r="M167" s="688">
        <f t="shared" si="64"/>
        <v>0</v>
      </c>
      <c r="N167" s="688">
        <f t="shared" si="64"/>
        <v>0</v>
      </c>
      <c r="O167" s="688">
        <f t="shared" si="64"/>
        <v>0</v>
      </c>
      <c r="P167" s="688">
        <f t="shared" si="64"/>
        <v>0</v>
      </c>
      <c r="Q167" s="688">
        <f t="shared" si="64"/>
        <v>0</v>
      </c>
      <c r="R167" s="688">
        <f t="shared" si="64"/>
        <v>0</v>
      </c>
      <c r="S167" s="688"/>
      <c r="T167" s="688"/>
    </row>
    <row r="168" spans="2:20">
      <c r="B168" s="708" t="s">
        <v>805</v>
      </c>
      <c r="C168" s="709">
        <f t="shared" si="61"/>
        <v>-28660.500000000004</v>
      </c>
      <c r="D168" s="688"/>
      <c r="E168" s="688">
        <f>SUM(E157,E149,E124,E94)</f>
        <v>0</v>
      </c>
      <c r="F168" s="688">
        <f>SUM(F157,F149,F124,F94)</f>
        <v>0</v>
      </c>
      <c r="G168" s="688">
        <f>SUM(G157,G149,G124,G94)</f>
        <v>-11464.2</v>
      </c>
      <c r="H168" s="688">
        <f t="shared" ref="H168:R168" si="65">SUM(H157,H149,H124,H94)</f>
        <v>-8598.1500000000015</v>
      </c>
      <c r="I168" s="688">
        <f t="shared" si="65"/>
        <v>-5732.1</v>
      </c>
      <c r="J168" s="688">
        <f t="shared" si="65"/>
        <v>-2866.05</v>
      </c>
      <c r="K168" s="688">
        <f t="shared" si="65"/>
        <v>0</v>
      </c>
      <c r="L168" s="688">
        <f t="shared" si="65"/>
        <v>0</v>
      </c>
      <c r="M168" s="688">
        <f t="shared" si="65"/>
        <v>0</v>
      </c>
      <c r="N168" s="688">
        <f t="shared" si="65"/>
        <v>0</v>
      </c>
      <c r="O168" s="688">
        <f t="shared" si="65"/>
        <v>0</v>
      </c>
      <c r="P168" s="688">
        <f t="shared" si="65"/>
        <v>0</v>
      </c>
      <c r="Q168" s="688">
        <f t="shared" si="65"/>
        <v>0</v>
      </c>
      <c r="R168" s="688">
        <f t="shared" si="65"/>
        <v>0</v>
      </c>
      <c r="S168" s="688"/>
      <c r="T168" s="688"/>
    </row>
    <row r="169" spans="2:20">
      <c r="B169" s="634" t="s">
        <v>845</v>
      </c>
      <c r="C169" s="709">
        <f t="shared" si="61"/>
        <v>151484.54999999996</v>
      </c>
      <c r="D169" s="688"/>
      <c r="E169" s="688">
        <f>SUM(E165:E168)</f>
        <v>0</v>
      </c>
      <c r="F169" s="688">
        <f>SUM(F165:F168)</f>
        <v>0</v>
      </c>
      <c r="G169" s="688">
        <f>SUM(G165:G168)</f>
        <v>129035.99999999996</v>
      </c>
      <c r="H169" s="688">
        <f t="shared" ref="H169:R169" si="66">SUM(H165:H168)</f>
        <v>31046.699999999983</v>
      </c>
      <c r="I169" s="688">
        <f t="shared" si="66"/>
        <v>-5732.1</v>
      </c>
      <c r="J169" s="688">
        <f t="shared" si="66"/>
        <v>-2866.05</v>
      </c>
      <c r="K169" s="688">
        <f t="shared" si="66"/>
        <v>0</v>
      </c>
      <c r="L169" s="688">
        <f t="shared" si="66"/>
        <v>0</v>
      </c>
      <c r="M169" s="688">
        <f t="shared" si="66"/>
        <v>0</v>
      </c>
      <c r="N169" s="688">
        <f t="shared" si="66"/>
        <v>0</v>
      </c>
      <c r="O169" s="688">
        <f t="shared" si="66"/>
        <v>0</v>
      </c>
      <c r="P169" s="688">
        <f t="shared" si="66"/>
        <v>0</v>
      </c>
      <c r="Q169" s="688">
        <f t="shared" si="66"/>
        <v>0</v>
      </c>
      <c r="R169" s="688">
        <f t="shared" si="66"/>
        <v>0</v>
      </c>
      <c r="S169" s="688"/>
      <c r="T169" s="688"/>
    </row>
    <row r="170" spans="2:20">
      <c r="B170" s="634" t="s">
        <v>846</v>
      </c>
      <c r="C170" s="636"/>
      <c r="D170" s="636"/>
      <c r="E170" s="636">
        <v>0.22</v>
      </c>
      <c r="F170" s="636">
        <v>0.22</v>
      </c>
      <c r="G170" s="636">
        <v>0.2</v>
      </c>
      <c r="H170" s="636">
        <f>'[10]Vin CenterB'!H46</f>
        <v>0.2</v>
      </c>
      <c r="I170" s="636">
        <f>'[10]Vin CenterB'!I46</f>
        <v>0.2</v>
      </c>
      <c r="J170" s="636">
        <f>'[10]Vin CenterB'!J46</f>
        <v>0.2</v>
      </c>
      <c r="K170" s="636">
        <f>'[10]Vin CenterB'!K46</f>
        <v>0.2</v>
      </c>
      <c r="L170" s="636">
        <f>'[10]Vin CenterB'!L46</f>
        <v>0.2</v>
      </c>
      <c r="M170" s="636">
        <f>'[10]Vin CenterB'!M46</f>
        <v>0.2</v>
      </c>
      <c r="N170" s="636">
        <f>'[10]Vin CenterB'!N46</f>
        <v>0.2</v>
      </c>
      <c r="O170" s="636">
        <f>'[10]Vin CenterB'!O46</f>
        <v>0.2</v>
      </c>
      <c r="P170" s="636">
        <f>'[10]Vin CenterB'!P46</f>
        <v>0.2</v>
      </c>
      <c r="Q170" s="636">
        <f>'[10]Vin CenterB'!Q46</f>
        <v>0.2</v>
      </c>
      <c r="R170" s="636">
        <f>'[10]Vin CenterB'!R46</f>
        <v>0.2</v>
      </c>
      <c r="S170" s="636"/>
      <c r="T170" s="636"/>
    </row>
    <row r="171" spans="2:20">
      <c r="B171" s="633" t="s">
        <v>661</v>
      </c>
      <c r="C171" s="709">
        <f t="shared" si="61"/>
        <v>119468.00999999995</v>
      </c>
      <c r="D171" s="692"/>
      <c r="E171" s="692">
        <f>IF(E169&lt;0,E169,E169*(1-E170))</f>
        <v>0</v>
      </c>
      <c r="F171" s="692">
        <f>IF(F169&lt;0,F169,F169*(1-F170))</f>
        <v>0</v>
      </c>
      <c r="G171" s="692">
        <f>IF(G169&lt;0,G169,G169*(1-G170))</f>
        <v>103228.79999999997</v>
      </c>
      <c r="H171" s="692">
        <f>IF(H169&lt;0,H169,H169*(1-H170))</f>
        <v>24837.359999999986</v>
      </c>
      <c r="I171" s="692">
        <f t="shared" ref="I171:R171" si="67">IF(I169&lt;0,I169,I169*(1-I170))</f>
        <v>-5732.1</v>
      </c>
      <c r="J171" s="692">
        <f t="shared" si="67"/>
        <v>-2866.05</v>
      </c>
      <c r="K171" s="692">
        <f t="shared" si="67"/>
        <v>0</v>
      </c>
      <c r="L171" s="692">
        <f t="shared" si="67"/>
        <v>0</v>
      </c>
      <c r="M171" s="692">
        <f t="shared" si="67"/>
        <v>0</v>
      </c>
      <c r="N171" s="692">
        <f t="shared" si="67"/>
        <v>0</v>
      </c>
      <c r="O171" s="692">
        <f t="shared" si="67"/>
        <v>0</v>
      </c>
      <c r="P171" s="692">
        <f t="shared" si="67"/>
        <v>0</v>
      </c>
      <c r="Q171" s="692">
        <f t="shared" si="67"/>
        <v>0</v>
      </c>
      <c r="R171" s="692">
        <f t="shared" si="67"/>
        <v>0</v>
      </c>
      <c r="S171" s="692"/>
      <c r="T171" s="692"/>
    </row>
    <row r="172" spans="2:20">
      <c r="C172" s="889">
        <f>(C165+C166)/C165</f>
        <v>0.24928431567768478</v>
      </c>
      <c r="D172" s="900">
        <f>C171/C165</f>
        <v>0.13216072613832466</v>
      </c>
    </row>
    <row r="173" spans="2:20">
      <c r="B173" s="706" t="s">
        <v>882</v>
      </c>
      <c r="C173" s="707"/>
      <c r="D173" s="707"/>
      <c r="E173" s="707"/>
      <c r="F173" s="707"/>
      <c r="G173" s="707"/>
      <c r="H173" s="707"/>
      <c r="I173" s="707"/>
      <c r="J173" s="707"/>
      <c r="K173" s="707"/>
      <c r="L173" s="707"/>
      <c r="M173" s="707"/>
      <c r="N173" s="707"/>
      <c r="O173" s="707"/>
      <c r="P173" s="707"/>
      <c r="Q173" s="707"/>
      <c r="R173" s="707"/>
    </row>
    <row r="174" spans="2:20">
      <c r="B174" s="708" t="s">
        <v>843</v>
      </c>
      <c r="C174" s="708" t="str">
        <f>C164</f>
        <v>Total</v>
      </c>
      <c r="D174" s="708" t="str">
        <f t="shared" ref="D174:R174" si="68">D164</f>
        <v>Past</v>
      </c>
      <c r="E174" s="708">
        <f t="shared" si="68"/>
        <v>2014</v>
      </c>
      <c r="F174" s="708">
        <f t="shared" si="68"/>
        <v>2015</v>
      </c>
      <c r="G174" s="708">
        <f t="shared" si="68"/>
        <v>2016</v>
      </c>
      <c r="H174" s="708">
        <f t="shared" si="68"/>
        <v>2017</v>
      </c>
      <c r="I174" s="708">
        <f t="shared" si="68"/>
        <v>2018</v>
      </c>
      <c r="J174" s="708">
        <f t="shared" si="68"/>
        <v>2019</v>
      </c>
      <c r="K174" s="708">
        <f t="shared" si="68"/>
        <v>2020</v>
      </c>
      <c r="L174" s="708">
        <f t="shared" si="68"/>
        <v>2021</v>
      </c>
      <c r="M174" s="708">
        <f t="shared" si="68"/>
        <v>2022</v>
      </c>
      <c r="N174" s="708">
        <f t="shared" si="68"/>
        <v>2023</v>
      </c>
      <c r="O174" s="708">
        <f t="shared" si="68"/>
        <v>2024</v>
      </c>
      <c r="P174" s="708">
        <f t="shared" si="68"/>
        <v>2025</v>
      </c>
      <c r="Q174" s="708">
        <f t="shared" si="68"/>
        <v>2026</v>
      </c>
      <c r="R174" s="708">
        <f t="shared" si="68"/>
        <v>2027</v>
      </c>
      <c r="S174" s="708"/>
      <c r="T174" s="708"/>
    </row>
    <row r="175" spans="2:20">
      <c r="B175" s="633" t="s">
        <v>850</v>
      </c>
      <c r="C175" s="670">
        <f>SUM(E175:R175)</f>
        <v>903960</v>
      </c>
      <c r="D175" s="670"/>
      <c r="E175" s="670">
        <f t="shared" ref="E175:P175" si="69">E61+E40</f>
        <v>0</v>
      </c>
      <c r="F175" s="670">
        <f t="shared" si="69"/>
        <v>379663.2</v>
      </c>
      <c r="G175" s="670">
        <f t="shared" si="69"/>
        <v>415821.6</v>
      </c>
      <c r="H175" s="670">
        <f t="shared" si="69"/>
        <v>108475.20000000001</v>
      </c>
      <c r="I175" s="670">
        <f t="shared" si="69"/>
        <v>0</v>
      </c>
      <c r="J175" s="670">
        <f t="shared" si="69"/>
        <v>0</v>
      </c>
      <c r="K175" s="670">
        <f t="shared" si="69"/>
        <v>0</v>
      </c>
      <c r="L175" s="670">
        <f t="shared" si="69"/>
        <v>0</v>
      </c>
      <c r="M175" s="670">
        <f t="shared" si="69"/>
        <v>0</v>
      </c>
      <c r="N175" s="670">
        <f t="shared" si="69"/>
        <v>0</v>
      </c>
      <c r="O175" s="670">
        <f t="shared" si="69"/>
        <v>0</v>
      </c>
      <c r="P175" s="670">
        <f t="shared" si="69"/>
        <v>0</v>
      </c>
      <c r="Q175" s="670">
        <f>Q61</f>
        <v>0</v>
      </c>
      <c r="R175" s="670">
        <f>R61</f>
        <v>0</v>
      </c>
      <c r="S175" s="670"/>
      <c r="T175" s="670"/>
    </row>
    <row r="176" spans="2:20">
      <c r="B176" s="633" t="s">
        <v>851</v>
      </c>
      <c r="C176" s="670">
        <f>SUM(E176:R176)</f>
        <v>-714114.53999999992</v>
      </c>
      <c r="D176" s="670"/>
      <c r="E176" s="670">
        <f t="shared" ref="E176:R176" si="70">SUM(E177:E181)</f>
        <v>0</v>
      </c>
      <c r="F176" s="670">
        <f t="shared" si="70"/>
        <v>-401843.16</v>
      </c>
      <c r="G176" s="670">
        <f t="shared" si="70"/>
        <v>-250418.28</v>
      </c>
      <c r="H176" s="670">
        <f t="shared" si="70"/>
        <v>-61853.1</v>
      </c>
      <c r="I176" s="670">
        <f t="shared" si="70"/>
        <v>0</v>
      </c>
      <c r="J176" s="670">
        <f t="shared" si="70"/>
        <v>0</v>
      </c>
      <c r="K176" s="670">
        <f t="shared" si="70"/>
        <v>0</v>
      </c>
      <c r="L176" s="670">
        <f t="shared" si="70"/>
        <v>0</v>
      </c>
      <c r="M176" s="670">
        <f t="shared" si="70"/>
        <v>0</v>
      </c>
      <c r="N176" s="670">
        <f t="shared" si="70"/>
        <v>0</v>
      </c>
      <c r="O176" s="670">
        <f t="shared" si="70"/>
        <v>0</v>
      </c>
      <c r="P176" s="670">
        <f t="shared" si="70"/>
        <v>0</v>
      </c>
      <c r="Q176" s="670">
        <f t="shared" si="70"/>
        <v>0</v>
      </c>
      <c r="R176" s="670">
        <f t="shared" si="70"/>
        <v>0</v>
      </c>
      <c r="S176" s="670"/>
      <c r="T176" s="670"/>
    </row>
    <row r="177" spans="2:20">
      <c r="B177" s="634" t="s">
        <v>852</v>
      </c>
      <c r="C177" s="688"/>
      <c r="D177" s="634"/>
      <c r="E177" s="688">
        <f>-E33*D45/SUM($D$45,$D$77,$D$103,$D$132)</f>
        <v>0</v>
      </c>
      <c r="F177" s="688">
        <f t="shared" ref="F177:R178" si="71">-F33</f>
        <v>-120000</v>
      </c>
      <c r="G177" s="688">
        <f t="shared" si="71"/>
        <v>0</v>
      </c>
      <c r="H177" s="688">
        <f t="shared" si="71"/>
        <v>0</v>
      </c>
      <c r="I177" s="688">
        <f t="shared" si="71"/>
        <v>0</v>
      </c>
      <c r="J177" s="688">
        <f t="shared" si="71"/>
        <v>0</v>
      </c>
      <c r="K177" s="688">
        <f t="shared" si="71"/>
        <v>0</v>
      </c>
      <c r="L177" s="688">
        <f t="shared" si="71"/>
        <v>0</v>
      </c>
      <c r="M177" s="688">
        <f t="shared" si="71"/>
        <v>0</v>
      </c>
      <c r="N177" s="688">
        <f t="shared" si="71"/>
        <v>0</v>
      </c>
      <c r="O177" s="688">
        <f t="shared" si="71"/>
        <v>0</v>
      </c>
      <c r="P177" s="688">
        <f t="shared" si="71"/>
        <v>0</v>
      </c>
      <c r="Q177" s="688">
        <f t="shared" si="71"/>
        <v>0</v>
      </c>
      <c r="R177" s="688">
        <f t="shared" si="71"/>
        <v>0</v>
      </c>
    </row>
    <row r="178" spans="2:20">
      <c r="B178" s="634" t="s">
        <v>853</v>
      </c>
      <c r="C178" s="688"/>
      <c r="D178" s="634"/>
      <c r="E178" s="688">
        <f>-E34*D45/SUM($D$45,$D$77,$D$103,$D$132)</f>
        <v>0</v>
      </c>
      <c r="F178" s="688">
        <f t="shared" si="71"/>
        <v>-11760</v>
      </c>
      <c r="G178" s="688">
        <f t="shared" si="71"/>
        <v>-2940</v>
      </c>
      <c r="H178" s="688">
        <f t="shared" si="71"/>
        <v>0</v>
      </c>
      <c r="I178" s="688">
        <f t="shared" si="71"/>
        <v>0</v>
      </c>
      <c r="J178" s="688">
        <f t="shared" si="71"/>
        <v>0</v>
      </c>
      <c r="K178" s="688">
        <f t="shared" si="71"/>
        <v>0</v>
      </c>
      <c r="L178" s="688">
        <f t="shared" si="71"/>
        <v>0</v>
      </c>
      <c r="M178" s="688">
        <f t="shared" si="71"/>
        <v>0</v>
      </c>
      <c r="N178" s="688">
        <f t="shared" si="71"/>
        <v>0</v>
      </c>
      <c r="O178" s="688">
        <f t="shared" si="71"/>
        <v>0</v>
      </c>
      <c r="P178" s="688">
        <f t="shared" si="71"/>
        <v>0</v>
      </c>
      <c r="Q178" s="688">
        <f t="shared" si="71"/>
        <v>0</v>
      </c>
      <c r="R178" s="688">
        <f t="shared" si="71"/>
        <v>0</v>
      </c>
    </row>
    <row r="179" spans="2:20">
      <c r="B179" s="634" t="s">
        <v>788</v>
      </c>
      <c r="C179" s="688"/>
      <c r="D179" s="688"/>
      <c r="E179" s="688">
        <f>-E67</f>
        <v>0</v>
      </c>
      <c r="F179" s="688">
        <f t="shared" ref="F179:R179" si="72">-F67</f>
        <v>-251100</v>
      </c>
      <c r="G179" s="688">
        <f t="shared" si="72"/>
        <v>-200880</v>
      </c>
      <c r="H179" s="688">
        <f t="shared" si="72"/>
        <v>-50220</v>
      </c>
      <c r="I179" s="688">
        <f t="shared" si="72"/>
        <v>0</v>
      </c>
      <c r="J179" s="688">
        <f t="shared" si="72"/>
        <v>0</v>
      </c>
      <c r="K179" s="688">
        <f t="shared" si="72"/>
        <v>0</v>
      </c>
      <c r="L179" s="688">
        <f t="shared" si="72"/>
        <v>0</v>
      </c>
      <c r="M179" s="688">
        <f t="shared" si="72"/>
        <v>0</v>
      </c>
      <c r="N179" s="688">
        <f t="shared" si="72"/>
        <v>0</v>
      </c>
      <c r="O179" s="688">
        <f t="shared" si="72"/>
        <v>0</v>
      </c>
      <c r="P179" s="688">
        <f t="shared" si="72"/>
        <v>0</v>
      </c>
      <c r="Q179" s="688">
        <f t="shared" si="72"/>
        <v>0</v>
      </c>
      <c r="R179" s="688">
        <f t="shared" si="72"/>
        <v>0</v>
      </c>
      <c r="S179" s="688"/>
      <c r="T179" s="688"/>
    </row>
    <row r="180" spans="2:20">
      <c r="B180" s="634" t="s">
        <v>656</v>
      </c>
      <c r="C180" s="688"/>
      <c r="D180" s="688"/>
      <c r="E180" s="688">
        <f t="shared" ref="E180:R180" si="73">-E73-E41</f>
        <v>0</v>
      </c>
      <c r="F180" s="688">
        <f t="shared" si="73"/>
        <v>-18983.16</v>
      </c>
      <c r="G180" s="688">
        <f t="shared" si="73"/>
        <v>-20791.080000000002</v>
      </c>
      <c r="H180" s="688">
        <f t="shared" si="73"/>
        <v>-5423.7600000000011</v>
      </c>
      <c r="I180" s="688">
        <f t="shared" si="73"/>
        <v>0</v>
      </c>
      <c r="J180" s="688">
        <f t="shared" si="73"/>
        <v>0</v>
      </c>
      <c r="K180" s="688">
        <f t="shared" si="73"/>
        <v>0</v>
      </c>
      <c r="L180" s="688">
        <f t="shared" si="73"/>
        <v>0</v>
      </c>
      <c r="M180" s="688">
        <f t="shared" si="73"/>
        <v>0</v>
      </c>
      <c r="N180" s="688">
        <f t="shared" si="73"/>
        <v>0</v>
      </c>
      <c r="O180" s="688">
        <f t="shared" si="73"/>
        <v>0</v>
      </c>
      <c r="P180" s="688">
        <f t="shared" si="73"/>
        <v>0</v>
      </c>
      <c r="Q180" s="688">
        <f t="shared" si="73"/>
        <v>0</v>
      </c>
      <c r="R180" s="688">
        <f t="shared" si="73"/>
        <v>0</v>
      </c>
      <c r="S180" s="688"/>
      <c r="T180" s="688"/>
    </row>
    <row r="181" spans="2:20">
      <c r="B181" s="634" t="s">
        <v>854</v>
      </c>
      <c r="C181" s="679"/>
      <c r="D181" s="679"/>
      <c r="E181" s="679">
        <f>IF(E158&lt;0,0,-E158*E159)</f>
        <v>0</v>
      </c>
      <c r="F181" s="679">
        <f>IF(F169&lt;0,0,-F169*F170)</f>
        <v>0</v>
      </c>
      <c r="G181" s="679">
        <f t="shared" ref="G181:O181" si="74">IF(G169&lt;0,0,-G169*G170)</f>
        <v>-25807.199999999993</v>
      </c>
      <c r="H181" s="679">
        <f t="shared" si="74"/>
        <v>-6209.3399999999965</v>
      </c>
      <c r="I181" s="679">
        <f t="shared" si="74"/>
        <v>0</v>
      </c>
      <c r="J181" s="679">
        <f t="shared" si="74"/>
        <v>0</v>
      </c>
      <c r="K181" s="679">
        <f t="shared" si="74"/>
        <v>0</v>
      </c>
      <c r="L181" s="679">
        <f t="shared" si="74"/>
        <v>0</v>
      </c>
      <c r="M181" s="679">
        <f t="shared" si="74"/>
        <v>0</v>
      </c>
      <c r="N181" s="679">
        <f t="shared" si="74"/>
        <v>0</v>
      </c>
      <c r="O181" s="679">
        <f t="shared" si="74"/>
        <v>0</v>
      </c>
      <c r="P181" s="679">
        <f>IF(P158&lt;0,0,-P158*P159)</f>
        <v>0</v>
      </c>
      <c r="Q181" s="679">
        <f>IF(Q158&lt;0,0,-Q158*Q159)</f>
        <v>0</v>
      </c>
      <c r="R181" s="679">
        <f>IF(R158&lt;0,0,-R158*R159)</f>
        <v>0</v>
      </c>
      <c r="S181" s="679"/>
      <c r="T181" s="679"/>
    </row>
    <row r="182" spans="2:20">
      <c r="B182" s="634" t="s">
        <v>855</v>
      </c>
      <c r="C182" s="670">
        <f>C175+C176</f>
        <v>189845.46000000008</v>
      </c>
      <c r="D182" s="670">
        <f>D175-D176</f>
        <v>0</v>
      </c>
      <c r="E182" s="670">
        <f>E175+E176</f>
        <v>0</v>
      </c>
      <c r="F182" s="670">
        <f>F175+F176</f>
        <v>-22179.959999999963</v>
      </c>
      <c r="G182" s="670">
        <f>G175+G176</f>
        <v>165403.31999999998</v>
      </c>
      <c r="H182" s="670">
        <f t="shared" ref="H182:R182" si="75">H175+H176</f>
        <v>46622.100000000013</v>
      </c>
      <c r="I182" s="670">
        <f t="shared" si="75"/>
        <v>0</v>
      </c>
      <c r="J182" s="670">
        <f t="shared" si="75"/>
        <v>0</v>
      </c>
      <c r="K182" s="670">
        <f t="shared" si="75"/>
        <v>0</v>
      </c>
      <c r="L182" s="670">
        <f t="shared" si="75"/>
        <v>0</v>
      </c>
      <c r="M182" s="670">
        <f t="shared" si="75"/>
        <v>0</v>
      </c>
      <c r="N182" s="670">
        <f t="shared" si="75"/>
        <v>0</v>
      </c>
      <c r="O182" s="670">
        <f t="shared" si="75"/>
        <v>0</v>
      </c>
      <c r="P182" s="670">
        <f t="shared" si="75"/>
        <v>0</v>
      </c>
      <c r="Q182" s="670">
        <f t="shared" si="75"/>
        <v>0</v>
      </c>
      <c r="R182" s="670">
        <f t="shared" si="75"/>
        <v>0</v>
      </c>
      <c r="S182" s="670"/>
      <c r="T182" s="670"/>
    </row>
    <row r="183" spans="2:20" s="710" customFormat="1">
      <c r="B183" s="710" t="s">
        <v>856</v>
      </c>
      <c r="E183" s="710">
        <f>($F$21+1)^(3/12)</f>
        <v>1.0360799631532644</v>
      </c>
      <c r="F183" s="710">
        <f>E183*((1+G21)^(15/12))</f>
        <v>1.2294349092551093</v>
      </c>
      <c r="G183" s="710">
        <f>F183*(1+H21)^(27/12)</f>
        <v>1.6664968918645606</v>
      </c>
      <c r="H183" s="710">
        <f>G183*(1+I21)^(39/12)</f>
        <v>2.571625722243434</v>
      </c>
      <c r="I183" s="710">
        <f>H183*(1+J21)^(51/12)</f>
        <v>4.5350412933477626</v>
      </c>
      <c r="J183" s="710">
        <f t="shared" ref="J183:R183" si="76">I183*(1+K21)</f>
        <v>5.1826451900378236</v>
      </c>
      <c r="K183" s="710">
        <f t="shared" si="76"/>
        <v>5.9227269231752251</v>
      </c>
      <c r="L183" s="710">
        <f t="shared" si="76"/>
        <v>6.7684923278046476</v>
      </c>
      <c r="M183" s="710">
        <f t="shared" si="76"/>
        <v>7.7350330322151519</v>
      </c>
      <c r="N183" s="710">
        <f t="shared" si="76"/>
        <v>8.8395957492154764</v>
      </c>
      <c r="O183" s="710">
        <f t="shared" si="76"/>
        <v>10.101890022203447</v>
      </c>
      <c r="P183" s="710">
        <f t="shared" si="76"/>
        <v>11.544439917374099</v>
      </c>
      <c r="Q183" s="710">
        <f t="shared" si="76"/>
        <v>13.19298593757512</v>
      </c>
      <c r="R183" s="710">
        <f t="shared" si="76"/>
        <v>13.19298593757512</v>
      </c>
    </row>
    <row r="184" spans="2:20">
      <c r="B184" s="634" t="s">
        <v>857</v>
      </c>
      <c r="D184" s="634"/>
      <c r="E184" s="711">
        <f>E182/E183</f>
        <v>0</v>
      </c>
      <c r="F184" s="711">
        <f t="shared" ref="F184:R184" si="77">F182/F183</f>
        <v>-18040.776159055356</v>
      </c>
      <c r="G184" s="711">
        <f t="shared" si="77"/>
        <v>99252.10230361631</v>
      </c>
      <c r="H184" s="711">
        <f t="shared" si="77"/>
        <v>18129.426687849365</v>
      </c>
      <c r="I184" s="711">
        <f t="shared" si="77"/>
        <v>0</v>
      </c>
      <c r="J184" s="711">
        <f t="shared" si="77"/>
        <v>0</v>
      </c>
      <c r="K184" s="711">
        <f t="shared" si="77"/>
        <v>0</v>
      </c>
      <c r="L184" s="711">
        <f t="shared" si="77"/>
        <v>0</v>
      </c>
      <c r="M184" s="711">
        <f t="shared" si="77"/>
        <v>0</v>
      </c>
      <c r="N184" s="711">
        <f t="shared" si="77"/>
        <v>0</v>
      </c>
      <c r="O184" s="711">
        <f t="shared" si="77"/>
        <v>0</v>
      </c>
      <c r="P184" s="711">
        <f t="shared" si="77"/>
        <v>0</v>
      </c>
      <c r="Q184" s="711">
        <f t="shared" si="77"/>
        <v>0</v>
      </c>
      <c r="R184" s="711">
        <f t="shared" si="77"/>
        <v>0</v>
      </c>
    </row>
    <row r="185" spans="2:20">
      <c r="B185" s="634" t="s">
        <v>858</v>
      </c>
      <c r="C185" s="688">
        <f>E184+F184+G184+H184+I184+J184+K184</f>
        <v>99340.752832410319</v>
      </c>
      <c r="D185" s="634"/>
      <c r="E185" s="690"/>
    </row>
    <row r="186" spans="2:20">
      <c r="B186" s="712" t="s">
        <v>883</v>
      </c>
      <c r="C186" s="713">
        <f>C185*$C$9</f>
        <v>99340.752832410319</v>
      </c>
      <c r="D186" s="670"/>
      <c r="E186" s="670" t="s">
        <v>887</v>
      </c>
      <c r="F186" s="670"/>
      <c r="G186" s="670"/>
      <c r="H186" s="670"/>
      <c r="I186" s="670"/>
      <c r="J186" s="670"/>
      <c r="K186" s="670"/>
      <c r="L186" s="670"/>
      <c r="M186" s="670"/>
      <c r="N186" s="670"/>
      <c r="O186" s="670"/>
      <c r="P186" s="670"/>
      <c r="Q186" s="670"/>
      <c r="R186" s="670"/>
      <c r="S186" s="670"/>
      <c r="T186" s="670"/>
    </row>
    <row r="187" spans="2:20">
      <c r="C187" s="670"/>
      <c r="D187" s="670"/>
      <c r="E187" s="670">
        <f>E176+F177+G177</f>
        <v>-120000</v>
      </c>
      <c r="F187" s="670">
        <f>F182-F177</f>
        <v>97820.040000000037</v>
      </c>
      <c r="G187" s="670">
        <f>G182-G177</f>
        <v>165403.31999999998</v>
      </c>
      <c r="H187" s="670">
        <f>H182</f>
        <v>46622.100000000013</v>
      </c>
      <c r="I187" s="670">
        <f>I182</f>
        <v>0</v>
      </c>
      <c r="J187" s="670"/>
      <c r="K187" s="670"/>
      <c r="L187" s="670"/>
      <c r="M187" s="670"/>
      <c r="N187" s="670"/>
      <c r="O187" s="670"/>
      <c r="P187" s="670"/>
      <c r="Q187" s="670"/>
      <c r="R187" s="670"/>
      <c r="S187" s="670"/>
      <c r="T187" s="670"/>
    </row>
    <row r="188" spans="2:20" hidden="1">
      <c r="B188" s="706" t="s">
        <v>860</v>
      </c>
      <c r="C188" s="707"/>
      <c r="D188" s="707"/>
      <c r="E188" s="707"/>
      <c r="F188" s="707"/>
      <c r="G188" s="707"/>
      <c r="H188" s="707"/>
      <c r="I188" s="707"/>
      <c r="J188" s="707"/>
      <c r="K188" s="707"/>
      <c r="L188" s="707"/>
      <c r="M188" s="707"/>
      <c r="N188" s="707"/>
      <c r="O188" s="707"/>
      <c r="P188" s="707"/>
      <c r="Q188" s="707"/>
      <c r="R188" s="707"/>
    </row>
    <row r="189" spans="2:20" hidden="1">
      <c r="B189" s="708" t="s">
        <v>843</v>
      </c>
      <c r="C189" s="708" t="str">
        <f>C174</f>
        <v>Total</v>
      </c>
      <c r="D189" s="708" t="str">
        <f t="shared" ref="D189:R189" si="78">D174</f>
        <v>Past</v>
      </c>
      <c r="E189" s="708">
        <f t="shared" si="78"/>
        <v>2014</v>
      </c>
      <c r="F189" s="708">
        <f t="shared" si="78"/>
        <v>2015</v>
      </c>
      <c r="G189" s="708">
        <f t="shared" si="78"/>
        <v>2016</v>
      </c>
      <c r="H189" s="708">
        <f t="shared" si="78"/>
        <v>2017</v>
      </c>
      <c r="I189" s="708">
        <f t="shared" si="78"/>
        <v>2018</v>
      </c>
      <c r="J189" s="708">
        <f t="shared" si="78"/>
        <v>2019</v>
      </c>
      <c r="K189" s="708">
        <f t="shared" si="78"/>
        <v>2020</v>
      </c>
      <c r="L189" s="708">
        <f t="shared" si="78"/>
        <v>2021</v>
      </c>
      <c r="M189" s="708">
        <f t="shared" si="78"/>
        <v>2022</v>
      </c>
      <c r="N189" s="708">
        <f t="shared" si="78"/>
        <v>2023</v>
      </c>
      <c r="O189" s="708">
        <f t="shared" si="78"/>
        <v>2024</v>
      </c>
      <c r="P189" s="708">
        <f t="shared" si="78"/>
        <v>2025</v>
      </c>
      <c r="Q189" s="708">
        <f t="shared" si="78"/>
        <v>2026</v>
      </c>
      <c r="R189" s="708">
        <f t="shared" si="78"/>
        <v>2027</v>
      </c>
      <c r="S189" s="708"/>
      <c r="T189" s="708"/>
    </row>
    <row r="190" spans="2:20" hidden="1">
      <c r="B190" s="633" t="s">
        <v>850</v>
      </c>
      <c r="C190" s="670"/>
      <c r="D190" s="670"/>
      <c r="E190" s="670">
        <f>E92+SUM(E146:E147)</f>
        <v>0</v>
      </c>
      <c r="F190" s="670">
        <f>SUM(F92,F120,F146:F147)</f>
        <v>0</v>
      </c>
      <c r="G190" s="670">
        <f t="shared" ref="G190:R190" si="79">SUM(G92,G120,G146:G147)</f>
        <v>0</v>
      </c>
      <c r="H190" s="670">
        <f t="shared" si="79"/>
        <v>0</v>
      </c>
      <c r="I190" s="670">
        <f t="shared" si="79"/>
        <v>0</v>
      </c>
      <c r="J190" s="670">
        <f t="shared" si="79"/>
        <v>0</v>
      </c>
      <c r="K190" s="670">
        <f t="shared" si="79"/>
        <v>0</v>
      </c>
      <c r="L190" s="670">
        <f t="shared" si="79"/>
        <v>0</v>
      </c>
      <c r="M190" s="670">
        <f t="shared" si="79"/>
        <v>0</v>
      </c>
      <c r="N190" s="670">
        <f t="shared" si="79"/>
        <v>0</v>
      </c>
      <c r="O190" s="670">
        <f t="shared" si="79"/>
        <v>0</v>
      </c>
      <c r="P190" s="670">
        <f t="shared" si="79"/>
        <v>0</v>
      </c>
      <c r="Q190" s="670">
        <f t="shared" si="79"/>
        <v>0</v>
      </c>
      <c r="R190" s="670">
        <f t="shared" si="79"/>
        <v>0</v>
      </c>
      <c r="S190" s="670"/>
      <c r="T190" s="670"/>
    </row>
    <row r="191" spans="2:20" hidden="1">
      <c r="B191" s="633" t="s">
        <v>851</v>
      </c>
      <c r="C191" s="670"/>
      <c r="D191" s="670"/>
      <c r="E191" s="670">
        <f t="shared" ref="E191:R191" si="80">SUM(E192:E197)</f>
        <v>0</v>
      </c>
      <c r="F191" s="670">
        <f t="shared" si="80"/>
        <v>4283.16</v>
      </c>
      <c r="G191" s="670">
        <f>SUM(G192:G197)</f>
        <v>-21923.160000000003</v>
      </c>
      <c r="H191" s="670">
        <f t="shared" si="80"/>
        <v>0</v>
      </c>
      <c r="I191" s="670">
        <f t="shared" si="80"/>
        <v>0</v>
      </c>
      <c r="J191" s="670">
        <f t="shared" si="80"/>
        <v>0</v>
      </c>
      <c r="K191" s="670">
        <f t="shared" si="80"/>
        <v>0</v>
      </c>
      <c r="L191" s="670">
        <f t="shared" si="80"/>
        <v>0</v>
      </c>
      <c r="M191" s="670">
        <f t="shared" si="80"/>
        <v>0</v>
      </c>
      <c r="N191" s="670">
        <f t="shared" si="80"/>
        <v>0</v>
      </c>
      <c r="O191" s="670">
        <f t="shared" si="80"/>
        <v>0</v>
      </c>
      <c r="P191" s="670">
        <f t="shared" si="80"/>
        <v>0</v>
      </c>
      <c r="Q191" s="670">
        <f t="shared" si="80"/>
        <v>0</v>
      </c>
      <c r="R191" s="670">
        <f t="shared" si="80"/>
        <v>0</v>
      </c>
      <c r="S191" s="670"/>
      <c r="T191" s="670"/>
    </row>
    <row r="192" spans="2:20" hidden="1">
      <c r="B192" s="634" t="s">
        <v>852</v>
      </c>
      <c r="C192" s="688"/>
      <c r="D192" s="634"/>
      <c r="E192" s="688">
        <f t="shared" ref="E192:R192" si="81">-E33-E177</f>
        <v>0</v>
      </c>
      <c r="F192" s="688">
        <f t="shared" si="81"/>
        <v>0</v>
      </c>
      <c r="G192" s="688">
        <f t="shared" si="81"/>
        <v>0</v>
      </c>
      <c r="H192" s="688">
        <f t="shared" si="81"/>
        <v>0</v>
      </c>
      <c r="I192" s="688">
        <f t="shared" si="81"/>
        <v>0</v>
      </c>
      <c r="J192" s="688">
        <f t="shared" si="81"/>
        <v>0</v>
      </c>
      <c r="K192" s="688">
        <f t="shared" si="81"/>
        <v>0</v>
      </c>
      <c r="L192" s="688">
        <f t="shared" si="81"/>
        <v>0</v>
      </c>
      <c r="M192" s="688">
        <f t="shared" si="81"/>
        <v>0</v>
      </c>
      <c r="N192" s="688">
        <f t="shared" si="81"/>
        <v>0</v>
      </c>
      <c r="O192" s="688">
        <f t="shared" si="81"/>
        <v>0</v>
      </c>
      <c r="P192" s="688">
        <f t="shared" si="81"/>
        <v>0</v>
      </c>
      <c r="Q192" s="688">
        <f t="shared" si="81"/>
        <v>0</v>
      </c>
      <c r="R192" s="688">
        <f t="shared" si="81"/>
        <v>0</v>
      </c>
    </row>
    <row r="193" spans="2:20" hidden="1">
      <c r="B193" s="634" t="s">
        <v>853</v>
      </c>
      <c r="C193" s="688"/>
      <c r="D193" s="634"/>
      <c r="E193" s="688"/>
      <c r="F193" s="688">
        <f>-G34+F178</f>
        <v>-14700</v>
      </c>
      <c r="G193" s="688">
        <f>-H34+G178</f>
        <v>-2940</v>
      </c>
      <c r="H193" s="688">
        <f>-I34+H178</f>
        <v>0</v>
      </c>
      <c r="I193" s="688">
        <f t="shared" ref="I193:R193" si="82">-I34+I178</f>
        <v>0</v>
      </c>
      <c r="J193" s="688">
        <f t="shared" si="82"/>
        <v>0</v>
      </c>
      <c r="K193" s="688">
        <f t="shared" si="82"/>
        <v>0</v>
      </c>
      <c r="L193" s="688">
        <f t="shared" si="82"/>
        <v>0</v>
      </c>
      <c r="M193" s="688">
        <f t="shared" si="82"/>
        <v>0</v>
      </c>
      <c r="N193" s="688">
        <f t="shared" si="82"/>
        <v>0</v>
      </c>
      <c r="O193" s="688">
        <f t="shared" si="82"/>
        <v>0</v>
      </c>
      <c r="P193" s="688">
        <f t="shared" si="82"/>
        <v>0</v>
      </c>
      <c r="Q193" s="688">
        <f t="shared" si="82"/>
        <v>0</v>
      </c>
      <c r="R193" s="688">
        <f t="shared" si="82"/>
        <v>0</v>
      </c>
    </row>
    <row r="194" spans="2:20" hidden="1">
      <c r="B194" s="634" t="s">
        <v>788</v>
      </c>
      <c r="C194" s="688"/>
      <c r="D194" s="688"/>
      <c r="E194" s="688">
        <f>-(D132*D141+D103*D109+D77*D83)*40%</f>
        <v>0</v>
      </c>
      <c r="F194" s="688">
        <f>-(D132*D141+D103*D109+D77*D83)*40%</f>
        <v>0</v>
      </c>
      <c r="G194" s="688">
        <f>-(D132*D141+D103*D109+D77*D83)*20%</f>
        <v>0</v>
      </c>
      <c r="H194" s="688"/>
      <c r="I194" s="688"/>
      <c r="J194" s="688"/>
      <c r="K194" s="688"/>
      <c r="L194" s="688"/>
      <c r="M194" s="688"/>
      <c r="N194" s="688"/>
      <c r="O194" s="688"/>
      <c r="P194" s="688"/>
      <c r="Q194" s="688"/>
      <c r="R194" s="688"/>
      <c r="S194" s="688"/>
      <c r="T194" s="688"/>
    </row>
    <row r="195" spans="2:20" hidden="1">
      <c r="B195" s="634" t="s">
        <v>821</v>
      </c>
      <c r="C195" s="688"/>
      <c r="D195" s="688"/>
      <c r="E195" s="688">
        <f>-(E96+E150)</f>
        <v>0</v>
      </c>
      <c r="F195" s="688">
        <f>SUM(F150,F123,F96)</f>
        <v>0</v>
      </c>
      <c r="G195" s="688">
        <f>SUM(G150,G123,G96)</f>
        <v>0</v>
      </c>
      <c r="H195" s="688">
        <f t="shared" ref="H195:R195" si="83">SUM(H150,H123,H96)</f>
        <v>0</v>
      </c>
      <c r="I195" s="688">
        <f t="shared" si="83"/>
        <v>0</v>
      </c>
      <c r="J195" s="688">
        <f t="shared" si="83"/>
        <v>0</v>
      </c>
      <c r="K195" s="688">
        <f t="shared" si="83"/>
        <v>0</v>
      </c>
      <c r="L195" s="688">
        <f t="shared" si="83"/>
        <v>0</v>
      </c>
      <c r="M195" s="688">
        <f t="shared" si="83"/>
        <v>0</v>
      </c>
      <c r="N195" s="688">
        <f t="shared" si="83"/>
        <v>0</v>
      </c>
      <c r="O195" s="688">
        <f t="shared" si="83"/>
        <v>0</v>
      </c>
      <c r="P195" s="688">
        <f t="shared" si="83"/>
        <v>0</v>
      </c>
      <c r="Q195" s="688">
        <f t="shared" si="83"/>
        <v>0</v>
      </c>
      <c r="R195" s="688">
        <f t="shared" si="83"/>
        <v>0</v>
      </c>
      <c r="S195" s="688"/>
      <c r="T195" s="688"/>
    </row>
    <row r="196" spans="2:20" hidden="1">
      <c r="B196" s="634" t="s">
        <v>656</v>
      </c>
      <c r="C196" s="688">
        <f>C167</f>
        <v>-45198.000000000007</v>
      </c>
      <c r="D196" s="688">
        <f>D167</f>
        <v>0</v>
      </c>
      <c r="E196" s="688">
        <f>E167-E156</f>
        <v>0</v>
      </c>
      <c r="F196" s="688">
        <f>F167-F156</f>
        <v>18983.16</v>
      </c>
      <c r="G196" s="688">
        <f>G167-G156</f>
        <v>-18983.160000000003</v>
      </c>
      <c r="H196" s="688">
        <f t="shared" ref="H196:R196" si="84">H167-H156</f>
        <v>0</v>
      </c>
      <c r="I196" s="688">
        <f t="shared" si="84"/>
        <v>0</v>
      </c>
      <c r="J196" s="688">
        <f t="shared" si="84"/>
        <v>0</v>
      </c>
      <c r="K196" s="688">
        <f t="shared" si="84"/>
        <v>0</v>
      </c>
      <c r="L196" s="688">
        <f t="shared" si="84"/>
        <v>0</v>
      </c>
      <c r="M196" s="688">
        <f t="shared" si="84"/>
        <v>0</v>
      </c>
      <c r="N196" s="688">
        <f t="shared" si="84"/>
        <v>0</v>
      </c>
      <c r="O196" s="688">
        <f t="shared" si="84"/>
        <v>0</v>
      </c>
      <c r="P196" s="688">
        <f t="shared" si="84"/>
        <v>0</v>
      </c>
      <c r="Q196" s="688">
        <f t="shared" si="84"/>
        <v>0</v>
      </c>
      <c r="R196" s="688">
        <f t="shared" si="84"/>
        <v>0</v>
      </c>
      <c r="S196" s="688"/>
      <c r="T196" s="688"/>
    </row>
    <row r="197" spans="2:20" hidden="1">
      <c r="B197" s="634" t="s">
        <v>854</v>
      </c>
      <c r="C197" s="679">
        <f>IF(C169&lt;0,0,C169*C170)</f>
        <v>0</v>
      </c>
      <c r="D197" s="679">
        <f>IF(D169&lt;0,0,D169*D170)</f>
        <v>0</v>
      </c>
      <c r="E197" s="679">
        <f t="shared" ref="E197:R197" si="85">IF(E169&lt;0,0,-E169*E170)-E181</f>
        <v>0</v>
      </c>
      <c r="F197" s="679">
        <f t="shared" si="85"/>
        <v>0</v>
      </c>
      <c r="G197" s="679">
        <f t="shared" si="85"/>
        <v>0</v>
      </c>
      <c r="H197" s="679">
        <f t="shared" si="85"/>
        <v>0</v>
      </c>
      <c r="I197" s="679">
        <f t="shared" si="85"/>
        <v>0</v>
      </c>
      <c r="J197" s="679">
        <f t="shared" si="85"/>
        <v>0</v>
      </c>
      <c r="K197" s="679">
        <f t="shared" si="85"/>
        <v>0</v>
      </c>
      <c r="L197" s="679">
        <f t="shared" si="85"/>
        <v>0</v>
      </c>
      <c r="M197" s="679">
        <f t="shared" si="85"/>
        <v>0</v>
      </c>
      <c r="N197" s="679">
        <f t="shared" si="85"/>
        <v>0</v>
      </c>
      <c r="O197" s="679">
        <f t="shared" si="85"/>
        <v>0</v>
      </c>
      <c r="P197" s="679">
        <f t="shared" si="85"/>
        <v>0</v>
      </c>
      <c r="Q197" s="679">
        <f t="shared" si="85"/>
        <v>0</v>
      </c>
      <c r="R197" s="679">
        <f t="shared" si="85"/>
        <v>0</v>
      </c>
      <c r="S197" s="679"/>
      <c r="T197" s="679"/>
    </row>
    <row r="198" spans="2:20" hidden="1">
      <c r="B198" s="634" t="s">
        <v>855</v>
      </c>
      <c r="C198" s="670">
        <f>C190-C191</f>
        <v>0</v>
      </c>
      <c r="D198" s="670">
        <f>D190-D191</f>
        <v>0</v>
      </c>
      <c r="E198" s="670">
        <f>IF($C$12&lt;E189,0,E190+E191)</f>
        <v>0</v>
      </c>
      <c r="F198" s="670">
        <f t="shared" ref="F198:R198" si="86">IF($C$12&lt;F189,0,F190+F191)</f>
        <v>4283.16</v>
      </c>
      <c r="G198" s="670">
        <f>IF($C$12&lt;G189,0,G190+G191)</f>
        <v>-21923.160000000003</v>
      </c>
      <c r="H198" s="670">
        <f t="shared" si="86"/>
        <v>0</v>
      </c>
      <c r="I198" s="670">
        <f t="shared" si="86"/>
        <v>0</v>
      </c>
      <c r="J198" s="670">
        <f t="shared" si="86"/>
        <v>0</v>
      </c>
      <c r="K198" s="670">
        <f t="shared" si="86"/>
        <v>0</v>
      </c>
      <c r="L198" s="670">
        <f t="shared" si="86"/>
        <v>0</v>
      </c>
      <c r="M198" s="670">
        <f t="shared" si="86"/>
        <v>0</v>
      </c>
      <c r="N198" s="670">
        <f t="shared" si="86"/>
        <v>0</v>
      </c>
      <c r="O198" s="670">
        <f t="shared" si="86"/>
        <v>0</v>
      </c>
      <c r="P198" s="670">
        <f t="shared" si="86"/>
        <v>0</v>
      </c>
      <c r="Q198" s="670">
        <f t="shared" si="86"/>
        <v>0</v>
      </c>
      <c r="R198" s="670">
        <f t="shared" si="86"/>
        <v>0</v>
      </c>
      <c r="S198" s="670"/>
      <c r="T198" s="670"/>
    </row>
    <row r="199" spans="2:20" hidden="1">
      <c r="B199" s="634" t="s">
        <v>861</v>
      </c>
      <c r="C199" s="670"/>
      <c r="D199" s="670"/>
      <c r="E199" s="670">
        <f t="shared" ref="E199:R199" si="87">IF($C$12&lt;&gt;E189,0,E198*(1+$C$10)/(E21-$C$10))</f>
        <v>0</v>
      </c>
      <c r="F199" s="670">
        <f t="shared" si="87"/>
        <v>0</v>
      </c>
      <c r="G199" s="670">
        <f t="shared" si="87"/>
        <v>0</v>
      </c>
      <c r="H199" s="670">
        <f t="shared" si="87"/>
        <v>0</v>
      </c>
      <c r="I199" s="670">
        <f t="shared" si="87"/>
        <v>0</v>
      </c>
      <c r="J199" s="670">
        <f t="shared" si="87"/>
        <v>0</v>
      </c>
      <c r="K199" s="670">
        <f t="shared" si="87"/>
        <v>0</v>
      </c>
      <c r="L199" s="670">
        <f t="shared" si="87"/>
        <v>0</v>
      </c>
      <c r="M199" s="670">
        <f t="shared" si="87"/>
        <v>0</v>
      </c>
      <c r="N199" s="670">
        <f t="shared" si="87"/>
        <v>0</v>
      </c>
      <c r="O199" s="670">
        <f t="shared" si="87"/>
        <v>0</v>
      </c>
      <c r="P199" s="670">
        <f t="shared" si="87"/>
        <v>0</v>
      </c>
      <c r="Q199" s="670">
        <f t="shared" si="87"/>
        <v>0</v>
      </c>
      <c r="R199" s="670">
        <f t="shared" si="87"/>
        <v>0</v>
      </c>
      <c r="S199" s="670"/>
      <c r="T199" s="670"/>
    </row>
    <row r="200" spans="2:20" hidden="1">
      <c r="D200" s="634"/>
      <c r="E200" s="714">
        <f t="shared" ref="E200:J200" si="88">SUM(E198:E199)</f>
        <v>0</v>
      </c>
      <c r="F200" s="714">
        <f t="shared" si="88"/>
        <v>4283.16</v>
      </c>
      <c r="G200" s="714">
        <f t="shared" si="88"/>
        <v>-21923.160000000003</v>
      </c>
      <c r="H200" s="714">
        <f t="shared" si="88"/>
        <v>0</v>
      </c>
      <c r="I200" s="714">
        <f t="shared" si="88"/>
        <v>0</v>
      </c>
      <c r="J200" s="714">
        <f t="shared" si="88"/>
        <v>0</v>
      </c>
      <c r="K200" s="714">
        <f t="shared" ref="K200:P200" si="89">SUM(K198:K199)</f>
        <v>0</v>
      </c>
      <c r="L200" s="714">
        <f t="shared" si="89"/>
        <v>0</v>
      </c>
      <c r="M200" s="714">
        <f t="shared" si="89"/>
        <v>0</v>
      </c>
      <c r="N200" s="714">
        <f t="shared" si="89"/>
        <v>0</v>
      </c>
      <c r="O200" s="714">
        <f t="shared" si="89"/>
        <v>0</v>
      </c>
      <c r="P200" s="714">
        <f t="shared" si="89"/>
        <v>0</v>
      </c>
      <c r="Q200" s="714">
        <f>SUM(Q198:Q199)</f>
        <v>0</v>
      </c>
      <c r="R200" s="714">
        <f>SUM(R198:R199)</f>
        <v>0</v>
      </c>
    </row>
    <row r="201" spans="2:20" s="710" customFormat="1" hidden="1">
      <c r="B201" s="710" t="s">
        <v>856</v>
      </c>
      <c r="E201" s="710">
        <f>E183</f>
        <v>1.0360799631532644</v>
      </c>
      <c r="F201" s="710">
        <f t="shared" ref="F201:R201" si="90">F183</f>
        <v>1.2294349092551093</v>
      </c>
      <c r="G201" s="710">
        <f t="shared" si="90"/>
        <v>1.6664968918645606</v>
      </c>
      <c r="H201" s="710">
        <f t="shared" si="90"/>
        <v>2.571625722243434</v>
      </c>
      <c r="I201" s="710">
        <f t="shared" si="90"/>
        <v>4.5350412933477626</v>
      </c>
      <c r="J201" s="710">
        <f t="shared" si="90"/>
        <v>5.1826451900378236</v>
      </c>
      <c r="K201" s="710">
        <f t="shared" si="90"/>
        <v>5.9227269231752251</v>
      </c>
      <c r="L201" s="710">
        <f t="shared" si="90"/>
        <v>6.7684923278046476</v>
      </c>
      <c r="M201" s="710">
        <f t="shared" si="90"/>
        <v>7.7350330322151519</v>
      </c>
      <c r="N201" s="710">
        <f t="shared" si="90"/>
        <v>8.8395957492154764</v>
      </c>
      <c r="O201" s="710">
        <f t="shared" si="90"/>
        <v>10.101890022203447</v>
      </c>
      <c r="P201" s="710">
        <f t="shared" si="90"/>
        <v>11.544439917374099</v>
      </c>
      <c r="Q201" s="710">
        <f t="shared" si="90"/>
        <v>13.19298593757512</v>
      </c>
      <c r="R201" s="710">
        <f t="shared" si="90"/>
        <v>13.19298593757512</v>
      </c>
    </row>
    <row r="202" spans="2:20" hidden="1">
      <c r="B202" s="634" t="s">
        <v>857</v>
      </c>
      <c r="D202" s="634"/>
      <c r="E202" s="711">
        <f>E200/E201</f>
        <v>0</v>
      </c>
      <c r="F202" s="711">
        <f>F200/F201</f>
        <v>3483.8444620017199</v>
      </c>
      <c r="G202" s="711">
        <f t="shared" ref="G202:Q202" si="91">G200/G201</f>
        <v>-13155.236056558899</v>
      </c>
      <c r="H202" s="711">
        <f t="shared" si="91"/>
        <v>0</v>
      </c>
      <c r="I202" s="711">
        <f t="shared" si="91"/>
        <v>0</v>
      </c>
      <c r="J202" s="711">
        <f t="shared" si="91"/>
        <v>0</v>
      </c>
      <c r="K202" s="711">
        <f t="shared" si="91"/>
        <v>0</v>
      </c>
      <c r="L202" s="711">
        <f t="shared" si="91"/>
        <v>0</v>
      </c>
      <c r="M202" s="711">
        <f t="shared" si="91"/>
        <v>0</v>
      </c>
      <c r="N202" s="711">
        <f t="shared" si="91"/>
        <v>0</v>
      </c>
      <c r="O202" s="711">
        <f t="shared" si="91"/>
        <v>0</v>
      </c>
      <c r="P202" s="711">
        <f t="shared" si="91"/>
        <v>0</v>
      </c>
      <c r="Q202" s="711">
        <f t="shared" si="91"/>
        <v>0</v>
      </c>
      <c r="R202" s="711">
        <f>R200/R201</f>
        <v>0</v>
      </c>
    </row>
    <row r="203" spans="2:20" hidden="1">
      <c r="B203" s="634" t="s">
        <v>858</v>
      </c>
      <c r="C203" s="688">
        <f>SUM(F202:R202)+E202</f>
        <v>-9671.3915945571789</v>
      </c>
      <c r="D203" s="634"/>
    </row>
    <row r="204" spans="2:20" hidden="1">
      <c r="B204" s="712" t="s">
        <v>862</v>
      </c>
      <c r="C204" s="713">
        <f>C203*C9</f>
        <v>-9671.3915945571789</v>
      </c>
      <c r="D204" s="634"/>
      <c r="F204" s="636"/>
    </row>
    <row r="205" spans="2:20">
      <c r="E205" s="690">
        <f>IRR(E187:I187)</f>
        <v>0.73729005621917887</v>
      </c>
    </row>
    <row r="207" spans="2:20" ht="12" thickBot="1">
      <c r="B207" s="633" t="s">
        <v>863</v>
      </c>
      <c r="D207" s="633">
        <v>2011</v>
      </c>
      <c r="E207" s="633">
        <v>2012</v>
      </c>
      <c r="F207" s="633">
        <v>2013</v>
      </c>
      <c r="G207" s="633">
        <v>2014</v>
      </c>
      <c r="H207" s="633">
        <v>2015</v>
      </c>
      <c r="I207" s="633">
        <v>2016</v>
      </c>
      <c r="J207" s="633">
        <v>2017</v>
      </c>
      <c r="K207" s="633">
        <v>2018</v>
      </c>
      <c r="L207" s="633">
        <v>2019</v>
      </c>
      <c r="M207" s="633">
        <v>2020</v>
      </c>
      <c r="N207" s="633">
        <v>2021</v>
      </c>
      <c r="O207" s="633">
        <v>2022</v>
      </c>
      <c r="P207" s="633">
        <v>2023</v>
      </c>
      <c r="Q207" s="633">
        <v>2024</v>
      </c>
      <c r="R207" s="633">
        <v>2025</v>
      </c>
    </row>
    <row r="208" spans="2:20" ht="12" thickBot="1">
      <c r="B208" s="634" t="s">
        <v>864</v>
      </c>
      <c r="C208" s="671">
        <f>F1*E2</f>
        <v>159225</v>
      </c>
      <c r="D208" s="634"/>
    </row>
    <row r="209" spans="2:19" ht="12" thickBot="1">
      <c r="B209" s="634" t="s">
        <v>865</v>
      </c>
      <c r="C209" s="679"/>
      <c r="D209" s="715">
        <v>0</v>
      </c>
      <c r="E209" s="716">
        <v>0</v>
      </c>
      <c r="F209" s="716">
        <v>0</v>
      </c>
      <c r="G209" s="716">
        <v>0</v>
      </c>
      <c r="H209" s="717">
        <v>1</v>
      </c>
      <c r="I209" s="636">
        <v>0</v>
      </c>
      <c r="J209" s="636">
        <v>0</v>
      </c>
    </row>
    <row r="210" spans="2:19">
      <c r="B210" s="634" t="s">
        <v>866</v>
      </c>
      <c r="C210" s="679"/>
      <c r="D210" s="634">
        <f>IF(D209&gt;0,C210+1,0)</f>
        <v>0</v>
      </c>
      <c r="E210" s="634">
        <f t="shared" ref="E210:K210" si="92">IF(E209&gt;0,D210+1,0)</f>
        <v>0</v>
      </c>
      <c r="F210" s="634">
        <f t="shared" si="92"/>
        <v>0</v>
      </c>
      <c r="G210" s="634">
        <f>IF(G209&gt;0,F210+1,0)</f>
        <v>0</v>
      </c>
      <c r="H210" s="634">
        <f t="shared" si="92"/>
        <v>1</v>
      </c>
      <c r="I210" s="634">
        <f t="shared" si="92"/>
        <v>0</v>
      </c>
      <c r="J210" s="634">
        <f t="shared" si="92"/>
        <v>0</v>
      </c>
      <c r="K210" s="634">
        <f t="shared" si="92"/>
        <v>0</v>
      </c>
    </row>
    <row r="211" spans="2:19">
      <c r="B211" s="634" t="s">
        <v>867</v>
      </c>
      <c r="D211" s="688">
        <f>$C$208*D209</f>
        <v>0</v>
      </c>
      <c r="E211" s="688">
        <f>$C$208*E209</f>
        <v>0</v>
      </c>
      <c r="F211" s="688">
        <f>$C$208*F209</f>
        <v>0</v>
      </c>
      <c r="G211" s="688">
        <f>$C$208*G209</f>
        <v>0</v>
      </c>
      <c r="H211" s="688">
        <f>$C$208*H209</f>
        <v>159225</v>
      </c>
      <c r="I211" s="688">
        <f t="shared" ref="I211:S211" si="93">$C$208*I209</f>
        <v>0</v>
      </c>
      <c r="J211" s="688">
        <f t="shared" si="93"/>
        <v>0</v>
      </c>
      <c r="K211" s="688">
        <f t="shared" si="93"/>
        <v>0</v>
      </c>
      <c r="L211" s="688">
        <f t="shared" si="93"/>
        <v>0</v>
      </c>
      <c r="M211" s="688">
        <f t="shared" si="93"/>
        <v>0</v>
      </c>
      <c r="N211" s="688">
        <f t="shared" si="93"/>
        <v>0</v>
      </c>
      <c r="O211" s="688">
        <f t="shared" si="93"/>
        <v>0</v>
      </c>
      <c r="P211" s="688">
        <f t="shared" si="93"/>
        <v>0</v>
      </c>
      <c r="Q211" s="688">
        <f t="shared" si="93"/>
        <v>0</v>
      </c>
      <c r="R211" s="688">
        <f t="shared" si="93"/>
        <v>0</v>
      </c>
      <c r="S211" s="688">
        <f t="shared" si="93"/>
        <v>0</v>
      </c>
    </row>
    <row r="212" spans="2:19">
      <c r="B212" s="634" t="s">
        <v>868</v>
      </c>
      <c r="D212" s="688">
        <f>D211</f>
        <v>0</v>
      </c>
      <c r="E212" s="688">
        <f t="shared" ref="E212:R212" si="94">D234+E211</f>
        <v>0</v>
      </c>
      <c r="F212" s="688">
        <f t="shared" si="94"/>
        <v>0</v>
      </c>
      <c r="G212" s="688">
        <f t="shared" si="94"/>
        <v>0</v>
      </c>
      <c r="H212" s="688">
        <f t="shared" si="94"/>
        <v>159225</v>
      </c>
      <c r="I212" s="688">
        <f t="shared" si="94"/>
        <v>127380</v>
      </c>
      <c r="J212" s="688">
        <f t="shared" si="94"/>
        <v>95535</v>
      </c>
      <c r="K212" s="688">
        <f t="shared" si="94"/>
        <v>63690</v>
      </c>
      <c r="L212" s="688">
        <f t="shared" si="94"/>
        <v>31845</v>
      </c>
      <c r="M212" s="688">
        <f t="shared" si="94"/>
        <v>0</v>
      </c>
      <c r="N212" s="688">
        <f t="shared" si="94"/>
        <v>0</v>
      </c>
      <c r="O212" s="688">
        <f>N234+O211</f>
        <v>0</v>
      </c>
      <c r="P212" s="688">
        <f t="shared" si="94"/>
        <v>0</v>
      </c>
      <c r="Q212" s="688">
        <f t="shared" si="94"/>
        <v>0</v>
      </c>
      <c r="R212" s="688">
        <f t="shared" si="94"/>
        <v>0</v>
      </c>
    </row>
    <row r="213" spans="2:19" ht="12" thickBot="1">
      <c r="B213" s="634" t="s">
        <v>869</v>
      </c>
      <c r="D213" s="688">
        <f>D212*E20</f>
        <v>0</v>
      </c>
      <c r="E213" s="688">
        <f t="shared" ref="E213:R213" si="95">E212*E20</f>
        <v>0</v>
      </c>
      <c r="F213" s="688">
        <f t="shared" si="95"/>
        <v>0</v>
      </c>
      <c r="G213" s="688">
        <f t="shared" si="95"/>
        <v>0</v>
      </c>
      <c r="H213" s="688">
        <f t="shared" si="95"/>
        <v>15922.5</v>
      </c>
      <c r="I213" s="688">
        <f t="shared" si="95"/>
        <v>11464.2</v>
      </c>
      <c r="J213" s="688">
        <f t="shared" si="95"/>
        <v>8598.1500000000015</v>
      </c>
      <c r="K213" s="688">
        <f t="shared" si="95"/>
        <v>5732.1</v>
      </c>
      <c r="L213" s="688">
        <f t="shared" si="95"/>
        <v>2866.05</v>
      </c>
      <c r="M213" s="688">
        <f t="shared" si="95"/>
        <v>0</v>
      </c>
      <c r="N213" s="688">
        <f t="shared" si="95"/>
        <v>0</v>
      </c>
      <c r="O213" s="688">
        <f t="shared" si="95"/>
        <v>0</v>
      </c>
      <c r="P213" s="688">
        <f t="shared" si="95"/>
        <v>0</v>
      </c>
      <c r="Q213" s="688">
        <f t="shared" si="95"/>
        <v>0</v>
      </c>
      <c r="R213" s="688">
        <f t="shared" si="95"/>
        <v>0</v>
      </c>
    </row>
    <row r="214" spans="2:19" ht="12" thickBot="1">
      <c r="B214" s="634" t="s">
        <v>870</v>
      </c>
      <c r="C214" s="718">
        <v>5</v>
      </c>
      <c r="D214" s="688"/>
      <c r="E214" s="688"/>
      <c r="F214" s="688"/>
      <c r="G214" s="688"/>
      <c r="H214" s="688"/>
      <c r="I214" s="688"/>
      <c r="J214" s="688"/>
      <c r="K214" s="688"/>
      <c r="L214" s="688"/>
      <c r="M214" s="688"/>
      <c r="N214" s="688"/>
      <c r="O214" s="688"/>
      <c r="P214" s="688"/>
      <c r="Q214" s="688"/>
      <c r="R214" s="688"/>
    </row>
    <row r="215" spans="2:19" ht="12" thickBot="1">
      <c r="B215" s="634" t="s">
        <v>871</v>
      </c>
      <c r="C215" s="718">
        <v>2015</v>
      </c>
      <c r="D215" s="688"/>
      <c r="E215" s="688"/>
      <c r="F215" s="688"/>
      <c r="G215" s="688"/>
      <c r="H215" s="688"/>
      <c r="I215" s="688"/>
      <c r="J215" s="688"/>
      <c r="K215" s="688"/>
      <c r="L215" s="688"/>
      <c r="M215" s="688"/>
      <c r="N215" s="688"/>
      <c r="O215" s="688"/>
      <c r="P215" s="688"/>
      <c r="Q215" s="688"/>
      <c r="R215" s="688"/>
    </row>
    <row r="216" spans="2:19">
      <c r="B216" s="634" t="s">
        <v>872</v>
      </c>
      <c r="C216" s="688"/>
      <c r="D216" s="634"/>
    </row>
    <row r="217" spans="2:19" hidden="1">
      <c r="B217" s="634">
        <f>HLOOKUP(1,$D$210:$R$211,1,0)</f>
        <v>1</v>
      </c>
      <c r="C217" s="688"/>
      <c r="D217" s="688">
        <f>IF(IF(D207=$C$215,1,IF(D207&gt;$C$215,C217+1,0))&gt;$C$214,-100,IF(D207=$C$215,1,IF(D207&gt;$C$215,C217+1,0)))</f>
        <v>0</v>
      </c>
      <c r="E217" s="688">
        <f t="shared" ref="E217:R217" si="96">IF(IF(E207=$C$215,1,IF(E207&gt;$C$215,D217+1,0))&gt;$C$214,-100,IF(E207=$C$215,1,IF(E207&gt;$C$215,D217+1,0)))</f>
        <v>0</v>
      </c>
      <c r="F217" s="688">
        <f t="shared" si="96"/>
        <v>0</v>
      </c>
      <c r="G217" s="688">
        <f t="shared" si="96"/>
        <v>0</v>
      </c>
      <c r="H217" s="688">
        <f t="shared" si="96"/>
        <v>1</v>
      </c>
      <c r="I217" s="688">
        <f t="shared" si="96"/>
        <v>2</v>
      </c>
      <c r="J217" s="688">
        <f t="shared" si="96"/>
        <v>3</v>
      </c>
      <c r="K217" s="688">
        <f t="shared" si="96"/>
        <v>4</v>
      </c>
      <c r="L217" s="688">
        <f t="shared" si="96"/>
        <v>5</v>
      </c>
      <c r="M217" s="688">
        <f t="shared" si="96"/>
        <v>-100</v>
      </c>
      <c r="N217" s="688">
        <f t="shared" si="96"/>
        <v>-99</v>
      </c>
      <c r="O217" s="688">
        <f t="shared" si="96"/>
        <v>-98</v>
      </c>
      <c r="P217" s="688">
        <f t="shared" si="96"/>
        <v>-97</v>
      </c>
      <c r="Q217" s="688">
        <f t="shared" si="96"/>
        <v>-96</v>
      </c>
      <c r="R217" s="688">
        <f t="shared" si="96"/>
        <v>-95</v>
      </c>
    </row>
    <row r="218" spans="2:19" hidden="1">
      <c r="B218" s="634" t="e">
        <f>HLOOKUP(2,$D$210:$R$211,1,0)</f>
        <v>#N/A</v>
      </c>
      <c r="C218" s="688"/>
      <c r="D218" s="688">
        <f>IF(ISNA($B218),0,IF(C217&gt;0,C217,0))</f>
        <v>0</v>
      </c>
      <c r="E218" s="688">
        <f t="shared" ref="D218:R224" si="97">IF(ISNA($B218),0,IF(D217&gt;0,D217,0))</f>
        <v>0</v>
      </c>
      <c r="F218" s="688">
        <f t="shared" si="97"/>
        <v>0</v>
      </c>
      <c r="G218" s="688">
        <f t="shared" si="97"/>
        <v>0</v>
      </c>
      <c r="H218" s="688">
        <f t="shared" si="97"/>
        <v>0</v>
      </c>
      <c r="I218" s="688">
        <f t="shared" si="97"/>
        <v>0</v>
      </c>
      <c r="J218" s="688">
        <f t="shared" si="97"/>
        <v>0</v>
      </c>
      <c r="K218" s="688">
        <f t="shared" si="97"/>
        <v>0</v>
      </c>
      <c r="L218" s="688">
        <f t="shared" si="97"/>
        <v>0</v>
      </c>
      <c r="M218" s="688">
        <f t="shared" si="97"/>
        <v>0</v>
      </c>
      <c r="N218" s="688">
        <f t="shared" si="97"/>
        <v>0</v>
      </c>
      <c r="O218" s="688">
        <f t="shared" si="97"/>
        <v>0</v>
      </c>
      <c r="P218" s="688">
        <f t="shared" si="97"/>
        <v>0</v>
      </c>
      <c r="Q218" s="688">
        <f t="shared" si="97"/>
        <v>0</v>
      </c>
      <c r="R218" s="688">
        <f t="shared" si="97"/>
        <v>0</v>
      </c>
    </row>
    <row r="219" spans="2:19" hidden="1">
      <c r="B219" s="634" t="e">
        <f>HLOOKUP(3,$D$210:$R$211,1,0)</f>
        <v>#N/A</v>
      </c>
      <c r="C219" s="688"/>
      <c r="D219" s="688">
        <f>IF(ISNA($B219),0,IF(C218&gt;0,C218,0))</f>
        <v>0</v>
      </c>
      <c r="E219" s="688">
        <f t="shared" si="97"/>
        <v>0</v>
      </c>
      <c r="F219" s="688">
        <f t="shared" si="97"/>
        <v>0</v>
      </c>
      <c r="G219" s="688">
        <f t="shared" si="97"/>
        <v>0</v>
      </c>
      <c r="H219" s="688">
        <f t="shared" si="97"/>
        <v>0</v>
      </c>
      <c r="I219" s="688">
        <f t="shared" si="97"/>
        <v>0</v>
      </c>
      <c r="J219" s="688">
        <f t="shared" si="97"/>
        <v>0</v>
      </c>
      <c r="K219" s="688">
        <f t="shared" si="97"/>
        <v>0</v>
      </c>
      <c r="L219" s="688">
        <f t="shared" si="97"/>
        <v>0</v>
      </c>
      <c r="M219" s="688">
        <f t="shared" si="97"/>
        <v>0</v>
      </c>
      <c r="N219" s="688">
        <f t="shared" si="97"/>
        <v>0</v>
      </c>
      <c r="O219" s="688">
        <f t="shared" si="97"/>
        <v>0</v>
      </c>
      <c r="P219" s="688">
        <f t="shared" si="97"/>
        <v>0</v>
      </c>
      <c r="Q219" s="688">
        <f t="shared" si="97"/>
        <v>0</v>
      </c>
      <c r="R219" s="688">
        <f t="shared" si="97"/>
        <v>0</v>
      </c>
    </row>
    <row r="220" spans="2:19" hidden="1">
      <c r="B220" s="634" t="e">
        <f>HLOOKUP(4,$D$210:$R$211,1,0)</f>
        <v>#N/A</v>
      </c>
      <c r="C220" s="688"/>
      <c r="D220" s="688">
        <f>IF(ISNA($B220),0,IF(C219&gt;0,C219,0))</f>
        <v>0</v>
      </c>
      <c r="E220" s="688">
        <f t="shared" si="97"/>
        <v>0</v>
      </c>
      <c r="F220" s="688">
        <f t="shared" si="97"/>
        <v>0</v>
      </c>
      <c r="G220" s="688">
        <f t="shared" si="97"/>
        <v>0</v>
      </c>
      <c r="H220" s="688">
        <f t="shared" si="97"/>
        <v>0</v>
      </c>
      <c r="I220" s="688">
        <f t="shared" si="97"/>
        <v>0</v>
      </c>
      <c r="J220" s="688">
        <f t="shared" si="97"/>
        <v>0</v>
      </c>
      <c r="K220" s="688">
        <f t="shared" si="97"/>
        <v>0</v>
      </c>
      <c r="L220" s="688">
        <f t="shared" si="97"/>
        <v>0</v>
      </c>
      <c r="M220" s="688">
        <f t="shared" si="97"/>
        <v>0</v>
      </c>
      <c r="N220" s="688">
        <f t="shared" si="97"/>
        <v>0</v>
      </c>
      <c r="O220" s="688">
        <f t="shared" si="97"/>
        <v>0</v>
      </c>
      <c r="P220" s="688">
        <f t="shared" si="97"/>
        <v>0</v>
      </c>
      <c r="Q220" s="688">
        <f t="shared" si="97"/>
        <v>0</v>
      </c>
      <c r="R220" s="688">
        <f t="shared" si="97"/>
        <v>0</v>
      </c>
    </row>
    <row r="221" spans="2:19" hidden="1">
      <c r="B221" s="634" t="e">
        <f>HLOOKUP(5,$D$210:$R$211,1,0)</f>
        <v>#N/A</v>
      </c>
      <c r="C221" s="688"/>
      <c r="D221" s="688">
        <f t="shared" si="97"/>
        <v>0</v>
      </c>
      <c r="E221" s="688">
        <f t="shared" si="97"/>
        <v>0</v>
      </c>
      <c r="F221" s="688">
        <f t="shared" si="97"/>
        <v>0</v>
      </c>
      <c r="G221" s="688">
        <f t="shared" si="97"/>
        <v>0</v>
      </c>
      <c r="H221" s="688">
        <f t="shared" si="97"/>
        <v>0</v>
      </c>
      <c r="I221" s="688">
        <f t="shared" si="97"/>
        <v>0</v>
      </c>
      <c r="J221" s="688">
        <f t="shared" si="97"/>
        <v>0</v>
      </c>
      <c r="K221" s="688">
        <f t="shared" si="97"/>
        <v>0</v>
      </c>
      <c r="L221" s="688">
        <f t="shared" si="97"/>
        <v>0</v>
      </c>
      <c r="M221" s="688">
        <f t="shared" si="97"/>
        <v>0</v>
      </c>
      <c r="N221" s="688">
        <f t="shared" si="97"/>
        <v>0</v>
      </c>
      <c r="O221" s="688">
        <f t="shared" si="97"/>
        <v>0</v>
      </c>
      <c r="P221" s="688">
        <f t="shared" si="97"/>
        <v>0</v>
      </c>
      <c r="Q221" s="688">
        <f t="shared" si="97"/>
        <v>0</v>
      </c>
      <c r="R221" s="688">
        <f t="shared" si="97"/>
        <v>0</v>
      </c>
    </row>
    <row r="222" spans="2:19" hidden="1">
      <c r="B222" s="634" t="e">
        <f>HLOOKUP(6,$D$210:$R$211,1,0)</f>
        <v>#N/A</v>
      </c>
      <c r="C222" s="688"/>
      <c r="D222" s="688">
        <f t="shared" si="97"/>
        <v>0</v>
      </c>
      <c r="E222" s="688">
        <f t="shared" si="97"/>
        <v>0</v>
      </c>
      <c r="F222" s="688">
        <f t="shared" si="97"/>
        <v>0</v>
      </c>
      <c r="G222" s="688">
        <f t="shared" si="97"/>
        <v>0</v>
      </c>
      <c r="H222" s="688">
        <f t="shared" si="97"/>
        <v>0</v>
      </c>
      <c r="I222" s="688">
        <f t="shared" si="97"/>
        <v>0</v>
      </c>
      <c r="J222" s="688">
        <f t="shared" si="97"/>
        <v>0</v>
      </c>
      <c r="K222" s="688">
        <f t="shared" si="97"/>
        <v>0</v>
      </c>
      <c r="L222" s="688">
        <f t="shared" si="97"/>
        <v>0</v>
      </c>
      <c r="M222" s="688">
        <f t="shared" si="97"/>
        <v>0</v>
      </c>
      <c r="N222" s="688">
        <f t="shared" si="97"/>
        <v>0</v>
      </c>
      <c r="O222" s="688">
        <f t="shared" si="97"/>
        <v>0</v>
      </c>
      <c r="P222" s="688">
        <f t="shared" si="97"/>
        <v>0</v>
      </c>
      <c r="Q222" s="688">
        <f t="shared" si="97"/>
        <v>0</v>
      </c>
      <c r="R222" s="688">
        <f t="shared" si="97"/>
        <v>0</v>
      </c>
    </row>
    <row r="223" spans="2:19" hidden="1">
      <c r="B223" s="634" t="e">
        <f>HLOOKUP(7,$D$210:$R$211,1,0)</f>
        <v>#N/A</v>
      </c>
      <c r="C223" s="688"/>
      <c r="D223" s="688">
        <f t="shared" si="97"/>
        <v>0</v>
      </c>
      <c r="E223" s="688">
        <f t="shared" si="97"/>
        <v>0</v>
      </c>
      <c r="F223" s="688">
        <f t="shared" si="97"/>
        <v>0</v>
      </c>
      <c r="G223" s="688">
        <f t="shared" si="97"/>
        <v>0</v>
      </c>
      <c r="H223" s="688">
        <f t="shared" si="97"/>
        <v>0</v>
      </c>
      <c r="I223" s="688">
        <f t="shared" si="97"/>
        <v>0</v>
      </c>
      <c r="J223" s="688">
        <f t="shared" si="97"/>
        <v>0</v>
      </c>
      <c r="K223" s="688">
        <f t="shared" si="97"/>
        <v>0</v>
      </c>
      <c r="L223" s="688">
        <f t="shared" si="97"/>
        <v>0</v>
      </c>
      <c r="M223" s="688">
        <f t="shared" si="97"/>
        <v>0</v>
      </c>
      <c r="N223" s="688">
        <f t="shared" si="97"/>
        <v>0</v>
      </c>
      <c r="O223" s="688">
        <f t="shared" si="97"/>
        <v>0</v>
      </c>
      <c r="P223" s="688">
        <f t="shared" si="97"/>
        <v>0</v>
      </c>
      <c r="Q223" s="688">
        <f t="shared" si="97"/>
        <v>0</v>
      </c>
      <c r="R223" s="688">
        <f t="shared" si="97"/>
        <v>0</v>
      </c>
    </row>
    <row r="224" spans="2:19" hidden="1">
      <c r="B224" s="634" t="e">
        <f>HLOOKUP(8,$D$210:$R$211,1,0)</f>
        <v>#N/A</v>
      </c>
      <c r="C224" s="688"/>
      <c r="D224" s="688">
        <f t="shared" si="97"/>
        <v>0</v>
      </c>
      <c r="E224" s="688">
        <f t="shared" si="97"/>
        <v>0</v>
      </c>
      <c r="F224" s="688">
        <f t="shared" si="97"/>
        <v>0</v>
      </c>
      <c r="G224" s="688">
        <f t="shared" si="97"/>
        <v>0</v>
      </c>
      <c r="H224" s="688">
        <f t="shared" si="97"/>
        <v>0</v>
      </c>
      <c r="I224" s="688">
        <f t="shared" si="97"/>
        <v>0</v>
      </c>
      <c r="J224" s="688">
        <f t="shared" si="97"/>
        <v>0</v>
      </c>
      <c r="K224" s="688">
        <f t="shared" si="97"/>
        <v>0</v>
      </c>
      <c r="L224" s="688">
        <f t="shared" si="97"/>
        <v>0</v>
      </c>
      <c r="M224" s="688">
        <f t="shared" si="97"/>
        <v>0</v>
      </c>
      <c r="N224" s="688">
        <f t="shared" si="97"/>
        <v>0</v>
      </c>
      <c r="O224" s="688">
        <f t="shared" si="97"/>
        <v>0</v>
      </c>
      <c r="P224" s="688">
        <f t="shared" si="97"/>
        <v>0</v>
      </c>
      <c r="Q224" s="688">
        <f t="shared" si="97"/>
        <v>0</v>
      </c>
      <c r="R224" s="688">
        <f t="shared" si="97"/>
        <v>0</v>
      </c>
    </row>
    <row r="225" spans="2:18">
      <c r="B225" s="634" t="s">
        <v>873</v>
      </c>
      <c r="D225" s="719">
        <f>IF(ISERR(-SUM(D226:D233)),0,-SUM(D226:D233))</f>
        <v>0</v>
      </c>
      <c r="E225" s="719">
        <f t="shared" ref="E225:R225" si="98">IF(ISERR(-SUM(E226:E233)),0,-SUM(E226:E233))</f>
        <v>0</v>
      </c>
      <c r="F225" s="719">
        <f t="shared" si="98"/>
        <v>0</v>
      </c>
      <c r="G225" s="719">
        <f>IF(ISERR(-SUM(G226:G233)),0,-SUM(G226:G233))</f>
        <v>0</v>
      </c>
      <c r="H225" s="719">
        <f t="shared" si="98"/>
        <v>-31845</v>
      </c>
      <c r="I225" s="719">
        <f t="shared" si="98"/>
        <v>-31845</v>
      </c>
      <c r="J225" s="719">
        <f t="shared" si="98"/>
        <v>-31845</v>
      </c>
      <c r="K225" s="719">
        <f>IF(ISERR(-SUM(K226:K233)),0,-SUM(K226:K233))</f>
        <v>-31845</v>
      </c>
      <c r="L225" s="719">
        <f t="shared" si="98"/>
        <v>-31845</v>
      </c>
      <c r="M225" s="719">
        <f t="shared" si="98"/>
        <v>0</v>
      </c>
      <c r="N225" s="719">
        <f t="shared" si="98"/>
        <v>0</v>
      </c>
      <c r="O225" s="719">
        <f>IF(ISERR(-SUM(O226:O233)),0,-SUM(O226:O233))</f>
        <v>0</v>
      </c>
      <c r="P225" s="719">
        <f t="shared" si="98"/>
        <v>0</v>
      </c>
      <c r="Q225" s="719">
        <f t="shared" si="98"/>
        <v>0</v>
      </c>
      <c r="R225" s="719">
        <f t="shared" si="98"/>
        <v>0</v>
      </c>
    </row>
    <row r="226" spans="2:18" hidden="1">
      <c r="B226" s="634">
        <f>HLOOKUP(1,$D$210:$R$211,1,0)</f>
        <v>1</v>
      </c>
      <c r="D226" s="719">
        <f>IF(ISERR(IF(D217&gt;0,HLOOKUP($B226,$D$210:$R$211,2,0)/$C$214,0)),0,IF(D217&gt;0,HLOOKUP($B226,$D$210:$R$211,2,0)/$C$214,0))</f>
        <v>0</v>
      </c>
      <c r="E226" s="719">
        <f t="shared" ref="D226:R233" si="99">IF(ISERR(IF(E217&gt;0,HLOOKUP($B226,$D$210:$R$211,2,0)/$C$214,0)),0,IF(E217&gt;0,HLOOKUP($B226,$D$210:$R$211,2,0)/$C$214,0))</f>
        <v>0</v>
      </c>
      <c r="F226" s="719">
        <f t="shared" si="99"/>
        <v>0</v>
      </c>
      <c r="G226" s="719">
        <f t="shared" si="99"/>
        <v>0</v>
      </c>
      <c r="H226" s="719">
        <f t="shared" si="99"/>
        <v>31845</v>
      </c>
      <c r="I226" s="719">
        <f t="shared" si="99"/>
        <v>31845</v>
      </c>
      <c r="J226" s="719">
        <f t="shared" si="99"/>
        <v>31845</v>
      </c>
      <c r="K226" s="719">
        <f t="shared" si="99"/>
        <v>31845</v>
      </c>
      <c r="L226" s="719">
        <f t="shared" si="99"/>
        <v>31845</v>
      </c>
      <c r="M226" s="719">
        <f t="shared" si="99"/>
        <v>0</v>
      </c>
      <c r="N226" s="719">
        <f t="shared" si="99"/>
        <v>0</v>
      </c>
      <c r="O226" s="719">
        <f t="shared" si="99"/>
        <v>0</v>
      </c>
      <c r="P226" s="719">
        <f t="shared" si="99"/>
        <v>0</v>
      </c>
      <c r="Q226" s="719">
        <f t="shared" si="99"/>
        <v>0</v>
      </c>
      <c r="R226" s="719">
        <f t="shared" si="99"/>
        <v>0</v>
      </c>
    </row>
    <row r="227" spans="2:18" hidden="1">
      <c r="B227" s="634" t="e">
        <f>HLOOKUP(2,$D$210:$R$211,1,0)</f>
        <v>#N/A</v>
      </c>
      <c r="D227" s="719">
        <f t="shared" si="99"/>
        <v>0</v>
      </c>
      <c r="E227" s="719">
        <f t="shared" si="99"/>
        <v>0</v>
      </c>
      <c r="F227" s="719">
        <f t="shared" si="99"/>
        <v>0</v>
      </c>
      <c r="G227" s="719">
        <f t="shared" si="99"/>
        <v>0</v>
      </c>
      <c r="H227" s="719">
        <f t="shared" si="99"/>
        <v>0</v>
      </c>
      <c r="I227" s="719">
        <f t="shared" si="99"/>
        <v>0</v>
      </c>
      <c r="J227" s="719">
        <f t="shared" si="99"/>
        <v>0</v>
      </c>
      <c r="K227" s="719">
        <f t="shared" si="99"/>
        <v>0</v>
      </c>
      <c r="L227" s="719">
        <f t="shared" si="99"/>
        <v>0</v>
      </c>
      <c r="M227" s="719">
        <f t="shared" si="99"/>
        <v>0</v>
      </c>
      <c r="N227" s="719">
        <f t="shared" si="99"/>
        <v>0</v>
      </c>
      <c r="O227" s="719">
        <f t="shared" si="99"/>
        <v>0</v>
      </c>
      <c r="P227" s="719">
        <f t="shared" si="99"/>
        <v>0</v>
      </c>
      <c r="Q227" s="719">
        <f t="shared" si="99"/>
        <v>0</v>
      </c>
      <c r="R227" s="719">
        <f t="shared" si="99"/>
        <v>0</v>
      </c>
    </row>
    <row r="228" spans="2:18" hidden="1">
      <c r="B228" s="634" t="e">
        <f>HLOOKUP(3,$D$210:$R$211,1,0)</f>
        <v>#N/A</v>
      </c>
      <c r="D228" s="719">
        <f>IF(ISERR(IF(D219&gt;0,HLOOKUP($B228,$D$210:$R$211,2,0)/$C$214,0)),0,IF(D219&gt;0,HLOOKUP($B228,$D$210:$R$211,2,0)/$C$214,0))</f>
        <v>0</v>
      </c>
      <c r="E228" s="719">
        <f t="shared" si="99"/>
        <v>0</v>
      </c>
      <c r="F228" s="719">
        <f t="shared" si="99"/>
        <v>0</v>
      </c>
      <c r="G228" s="719">
        <f t="shared" si="99"/>
        <v>0</v>
      </c>
      <c r="H228" s="719">
        <f t="shared" si="99"/>
        <v>0</v>
      </c>
      <c r="I228" s="719">
        <f t="shared" si="99"/>
        <v>0</v>
      </c>
      <c r="J228" s="719">
        <f t="shared" si="99"/>
        <v>0</v>
      </c>
      <c r="K228" s="719">
        <f t="shared" si="99"/>
        <v>0</v>
      </c>
      <c r="L228" s="719">
        <f t="shared" si="99"/>
        <v>0</v>
      </c>
      <c r="M228" s="719">
        <f t="shared" si="99"/>
        <v>0</v>
      </c>
      <c r="N228" s="719">
        <f t="shared" si="99"/>
        <v>0</v>
      </c>
      <c r="O228" s="719">
        <f t="shared" si="99"/>
        <v>0</v>
      </c>
      <c r="P228" s="719">
        <f t="shared" si="99"/>
        <v>0</v>
      </c>
      <c r="Q228" s="719">
        <f t="shared" si="99"/>
        <v>0</v>
      </c>
      <c r="R228" s="719">
        <f t="shared" si="99"/>
        <v>0</v>
      </c>
    </row>
    <row r="229" spans="2:18" hidden="1">
      <c r="B229" s="634" t="e">
        <f>HLOOKUP(4,$D$210:$R$211,1,0)</f>
        <v>#N/A</v>
      </c>
      <c r="D229" s="719">
        <f t="shared" si="99"/>
        <v>0</v>
      </c>
      <c r="E229" s="719">
        <f t="shared" si="99"/>
        <v>0</v>
      </c>
      <c r="F229" s="719">
        <f t="shared" si="99"/>
        <v>0</v>
      </c>
      <c r="G229" s="719">
        <f t="shared" si="99"/>
        <v>0</v>
      </c>
      <c r="H229" s="719">
        <f t="shared" si="99"/>
        <v>0</v>
      </c>
      <c r="I229" s="719">
        <f t="shared" si="99"/>
        <v>0</v>
      </c>
      <c r="J229" s="719">
        <f t="shared" si="99"/>
        <v>0</v>
      </c>
      <c r="K229" s="719">
        <f t="shared" si="99"/>
        <v>0</v>
      </c>
      <c r="L229" s="719">
        <f t="shared" si="99"/>
        <v>0</v>
      </c>
      <c r="M229" s="719">
        <f t="shared" si="99"/>
        <v>0</v>
      </c>
      <c r="N229" s="719">
        <f t="shared" si="99"/>
        <v>0</v>
      </c>
      <c r="O229" s="719">
        <f t="shared" si="99"/>
        <v>0</v>
      </c>
      <c r="P229" s="719">
        <f t="shared" si="99"/>
        <v>0</v>
      </c>
      <c r="Q229" s="719">
        <f t="shared" si="99"/>
        <v>0</v>
      </c>
      <c r="R229" s="719">
        <f t="shared" si="99"/>
        <v>0</v>
      </c>
    </row>
    <row r="230" spans="2:18" hidden="1">
      <c r="B230" s="634" t="e">
        <f>HLOOKUP(5,$D$210:$R$211,1,0)</f>
        <v>#N/A</v>
      </c>
      <c r="D230" s="719">
        <f t="shared" si="99"/>
        <v>0</v>
      </c>
      <c r="E230" s="719">
        <f t="shared" si="99"/>
        <v>0</v>
      </c>
      <c r="F230" s="719">
        <f t="shared" si="99"/>
        <v>0</v>
      </c>
      <c r="G230" s="719">
        <f t="shared" si="99"/>
        <v>0</v>
      </c>
      <c r="H230" s="719">
        <f t="shared" si="99"/>
        <v>0</v>
      </c>
      <c r="I230" s="719">
        <f t="shared" si="99"/>
        <v>0</v>
      </c>
      <c r="J230" s="719">
        <f t="shared" si="99"/>
        <v>0</v>
      </c>
      <c r="K230" s="719">
        <f t="shared" si="99"/>
        <v>0</v>
      </c>
      <c r="L230" s="719">
        <f t="shared" si="99"/>
        <v>0</v>
      </c>
      <c r="M230" s="719">
        <f t="shared" si="99"/>
        <v>0</v>
      </c>
      <c r="N230" s="719">
        <f t="shared" si="99"/>
        <v>0</v>
      </c>
      <c r="O230" s="719">
        <f t="shared" si="99"/>
        <v>0</v>
      </c>
      <c r="P230" s="719">
        <f t="shared" si="99"/>
        <v>0</v>
      </c>
      <c r="Q230" s="719">
        <f t="shared" si="99"/>
        <v>0</v>
      </c>
      <c r="R230" s="719">
        <f t="shared" si="99"/>
        <v>0</v>
      </c>
    </row>
    <row r="231" spans="2:18" hidden="1">
      <c r="B231" s="634" t="e">
        <f>HLOOKUP(6,$D$210:$R$211,1,0)</f>
        <v>#N/A</v>
      </c>
      <c r="D231" s="719">
        <f t="shared" si="99"/>
        <v>0</v>
      </c>
      <c r="E231" s="719">
        <f t="shared" si="99"/>
        <v>0</v>
      </c>
      <c r="F231" s="719">
        <f t="shared" si="99"/>
        <v>0</v>
      </c>
      <c r="G231" s="719">
        <f t="shared" si="99"/>
        <v>0</v>
      </c>
      <c r="H231" s="719">
        <f t="shared" si="99"/>
        <v>0</v>
      </c>
      <c r="I231" s="719">
        <f t="shared" si="99"/>
        <v>0</v>
      </c>
      <c r="J231" s="719">
        <f t="shared" si="99"/>
        <v>0</v>
      </c>
      <c r="K231" s="719">
        <f t="shared" si="99"/>
        <v>0</v>
      </c>
      <c r="L231" s="719">
        <f t="shared" si="99"/>
        <v>0</v>
      </c>
      <c r="M231" s="719">
        <f t="shared" si="99"/>
        <v>0</v>
      </c>
      <c r="N231" s="719">
        <f t="shared" si="99"/>
        <v>0</v>
      </c>
      <c r="O231" s="719">
        <f t="shared" si="99"/>
        <v>0</v>
      </c>
      <c r="P231" s="719">
        <f t="shared" si="99"/>
        <v>0</v>
      </c>
      <c r="Q231" s="719">
        <f t="shared" si="99"/>
        <v>0</v>
      </c>
      <c r="R231" s="719">
        <f t="shared" si="99"/>
        <v>0</v>
      </c>
    </row>
    <row r="232" spans="2:18" hidden="1">
      <c r="B232" s="634" t="e">
        <f>HLOOKUP(7,$D$210:$R$211,1,0)</f>
        <v>#N/A</v>
      </c>
      <c r="D232" s="719">
        <f t="shared" si="99"/>
        <v>0</v>
      </c>
      <c r="E232" s="719">
        <f t="shared" si="99"/>
        <v>0</v>
      </c>
      <c r="F232" s="719">
        <f t="shared" si="99"/>
        <v>0</v>
      </c>
      <c r="G232" s="719">
        <f t="shared" si="99"/>
        <v>0</v>
      </c>
      <c r="H232" s="719">
        <f t="shared" si="99"/>
        <v>0</v>
      </c>
      <c r="I232" s="719">
        <f t="shared" si="99"/>
        <v>0</v>
      </c>
      <c r="J232" s="719">
        <f t="shared" si="99"/>
        <v>0</v>
      </c>
      <c r="K232" s="719">
        <f t="shared" si="99"/>
        <v>0</v>
      </c>
      <c r="L232" s="719">
        <f t="shared" si="99"/>
        <v>0</v>
      </c>
      <c r="M232" s="719">
        <f t="shared" si="99"/>
        <v>0</v>
      </c>
      <c r="N232" s="719">
        <f t="shared" si="99"/>
        <v>0</v>
      </c>
      <c r="O232" s="719">
        <f t="shared" si="99"/>
        <v>0</v>
      </c>
      <c r="P232" s="719">
        <f t="shared" si="99"/>
        <v>0</v>
      </c>
      <c r="Q232" s="719">
        <f t="shared" si="99"/>
        <v>0</v>
      </c>
      <c r="R232" s="719">
        <f t="shared" si="99"/>
        <v>0</v>
      </c>
    </row>
    <row r="233" spans="2:18" hidden="1">
      <c r="B233" s="634" t="e">
        <f>HLOOKUP(8,$D$210:$R$211,1,0)</f>
        <v>#N/A</v>
      </c>
      <c r="D233" s="719">
        <f t="shared" si="99"/>
        <v>0</v>
      </c>
      <c r="E233" s="719">
        <f t="shared" si="99"/>
        <v>0</v>
      </c>
      <c r="F233" s="719">
        <f t="shared" si="99"/>
        <v>0</v>
      </c>
      <c r="G233" s="719">
        <f t="shared" si="99"/>
        <v>0</v>
      </c>
      <c r="H233" s="719">
        <f t="shared" si="99"/>
        <v>0</v>
      </c>
      <c r="I233" s="719">
        <f t="shared" si="99"/>
        <v>0</v>
      </c>
      <c r="J233" s="719">
        <f t="shared" si="99"/>
        <v>0</v>
      </c>
      <c r="K233" s="719">
        <f t="shared" si="99"/>
        <v>0</v>
      </c>
      <c r="L233" s="719">
        <f t="shared" si="99"/>
        <v>0</v>
      </c>
      <c r="M233" s="719">
        <f t="shared" si="99"/>
        <v>0</v>
      </c>
      <c r="N233" s="719">
        <f t="shared" si="99"/>
        <v>0</v>
      </c>
      <c r="O233" s="719">
        <f t="shared" si="99"/>
        <v>0</v>
      </c>
      <c r="P233" s="719">
        <f t="shared" si="99"/>
        <v>0</v>
      </c>
      <c r="Q233" s="719">
        <f t="shared" si="99"/>
        <v>0</v>
      </c>
      <c r="R233" s="719">
        <f t="shared" si="99"/>
        <v>0</v>
      </c>
    </row>
    <row r="234" spans="2:18">
      <c r="B234" s="634" t="s">
        <v>874</v>
      </c>
      <c r="D234" s="688">
        <f t="shared" ref="D234:R234" si="100">D212+D225</f>
        <v>0</v>
      </c>
      <c r="E234" s="688">
        <f t="shared" si="100"/>
        <v>0</v>
      </c>
      <c r="F234" s="688">
        <f t="shared" si="100"/>
        <v>0</v>
      </c>
      <c r="G234" s="688">
        <f t="shared" si="100"/>
        <v>0</v>
      </c>
      <c r="H234" s="688">
        <f t="shared" si="100"/>
        <v>127380</v>
      </c>
      <c r="I234" s="688">
        <f t="shared" si="100"/>
        <v>95535</v>
      </c>
      <c r="J234" s="688">
        <f t="shared" si="100"/>
        <v>63690</v>
      </c>
      <c r="K234" s="688">
        <f t="shared" si="100"/>
        <v>31845</v>
      </c>
      <c r="L234" s="688">
        <f t="shared" si="100"/>
        <v>0</v>
      </c>
      <c r="M234" s="688">
        <f t="shared" si="100"/>
        <v>0</v>
      </c>
      <c r="N234" s="688">
        <f t="shared" si="100"/>
        <v>0</v>
      </c>
      <c r="O234" s="688">
        <f t="shared" si="100"/>
        <v>0</v>
      </c>
      <c r="P234" s="688">
        <f t="shared" si="100"/>
        <v>0</v>
      </c>
      <c r="Q234" s="688">
        <f t="shared" si="100"/>
        <v>0</v>
      </c>
      <c r="R234" s="688">
        <f t="shared" si="100"/>
        <v>0</v>
      </c>
    </row>
  </sheetData>
  <pageMargins left="0.7" right="0.7" top="0.75" bottom="0.75" header="0.3" footer="0.3"/>
  <pageSetup paperSize="9" orientation="portrait" r:id="rId1"/>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0"/>
  </sheetPr>
  <dimension ref="A1:IV234"/>
  <sheetViews>
    <sheetView topLeftCell="A157" zoomScaleNormal="100" workbookViewId="0">
      <selection activeCell="C186" sqref="C186:E207"/>
    </sheetView>
  </sheetViews>
  <sheetFormatPr defaultRowHeight="11.25"/>
  <cols>
    <col min="1" max="1" width="9.140625" style="634"/>
    <col min="2" max="2" width="32.140625" style="634" bestFit="1" customWidth="1"/>
    <col min="3" max="3" width="12.85546875" style="634" bestFit="1" customWidth="1"/>
    <col min="4" max="4" width="12.140625" style="635" customWidth="1"/>
    <col min="5" max="5" width="12.140625" style="634" customWidth="1"/>
    <col min="6" max="6" width="11.140625" style="634" bestFit="1" customWidth="1"/>
    <col min="7" max="7" width="14.42578125" style="634" bestFit="1" customWidth="1"/>
    <col min="8" max="8" width="10.5703125" style="634" customWidth="1"/>
    <col min="9" max="9" width="12" style="634" bestFit="1" customWidth="1"/>
    <col min="10" max="10" width="12.85546875" style="634" bestFit="1" customWidth="1"/>
    <col min="11" max="15" width="10.85546875" style="634" bestFit="1" customWidth="1"/>
    <col min="16" max="17" width="9.5703125" style="634" bestFit="1" customWidth="1"/>
    <col min="18" max="18" width="9.85546875" style="634" bestFit="1" customWidth="1"/>
    <col min="19" max="257" width="9.140625" style="634"/>
    <col min="258" max="258" width="32.140625" style="634" bestFit="1" customWidth="1"/>
    <col min="259" max="259" width="12.85546875" style="634" bestFit="1" customWidth="1"/>
    <col min="260" max="261" width="12.140625" style="634" customWidth="1"/>
    <col min="262" max="262" width="11.140625" style="634" bestFit="1" customWidth="1"/>
    <col min="263" max="263" width="14.42578125" style="634" bestFit="1" customWidth="1"/>
    <col min="264" max="264" width="10.5703125" style="634" customWidth="1"/>
    <col min="265" max="265" width="12" style="634" bestFit="1" customWidth="1"/>
    <col min="266" max="266" width="12.85546875" style="634" bestFit="1" customWidth="1"/>
    <col min="267" max="271" width="10.85546875" style="634" bestFit="1" customWidth="1"/>
    <col min="272" max="273" width="9.5703125" style="634" bestFit="1" customWidth="1"/>
    <col min="274" max="274" width="9.85546875" style="634" bestFit="1" customWidth="1"/>
    <col min="275" max="513" width="9.140625" style="634"/>
    <col min="514" max="514" width="32.140625" style="634" bestFit="1" customWidth="1"/>
    <col min="515" max="515" width="12.85546875" style="634" bestFit="1" customWidth="1"/>
    <col min="516" max="517" width="12.140625" style="634" customWidth="1"/>
    <col min="518" max="518" width="11.140625" style="634" bestFit="1" customWidth="1"/>
    <col min="519" max="519" width="14.42578125" style="634" bestFit="1" customWidth="1"/>
    <col min="520" max="520" width="10.5703125" style="634" customWidth="1"/>
    <col min="521" max="521" width="12" style="634" bestFit="1" customWidth="1"/>
    <col min="522" max="522" width="12.85546875" style="634" bestFit="1" customWidth="1"/>
    <col min="523" max="527" width="10.85546875" style="634" bestFit="1" customWidth="1"/>
    <col min="528" max="529" width="9.5703125" style="634" bestFit="1" customWidth="1"/>
    <col min="530" max="530" width="9.85546875" style="634" bestFit="1" customWidth="1"/>
    <col min="531" max="769" width="9.140625" style="634"/>
    <col min="770" max="770" width="32.140625" style="634" bestFit="1" customWidth="1"/>
    <col min="771" max="771" width="12.85546875" style="634" bestFit="1" customWidth="1"/>
    <col min="772" max="773" width="12.140625" style="634" customWidth="1"/>
    <col min="774" max="774" width="11.140625" style="634" bestFit="1" customWidth="1"/>
    <col min="775" max="775" width="14.42578125" style="634" bestFit="1" customWidth="1"/>
    <col min="776" max="776" width="10.5703125" style="634" customWidth="1"/>
    <col min="777" max="777" width="12" style="634" bestFit="1" customWidth="1"/>
    <col min="778" max="778" width="12.85546875" style="634" bestFit="1" customWidth="1"/>
    <col min="779" max="783" width="10.85546875" style="634" bestFit="1" customWidth="1"/>
    <col min="784" max="785" width="9.5703125" style="634" bestFit="1" customWidth="1"/>
    <col min="786" max="786" width="9.85546875" style="634" bestFit="1" customWidth="1"/>
    <col min="787" max="1025" width="9.140625" style="634"/>
    <col min="1026" max="1026" width="32.140625" style="634" bestFit="1" customWidth="1"/>
    <col min="1027" max="1027" width="12.85546875" style="634" bestFit="1" customWidth="1"/>
    <col min="1028" max="1029" width="12.140625" style="634" customWidth="1"/>
    <col min="1030" max="1030" width="11.140625" style="634" bestFit="1" customWidth="1"/>
    <col min="1031" max="1031" width="14.42578125" style="634" bestFit="1" customWidth="1"/>
    <col min="1032" max="1032" width="10.5703125" style="634" customWidth="1"/>
    <col min="1033" max="1033" width="12" style="634" bestFit="1" customWidth="1"/>
    <col min="1034" max="1034" width="12.85546875" style="634" bestFit="1" customWidth="1"/>
    <col min="1035" max="1039" width="10.85546875" style="634" bestFit="1" customWidth="1"/>
    <col min="1040" max="1041" width="9.5703125" style="634" bestFit="1" customWidth="1"/>
    <col min="1042" max="1042" width="9.85546875" style="634" bestFit="1" customWidth="1"/>
    <col min="1043" max="1281" width="9.140625" style="634"/>
    <col min="1282" max="1282" width="32.140625" style="634" bestFit="1" customWidth="1"/>
    <col min="1283" max="1283" width="12.85546875" style="634" bestFit="1" customWidth="1"/>
    <col min="1284" max="1285" width="12.140625" style="634" customWidth="1"/>
    <col min="1286" max="1286" width="11.140625" style="634" bestFit="1" customWidth="1"/>
    <col min="1287" max="1287" width="14.42578125" style="634" bestFit="1" customWidth="1"/>
    <col min="1288" max="1288" width="10.5703125" style="634" customWidth="1"/>
    <col min="1289" max="1289" width="12" style="634" bestFit="1" customWidth="1"/>
    <col min="1290" max="1290" width="12.85546875" style="634" bestFit="1" customWidth="1"/>
    <col min="1291" max="1295" width="10.85546875" style="634" bestFit="1" customWidth="1"/>
    <col min="1296" max="1297" width="9.5703125" style="634" bestFit="1" customWidth="1"/>
    <col min="1298" max="1298" width="9.85546875" style="634" bestFit="1" customWidth="1"/>
    <col min="1299" max="1537" width="9.140625" style="634"/>
    <col min="1538" max="1538" width="32.140625" style="634" bestFit="1" customWidth="1"/>
    <col min="1539" max="1539" width="12.85546875" style="634" bestFit="1" customWidth="1"/>
    <col min="1540" max="1541" width="12.140625" style="634" customWidth="1"/>
    <col min="1542" max="1542" width="11.140625" style="634" bestFit="1" customWidth="1"/>
    <col min="1543" max="1543" width="14.42578125" style="634" bestFit="1" customWidth="1"/>
    <col min="1544" max="1544" width="10.5703125" style="634" customWidth="1"/>
    <col min="1545" max="1545" width="12" style="634" bestFit="1" customWidth="1"/>
    <col min="1546" max="1546" width="12.85546875" style="634" bestFit="1" customWidth="1"/>
    <col min="1547" max="1551" width="10.85546875" style="634" bestFit="1" customWidth="1"/>
    <col min="1552" max="1553" width="9.5703125" style="634" bestFit="1" customWidth="1"/>
    <col min="1554" max="1554" width="9.85546875" style="634" bestFit="1" customWidth="1"/>
    <col min="1555" max="1793" width="9.140625" style="634"/>
    <col min="1794" max="1794" width="32.140625" style="634" bestFit="1" customWidth="1"/>
    <col min="1795" max="1795" width="12.85546875" style="634" bestFit="1" customWidth="1"/>
    <col min="1796" max="1797" width="12.140625" style="634" customWidth="1"/>
    <col min="1798" max="1798" width="11.140625" style="634" bestFit="1" customWidth="1"/>
    <col min="1799" max="1799" width="14.42578125" style="634" bestFit="1" customWidth="1"/>
    <col min="1800" max="1800" width="10.5703125" style="634" customWidth="1"/>
    <col min="1801" max="1801" width="12" style="634" bestFit="1" customWidth="1"/>
    <col min="1802" max="1802" width="12.85546875" style="634" bestFit="1" customWidth="1"/>
    <col min="1803" max="1807" width="10.85546875" style="634" bestFit="1" customWidth="1"/>
    <col min="1808" max="1809" width="9.5703125" style="634" bestFit="1" customWidth="1"/>
    <col min="1810" max="1810" width="9.85546875" style="634" bestFit="1" customWidth="1"/>
    <col min="1811" max="2049" width="9.140625" style="634"/>
    <col min="2050" max="2050" width="32.140625" style="634" bestFit="1" customWidth="1"/>
    <col min="2051" max="2051" width="12.85546875" style="634" bestFit="1" customWidth="1"/>
    <col min="2052" max="2053" width="12.140625" style="634" customWidth="1"/>
    <col min="2054" max="2054" width="11.140625" style="634" bestFit="1" customWidth="1"/>
    <col min="2055" max="2055" width="14.42578125" style="634" bestFit="1" customWidth="1"/>
    <col min="2056" max="2056" width="10.5703125" style="634" customWidth="1"/>
    <col min="2057" max="2057" width="12" style="634" bestFit="1" customWidth="1"/>
    <col min="2058" max="2058" width="12.85546875" style="634" bestFit="1" customWidth="1"/>
    <col min="2059" max="2063" width="10.85546875" style="634" bestFit="1" customWidth="1"/>
    <col min="2064" max="2065" width="9.5703125" style="634" bestFit="1" customWidth="1"/>
    <col min="2066" max="2066" width="9.85546875" style="634" bestFit="1" customWidth="1"/>
    <col min="2067" max="2305" width="9.140625" style="634"/>
    <col min="2306" max="2306" width="32.140625" style="634" bestFit="1" customWidth="1"/>
    <col min="2307" max="2307" width="12.85546875" style="634" bestFit="1" customWidth="1"/>
    <col min="2308" max="2309" width="12.140625" style="634" customWidth="1"/>
    <col min="2310" max="2310" width="11.140625" style="634" bestFit="1" customWidth="1"/>
    <col min="2311" max="2311" width="14.42578125" style="634" bestFit="1" customWidth="1"/>
    <col min="2312" max="2312" width="10.5703125" style="634" customWidth="1"/>
    <col min="2313" max="2313" width="12" style="634" bestFit="1" customWidth="1"/>
    <col min="2314" max="2314" width="12.85546875" style="634" bestFit="1" customWidth="1"/>
    <col min="2315" max="2319" width="10.85546875" style="634" bestFit="1" customWidth="1"/>
    <col min="2320" max="2321" width="9.5703125" style="634" bestFit="1" customWidth="1"/>
    <col min="2322" max="2322" width="9.85546875" style="634" bestFit="1" customWidth="1"/>
    <col min="2323" max="2561" width="9.140625" style="634"/>
    <col min="2562" max="2562" width="32.140625" style="634" bestFit="1" customWidth="1"/>
    <col min="2563" max="2563" width="12.85546875" style="634" bestFit="1" customWidth="1"/>
    <col min="2564" max="2565" width="12.140625" style="634" customWidth="1"/>
    <col min="2566" max="2566" width="11.140625" style="634" bestFit="1" customWidth="1"/>
    <col min="2567" max="2567" width="14.42578125" style="634" bestFit="1" customWidth="1"/>
    <col min="2568" max="2568" width="10.5703125" style="634" customWidth="1"/>
    <col min="2569" max="2569" width="12" style="634" bestFit="1" customWidth="1"/>
    <col min="2570" max="2570" width="12.85546875" style="634" bestFit="1" customWidth="1"/>
    <col min="2571" max="2575" width="10.85546875" style="634" bestFit="1" customWidth="1"/>
    <col min="2576" max="2577" width="9.5703125" style="634" bestFit="1" customWidth="1"/>
    <col min="2578" max="2578" width="9.85546875" style="634" bestFit="1" customWidth="1"/>
    <col min="2579" max="2817" width="9.140625" style="634"/>
    <col min="2818" max="2818" width="32.140625" style="634" bestFit="1" customWidth="1"/>
    <col min="2819" max="2819" width="12.85546875" style="634" bestFit="1" customWidth="1"/>
    <col min="2820" max="2821" width="12.140625" style="634" customWidth="1"/>
    <col min="2822" max="2822" width="11.140625" style="634" bestFit="1" customWidth="1"/>
    <col min="2823" max="2823" width="14.42578125" style="634" bestFit="1" customWidth="1"/>
    <col min="2824" max="2824" width="10.5703125" style="634" customWidth="1"/>
    <col min="2825" max="2825" width="12" style="634" bestFit="1" customWidth="1"/>
    <col min="2826" max="2826" width="12.85546875" style="634" bestFit="1" customWidth="1"/>
    <col min="2827" max="2831" width="10.85546875" style="634" bestFit="1" customWidth="1"/>
    <col min="2832" max="2833" width="9.5703125" style="634" bestFit="1" customWidth="1"/>
    <col min="2834" max="2834" width="9.85546875" style="634" bestFit="1" customWidth="1"/>
    <col min="2835" max="3073" width="9.140625" style="634"/>
    <col min="3074" max="3074" width="32.140625" style="634" bestFit="1" customWidth="1"/>
    <col min="3075" max="3075" width="12.85546875" style="634" bestFit="1" customWidth="1"/>
    <col min="3076" max="3077" width="12.140625" style="634" customWidth="1"/>
    <col min="3078" max="3078" width="11.140625" style="634" bestFit="1" customWidth="1"/>
    <col min="3079" max="3079" width="14.42578125" style="634" bestFit="1" customWidth="1"/>
    <col min="3080" max="3080" width="10.5703125" style="634" customWidth="1"/>
    <col min="3081" max="3081" width="12" style="634" bestFit="1" customWidth="1"/>
    <col min="3082" max="3082" width="12.85546875" style="634" bestFit="1" customWidth="1"/>
    <col min="3083" max="3087" width="10.85546875" style="634" bestFit="1" customWidth="1"/>
    <col min="3088" max="3089" width="9.5703125" style="634" bestFit="1" customWidth="1"/>
    <col min="3090" max="3090" width="9.85546875" style="634" bestFit="1" customWidth="1"/>
    <col min="3091" max="3329" width="9.140625" style="634"/>
    <col min="3330" max="3330" width="32.140625" style="634" bestFit="1" customWidth="1"/>
    <col min="3331" max="3331" width="12.85546875" style="634" bestFit="1" customWidth="1"/>
    <col min="3332" max="3333" width="12.140625" style="634" customWidth="1"/>
    <col min="3334" max="3334" width="11.140625" style="634" bestFit="1" customWidth="1"/>
    <col min="3335" max="3335" width="14.42578125" style="634" bestFit="1" customWidth="1"/>
    <col min="3336" max="3336" width="10.5703125" style="634" customWidth="1"/>
    <col min="3337" max="3337" width="12" style="634" bestFit="1" customWidth="1"/>
    <col min="3338" max="3338" width="12.85546875" style="634" bestFit="1" customWidth="1"/>
    <col min="3339" max="3343" width="10.85546875" style="634" bestFit="1" customWidth="1"/>
    <col min="3344" max="3345" width="9.5703125" style="634" bestFit="1" customWidth="1"/>
    <col min="3346" max="3346" width="9.85546875" style="634" bestFit="1" customWidth="1"/>
    <col min="3347" max="3585" width="9.140625" style="634"/>
    <col min="3586" max="3586" width="32.140625" style="634" bestFit="1" customWidth="1"/>
    <col min="3587" max="3587" width="12.85546875" style="634" bestFit="1" customWidth="1"/>
    <col min="3588" max="3589" width="12.140625" style="634" customWidth="1"/>
    <col min="3590" max="3590" width="11.140625" style="634" bestFit="1" customWidth="1"/>
    <col min="3591" max="3591" width="14.42578125" style="634" bestFit="1" customWidth="1"/>
    <col min="3592" max="3592" width="10.5703125" style="634" customWidth="1"/>
    <col min="3593" max="3593" width="12" style="634" bestFit="1" customWidth="1"/>
    <col min="3594" max="3594" width="12.85546875" style="634" bestFit="1" customWidth="1"/>
    <col min="3595" max="3599" width="10.85546875" style="634" bestFit="1" customWidth="1"/>
    <col min="3600" max="3601" width="9.5703125" style="634" bestFit="1" customWidth="1"/>
    <col min="3602" max="3602" width="9.85546875" style="634" bestFit="1" customWidth="1"/>
    <col min="3603" max="3841" width="9.140625" style="634"/>
    <col min="3842" max="3842" width="32.140625" style="634" bestFit="1" customWidth="1"/>
    <col min="3843" max="3843" width="12.85546875" style="634" bestFit="1" customWidth="1"/>
    <col min="3844" max="3845" width="12.140625" style="634" customWidth="1"/>
    <col min="3846" max="3846" width="11.140625" style="634" bestFit="1" customWidth="1"/>
    <col min="3847" max="3847" width="14.42578125" style="634" bestFit="1" customWidth="1"/>
    <col min="3848" max="3848" width="10.5703125" style="634" customWidth="1"/>
    <col min="3849" max="3849" width="12" style="634" bestFit="1" customWidth="1"/>
    <col min="3850" max="3850" width="12.85546875" style="634" bestFit="1" customWidth="1"/>
    <col min="3851" max="3855" width="10.85546875" style="634" bestFit="1" customWidth="1"/>
    <col min="3856" max="3857" width="9.5703125" style="634" bestFit="1" customWidth="1"/>
    <col min="3858" max="3858" width="9.85546875" style="634" bestFit="1" customWidth="1"/>
    <col min="3859" max="4097" width="9.140625" style="634"/>
    <col min="4098" max="4098" width="32.140625" style="634" bestFit="1" customWidth="1"/>
    <col min="4099" max="4099" width="12.85546875" style="634" bestFit="1" customWidth="1"/>
    <col min="4100" max="4101" width="12.140625" style="634" customWidth="1"/>
    <col min="4102" max="4102" width="11.140625" style="634" bestFit="1" customWidth="1"/>
    <col min="4103" max="4103" width="14.42578125" style="634" bestFit="1" customWidth="1"/>
    <col min="4104" max="4104" width="10.5703125" style="634" customWidth="1"/>
    <col min="4105" max="4105" width="12" style="634" bestFit="1" customWidth="1"/>
    <col min="4106" max="4106" width="12.85546875" style="634" bestFit="1" customWidth="1"/>
    <col min="4107" max="4111" width="10.85546875" style="634" bestFit="1" customWidth="1"/>
    <col min="4112" max="4113" width="9.5703125" style="634" bestFit="1" customWidth="1"/>
    <col min="4114" max="4114" width="9.85546875" style="634" bestFit="1" customWidth="1"/>
    <col min="4115" max="4353" width="9.140625" style="634"/>
    <col min="4354" max="4354" width="32.140625" style="634" bestFit="1" customWidth="1"/>
    <col min="4355" max="4355" width="12.85546875" style="634" bestFit="1" customWidth="1"/>
    <col min="4356" max="4357" width="12.140625" style="634" customWidth="1"/>
    <col min="4358" max="4358" width="11.140625" style="634" bestFit="1" customWidth="1"/>
    <col min="4359" max="4359" width="14.42578125" style="634" bestFit="1" customWidth="1"/>
    <col min="4360" max="4360" width="10.5703125" style="634" customWidth="1"/>
    <col min="4361" max="4361" width="12" style="634" bestFit="1" customWidth="1"/>
    <col min="4362" max="4362" width="12.85546875" style="634" bestFit="1" customWidth="1"/>
    <col min="4363" max="4367" width="10.85546875" style="634" bestFit="1" customWidth="1"/>
    <col min="4368" max="4369" width="9.5703125" style="634" bestFit="1" customWidth="1"/>
    <col min="4370" max="4370" width="9.85546875" style="634" bestFit="1" customWidth="1"/>
    <col min="4371" max="4609" width="9.140625" style="634"/>
    <col min="4610" max="4610" width="32.140625" style="634" bestFit="1" customWidth="1"/>
    <col min="4611" max="4611" width="12.85546875" style="634" bestFit="1" customWidth="1"/>
    <col min="4612" max="4613" width="12.140625" style="634" customWidth="1"/>
    <col min="4614" max="4614" width="11.140625" style="634" bestFit="1" customWidth="1"/>
    <col min="4615" max="4615" width="14.42578125" style="634" bestFit="1" customWidth="1"/>
    <col min="4616" max="4616" width="10.5703125" style="634" customWidth="1"/>
    <col min="4617" max="4617" width="12" style="634" bestFit="1" customWidth="1"/>
    <col min="4618" max="4618" width="12.85546875" style="634" bestFit="1" customWidth="1"/>
    <col min="4619" max="4623" width="10.85546875" style="634" bestFit="1" customWidth="1"/>
    <col min="4624" max="4625" width="9.5703125" style="634" bestFit="1" customWidth="1"/>
    <col min="4626" max="4626" width="9.85546875" style="634" bestFit="1" customWidth="1"/>
    <col min="4627" max="4865" width="9.140625" style="634"/>
    <col min="4866" max="4866" width="32.140625" style="634" bestFit="1" customWidth="1"/>
    <col min="4867" max="4867" width="12.85546875" style="634" bestFit="1" customWidth="1"/>
    <col min="4868" max="4869" width="12.140625" style="634" customWidth="1"/>
    <col min="4870" max="4870" width="11.140625" style="634" bestFit="1" customWidth="1"/>
    <col min="4871" max="4871" width="14.42578125" style="634" bestFit="1" customWidth="1"/>
    <col min="4872" max="4872" width="10.5703125" style="634" customWidth="1"/>
    <col min="4873" max="4873" width="12" style="634" bestFit="1" customWidth="1"/>
    <col min="4874" max="4874" width="12.85546875" style="634" bestFit="1" customWidth="1"/>
    <col min="4875" max="4879" width="10.85546875" style="634" bestFit="1" customWidth="1"/>
    <col min="4880" max="4881" width="9.5703125" style="634" bestFit="1" customWidth="1"/>
    <col min="4882" max="4882" width="9.85546875" style="634" bestFit="1" customWidth="1"/>
    <col min="4883" max="5121" width="9.140625" style="634"/>
    <col min="5122" max="5122" width="32.140625" style="634" bestFit="1" customWidth="1"/>
    <col min="5123" max="5123" width="12.85546875" style="634" bestFit="1" customWidth="1"/>
    <col min="5124" max="5125" width="12.140625" style="634" customWidth="1"/>
    <col min="5126" max="5126" width="11.140625" style="634" bestFit="1" customWidth="1"/>
    <col min="5127" max="5127" width="14.42578125" style="634" bestFit="1" customWidth="1"/>
    <col min="5128" max="5128" width="10.5703125" style="634" customWidth="1"/>
    <col min="5129" max="5129" width="12" style="634" bestFit="1" customWidth="1"/>
    <col min="5130" max="5130" width="12.85546875" style="634" bestFit="1" customWidth="1"/>
    <col min="5131" max="5135" width="10.85546875" style="634" bestFit="1" customWidth="1"/>
    <col min="5136" max="5137" width="9.5703125" style="634" bestFit="1" customWidth="1"/>
    <col min="5138" max="5138" width="9.85546875" style="634" bestFit="1" customWidth="1"/>
    <col min="5139" max="5377" width="9.140625" style="634"/>
    <col min="5378" max="5378" width="32.140625" style="634" bestFit="1" customWidth="1"/>
    <col min="5379" max="5379" width="12.85546875" style="634" bestFit="1" customWidth="1"/>
    <col min="5380" max="5381" width="12.140625" style="634" customWidth="1"/>
    <col min="5382" max="5382" width="11.140625" style="634" bestFit="1" customWidth="1"/>
    <col min="5383" max="5383" width="14.42578125" style="634" bestFit="1" customWidth="1"/>
    <col min="5384" max="5384" width="10.5703125" style="634" customWidth="1"/>
    <col min="5385" max="5385" width="12" style="634" bestFit="1" customWidth="1"/>
    <col min="5386" max="5386" width="12.85546875" style="634" bestFit="1" customWidth="1"/>
    <col min="5387" max="5391" width="10.85546875" style="634" bestFit="1" customWidth="1"/>
    <col min="5392" max="5393" width="9.5703125" style="634" bestFit="1" customWidth="1"/>
    <col min="5394" max="5394" width="9.85546875" style="634" bestFit="1" customWidth="1"/>
    <col min="5395" max="5633" width="9.140625" style="634"/>
    <col min="5634" max="5634" width="32.140625" style="634" bestFit="1" customWidth="1"/>
    <col min="5635" max="5635" width="12.85546875" style="634" bestFit="1" customWidth="1"/>
    <col min="5636" max="5637" width="12.140625" style="634" customWidth="1"/>
    <col min="5638" max="5638" width="11.140625" style="634" bestFit="1" customWidth="1"/>
    <col min="5639" max="5639" width="14.42578125" style="634" bestFit="1" customWidth="1"/>
    <col min="5640" max="5640" width="10.5703125" style="634" customWidth="1"/>
    <col min="5641" max="5641" width="12" style="634" bestFit="1" customWidth="1"/>
    <col min="5642" max="5642" width="12.85546875" style="634" bestFit="1" customWidth="1"/>
    <col min="5643" max="5647" width="10.85546875" style="634" bestFit="1" customWidth="1"/>
    <col min="5648" max="5649" width="9.5703125" style="634" bestFit="1" customWidth="1"/>
    <col min="5650" max="5650" width="9.85546875" style="634" bestFit="1" customWidth="1"/>
    <col min="5651" max="5889" width="9.140625" style="634"/>
    <col min="5890" max="5890" width="32.140625" style="634" bestFit="1" customWidth="1"/>
    <col min="5891" max="5891" width="12.85546875" style="634" bestFit="1" customWidth="1"/>
    <col min="5892" max="5893" width="12.140625" style="634" customWidth="1"/>
    <col min="5894" max="5894" width="11.140625" style="634" bestFit="1" customWidth="1"/>
    <col min="5895" max="5895" width="14.42578125" style="634" bestFit="1" customWidth="1"/>
    <col min="5896" max="5896" width="10.5703125" style="634" customWidth="1"/>
    <col min="5897" max="5897" width="12" style="634" bestFit="1" customWidth="1"/>
    <col min="5898" max="5898" width="12.85546875" style="634" bestFit="1" customWidth="1"/>
    <col min="5899" max="5903" width="10.85546875" style="634" bestFit="1" customWidth="1"/>
    <col min="5904" max="5905" width="9.5703125" style="634" bestFit="1" customWidth="1"/>
    <col min="5906" max="5906" width="9.85546875" style="634" bestFit="1" customWidth="1"/>
    <col min="5907" max="6145" width="9.140625" style="634"/>
    <col min="6146" max="6146" width="32.140625" style="634" bestFit="1" customWidth="1"/>
    <col min="6147" max="6147" width="12.85546875" style="634" bestFit="1" customWidth="1"/>
    <col min="6148" max="6149" width="12.140625" style="634" customWidth="1"/>
    <col min="6150" max="6150" width="11.140625" style="634" bestFit="1" customWidth="1"/>
    <col min="6151" max="6151" width="14.42578125" style="634" bestFit="1" customWidth="1"/>
    <col min="6152" max="6152" width="10.5703125" style="634" customWidth="1"/>
    <col min="6153" max="6153" width="12" style="634" bestFit="1" customWidth="1"/>
    <col min="6154" max="6154" width="12.85546875" style="634" bestFit="1" customWidth="1"/>
    <col min="6155" max="6159" width="10.85546875" style="634" bestFit="1" customWidth="1"/>
    <col min="6160" max="6161" width="9.5703125" style="634" bestFit="1" customWidth="1"/>
    <col min="6162" max="6162" width="9.85546875" style="634" bestFit="1" customWidth="1"/>
    <col min="6163" max="6401" width="9.140625" style="634"/>
    <col min="6402" max="6402" width="32.140625" style="634" bestFit="1" customWidth="1"/>
    <col min="6403" max="6403" width="12.85546875" style="634" bestFit="1" customWidth="1"/>
    <col min="6404" max="6405" width="12.140625" style="634" customWidth="1"/>
    <col min="6406" max="6406" width="11.140625" style="634" bestFit="1" customWidth="1"/>
    <col min="6407" max="6407" width="14.42578125" style="634" bestFit="1" customWidth="1"/>
    <col min="6408" max="6408" width="10.5703125" style="634" customWidth="1"/>
    <col min="6409" max="6409" width="12" style="634" bestFit="1" customWidth="1"/>
    <col min="6410" max="6410" width="12.85546875" style="634" bestFit="1" customWidth="1"/>
    <col min="6411" max="6415" width="10.85546875" style="634" bestFit="1" customWidth="1"/>
    <col min="6416" max="6417" width="9.5703125" style="634" bestFit="1" customWidth="1"/>
    <col min="6418" max="6418" width="9.85546875" style="634" bestFit="1" customWidth="1"/>
    <col min="6419" max="6657" width="9.140625" style="634"/>
    <col min="6658" max="6658" width="32.140625" style="634" bestFit="1" customWidth="1"/>
    <col min="6659" max="6659" width="12.85546875" style="634" bestFit="1" customWidth="1"/>
    <col min="6660" max="6661" width="12.140625" style="634" customWidth="1"/>
    <col min="6662" max="6662" width="11.140625" style="634" bestFit="1" customWidth="1"/>
    <col min="6663" max="6663" width="14.42578125" style="634" bestFit="1" customWidth="1"/>
    <col min="6664" max="6664" width="10.5703125" style="634" customWidth="1"/>
    <col min="6665" max="6665" width="12" style="634" bestFit="1" customWidth="1"/>
    <col min="6666" max="6666" width="12.85546875" style="634" bestFit="1" customWidth="1"/>
    <col min="6667" max="6671" width="10.85546875" style="634" bestFit="1" customWidth="1"/>
    <col min="6672" max="6673" width="9.5703125" style="634" bestFit="1" customWidth="1"/>
    <col min="6674" max="6674" width="9.85546875" style="634" bestFit="1" customWidth="1"/>
    <col min="6675" max="6913" width="9.140625" style="634"/>
    <col min="6914" max="6914" width="32.140625" style="634" bestFit="1" customWidth="1"/>
    <col min="6915" max="6915" width="12.85546875" style="634" bestFit="1" customWidth="1"/>
    <col min="6916" max="6917" width="12.140625" style="634" customWidth="1"/>
    <col min="6918" max="6918" width="11.140625" style="634" bestFit="1" customWidth="1"/>
    <col min="6919" max="6919" width="14.42578125" style="634" bestFit="1" customWidth="1"/>
    <col min="6920" max="6920" width="10.5703125" style="634" customWidth="1"/>
    <col min="6921" max="6921" width="12" style="634" bestFit="1" customWidth="1"/>
    <col min="6922" max="6922" width="12.85546875" style="634" bestFit="1" customWidth="1"/>
    <col min="6923" max="6927" width="10.85546875" style="634" bestFit="1" customWidth="1"/>
    <col min="6928" max="6929" width="9.5703125" style="634" bestFit="1" customWidth="1"/>
    <col min="6930" max="6930" width="9.85546875" style="634" bestFit="1" customWidth="1"/>
    <col min="6931" max="7169" width="9.140625" style="634"/>
    <col min="7170" max="7170" width="32.140625" style="634" bestFit="1" customWidth="1"/>
    <col min="7171" max="7171" width="12.85546875" style="634" bestFit="1" customWidth="1"/>
    <col min="7172" max="7173" width="12.140625" style="634" customWidth="1"/>
    <col min="7174" max="7174" width="11.140625" style="634" bestFit="1" customWidth="1"/>
    <col min="7175" max="7175" width="14.42578125" style="634" bestFit="1" customWidth="1"/>
    <col min="7176" max="7176" width="10.5703125" style="634" customWidth="1"/>
    <col min="7177" max="7177" width="12" style="634" bestFit="1" customWidth="1"/>
    <col min="7178" max="7178" width="12.85546875" style="634" bestFit="1" customWidth="1"/>
    <col min="7179" max="7183" width="10.85546875" style="634" bestFit="1" customWidth="1"/>
    <col min="7184" max="7185" width="9.5703125" style="634" bestFit="1" customWidth="1"/>
    <col min="7186" max="7186" width="9.85546875" style="634" bestFit="1" customWidth="1"/>
    <col min="7187" max="7425" width="9.140625" style="634"/>
    <col min="7426" max="7426" width="32.140625" style="634" bestFit="1" customWidth="1"/>
    <col min="7427" max="7427" width="12.85546875" style="634" bestFit="1" customWidth="1"/>
    <col min="7428" max="7429" width="12.140625" style="634" customWidth="1"/>
    <col min="7430" max="7430" width="11.140625" style="634" bestFit="1" customWidth="1"/>
    <col min="7431" max="7431" width="14.42578125" style="634" bestFit="1" customWidth="1"/>
    <col min="7432" max="7432" width="10.5703125" style="634" customWidth="1"/>
    <col min="7433" max="7433" width="12" style="634" bestFit="1" customWidth="1"/>
    <col min="7434" max="7434" width="12.85546875" style="634" bestFit="1" customWidth="1"/>
    <col min="7435" max="7439" width="10.85546875" style="634" bestFit="1" customWidth="1"/>
    <col min="7440" max="7441" width="9.5703125" style="634" bestFit="1" customWidth="1"/>
    <col min="7442" max="7442" width="9.85546875" style="634" bestFit="1" customWidth="1"/>
    <col min="7443" max="7681" width="9.140625" style="634"/>
    <col min="7682" max="7682" width="32.140625" style="634" bestFit="1" customWidth="1"/>
    <col min="7683" max="7683" width="12.85546875" style="634" bestFit="1" customWidth="1"/>
    <col min="7684" max="7685" width="12.140625" style="634" customWidth="1"/>
    <col min="7686" max="7686" width="11.140625" style="634" bestFit="1" customWidth="1"/>
    <col min="7687" max="7687" width="14.42578125" style="634" bestFit="1" customWidth="1"/>
    <col min="7688" max="7688" width="10.5703125" style="634" customWidth="1"/>
    <col min="7689" max="7689" width="12" style="634" bestFit="1" customWidth="1"/>
    <col min="7690" max="7690" width="12.85546875" style="634" bestFit="1" customWidth="1"/>
    <col min="7691" max="7695" width="10.85546875" style="634" bestFit="1" customWidth="1"/>
    <col min="7696" max="7697" width="9.5703125" style="634" bestFit="1" customWidth="1"/>
    <col min="7698" max="7698" width="9.85546875" style="634" bestFit="1" customWidth="1"/>
    <col min="7699" max="7937" width="9.140625" style="634"/>
    <col min="7938" max="7938" width="32.140625" style="634" bestFit="1" customWidth="1"/>
    <col min="7939" max="7939" width="12.85546875" style="634" bestFit="1" customWidth="1"/>
    <col min="7940" max="7941" width="12.140625" style="634" customWidth="1"/>
    <col min="7942" max="7942" width="11.140625" style="634" bestFit="1" customWidth="1"/>
    <col min="7943" max="7943" width="14.42578125" style="634" bestFit="1" customWidth="1"/>
    <col min="7944" max="7944" width="10.5703125" style="634" customWidth="1"/>
    <col min="7945" max="7945" width="12" style="634" bestFit="1" customWidth="1"/>
    <col min="7946" max="7946" width="12.85546875" style="634" bestFit="1" customWidth="1"/>
    <col min="7947" max="7951" width="10.85546875" style="634" bestFit="1" customWidth="1"/>
    <col min="7952" max="7953" width="9.5703125" style="634" bestFit="1" customWidth="1"/>
    <col min="7954" max="7954" width="9.85546875" style="634" bestFit="1" customWidth="1"/>
    <col min="7955" max="8193" width="9.140625" style="634"/>
    <col min="8194" max="8194" width="32.140625" style="634" bestFit="1" customWidth="1"/>
    <col min="8195" max="8195" width="12.85546875" style="634" bestFit="1" customWidth="1"/>
    <col min="8196" max="8197" width="12.140625" style="634" customWidth="1"/>
    <col min="8198" max="8198" width="11.140625" style="634" bestFit="1" customWidth="1"/>
    <col min="8199" max="8199" width="14.42578125" style="634" bestFit="1" customWidth="1"/>
    <col min="8200" max="8200" width="10.5703125" style="634" customWidth="1"/>
    <col min="8201" max="8201" width="12" style="634" bestFit="1" customWidth="1"/>
    <col min="8202" max="8202" width="12.85546875" style="634" bestFit="1" customWidth="1"/>
    <col min="8203" max="8207" width="10.85546875" style="634" bestFit="1" customWidth="1"/>
    <col min="8208" max="8209" width="9.5703125" style="634" bestFit="1" customWidth="1"/>
    <col min="8210" max="8210" width="9.85546875" style="634" bestFit="1" customWidth="1"/>
    <col min="8211" max="8449" width="9.140625" style="634"/>
    <col min="8450" max="8450" width="32.140625" style="634" bestFit="1" customWidth="1"/>
    <col min="8451" max="8451" width="12.85546875" style="634" bestFit="1" customWidth="1"/>
    <col min="8452" max="8453" width="12.140625" style="634" customWidth="1"/>
    <col min="8454" max="8454" width="11.140625" style="634" bestFit="1" customWidth="1"/>
    <col min="8455" max="8455" width="14.42578125" style="634" bestFit="1" customWidth="1"/>
    <col min="8456" max="8456" width="10.5703125" style="634" customWidth="1"/>
    <col min="8457" max="8457" width="12" style="634" bestFit="1" customWidth="1"/>
    <col min="8458" max="8458" width="12.85546875" style="634" bestFit="1" customWidth="1"/>
    <col min="8459" max="8463" width="10.85546875" style="634" bestFit="1" customWidth="1"/>
    <col min="8464" max="8465" width="9.5703125" style="634" bestFit="1" customWidth="1"/>
    <col min="8466" max="8466" width="9.85546875" style="634" bestFit="1" customWidth="1"/>
    <col min="8467" max="8705" width="9.140625" style="634"/>
    <col min="8706" max="8706" width="32.140625" style="634" bestFit="1" customWidth="1"/>
    <col min="8707" max="8707" width="12.85546875" style="634" bestFit="1" customWidth="1"/>
    <col min="8708" max="8709" width="12.140625" style="634" customWidth="1"/>
    <col min="8710" max="8710" width="11.140625" style="634" bestFit="1" customWidth="1"/>
    <col min="8711" max="8711" width="14.42578125" style="634" bestFit="1" customWidth="1"/>
    <col min="8712" max="8712" width="10.5703125" style="634" customWidth="1"/>
    <col min="8713" max="8713" width="12" style="634" bestFit="1" customWidth="1"/>
    <col min="8714" max="8714" width="12.85546875" style="634" bestFit="1" customWidth="1"/>
    <col min="8715" max="8719" width="10.85546875" style="634" bestFit="1" customWidth="1"/>
    <col min="8720" max="8721" width="9.5703125" style="634" bestFit="1" customWidth="1"/>
    <col min="8722" max="8722" width="9.85546875" style="634" bestFit="1" customWidth="1"/>
    <col min="8723" max="8961" width="9.140625" style="634"/>
    <col min="8962" max="8962" width="32.140625" style="634" bestFit="1" customWidth="1"/>
    <col min="8963" max="8963" width="12.85546875" style="634" bestFit="1" customWidth="1"/>
    <col min="8964" max="8965" width="12.140625" style="634" customWidth="1"/>
    <col min="8966" max="8966" width="11.140625" style="634" bestFit="1" customWidth="1"/>
    <col min="8967" max="8967" width="14.42578125" style="634" bestFit="1" customWidth="1"/>
    <col min="8968" max="8968" width="10.5703125" style="634" customWidth="1"/>
    <col min="8969" max="8969" width="12" style="634" bestFit="1" customWidth="1"/>
    <col min="8970" max="8970" width="12.85546875" style="634" bestFit="1" customWidth="1"/>
    <col min="8971" max="8975" width="10.85546875" style="634" bestFit="1" customWidth="1"/>
    <col min="8976" max="8977" width="9.5703125" style="634" bestFit="1" customWidth="1"/>
    <col min="8978" max="8978" width="9.85546875" style="634" bestFit="1" customWidth="1"/>
    <col min="8979" max="9217" width="9.140625" style="634"/>
    <col min="9218" max="9218" width="32.140625" style="634" bestFit="1" customWidth="1"/>
    <col min="9219" max="9219" width="12.85546875" style="634" bestFit="1" customWidth="1"/>
    <col min="9220" max="9221" width="12.140625" style="634" customWidth="1"/>
    <col min="9222" max="9222" width="11.140625" style="634" bestFit="1" customWidth="1"/>
    <col min="9223" max="9223" width="14.42578125" style="634" bestFit="1" customWidth="1"/>
    <col min="9224" max="9224" width="10.5703125" style="634" customWidth="1"/>
    <col min="9225" max="9225" width="12" style="634" bestFit="1" customWidth="1"/>
    <col min="9226" max="9226" width="12.85546875" style="634" bestFit="1" customWidth="1"/>
    <col min="9227" max="9231" width="10.85546875" style="634" bestFit="1" customWidth="1"/>
    <col min="9232" max="9233" width="9.5703125" style="634" bestFit="1" customWidth="1"/>
    <col min="9234" max="9234" width="9.85546875" style="634" bestFit="1" customWidth="1"/>
    <col min="9235" max="9473" width="9.140625" style="634"/>
    <col min="9474" max="9474" width="32.140625" style="634" bestFit="1" customWidth="1"/>
    <col min="9475" max="9475" width="12.85546875" style="634" bestFit="1" customWidth="1"/>
    <col min="9476" max="9477" width="12.140625" style="634" customWidth="1"/>
    <col min="9478" max="9478" width="11.140625" style="634" bestFit="1" customWidth="1"/>
    <col min="9479" max="9479" width="14.42578125" style="634" bestFit="1" customWidth="1"/>
    <col min="9480" max="9480" width="10.5703125" style="634" customWidth="1"/>
    <col min="9481" max="9481" width="12" style="634" bestFit="1" customWidth="1"/>
    <col min="9482" max="9482" width="12.85546875" style="634" bestFit="1" customWidth="1"/>
    <col min="9483" max="9487" width="10.85546875" style="634" bestFit="1" customWidth="1"/>
    <col min="9488" max="9489" width="9.5703125" style="634" bestFit="1" customWidth="1"/>
    <col min="9490" max="9490" width="9.85546875" style="634" bestFit="1" customWidth="1"/>
    <col min="9491" max="9729" width="9.140625" style="634"/>
    <col min="9730" max="9730" width="32.140625" style="634" bestFit="1" customWidth="1"/>
    <col min="9731" max="9731" width="12.85546875" style="634" bestFit="1" customWidth="1"/>
    <col min="9732" max="9733" width="12.140625" style="634" customWidth="1"/>
    <col min="9734" max="9734" width="11.140625" style="634" bestFit="1" customWidth="1"/>
    <col min="9735" max="9735" width="14.42578125" style="634" bestFit="1" customWidth="1"/>
    <col min="9736" max="9736" width="10.5703125" style="634" customWidth="1"/>
    <col min="9737" max="9737" width="12" style="634" bestFit="1" customWidth="1"/>
    <col min="9738" max="9738" width="12.85546875" style="634" bestFit="1" customWidth="1"/>
    <col min="9739" max="9743" width="10.85546875" style="634" bestFit="1" customWidth="1"/>
    <col min="9744" max="9745" width="9.5703125" style="634" bestFit="1" customWidth="1"/>
    <col min="9746" max="9746" width="9.85546875" style="634" bestFit="1" customWidth="1"/>
    <col min="9747" max="9985" width="9.140625" style="634"/>
    <col min="9986" max="9986" width="32.140625" style="634" bestFit="1" customWidth="1"/>
    <col min="9987" max="9987" width="12.85546875" style="634" bestFit="1" customWidth="1"/>
    <col min="9988" max="9989" width="12.140625" style="634" customWidth="1"/>
    <col min="9990" max="9990" width="11.140625" style="634" bestFit="1" customWidth="1"/>
    <col min="9991" max="9991" width="14.42578125" style="634" bestFit="1" customWidth="1"/>
    <col min="9992" max="9992" width="10.5703125" style="634" customWidth="1"/>
    <col min="9993" max="9993" width="12" style="634" bestFit="1" customWidth="1"/>
    <col min="9994" max="9994" width="12.85546875" style="634" bestFit="1" customWidth="1"/>
    <col min="9995" max="9999" width="10.85546875" style="634" bestFit="1" customWidth="1"/>
    <col min="10000" max="10001" width="9.5703125" style="634" bestFit="1" customWidth="1"/>
    <col min="10002" max="10002" width="9.85546875" style="634" bestFit="1" customWidth="1"/>
    <col min="10003" max="10241" width="9.140625" style="634"/>
    <col min="10242" max="10242" width="32.140625" style="634" bestFit="1" customWidth="1"/>
    <col min="10243" max="10243" width="12.85546875" style="634" bestFit="1" customWidth="1"/>
    <col min="10244" max="10245" width="12.140625" style="634" customWidth="1"/>
    <col min="10246" max="10246" width="11.140625" style="634" bestFit="1" customWidth="1"/>
    <col min="10247" max="10247" width="14.42578125" style="634" bestFit="1" customWidth="1"/>
    <col min="10248" max="10248" width="10.5703125" style="634" customWidth="1"/>
    <col min="10249" max="10249" width="12" style="634" bestFit="1" customWidth="1"/>
    <col min="10250" max="10250" width="12.85546875" style="634" bestFit="1" customWidth="1"/>
    <col min="10251" max="10255" width="10.85546875" style="634" bestFit="1" customWidth="1"/>
    <col min="10256" max="10257" width="9.5703125" style="634" bestFit="1" customWidth="1"/>
    <col min="10258" max="10258" width="9.85546875" style="634" bestFit="1" customWidth="1"/>
    <col min="10259" max="10497" width="9.140625" style="634"/>
    <col min="10498" max="10498" width="32.140625" style="634" bestFit="1" customWidth="1"/>
    <col min="10499" max="10499" width="12.85546875" style="634" bestFit="1" customWidth="1"/>
    <col min="10500" max="10501" width="12.140625" style="634" customWidth="1"/>
    <col min="10502" max="10502" width="11.140625" style="634" bestFit="1" customWidth="1"/>
    <col min="10503" max="10503" width="14.42578125" style="634" bestFit="1" customWidth="1"/>
    <col min="10504" max="10504" width="10.5703125" style="634" customWidth="1"/>
    <col min="10505" max="10505" width="12" style="634" bestFit="1" customWidth="1"/>
    <col min="10506" max="10506" width="12.85546875" style="634" bestFit="1" customWidth="1"/>
    <col min="10507" max="10511" width="10.85546875" style="634" bestFit="1" customWidth="1"/>
    <col min="10512" max="10513" width="9.5703125" style="634" bestFit="1" customWidth="1"/>
    <col min="10514" max="10514" width="9.85546875" style="634" bestFit="1" customWidth="1"/>
    <col min="10515" max="10753" width="9.140625" style="634"/>
    <col min="10754" max="10754" width="32.140625" style="634" bestFit="1" customWidth="1"/>
    <col min="10755" max="10755" width="12.85546875" style="634" bestFit="1" customWidth="1"/>
    <col min="10756" max="10757" width="12.140625" style="634" customWidth="1"/>
    <col min="10758" max="10758" width="11.140625" style="634" bestFit="1" customWidth="1"/>
    <col min="10759" max="10759" width="14.42578125" style="634" bestFit="1" customWidth="1"/>
    <col min="10760" max="10760" width="10.5703125" style="634" customWidth="1"/>
    <col min="10761" max="10761" width="12" style="634" bestFit="1" customWidth="1"/>
    <col min="10762" max="10762" width="12.85546875" style="634" bestFit="1" customWidth="1"/>
    <col min="10763" max="10767" width="10.85546875" style="634" bestFit="1" customWidth="1"/>
    <col min="10768" max="10769" width="9.5703125" style="634" bestFit="1" customWidth="1"/>
    <col min="10770" max="10770" width="9.85546875" style="634" bestFit="1" customWidth="1"/>
    <col min="10771" max="11009" width="9.140625" style="634"/>
    <col min="11010" max="11010" width="32.140625" style="634" bestFit="1" customWidth="1"/>
    <col min="11011" max="11011" width="12.85546875" style="634" bestFit="1" customWidth="1"/>
    <col min="11012" max="11013" width="12.140625" style="634" customWidth="1"/>
    <col min="11014" max="11014" width="11.140625" style="634" bestFit="1" customWidth="1"/>
    <col min="11015" max="11015" width="14.42578125" style="634" bestFit="1" customWidth="1"/>
    <col min="11016" max="11016" width="10.5703125" style="634" customWidth="1"/>
    <col min="11017" max="11017" width="12" style="634" bestFit="1" customWidth="1"/>
    <col min="11018" max="11018" width="12.85546875" style="634" bestFit="1" customWidth="1"/>
    <col min="11019" max="11023" width="10.85546875" style="634" bestFit="1" customWidth="1"/>
    <col min="11024" max="11025" width="9.5703125" style="634" bestFit="1" customWidth="1"/>
    <col min="11026" max="11026" width="9.85546875" style="634" bestFit="1" customWidth="1"/>
    <col min="11027" max="11265" width="9.140625" style="634"/>
    <col min="11266" max="11266" width="32.140625" style="634" bestFit="1" customWidth="1"/>
    <col min="11267" max="11267" width="12.85546875" style="634" bestFit="1" customWidth="1"/>
    <col min="11268" max="11269" width="12.140625" style="634" customWidth="1"/>
    <col min="11270" max="11270" width="11.140625" style="634" bestFit="1" customWidth="1"/>
    <col min="11271" max="11271" width="14.42578125" style="634" bestFit="1" customWidth="1"/>
    <col min="11272" max="11272" width="10.5703125" style="634" customWidth="1"/>
    <col min="11273" max="11273" width="12" style="634" bestFit="1" customWidth="1"/>
    <col min="11274" max="11274" width="12.85546875" style="634" bestFit="1" customWidth="1"/>
    <col min="11275" max="11279" width="10.85546875" style="634" bestFit="1" customWidth="1"/>
    <col min="11280" max="11281" width="9.5703125" style="634" bestFit="1" customWidth="1"/>
    <col min="11282" max="11282" width="9.85546875" style="634" bestFit="1" customWidth="1"/>
    <col min="11283" max="11521" width="9.140625" style="634"/>
    <col min="11522" max="11522" width="32.140625" style="634" bestFit="1" customWidth="1"/>
    <col min="11523" max="11523" width="12.85546875" style="634" bestFit="1" customWidth="1"/>
    <col min="11524" max="11525" width="12.140625" style="634" customWidth="1"/>
    <col min="11526" max="11526" width="11.140625" style="634" bestFit="1" customWidth="1"/>
    <col min="11527" max="11527" width="14.42578125" style="634" bestFit="1" customWidth="1"/>
    <col min="11528" max="11528" width="10.5703125" style="634" customWidth="1"/>
    <col min="11529" max="11529" width="12" style="634" bestFit="1" customWidth="1"/>
    <col min="11530" max="11530" width="12.85546875" style="634" bestFit="1" customWidth="1"/>
    <col min="11531" max="11535" width="10.85546875" style="634" bestFit="1" customWidth="1"/>
    <col min="11536" max="11537" width="9.5703125" style="634" bestFit="1" customWidth="1"/>
    <col min="11538" max="11538" width="9.85546875" style="634" bestFit="1" customWidth="1"/>
    <col min="11539" max="11777" width="9.140625" style="634"/>
    <col min="11778" max="11778" width="32.140625" style="634" bestFit="1" customWidth="1"/>
    <col min="11779" max="11779" width="12.85546875" style="634" bestFit="1" customWidth="1"/>
    <col min="11780" max="11781" width="12.140625" style="634" customWidth="1"/>
    <col min="11782" max="11782" width="11.140625" style="634" bestFit="1" customWidth="1"/>
    <col min="11783" max="11783" width="14.42578125" style="634" bestFit="1" customWidth="1"/>
    <col min="11784" max="11784" width="10.5703125" style="634" customWidth="1"/>
    <col min="11785" max="11785" width="12" style="634" bestFit="1" customWidth="1"/>
    <col min="11786" max="11786" width="12.85546875" style="634" bestFit="1" customWidth="1"/>
    <col min="11787" max="11791" width="10.85546875" style="634" bestFit="1" customWidth="1"/>
    <col min="11792" max="11793" width="9.5703125" style="634" bestFit="1" customWidth="1"/>
    <col min="11794" max="11794" width="9.85546875" style="634" bestFit="1" customWidth="1"/>
    <col min="11795" max="12033" width="9.140625" style="634"/>
    <col min="12034" max="12034" width="32.140625" style="634" bestFit="1" customWidth="1"/>
    <col min="12035" max="12035" width="12.85546875" style="634" bestFit="1" customWidth="1"/>
    <col min="12036" max="12037" width="12.140625" style="634" customWidth="1"/>
    <col min="12038" max="12038" width="11.140625" style="634" bestFit="1" customWidth="1"/>
    <col min="12039" max="12039" width="14.42578125" style="634" bestFit="1" customWidth="1"/>
    <col min="12040" max="12040" width="10.5703125" style="634" customWidth="1"/>
    <col min="12041" max="12041" width="12" style="634" bestFit="1" customWidth="1"/>
    <col min="12042" max="12042" width="12.85546875" style="634" bestFit="1" customWidth="1"/>
    <col min="12043" max="12047" width="10.85546875" style="634" bestFit="1" customWidth="1"/>
    <col min="12048" max="12049" width="9.5703125" style="634" bestFit="1" customWidth="1"/>
    <col min="12050" max="12050" width="9.85546875" style="634" bestFit="1" customWidth="1"/>
    <col min="12051" max="12289" width="9.140625" style="634"/>
    <col min="12290" max="12290" width="32.140625" style="634" bestFit="1" customWidth="1"/>
    <col min="12291" max="12291" width="12.85546875" style="634" bestFit="1" customWidth="1"/>
    <col min="12292" max="12293" width="12.140625" style="634" customWidth="1"/>
    <col min="12294" max="12294" width="11.140625" style="634" bestFit="1" customWidth="1"/>
    <col min="12295" max="12295" width="14.42578125" style="634" bestFit="1" customWidth="1"/>
    <col min="12296" max="12296" width="10.5703125" style="634" customWidth="1"/>
    <col min="12297" max="12297" width="12" style="634" bestFit="1" customWidth="1"/>
    <col min="12298" max="12298" width="12.85546875" style="634" bestFit="1" customWidth="1"/>
    <col min="12299" max="12303" width="10.85546875" style="634" bestFit="1" customWidth="1"/>
    <col min="12304" max="12305" width="9.5703125" style="634" bestFit="1" customWidth="1"/>
    <col min="12306" max="12306" width="9.85546875" style="634" bestFit="1" customWidth="1"/>
    <col min="12307" max="12545" width="9.140625" style="634"/>
    <col min="12546" max="12546" width="32.140625" style="634" bestFit="1" customWidth="1"/>
    <col min="12547" max="12547" width="12.85546875" style="634" bestFit="1" customWidth="1"/>
    <col min="12548" max="12549" width="12.140625" style="634" customWidth="1"/>
    <col min="12550" max="12550" width="11.140625" style="634" bestFit="1" customWidth="1"/>
    <col min="12551" max="12551" width="14.42578125" style="634" bestFit="1" customWidth="1"/>
    <col min="12552" max="12552" width="10.5703125" style="634" customWidth="1"/>
    <col min="12553" max="12553" width="12" style="634" bestFit="1" customWidth="1"/>
    <col min="12554" max="12554" width="12.85546875" style="634" bestFit="1" customWidth="1"/>
    <col min="12555" max="12559" width="10.85546875" style="634" bestFit="1" customWidth="1"/>
    <col min="12560" max="12561" width="9.5703125" style="634" bestFit="1" customWidth="1"/>
    <col min="12562" max="12562" width="9.85546875" style="634" bestFit="1" customWidth="1"/>
    <col min="12563" max="12801" width="9.140625" style="634"/>
    <col min="12802" max="12802" width="32.140625" style="634" bestFit="1" customWidth="1"/>
    <col min="12803" max="12803" width="12.85546875" style="634" bestFit="1" customWidth="1"/>
    <col min="12804" max="12805" width="12.140625" style="634" customWidth="1"/>
    <col min="12806" max="12806" width="11.140625" style="634" bestFit="1" customWidth="1"/>
    <col min="12807" max="12807" width="14.42578125" style="634" bestFit="1" customWidth="1"/>
    <col min="12808" max="12808" width="10.5703125" style="634" customWidth="1"/>
    <col min="12809" max="12809" width="12" style="634" bestFit="1" customWidth="1"/>
    <col min="12810" max="12810" width="12.85546875" style="634" bestFit="1" customWidth="1"/>
    <col min="12811" max="12815" width="10.85546875" style="634" bestFit="1" customWidth="1"/>
    <col min="12816" max="12817" width="9.5703125" style="634" bestFit="1" customWidth="1"/>
    <col min="12818" max="12818" width="9.85546875" style="634" bestFit="1" customWidth="1"/>
    <col min="12819" max="13057" width="9.140625" style="634"/>
    <col min="13058" max="13058" width="32.140625" style="634" bestFit="1" customWidth="1"/>
    <col min="13059" max="13059" width="12.85546875" style="634" bestFit="1" customWidth="1"/>
    <col min="13060" max="13061" width="12.140625" style="634" customWidth="1"/>
    <col min="13062" max="13062" width="11.140625" style="634" bestFit="1" customWidth="1"/>
    <col min="13063" max="13063" width="14.42578125" style="634" bestFit="1" customWidth="1"/>
    <col min="13064" max="13064" width="10.5703125" style="634" customWidth="1"/>
    <col min="13065" max="13065" width="12" style="634" bestFit="1" customWidth="1"/>
    <col min="13066" max="13066" width="12.85546875" style="634" bestFit="1" customWidth="1"/>
    <col min="13067" max="13071" width="10.85546875" style="634" bestFit="1" customWidth="1"/>
    <col min="13072" max="13073" width="9.5703125" style="634" bestFit="1" customWidth="1"/>
    <col min="13074" max="13074" width="9.85546875" style="634" bestFit="1" customWidth="1"/>
    <col min="13075" max="13313" width="9.140625" style="634"/>
    <col min="13314" max="13314" width="32.140625" style="634" bestFit="1" customWidth="1"/>
    <col min="13315" max="13315" width="12.85546875" style="634" bestFit="1" customWidth="1"/>
    <col min="13316" max="13317" width="12.140625" style="634" customWidth="1"/>
    <col min="13318" max="13318" width="11.140625" style="634" bestFit="1" customWidth="1"/>
    <col min="13319" max="13319" width="14.42578125" style="634" bestFit="1" customWidth="1"/>
    <col min="13320" max="13320" width="10.5703125" style="634" customWidth="1"/>
    <col min="13321" max="13321" width="12" style="634" bestFit="1" customWidth="1"/>
    <col min="13322" max="13322" width="12.85546875" style="634" bestFit="1" customWidth="1"/>
    <col min="13323" max="13327" width="10.85546875" style="634" bestFit="1" customWidth="1"/>
    <col min="13328" max="13329" width="9.5703125" style="634" bestFit="1" customWidth="1"/>
    <col min="13330" max="13330" width="9.85546875" style="634" bestFit="1" customWidth="1"/>
    <col min="13331" max="13569" width="9.140625" style="634"/>
    <col min="13570" max="13570" width="32.140625" style="634" bestFit="1" customWidth="1"/>
    <col min="13571" max="13571" width="12.85546875" style="634" bestFit="1" customWidth="1"/>
    <col min="13572" max="13573" width="12.140625" style="634" customWidth="1"/>
    <col min="13574" max="13574" width="11.140625" style="634" bestFit="1" customWidth="1"/>
    <col min="13575" max="13575" width="14.42578125" style="634" bestFit="1" customWidth="1"/>
    <col min="13576" max="13576" width="10.5703125" style="634" customWidth="1"/>
    <col min="13577" max="13577" width="12" style="634" bestFit="1" customWidth="1"/>
    <col min="13578" max="13578" width="12.85546875" style="634" bestFit="1" customWidth="1"/>
    <col min="13579" max="13583" width="10.85546875" style="634" bestFit="1" customWidth="1"/>
    <col min="13584" max="13585" width="9.5703125" style="634" bestFit="1" customWidth="1"/>
    <col min="13586" max="13586" width="9.85546875" style="634" bestFit="1" customWidth="1"/>
    <col min="13587" max="13825" width="9.140625" style="634"/>
    <col min="13826" max="13826" width="32.140625" style="634" bestFit="1" customWidth="1"/>
    <col min="13827" max="13827" width="12.85546875" style="634" bestFit="1" customWidth="1"/>
    <col min="13828" max="13829" width="12.140625" style="634" customWidth="1"/>
    <col min="13830" max="13830" width="11.140625" style="634" bestFit="1" customWidth="1"/>
    <col min="13831" max="13831" width="14.42578125" style="634" bestFit="1" customWidth="1"/>
    <col min="13832" max="13832" width="10.5703125" style="634" customWidth="1"/>
    <col min="13833" max="13833" width="12" style="634" bestFit="1" customWidth="1"/>
    <col min="13834" max="13834" width="12.85546875" style="634" bestFit="1" customWidth="1"/>
    <col min="13835" max="13839" width="10.85546875" style="634" bestFit="1" customWidth="1"/>
    <col min="13840" max="13841" width="9.5703125" style="634" bestFit="1" customWidth="1"/>
    <col min="13842" max="13842" width="9.85546875" style="634" bestFit="1" customWidth="1"/>
    <col min="13843" max="14081" width="9.140625" style="634"/>
    <col min="14082" max="14082" width="32.140625" style="634" bestFit="1" customWidth="1"/>
    <col min="14083" max="14083" width="12.85546875" style="634" bestFit="1" customWidth="1"/>
    <col min="14084" max="14085" width="12.140625" style="634" customWidth="1"/>
    <col min="14086" max="14086" width="11.140625" style="634" bestFit="1" customWidth="1"/>
    <col min="14087" max="14087" width="14.42578125" style="634" bestFit="1" customWidth="1"/>
    <col min="14088" max="14088" width="10.5703125" style="634" customWidth="1"/>
    <col min="14089" max="14089" width="12" style="634" bestFit="1" customWidth="1"/>
    <col min="14090" max="14090" width="12.85546875" style="634" bestFit="1" customWidth="1"/>
    <col min="14091" max="14095" width="10.85546875" style="634" bestFit="1" customWidth="1"/>
    <col min="14096" max="14097" width="9.5703125" style="634" bestFit="1" customWidth="1"/>
    <col min="14098" max="14098" width="9.85546875" style="634" bestFit="1" customWidth="1"/>
    <col min="14099" max="14337" width="9.140625" style="634"/>
    <col min="14338" max="14338" width="32.140625" style="634" bestFit="1" customWidth="1"/>
    <col min="14339" max="14339" width="12.85546875" style="634" bestFit="1" customWidth="1"/>
    <col min="14340" max="14341" width="12.140625" style="634" customWidth="1"/>
    <col min="14342" max="14342" width="11.140625" style="634" bestFit="1" customWidth="1"/>
    <col min="14343" max="14343" width="14.42578125" style="634" bestFit="1" customWidth="1"/>
    <col min="14344" max="14344" width="10.5703125" style="634" customWidth="1"/>
    <col min="14345" max="14345" width="12" style="634" bestFit="1" customWidth="1"/>
    <col min="14346" max="14346" width="12.85546875" style="634" bestFit="1" customWidth="1"/>
    <col min="14347" max="14351" width="10.85546875" style="634" bestFit="1" customWidth="1"/>
    <col min="14352" max="14353" width="9.5703125" style="634" bestFit="1" customWidth="1"/>
    <col min="14354" max="14354" width="9.85546875" style="634" bestFit="1" customWidth="1"/>
    <col min="14355" max="14593" width="9.140625" style="634"/>
    <col min="14594" max="14594" width="32.140625" style="634" bestFit="1" customWidth="1"/>
    <col min="14595" max="14595" width="12.85546875" style="634" bestFit="1" customWidth="1"/>
    <col min="14596" max="14597" width="12.140625" style="634" customWidth="1"/>
    <col min="14598" max="14598" width="11.140625" style="634" bestFit="1" customWidth="1"/>
    <col min="14599" max="14599" width="14.42578125" style="634" bestFit="1" customWidth="1"/>
    <col min="14600" max="14600" width="10.5703125" style="634" customWidth="1"/>
    <col min="14601" max="14601" width="12" style="634" bestFit="1" customWidth="1"/>
    <col min="14602" max="14602" width="12.85546875" style="634" bestFit="1" customWidth="1"/>
    <col min="14603" max="14607" width="10.85546875" style="634" bestFit="1" customWidth="1"/>
    <col min="14608" max="14609" width="9.5703125" style="634" bestFit="1" customWidth="1"/>
    <col min="14610" max="14610" width="9.85546875" style="634" bestFit="1" customWidth="1"/>
    <col min="14611" max="14849" width="9.140625" style="634"/>
    <col min="14850" max="14850" width="32.140625" style="634" bestFit="1" customWidth="1"/>
    <col min="14851" max="14851" width="12.85546875" style="634" bestFit="1" customWidth="1"/>
    <col min="14852" max="14853" width="12.140625" style="634" customWidth="1"/>
    <col min="14854" max="14854" width="11.140625" style="634" bestFit="1" customWidth="1"/>
    <col min="14855" max="14855" width="14.42578125" style="634" bestFit="1" customWidth="1"/>
    <col min="14856" max="14856" width="10.5703125" style="634" customWidth="1"/>
    <col min="14857" max="14857" width="12" style="634" bestFit="1" customWidth="1"/>
    <col min="14858" max="14858" width="12.85546875" style="634" bestFit="1" customWidth="1"/>
    <col min="14859" max="14863" width="10.85546875" style="634" bestFit="1" customWidth="1"/>
    <col min="14864" max="14865" width="9.5703125" style="634" bestFit="1" customWidth="1"/>
    <col min="14866" max="14866" width="9.85546875" style="634" bestFit="1" customWidth="1"/>
    <col min="14867" max="15105" width="9.140625" style="634"/>
    <col min="15106" max="15106" width="32.140625" style="634" bestFit="1" customWidth="1"/>
    <col min="15107" max="15107" width="12.85546875" style="634" bestFit="1" customWidth="1"/>
    <col min="15108" max="15109" width="12.140625" style="634" customWidth="1"/>
    <col min="15110" max="15110" width="11.140625" style="634" bestFit="1" customWidth="1"/>
    <col min="15111" max="15111" width="14.42578125" style="634" bestFit="1" customWidth="1"/>
    <col min="15112" max="15112" width="10.5703125" style="634" customWidth="1"/>
    <col min="15113" max="15113" width="12" style="634" bestFit="1" customWidth="1"/>
    <col min="15114" max="15114" width="12.85546875" style="634" bestFit="1" customWidth="1"/>
    <col min="15115" max="15119" width="10.85546875" style="634" bestFit="1" customWidth="1"/>
    <col min="15120" max="15121" width="9.5703125" style="634" bestFit="1" customWidth="1"/>
    <col min="15122" max="15122" width="9.85546875" style="634" bestFit="1" customWidth="1"/>
    <col min="15123" max="15361" width="9.140625" style="634"/>
    <col min="15362" max="15362" width="32.140625" style="634" bestFit="1" customWidth="1"/>
    <col min="15363" max="15363" width="12.85546875" style="634" bestFit="1" customWidth="1"/>
    <col min="15364" max="15365" width="12.140625" style="634" customWidth="1"/>
    <col min="15366" max="15366" width="11.140625" style="634" bestFit="1" customWidth="1"/>
    <col min="15367" max="15367" width="14.42578125" style="634" bestFit="1" customWidth="1"/>
    <col min="15368" max="15368" width="10.5703125" style="634" customWidth="1"/>
    <col min="15369" max="15369" width="12" style="634" bestFit="1" customWidth="1"/>
    <col min="15370" max="15370" width="12.85546875" style="634" bestFit="1" customWidth="1"/>
    <col min="15371" max="15375" width="10.85546875" style="634" bestFit="1" customWidth="1"/>
    <col min="15376" max="15377" width="9.5703125" style="634" bestFit="1" customWidth="1"/>
    <col min="15378" max="15378" width="9.85546875" style="634" bestFit="1" customWidth="1"/>
    <col min="15379" max="15617" width="9.140625" style="634"/>
    <col min="15618" max="15618" width="32.140625" style="634" bestFit="1" customWidth="1"/>
    <col min="15619" max="15619" width="12.85546875" style="634" bestFit="1" customWidth="1"/>
    <col min="15620" max="15621" width="12.140625" style="634" customWidth="1"/>
    <col min="15622" max="15622" width="11.140625" style="634" bestFit="1" customWidth="1"/>
    <col min="15623" max="15623" width="14.42578125" style="634" bestFit="1" customWidth="1"/>
    <col min="15624" max="15624" width="10.5703125" style="634" customWidth="1"/>
    <col min="15625" max="15625" width="12" style="634" bestFit="1" customWidth="1"/>
    <col min="15626" max="15626" width="12.85546875" style="634" bestFit="1" customWidth="1"/>
    <col min="15627" max="15631" width="10.85546875" style="634" bestFit="1" customWidth="1"/>
    <col min="15632" max="15633" width="9.5703125" style="634" bestFit="1" customWidth="1"/>
    <col min="15634" max="15634" width="9.85546875" style="634" bestFit="1" customWidth="1"/>
    <col min="15635" max="15873" width="9.140625" style="634"/>
    <col min="15874" max="15874" width="32.140625" style="634" bestFit="1" customWidth="1"/>
    <col min="15875" max="15875" width="12.85546875" style="634" bestFit="1" customWidth="1"/>
    <col min="15876" max="15877" width="12.140625" style="634" customWidth="1"/>
    <col min="15878" max="15878" width="11.140625" style="634" bestFit="1" customWidth="1"/>
    <col min="15879" max="15879" width="14.42578125" style="634" bestFit="1" customWidth="1"/>
    <col min="15880" max="15880" width="10.5703125" style="634" customWidth="1"/>
    <col min="15881" max="15881" width="12" style="634" bestFit="1" customWidth="1"/>
    <col min="15882" max="15882" width="12.85546875" style="634" bestFit="1" customWidth="1"/>
    <col min="15883" max="15887" width="10.85546875" style="634" bestFit="1" customWidth="1"/>
    <col min="15888" max="15889" width="9.5703125" style="634" bestFit="1" customWidth="1"/>
    <col min="15890" max="15890" width="9.85546875" style="634" bestFit="1" customWidth="1"/>
    <col min="15891" max="16129" width="9.140625" style="634"/>
    <col min="16130" max="16130" width="32.140625" style="634" bestFit="1" customWidth="1"/>
    <col min="16131" max="16131" width="12.85546875" style="634" bestFit="1" customWidth="1"/>
    <col min="16132" max="16133" width="12.140625" style="634" customWidth="1"/>
    <col min="16134" max="16134" width="11.140625" style="634" bestFit="1" customWidth="1"/>
    <col min="16135" max="16135" width="14.42578125" style="634" bestFit="1" customWidth="1"/>
    <col min="16136" max="16136" width="10.5703125" style="634" customWidth="1"/>
    <col min="16137" max="16137" width="12" style="634" bestFit="1" customWidth="1"/>
    <col min="16138" max="16138" width="12.85546875" style="634" bestFit="1" customWidth="1"/>
    <col min="16139" max="16143" width="10.85546875" style="634" bestFit="1" customWidth="1"/>
    <col min="16144" max="16145" width="9.5703125" style="634" bestFit="1" customWidth="1"/>
    <col min="16146" max="16146" width="9.85546875" style="634" bestFit="1" customWidth="1"/>
    <col min="16147" max="16384" width="9.140625" style="634"/>
  </cols>
  <sheetData>
    <row r="1" spans="1:18" ht="15.75" customHeight="1" thickBot="1">
      <c r="A1" s="633"/>
      <c r="B1" s="633" t="s">
        <v>746</v>
      </c>
      <c r="E1" s="634" t="s">
        <v>747</v>
      </c>
      <c r="F1" s="636">
        <v>0.25</v>
      </c>
      <c r="G1" s="633"/>
    </row>
    <row r="2" spans="1:18">
      <c r="A2" s="633"/>
      <c r="B2" s="637" t="s">
        <v>748</v>
      </c>
      <c r="C2" s="638"/>
      <c r="D2" s="638"/>
      <c r="E2" s="639">
        <f>SUM(E3:E5)</f>
        <v>538000</v>
      </c>
    </row>
    <row r="3" spans="1:18">
      <c r="A3" s="633"/>
      <c r="B3" s="641" t="s">
        <v>678</v>
      </c>
      <c r="C3" s="642"/>
      <c r="D3" s="642"/>
      <c r="E3" s="643">
        <f>SUM(E27:E28)</f>
        <v>130000</v>
      </c>
      <c r="G3" s="633"/>
    </row>
    <row r="4" spans="1:18">
      <c r="A4" s="633"/>
      <c r="B4" s="641" t="s">
        <v>749</v>
      </c>
      <c r="C4" s="642"/>
      <c r="D4" s="642"/>
      <c r="E4" s="643">
        <f>E29+E30</f>
        <v>24000</v>
      </c>
      <c r="G4" s="633"/>
    </row>
    <row r="5" spans="1:18">
      <c r="A5" s="633"/>
      <c r="B5" s="641" t="s">
        <v>750</v>
      </c>
      <c r="C5" s="642"/>
      <c r="D5" s="642"/>
      <c r="E5" s="643">
        <f>D45*D51+D77*D83++D103*D109+D132*D141</f>
        <v>384000</v>
      </c>
      <c r="G5" s="633"/>
    </row>
    <row r="6" spans="1:18" ht="12" thickBot="1">
      <c r="A6" s="633"/>
      <c r="B6" s="644" t="s">
        <v>751</v>
      </c>
      <c r="C6" s="645"/>
      <c r="D6" s="646"/>
      <c r="E6" s="647">
        <v>2018</v>
      </c>
      <c r="G6" s="633"/>
    </row>
    <row r="7" spans="1:18">
      <c r="A7" s="633"/>
      <c r="G7" s="633"/>
    </row>
    <row r="8" spans="1:18" ht="12" thickBot="1">
      <c r="A8" s="633"/>
      <c r="B8" s="633" t="s">
        <v>752</v>
      </c>
      <c r="G8" s="633"/>
    </row>
    <row r="9" spans="1:18" ht="12" thickBot="1">
      <c r="A9" s="633"/>
      <c r="B9" s="633" t="s">
        <v>636</v>
      </c>
      <c r="C9" s="648">
        <f>70%+51%*30%</f>
        <v>0.85299999999999998</v>
      </c>
      <c r="G9" s="633"/>
    </row>
    <row r="10" spans="1:18" ht="12" thickBot="1">
      <c r="A10" s="633"/>
      <c r="B10" s="649" t="s">
        <v>753</v>
      </c>
      <c r="C10" s="650">
        <v>0.02</v>
      </c>
      <c r="D10" s="633"/>
      <c r="E10" s="651"/>
    </row>
    <row r="11" spans="1:18" ht="12" thickBot="1">
      <c r="A11" s="633"/>
      <c r="B11" s="652" t="s">
        <v>754</v>
      </c>
      <c r="D11" s="634"/>
      <c r="E11" s="636"/>
    </row>
    <row r="12" spans="1:18" ht="12" thickBot="1">
      <c r="A12" s="633"/>
      <c r="B12" s="633" t="s">
        <v>755</v>
      </c>
      <c r="C12" s="653">
        <v>2027</v>
      </c>
      <c r="D12" s="634"/>
      <c r="E12" s="651"/>
    </row>
    <row r="13" spans="1:18" ht="12" thickBot="1">
      <c r="A13" s="633"/>
      <c r="C13" s="654"/>
      <c r="D13" s="634"/>
      <c r="E13" s="655">
        <v>2013</v>
      </c>
      <c r="F13" s="655">
        <f>E13+1</f>
        <v>2014</v>
      </c>
      <c r="G13" s="655">
        <f t="shared" ref="G13:R13" si="0">F13+1</f>
        <v>2015</v>
      </c>
      <c r="H13" s="655">
        <f t="shared" si="0"/>
        <v>2016</v>
      </c>
      <c r="I13" s="655">
        <f t="shared" si="0"/>
        <v>2017</v>
      </c>
      <c r="J13" s="655">
        <f t="shared" si="0"/>
        <v>2018</v>
      </c>
      <c r="K13" s="655">
        <f t="shared" si="0"/>
        <v>2019</v>
      </c>
      <c r="L13" s="655">
        <f t="shared" si="0"/>
        <v>2020</v>
      </c>
      <c r="M13" s="655">
        <f t="shared" si="0"/>
        <v>2021</v>
      </c>
      <c r="N13" s="655">
        <f t="shared" si="0"/>
        <v>2022</v>
      </c>
      <c r="O13" s="655">
        <f t="shared" si="0"/>
        <v>2023</v>
      </c>
      <c r="P13" s="655">
        <f t="shared" si="0"/>
        <v>2024</v>
      </c>
      <c r="Q13" s="655">
        <f t="shared" si="0"/>
        <v>2025</v>
      </c>
      <c r="R13" s="655">
        <f t="shared" si="0"/>
        <v>2026</v>
      </c>
    </row>
    <row r="14" spans="1:18">
      <c r="A14" s="633"/>
      <c r="C14" s="654"/>
      <c r="D14" s="656" t="s">
        <v>756</v>
      </c>
      <c r="E14" s="657">
        <f>1-E19</f>
        <v>0.8</v>
      </c>
      <c r="F14" s="657">
        <f t="shared" ref="F14:R14" si="1">1-F19</f>
        <v>0.8</v>
      </c>
      <c r="G14" s="657">
        <f t="shared" si="1"/>
        <v>0.75</v>
      </c>
      <c r="H14" s="657">
        <f t="shared" si="1"/>
        <v>0.75</v>
      </c>
      <c r="I14" s="657">
        <f t="shared" si="1"/>
        <v>0.75</v>
      </c>
      <c r="J14" s="657">
        <f t="shared" si="1"/>
        <v>0.75</v>
      </c>
      <c r="K14" s="657">
        <f t="shared" si="1"/>
        <v>0.75</v>
      </c>
      <c r="L14" s="657">
        <f t="shared" si="1"/>
        <v>0.75</v>
      </c>
      <c r="M14" s="657">
        <f t="shared" si="1"/>
        <v>0.75</v>
      </c>
      <c r="N14" s="657">
        <f t="shared" si="1"/>
        <v>0.75</v>
      </c>
      <c r="O14" s="657">
        <f t="shared" si="1"/>
        <v>0.75</v>
      </c>
      <c r="P14" s="657">
        <f t="shared" si="1"/>
        <v>0.75</v>
      </c>
      <c r="Q14" s="657">
        <f t="shared" si="1"/>
        <v>0.75</v>
      </c>
      <c r="R14" s="657">
        <f t="shared" si="1"/>
        <v>0.75</v>
      </c>
    </row>
    <row r="15" spans="1:18">
      <c r="A15" s="633"/>
      <c r="C15" s="654"/>
      <c r="D15" s="641" t="s">
        <v>610</v>
      </c>
      <c r="E15" s="659">
        <v>1.61</v>
      </c>
      <c r="F15" s="802">
        <v>1.6</v>
      </c>
      <c r="G15" s="802">
        <f t="shared" ref="G15:R15" si="2">F15</f>
        <v>1.6</v>
      </c>
      <c r="H15" s="802">
        <f t="shared" si="2"/>
        <v>1.6</v>
      </c>
      <c r="I15" s="802">
        <f t="shared" si="2"/>
        <v>1.6</v>
      </c>
      <c r="J15" s="802">
        <f t="shared" si="2"/>
        <v>1.6</v>
      </c>
      <c r="K15" s="802">
        <f t="shared" si="2"/>
        <v>1.6</v>
      </c>
      <c r="L15" s="802">
        <f t="shared" si="2"/>
        <v>1.6</v>
      </c>
      <c r="M15" s="802">
        <f t="shared" si="2"/>
        <v>1.6</v>
      </c>
      <c r="N15" s="659">
        <f t="shared" si="2"/>
        <v>1.6</v>
      </c>
      <c r="O15" s="659">
        <f t="shared" si="2"/>
        <v>1.6</v>
      </c>
      <c r="P15" s="659">
        <f t="shared" si="2"/>
        <v>1.6</v>
      </c>
      <c r="Q15" s="659">
        <f t="shared" si="2"/>
        <v>1.6</v>
      </c>
      <c r="R15" s="659">
        <f t="shared" si="2"/>
        <v>1.6</v>
      </c>
    </row>
    <row r="16" spans="1:18">
      <c r="A16" s="633"/>
      <c r="C16" s="654"/>
      <c r="D16" s="641" t="s">
        <v>757</v>
      </c>
      <c r="E16" s="660">
        <v>8.3000000000000004E-2</v>
      </c>
      <c r="F16" s="803">
        <v>5.5E-2</v>
      </c>
      <c r="G16" s="803">
        <v>5.5E-2</v>
      </c>
      <c r="H16" s="803">
        <v>5.5E-2</v>
      </c>
      <c r="I16" s="803">
        <v>5.5E-2</v>
      </c>
      <c r="J16" s="803">
        <v>5.5E-2</v>
      </c>
      <c r="K16" s="803">
        <v>5.5E-2</v>
      </c>
      <c r="L16" s="803">
        <v>5.5E-2</v>
      </c>
      <c r="M16" s="803">
        <v>5.5E-2</v>
      </c>
      <c r="N16" s="803">
        <v>5.5E-2</v>
      </c>
      <c r="O16" s="803">
        <v>5.5E-2</v>
      </c>
      <c r="P16" s="803">
        <v>5.5E-2</v>
      </c>
      <c r="Q16" s="803">
        <v>5.5E-2</v>
      </c>
      <c r="R16" s="803">
        <v>5.5E-2</v>
      </c>
    </row>
    <row r="17" spans="1:28">
      <c r="A17" s="633"/>
      <c r="C17" s="654"/>
      <c r="D17" s="641" t="s">
        <v>609</v>
      </c>
      <c r="E17" s="661">
        <v>0.08</v>
      </c>
      <c r="F17" s="803">
        <v>7.0000000000000007E-2</v>
      </c>
      <c r="G17" s="803">
        <v>7.0000000000000007E-2</v>
      </c>
      <c r="H17" s="803">
        <v>7.0000000000000007E-2</v>
      </c>
      <c r="I17" s="803">
        <v>7.0000000000000007E-2</v>
      </c>
      <c r="J17" s="803">
        <v>7.0000000000000007E-2</v>
      </c>
      <c r="K17" s="803">
        <v>7.0000000000000007E-2</v>
      </c>
      <c r="L17" s="803">
        <v>7.0000000000000007E-2</v>
      </c>
      <c r="M17" s="803">
        <v>7.0000000000000007E-2</v>
      </c>
      <c r="N17" s="662">
        <v>7.0000000000000007E-2</v>
      </c>
      <c r="O17" s="662">
        <v>7.0000000000000007E-2</v>
      </c>
      <c r="P17" s="662">
        <v>7.0000000000000007E-2</v>
      </c>
      <c r="Q17" s="662">
        <v>7.0000000000000007E-2</v>
      </c>
      <c r="R17" s="663">
        <v>7.0000000000000007E-2</v>
      </c>
    </row>
    <row r="18" spans="1:28">
      <c r="A18" s="633"/>
      <c r="C18" s="654"/>
      <c r="D18" s="641" t="s">
        <v>758</v>
      </c>
      <c r="E18" s="660">
        <f>E15*E17+E16</f>
        <v>0.21179999999999999</v>
      </c>
      <c r="F18" s="660">
        <f t="shared" ref="F18:R18" si="3">F15*F17+F16</f>
        <v>0.16700000000000001</v>
      </c>
      <c r="G18" s="660">
        <f t="shared" si="3"/>
        <v>0.16700000000000001</v>
      </c>
      <c r="H18" s="660">
        <f t="shared" si="3"/>
        <v>0.16700000000000001</v>
      </c>
      <c r="I18" s="660">
        <f t="shared" si="3"/>
        <v>0.16700000000000001</v>
      </c>
      <c r="J18" s="660">
        <f t="shared" si="3"/>
        <v>0.16700000000000001</v>
      </c>
      <c r="K18" s="660">
        <f t="shared" si="3"/>
        <v>0.16700000000000001</v>
      </c>
      <c r="L18" s="660">
        <f t="shared" si="3"/>
        <v>0.16700000000000001</v>
      </c>
      <c r="M18" s="660">
        <f t="shared" si="3"/>
        <v>0.16700000000000001</v>
      </c>
      <c r="N18" s="660">
        <f t="shared" si="3"/>
        <v>0.16700000000000001</v>
      </c>
      <c r="O18" s="660">
        <f t="shared" si="3"/>
        <v>0.16700000000000001</v>
      </c>
      <c r="P18" s="660">
        <f t="shared" si="3"/>
        <v>0.16700000000000001</v>
      </c>
      <c r="Q18" s="660">
        <f t="shared" si="3"/>
        <v>0.16700000000000001</v>
      </c>
      <c r="R18" s="660">
        <f t="shared" si="3"/>
        <v>0.16700000000000001</v>
      </c>
    </row>
    <row r="19" spans="1:28">
      <c r="A19" s="633"/>
      <c r="C19" s="654"/>
      <c r="D19" s="641" t="s">
        <v>759</v>
      </c>
      <c r="E19" s="661">
        <v>0.2</v>
      </c>
      <c r="F19" s="661">
        <v>0.2</v>
      </c>
      <c r="G19" s="661">
        <f>F1</f>
        <v>0.25</v>
      </c>
      <c r="H19" s="661">
        <f t="shared" ref="H19:R20" si="4">G19</f>
        <v>0.25</v>
      </c>
      <c r="I19" s="661">
        <f t="shared" si="4"/>
        <v>0.25</v>
      </c>
      <c r="J19" s="661">
        <f t="shared" si="4"/>
        <v>0.25</v>
      </c>
      <c r="K19" s="661">
        <f t="shared" si="4"/>
        <v>0.25</v>
      </c>
      <c r="L19" s="661">
        <f t="shared" si="4"/>
        <v>0.25</v>
      </c>
      <c r="M19" s="661">
        <f t="shared" si="4"/>
        <v>0.25</v>
      </c>
      <c r="N19" s="661">
        <f t="shared" si="4"/>
        <v>0.25</v>
      </c>
      <c r="O19" s="661">
        <f t="shared" si="4"/>
        <v>0.25</v>
      </c>
      <c r="P19" s="661">
        <f t="shared" si="4"/>
        <v>0.25</v>
      </c>
      <c r="Q19" s="661">
        <f t="shared" si="4"/>
        <v>0.25</v>
      </c>
      <c r="R19" s="661">
        <f t="shared" si="4"/>
        <v>0.25</v>
      </c>
    </row>
    <row r="20" spans="1:28">
      <c r="A20" s="633"/>
      <c r="C20" s="654"/>
      <c r="D20" s="641" t="s">
        <v>760</v>
      </c>
      <c r="E20" s="661">
        <v>0.14000000000000001</v>
      </c>
      <c r="F20" s="662">
        <v>0.12</v>
      </c>
      <c r="G20" s="662">
        <f>F20-1%</f>
        <v>0.11</v>
      </c>
      <c r="H20" s="662">
        <f>G20-1%</f>
        <v>0.1</v>
      </c>
      <c r="I20" s="662">
        <f>H20-1%</f>
        <v>9.0000000000000011E-2</v>
      </c>
      <c r="J20" s="662">
        <f>I20</f>
        <v>9.0000000000000011E-2</v>
      </c>
      <c r="K20" s="662">
        <f t="shared" si="4"/>
        <v>9.0000000000000011E-2</v>
      </c>
      <c r="L20" s="662">
        <f t="shared" si="4"/>
        <v>9.0000000000000011E-2</v>
      </c>
      <c r="M20" s="662">
        <f t="shared" si="4"/>
        <v>9.0000000000000011E-2</v>
      </c>
      <c r="N20" s="662">
        <f t="shared" si="4"/>
        <v>9.0000000000000011E-2</v>
      </c>
      <c r="O20" s="662">
        <f t="shared" si="4"/>
        <v>9.0000000000000011E-2</v>
      </c>
      <c r="P20" s="662">
        <f t="shared" si="4"/>
        <v>9.0000000000000011E-2</v>
      </c>
      <c r="Q20" s="662">
        <f t="shared" si="4"/>
        <v>9.0000000000000011E-2</v>
      </c>
      <c r="R20" s="662">
        <f t="shared" si="4"/>
        <v>9.0000000000000011E-2</v>
      </c>
    </row>
    <row r="21" spans="1:28" ht="12" thickBot="1">
      <c r="A21" s="633"/>
      <c r="C21" s="654"/>
      <c r="D21" s="644" t="s">
        <v>14</v>
      </c>
      <c r="E21" s="664">
        <f>E14*E18+(1-0.22)*E19*E20</f>
        <v>0.19128000000000001</v>
      </c>
      <c r="F21" s="664">
        <f t="shared" ref="F21:R21" si="5">F14*F18+(1-0.22)*F19*F20</f>
        <v>0.15232000000000004</v>
      </c>
      <c r="G21" s="664">
        <f t="shared" si="5"/>
        <v>0.1467</v>
      </c>
      <c r="H21" s="664">
        <f t="shared" si="5"/>
        <v>0.14474999999999999</v>
      </c>
      <c r="I21" s="664">
        <f t="shared" si="5"/>
        <v>0.14280000000000001</v>
      </c>
      <c r="J21" s="664">
        <f t="shared" si="5"/>
        <v>0.14280000000000001</v>
      </c>
      <c r="K21" s="664">
        <f t="shared" si="5"/>
        <v>0.14280000000000001</v>
      </c>
      <c r="L21" s="664">
        <f t="shared" si="5"/>
        <v>0.14280000000000001</v>
      </c>
      <c r="M21" s="664">
        <f t="shared" si="5"/>
        <v>0.14280000000000001</v>
      </c>
      <c r="N21" s="664">
        <f t="shared" si="5"/>
        <v>0.14280000000000001</v>
      </c>
      <c r="O21" s="664">
        <f t="shared" si="5"/>
        <v>0.14280000000000001</v>
      </c>
      <c r="P21" s="664">
        <f t="shared" si="5"/>
        <v>0.14280000000000001</v>
      </c>
      <c r="Q21" s="664">
        <f t="shared" si="5"/>
        <v>0.14280000000000001</v>
      </c>
      <c r="R21" s="664">
        <f t="shared" si="5"/>
        <v>0.14280000000000001</v>
      </c>
    </row>
    <row r="22" spans="1:28">
      <c r="A22" s="633"/>
      <c r="G22" s="633"/>
    </row>
    <row r="23" spans="1:28" s="633" customFormat="1">
      <c r="B23" s="633" t="s">
        <v>761</v>
      </c>
      <c r="D23" s="665"/>
    </row>
    <row r="24" spans="1:28" s="666" customFormat="1">
      <c r="A24" s="666" t="s">
        <v>762</v>
      </c>
      <c r="B24" s="666" t="s">
        <v>763</v>
      </c>
      <c r="AB24" s="667"/>
    </row>
    <row r="25" spans="1:28" s="633" customFormat="1" ht="12" thickBot="1">
      <c r="C25" s="668" t="s">
        <v>764</v>
      </c>
      <c r="D25" s="669"/>
      <c r="E25" s="668" t="s">
        <v>765</v>
      </c>
      <c r="AB25" s="670"/>
    </row>
    <row r="26" spans="1:28" ht="12" thickBot="1">
      <c r="B26" s="634" t="s">
        <v>766</v>
      </c>
      <c r="C26" s="634" t="s">
        <v>767</v>
      </c>
      <c r="D26" s="671">
        <v>16000</v>
      </c>
      <c r="K26" s="672"/>
      <c r="AB26" s="673"/>
    </row>
    <row r="27" spans="1:28" ht="12" thickBot="1">
      <c r="B27" s="634" t="s">
        <v>768</v>
      </c>
      <c r="C27" s="634" t="s">
        <v>769</v>
      </c>
      <c r="D27" s="674">
        <f>E27/D26</f>
        <v>8.125</v>
      </c>
      <c r="E27" s="675">
        <v>130000</v>
      </c>
      <c r="F27" s="676"/>
      <c r="G27" s="676"/>
      <c r="AB27" s="673"/>
    </row>
    <row r="28" spans="1:28" ht="12" thickBot="1">
      <c r="B28" s="634" t="s">
        <v>770</v>
      </c>
      <c r="C28" s="634" t="s">
        <v>769</v>
      </c>
      <c r="D28" s="674">
        <v>0</v>
      </c>
      <c r="E28" s="675">
        <f>D28*D26</f>
        <v>0</v>
      </c>
      <c r="F28" s="723"/>
      <c r="AB28" s="673"/>
    </row>
    <row r="29" spans="1:28" ht="12" thickBot="1">
      <c r="B29" s="634" t="s">
        <v>771</v>
      </c>
      <c r="C29" s="634" t="s">
        <v>769</v>
      </c>
      <c r="D29" s="674">
        <v>0.6</v>
      </c>
      <c r="E29" s="675">
        <f>D26*D29</f>
        <v>9600</v>
      </c>
      <c r="AB29" s="673"/>
    </row>
    <row r="30" spans="1:28" ht="12" thickBot="1">
      <c r="B30" s="634" t="s">
        <v>772</v>
      </c>
      <c r="C30" s="634" t="s">
        <v>769</v>
      </c>
      <c r="D30" s="674">
        <v>0.9</v>
      </c>
      <c r="E30" s="675">
        <f>D30*D26</f>
        <v>14400</v>
      </c>
      <c r="AB30" s="673"/>
    </row>
    <row r="31" spans="1:28">
      <c r="D31" s="634"/>
      <c r="H31" s="654"/>
      <c r="AB31" s="673"/>
    </row>
    <row r="32" spans="1:28">
      <c r="B32" s="677" t="s">
        <v>773</v>
      </c>
      <c r="C32" s="678" t="s">
        <v>642</v>
      </c>
      <c r="D32" s="678" t="s">
        <v>774</v>
      </c>
      <c r="E32" s="677">
        <v>2014</v>
      </c>
      <c r="F32" s="677">
        <f>E32+1</f>
        <v>2015</v>
      </c>
      <c r="G32" s="677">
        <f t="shared" ref="G32:R32" si="6">F32+1</f>
        <v>2016</v>
      </c>
      <c r="H32" s="677">
        <f t="shared" si="6"/>
        <v>2017</v>
      </c>
      <c r="I32" s="677">
        <f t="shared" si="6"/>
        <v>2018</v>
      </c>
      <c r="J32" s="677">
        <f t="shared" si="6"/>
        <v>2019</v>
      </c>
      <c r="K32" s="677">
        <f t="shared" si="6"/>
        <v>2020</v>
      </c>
      <c r="L32" s="677">
        <f t="shared" si="6"/>
        <v>2021</v>
      </c>
      <c r="M32" s="677">
        <f t="shared" si="6"/>
        <v>2022</v>
      </c>
      <c r="N32" s="677">
        <f t="shared" si="6"/>
        <v>2023</v>
      </c>
      <c r="O32" s="677">
        <f t="shared" si="6"/>
        <v>2024</v>
      </c>
      <c r="P32" s="677">
        <f t="shared" si="6"/>
        <v>2025</v>
      </c>
      <c r="Q32" s="677">
        <f t="shared" si="6"/>
        <v>2026</v>
      </c>
      <c r="R32" s="677">
        <f t="shared" si="6"/>
        <v>2027</v>
      </c>
      <c r="AB32" s="673"/>
    </row>
    <row r="33" spans="1:28">
      <c r="C33" s="654"/>
      <c r="D33" s="672">
        <v>0</v>
      </c>
      <c r="E33" s="672">
        <v>0</v>
      </c>
      <c r="F33" s="679">
        <v>130000</v>
      </c>
      <c r="G33" s="679">
        <v>0</v>
      </c>
      <c r="H33" s="672"/>
      <c r="I33" s="672"/>
      <c r="AB33" s="673"/>
    </row>
    <row r="34" spans="1:28">
      <c r="B34" s="633" t="s">
        <v>775</v>
      </c>
      <c r="C34" s="680">
        <f>E4</f>
        <v>24000</v>
      </c>
      <c r="D34" s="672">
        <v>0</v>
      </c>
      <c r="E34" s="672">
        <f>$D$33*E35</f>
        <v>0</v>
      </c>
      <c r="F34" s="672">
        <f>$C$34*F35</f>
        <v>19200</v>
      </c>
      <c r="G34" s="672">
        <f>$C$34*G35</f>
        <v>4800</v>
      </c>
      <c r="H34" s="672">
        <f>$C$34*H35</f>
        <v>0</v>
      </c>
      <c r="I34" s="672">
        <f>$D$33*I35</f>
        <v>0</v>
      </c>
      <c r="J34" s="672"/>
      <c r="AB34" s="673"/>
    </row>
    <row r="35" spans="1:28">
      <c r="B35" s="654" t="s">
        <v>776</v>
      </c>
      <c r="C35" s="654"/>
      <c r="D35" s="640">
        <f>D34/C34</f>
        <v>0</v>
      </c>
      <c r="E35" s="640">
        <v>0</v>
      </c>
      <c r="F35" s="640">
        <v>0.8</v>
      </c>
      <c r="G35" s="640">
        <v>0.2</v>
      </c>
      <c r="H35" s="640">
        <v>0</v>
      </c>
      <c r="I35" s="640">
        <v>0</v>
      </c>
      <c r="J35" s="640"/>
      <c r="K35" s="640"/>
      <c r="L35" s="640"/>
      <c r="AB35" s="673"/>
    </row>
    <row r="36" spans="1:28">
      <c r="B36" s="654"/>
      <c r="C36" s="654"/>
      <c r="D36" s="640"/>
      <c r="E36" s="640"/>
      <c r="G36" s="640"/>
      <c r="H36" s="640"/>
      <c r="AB36" s="673"/>
    </row>
    <row r="37" spans="1:28">
      <c r="B37" s="654" t="s">
        <v>885</v>
      </c>
      <c r="C37" s="654">
        <v>15</v>
      </c>
      <c r="D37" s="640"/>
      <c r="E37" s="640"/>
      <c r="G37" s="640"/>
      <c r="H37" s="640"/>
      <c r="AB37" s="673"/>
    </row>
    <row r="38" spans="1:28">
      <c r="B38" s="654"/>
      <c r="C38" s="654"/>
      <c r="D38" s="640"/>
      <c r="E38" s="640"/>
      <c r="G38" s="640"/>
      <c r="H38" s="640"/>
      <c r="AB38" s="673"/>
    </row>
    <row r="39" spans="1:28">
      <c r="B39" s="654" t="s">
        <v>886</v>
      </c>
      <c r="C39" s="698">
        <v>0</v>
      </c>
      <c r="D39" s="640"/>
      <c r="E39" s="640"/>
      <c r="F39" s="636">
        <v>0.5</v>
      </c>
      <c r="G39" s="640">
        <v>0.5</v>
      </c>
      <c r="H39" s="640">
        <v>0</v>
      </c>
      <c r="I39" s="636">
        <v>0</v>
      </c>
      <c r="AB39" s="673"/>
    </row>
    <row r="40" spans="1:28">
      <c r="B40" s="654" t="s">
        <v>3</v>
      </c>
      <c r="C40" s="654"/>
      <c r="D40" s="640"/>
      <c r="E40" s="640"/>
      <c r="F40" s="679">
        <f>F39*$C$39</f>
        <v>0</v>
      </c>
      <c r="G40" s="679">
        <f>G39*$C$39</f>
        <v>0</v>
      </c>
      <c r="H40" s="679">
        <f>H39*$C$39</f>
        <v>0</v>
      </c>
      <c r="I40" s="679">
        <f>I39*$C$39</f>
        <v>0</v>
      </c>
      <c r="AB40" s="673"/>
    </row>
    <row r="41" spans="1:28">
      <c r="B41" s="654" t="s">
        <v>656</v>
      </c>
      <c r="C41" s="654"/>
      <c r="D41" s="640"/>
      <c r="E41" s="640"/>
      <c r="F41" s="676">
        <f>F40*15%</f>
        <v>0</v>
      </c>
      <c r="G41" s="676">
        <f>G40*15%</f>
        <v>0</v>
      </c>
      <c r="H41" s="676">
        <f>H40*15%</f>
        <v>0</v>
      </c>
      <c r="I41" s="676">
        <f>I40*15%</f>
        <v>0</v>
      </c>
      <c r="AB41" s="673"/>
    </row>
    <row r="42" spans="1:28">
      <c r="H42" s="654"/>
    </row>
    <row r="43" spans="1:28" s="666" customFormat="1">
      <c r="A43" s="666" t="s">
        <v>777</v>
      </c>
      <c r="B43" s="666" t="s">
        <v>875</v>
      </c>
      <c r="AB43" s="667"/>
    </row>
    <row r="44" spans="1:28" s="633" customFormat="1" ht="12" thickBot="1">
      <c r="C44" s="633" t="s">
        <v>764</v>
      </c>
      <c r="D44" s="665"/>
      <c r="H44" s="681"/>
      <c r="I44" s="681"/>
      <c r="Y44" s="679"/>
      <c r="Z44" s="679"/>
      <c r="AA44" s="679"/>
      <c r="AB44" s="682"/>
    </row>
    <row r="45" spans="1:28" ht="12" thickBot="1">
      <c r="B45" s="634" t="s">
        <v>686</v>
      </c>
      <c r="C45" s="634" t="s">
        <v>767</v>
      </c>
      <c r="D45" s="683">
        <v>64000</v>
      </c>
      <c r="F45" s="676"/>
      <c r="G45" s="633"/>
      <c r="H45" s="684"/>
      <c r="I45" s="681"/>
      <c r="J45" s="633"/>
      <c r="K45" s="633"/>
      <c r="L45" s="633"/>
      <c r="M45" s="633"/>
      <c r="N45" s="633"/>
      <c r="O45" s="633"/>
      <c r="P45" s="633"/>
      <c r="Q45" s="633"/>
      <c r="R45" s="633"/>
      <c r="S45" s="633"/>
      <c r="T45" s="633"/>
      <c r="U45" s="633"/>
      <c r="V45" s="633"/>
      <c r="W45" s="633"/>
      <c r="AB45" s="636"/>
    </row>
    <row r="46" spans="1:28" ht="12" thickBot="1">
      <c r="B46" s="634" t="s">
        <v>779</v>
      </c>
      <c r="C46" s="634" t="s">
        <v>780</v>
      </c>
      <c r="D46" s="685">
        <v>0.84</v>
      </c>
      <c r="F46" s="676"/>
      <c r="G46" s="654"/>
      <c r="H46" s="654"/>
      <c r="I46" s="686"/>
      <c r="AB46" s="682"/>
    </row>
    <row r="47" spans="1:28" ht="12" thickBot="1">
      <c r="B47" s="634" t="s">
        <v>781</v>
      </c>
      <c r="C47" s="634" t="s">
        <v>767</v>
      </c>
      <c r="D47" s="671">
        <f>D45*D46</f>
        <v>53760</v>
      </c>
      <c r="E47" s="634" t="s">
        <v>999</v>
      </c>
      <c r="G47" s="687"/>
      <c r="H47" s="654"/>
      <c r="I47" s="688"/>
      <c r="K47" s="689"/>
      <c r="L47" s="689"/>
      <c r="M47" s="689"/>
      <c r="N47" s="689"/>
      <c r="O47" s="689"/>
      <c r="P47" s="689"/>
      <c r="Q47" s="689"/>
      <c r="R47" s="689"/>
      <c r="S47" s="689"/>
      <c r="T47" s="689"/>
      <c r="U47" s="689"/>
      <c r="V47" s="689"/>
      <c r="W47" s="689"/>
      <c r="AB47" s="682"/>
    </row>
    <row r="48" spans="1:28" ht="12" thickBot="1">
      <c r="B48" s="634" t="s">
        <v>876</v>
      </c>
      <c r="C48" s="634" t="s">
        <v>769</v>
      </c>
      <c r="D48" s="674">
        <v>15</v>
      </c>
      <c r="G48" s="724"/>
      <c r="H48" s="633"/>
      <c r="I48" s="636"/>
      <c r="J48" s="636"/>
      <c r="K48" s="636"/>
      <c r="L48" s="636"/>
      <c r="M48" s="636"/>
      <c r="N48" s="636"/>
      <c r="O48" s="636"/>
      <c r="P48" s="636"/>
      <c r="Q48" s="636"/>
      <c r="R48" s="636"/>
      <c r="S48" s="636"/>
      <c r="T48" s="636"/>
      <c r="U48" s="636"/>
      <c r="V48" s="636"/>
      <c r="W48" s="636"/>
      <c r="AB48" s="690"/>
    </row>
    <row r="49" spans="2:28" ht="12" thickBot="1">
      <c r="B49" s="634" t="s">
        <v>786</v>
      </c>
      <c r="C49" s="634" t="s">
        <v>780</v>
      </c>
      <c r="D49" s="685">
        <v>0.05</v>
      </c>
      <c r="G49" s="633"/>
      <c r="H49" s="684"/>
      <c r="I49" s="691"/>
      <c r="AB49" s="690"/>
    </row>
    <row r="50" spans="2:28" ht="12" thickBot="1">
      <c r="B50" s="634" t="s">
        <v>787</v>
      </c>
      <c r="C50" s="634" t="s">
        <v>780</v>
      </c>
      <c r="D50" s="685">
        <v>0</v>
      </c>
      <c r="G50" s="654"/>
      <c r="H50" s="654"/>
      <c r="I50" s="686"/>
    </row>
    <row r="51" spans="2:28" ht="12" thickBot="1">
      <c r="B51" s="634" t="s">
        <v>788</v>
      </c>
      <c r="C51" s="634" t="s">
        <v>769</v>
      </c>
      <c r="D51" s="674">
        <v>6</v>
      </c>
    </row>
    <row r="52" spans="2:28" ht="12" thickBot="1">
      <c r="B52" s="634" t="s">
        <v>789</v>
      </c>
      <c r="C52" s="634" t="s">
        <v>780</v>
      </c>
      <c r="D52" s="685">
        <v>0.05</v>
      </c>
    </row>
    <row r="53" spans="2:28">
      <c r="D53" s="634"/>
      <c r="G53" s="633"/>
      <c r="H53" s="692"/>
      <c r="I53" s="672"/>
    </row>
    <row r="54" spans="2:28">
      <c r="B54" s="677" t="s">
        <v>681</v>
      </c>
      <c r="C54" s="678" t="s">
        <v>642</v>
      </c>
      <c r="D54" s="678" t="s">
        <v>774</v>
      </c>
      <c r="E54" s="677">
        <f>E32</f>
        <v>2014</v>
      </c>
      <c r="F54" s="677">
        <f t="shared" ref="F54:R54" si="7">F32</f>
        <v>2015</v>
      </c>
      <c r="G54" s="677">
        <f t="shared" si="7"/>
        <v>2016</v>
      </c>
      <c r="H54" s="677">
        <f t="shared" si="7"/>
        <v>2017</v>
      </c>
      <c r="I54" s="677">
        <f t="shared" si="7"/>
        <v>2018</v>
      </c>
      <c r="J54" s="677">
        <f t="shared" si="7"/>
        <v>2019</v>
      </c>
      <c r="K54" s="677">
        <f t="shared" si="7"/>
        <v>2020</v>
      </c>
      <c r="L54" s="677">
        <f t="shared" si="7"/>
        <v>2021</v>
      </c>
      <c r="M54" s="677">
        <f t="shared" si="7"/>
        <v>2022</v>
      </c>
      <c r="N54" s="677">
        <f t="shared" si="7"/>
        <v>2023</v>
      </c>
      <c r="O54" s="677">
        <f t="shared" si="7"/>
        <v>2024</v>
      </c>
      <c r="P54" s="677">
        <f t="shared" si="7"/>
        <v>2025</v>
      </c>
      <c r="Q54" s="677">
        <f t="shared" si="7"/>
        <v>2026</v>
      </c>
      <c r="R54" s="677">
        <f t="shared" si="7"/>
        <v>2027</v>
      </c>
    </row>
    <row r="55" spans="2:28">
      <c r="B55" s="633" t="s">
        <v>791</v>
      </c>
      <c r="C55" s="684">
        <f>SUM(D55:R55)</f>
        <v>806400</v>
      </c>
      <c r="D55" s="670">
        <f>D56*$D$47*D57</f>
        <v>0</v>
      </c>
      <c r="E55" s="670">
        <f t="shared" ref="E55:K55" si="8">E56*$D$47*E57</f>
        <v>0</v>
      </c>
      <c r="F55" s="670">
        <f t="shared" si="8"/>
        <v>564480</v>
      </c>
      <c r="G55" s="670">
        <f t="shared" si="8"/>
        <v>241920</v>
      </c>
      <c r="H55" s="670">
        <f t="shared" si="8"/>
        <v>0</v>
      </c>
      <c r="I55" s="670">
        <f t="shared" si="8"/>
        <v>0</v>
      </c>
      <c r="J55" s="670">
        <f t="shared" si="8"/>
        <v>0</v>
      </c>
      <c r="K55" s="670">
        <f t="shared" si="8"/>
        <v>0</v>
      </c>
      <c r="L55" s="633"/>
      <c r="M55" s="633"/>
      <c r="N55" s="633"/>
      <c r="O55" s="633"/>
      <c r="P55" s="633"/>
      <c r="Q55" s="633"/>
      <c r="R55" s="633"/>
    </row>
    <row r="56" spans="2:28">
      <c r="B56" s="654" t="s">
        <v>792</v>
      </c>
      <c r="C56" s="693">
        <f>SUM(D56:R56)</f>
        <v>1</v>
      </c>
      <c r="D56" s="640">
        <v>0</v>
      </c>
      <c r="E56" s="636">
        <v>0</v>
      </c>
      <c r="F56" s="640">
        <v>0.7</v>
      </c>
      <c r="G56" s="640">
        <v>0.3</v>
      </c>
      <c r="H56" s="640">
        <v>0</v>
      </c>
      <c r="I56" s="636">
        <v>0</v>
      </c>
      <c r="J56" s="636"/>
      <c r="K56" s="636"/>
    </row>
    <row r="57" spans="2:28" s="679" customFormat="1">
      <c r="B57" s="725" t="s">
        <v>793</v>
      </c>
      <c r="C57" s="698"/>
      <c r="D57" s="679">
        <f>D48*(1-D50)</f>
        <v>15</v>
      </c>
      <c r="E57" s="679">
        <f>D57</f>
        <v>15</v>
      </c>
      <c r="F57" s="679">
        <f>E57*(1+F58)</f>
        <v>15</v>
      </c>
      <c r="G57" s="679">
        <f t="shared" ref="G57:R57" si="9">F57*(1+G58)</f>
        <v>15</v>
      </c>
      <c r="H57" s="679">
        <f t="shared" si="9"/>
        <v>15</v>
      </c>
      <c r="I57" s="679">
        <f>H57*(1+I58)</f>
        <v>15</v>
      </c>
      <c r="J57" s="679">
        <f t="shared" si="9"/>
        <v>15</v>
      </c>
      <c r="K57" s="679">
        <f t="shared" si="9"/>
        <v>15</v>
      </c>
      <c r="L57" s="679">
        <f t="shared" si="9"/>
        <v>15</v>
      </c>
      <c r="M57" s="679">
        <f t="shared" si="9"/>
        <v>15</v>
      </c>
      <c r="N57" s="679">
        <f t="shared" si="9"/>
        <v>15</v>
      </c>
      <c r="O57" s="679">
        <f t="shared" si="9"/>
        <v>15</v>
      </c>
      <c r="P57" s="679">
        <f t="shared" si="9"/>
        <v>15</v>
      </c>
      <c r="Q57" s="679">
        <f t="shared" si="9"/>
        <v>15</v>
      </c>
      <c r="R57" s="679">
        <f t="shared" si="9"/>
        <v>15</v>
      </c>
    </row>
    <row r="58" spans="2:28">
      <c r="B58" s="654" t="s">
        <v>780</v>
      </c>
      <c r="C58" s="633"/>
      <c r="D58" s="636"/>
      <c r="E58" s="636"/>
      <c r="F58" s="636"/>
      <c r="G58" s="696">
        <v>0</v>
      </c>
      <c r="H58" s="696">
        <v>0</v>
      </c>
      <c r="I58" s="696">
        <v>0</v>
      </c>
      <c r="J58" s="696">
        <f>I58</f>
        <v>0</v>
      </c>
      <c r="K58" s="696">
        <f t="shared" ref="K58:R58" si="10">J58</f>
        <v>0</v>
      </c>
      <c r="L58" s="696">
        <f t="shared" si="10"/>
        <v>0</v>
      </c>
      <c r="M58" s="696">
        <f t="shared" si="10"/>
        <v>0</v>
      </c>
      <c r="N58" s="696">
        <f t="shared" si="10"/>
        <v>0</v>
      </c>
      <c r="O58" s="696">
        <f t="shared" si="10"/>
        <v>0</v>
      </c>
      <c r="P58" s="696">
        <f t="shared" si="10"/>
        <v>0</v>
      </c>
      <c r="Q58" s="696">
        <f t="shared" si="10"/>
        <v>0</v>
      </c>
      <c r="R58" s="696">
        <f t="shared" si="10"/>
        <v>0</v>
      </c>
    </row>
    <row r="59" spans="2:28">
      <c r="B59" s="687" t="s">
        <v>794</v>
      </c>
      <c r="C59" s="670">
        <f>SUM(F59:R59)</f>
        <v>806400</v>
      </c>
      <c r="D59" s="679"/>
      <c r="E59" s="679"/>
      <c r="F59" s="691">
        <f>$C$55*F60</f>
        <v>0</v>
      </c>
      <c r="G59" s="691">
        <f t="shared" ref="G59:R59" si="11">$C$55*G60</f>
        <v>645120</v>
      </c>
      <c r="H59" s="691">
        <f t="shared" si="11"/>
        <v>161280</v>
      </c>
      <c r="I59" s="691">
        <f t="shared" si="11"/>
        <v>0</v>
      </c>
      <c r="J59" s="691">
        <f t="shared" si="11"/>
        <v>0</v>
      </c>
      <c r="K59" s="691">
        <f t="shared" si="11"/>
        <v>0</v>
      </c>
      <c r="L59" s="691">
        <f t="shared" si="11"/>
        <v>0</v>
      </c>
      <c r="M59" s="691">
        <f t="shared" si="11"/>
        <v>0</v>
      </c>
      <c r="N59" s="691">
        <f t="shared" si="11"/>
        <v>0</v>
      </c>
      <c r="O59" s="691">
        <f t="shared" si="11"/>
        <v>0</v>
      </c>
      <c r="P59" s="691">
        <f t="shared" si="11"/>
        <v>0</v>
      </c>
      <c r="Q59" s="691">
        <f t="shared" si="11"/>
        <v>0</v>
      </c>
      <c r="R59" s="691">
        <f t="shared" si="11"/>
        <v>0</v>
      </c>
    </row>
    <row r="60" spans="2:28">
      <c r="B60" s="687"/>
      <c r="C60" s="633"/>
      <c r="D60" s="679"/>
      <c r="E60" s="679">
        <v>0</v>
      </c>
      <c r="F60" s="686">
        <v>0</v>
      </c>
      <c r="G60" s="686">
        <v>0.8</v>
      </c>
      <c r="H60" s="686">
        <v>0.2</v>
      </c>
      <c r="I60" s="686">
        <v>0</v>
      </c>
      <c r="J60" s="686">
        <v>0</v>
      </c>
      <c r="K60" s="686">
        <f t="shared" ref="K60:R60" si="12">J62</f>
        <v>0</v>
      </c>
      <c r="L60" s="686">
        <f t="shared" si="12"/>
        <v>0</v>
      </c>
      <c r="M60" s="686">
        <f t="shared" si="12"/>
        <v>0</v>
      </c>
      <c r="N60" s="686">
        <f t="shared" si="12"/>
        <v>0</v>
      </c>
      <c r="O60" s="686">
        <f t="shared" si="12"/>
        <v>0</v>
      </c>
      <c r="P60" s="686">
        <f t="shared" si="12"/>
        <v>0</v>
      </c>
      <c r="Q60" s="686">
        <f t="shared" si="12"/>
        <v>0</v>
      </c>
      <c r="R60" s="686">
        <f t="shared" si="12"/>
        <v>0</v>
      </c>
    </row>
    <row r="61" spans="2:28">
      <c r="B61" s="633" t="s">
        <v>795</v>
      </c>
      <c r="C61" s="684">
        <f>SUM(D61:R61)</f>
        <v>806400</v>
      </c>
      <c r="D61" s="679">
        <v>0</v>
      </c>
      <c r="E61" s="688">
        <f>(D55-D61)+E55*C64</f>
        <v>0</v>
      </c>
      <c r="F61" s="688">
        <f>E55*$C$65+F55*$C$64</f>
        <v>338688</v>
      </c>
      <c r="G61" s="688">
        <f t="shared" ref="G61:R61" si="13">F55*$C$65+G55*$C$64</f>
        <v>370944</v>
      </c>
      <c r="H61" s="688">
        <f t="shared" si="13"/>
        <v>96768</v>
      </c>
      <c r="I61" s="688">
        <f t="shared" si="13"/>
        <v>0</v>
      </c>
      <c r="J61" s="688">
        <f t="shared" si="13"/>
        <v>0</v>
      </c>
      <c r="K61" s="688">
        <f t="shared" si="13"/>
        <v>0</v>
      </c>
      <c r="L61" s="688">
        <f t="shared" si="13"/>
        <v>0</v>
      </c>
      <c r="M61" s="688">
        <f t="shared" si="13"/>
        <v>0</v>
      </c>
      <c r="N61" s="688">
        <f t="shared" si="13"/>
        <v>0</v>
      </c>
      <c r="O61" s="688">
        <f t="shared" si="13"/>
        <v>0</v>
      </c>
      <c r="P61" s="688">
        <f t="shared" si="13"/>
        <v>0</v>
      </c>
      <c r="Q61" s="688">
        <f t="shared" si="13"/>
        <v>0</v>
      </c>
      <c r="R61" s="688">
        <f t="shared" si="13"/>
        <v>0</v>
      </c>
    </row>
    <row r="62" spans="2:28">
      <c r="B62" s="654" t="s">
        <v>796</v>
      </c>
      <c r="C62" s="693">
        <f>SUM(D62:N62)</f>
        <v>1</v>
      </c>
      <c r="D62" s="695">
        <f t="shared" ref="D62:R62" si="14">D61/$C$61</f>
        <v>0</v>
      </c>
      <c r="E62" s="695">
        <f t="shared" si="14"/>
        <v>0</v>
      </c>
      <c r="F62" s="695">
        <f t="shared" si="14"/>
        <v>0.42</v>
      </c>
      <c r="G62" s="695">
        <f t="shared" si="14"/>
        <v>0.46</v>
      </c>
      <c r="H62" s="695">
        <f t="shared" si="14"/>
        <v>0.12</v>
      </c>
      <c r="I62" s="695">
        <f t="shared" si="14"/>
        <v>0</v>
      </c>
      <c r="J62" s="695">
        <f t="shared" si="14"/>
        <v>0</v>
      </c>
      <c r="K62" s="695">
        <f t="shared" si="14"/>
        <v>0</v>
      </c>
      <c r="L62" s="695">
        <f t="shared" si="14"/>
        <v>0</v>
      </c>
      <c r="M62" s="695">
        <f t="shared" si="14"/>
        <v>0</v>
      </c>
      <c r="N62" s="695">
        <f t="shared" si="14"/>
        <v>0</v>
      </c>
      <c r="O62" s="695">
        <f t="shared" si="14"/>
        <v>0</v>
      </c>
      <c r="P62" s="695">
        <f t="shared" si="14"/>
        <v>0</v>
      </c>
      <c r="Q62" s="695">
        <f t="shared" si="14"/>
        <v>0</v>
      </c>
      <c r="R62" s="695">
        <f t="shared" si="14"/>
        <v>0</v>
      </c>
    </row>
    <row r="63" spans="2:28">
      <c r="B63" s="681" t="s">
        <v>797</v>
      </c>
      <c r="D63" s="634"/>
      <c r="G63" s="633"/>
      <c r="H63" s="692"/>
      <c r="I63" s="672"/>
      <c r="J63" s="672"/>
      <c r="K63" s="672"/>
    </row>
    <row r="64" spans="2:28">
      <c r="B64" s="654" t="s">
        <v>798</v>
      </c>
      <c r="C64" s="636">
        <v>0.6</v>
      </c>
      <c r="D64" s="634"/>
      <c r="E64" s="688"/>
      <c r="F64" s="679"/>
      <c r="G64" s="679"/>
      <c r="H64" s="679"/>
      <c r="I64" s="679"/>
      <c r="J64" s="679"/>
      <c r="K64" s="679"/>
      <c r="L64" s="679">
        <f t="shared" ref="L64:R64" si="15">J55*$C$66+K55*$C$65+L55*$C$64</f>
        <v>0</v>
      </c>
      <c r="M64" s="679">
        <f t="shared" si="15"/>
        <v>0</v>
      </c>
      <c r="N64" s="679">
        <f t="shared" si="15"/>
        <v>0</v>
      </c>
      <c r="O64" s="679">
        <f t="shared" si="15"/>
        <v>0</v>
      </c>
      <c r="P64" s="679">
        <f t="shared" si="15"/>
        <v>0</v>
      </c>
      <c r="Q64" s="679">
        <f t="shared" si="15"/>
        <v>0</v>
      </c>
      <c r="R64" s="679">
        <f t="shared" si="15"/>
        <v>0</v>
      </c>
    </row>
    <row r="65" spans="1:256">
      <c r="B65" s="654" t="s">
        <v>799</v>
      </c>
      <c r="C65" s="636">
        <v>0.4</v>
      </c>
      <c r="D65" s="634"/>
      <c r="E65" s="688"/>
      <c r="F65" s="679"/>
      <c r="G65" s="679"/>
      <c r="H65" s="679"/>
      <c r="I65" s="679"/>
      <c r="J65" s="672"/>
      <c r="K65" s="672"/>
    </row>
    <row r="66" spans="1:256">
      <c r="B66" s="654" t="s">
        <v>800</v>
      </c>
      <c r="C66" s="640">
        <v>0</v>
      </c>
      <c r="D66" s="634"/>
      <c r="F66" s="679"/>
      <c r="G66" s="679"/>
      <c r="H66" s="679"/>
      <c r="I66" s="679"/>
      <c r="J66" s="672"/>
      <c r="K66" s="672"/>
    </row>
    <row r="67" spans="1:256">
      <c r="B67" s="633" t="s">
        <v>801</v>
      </c>
      <c r="C67" s="692">
        <f>D45*D51</f>
        <v>384000</v>
      </c>
      <c r="D67" s="672">
        <f t="shared" ref="D67:I67" si="16">$C$67*D68</f>
        <v>0</v>
      </c>
      <c r="E67" s="672">
        <f t="shared" si="16"/>
        <v>0</v>
      </c>
      <c r="F67" s="672">
        <f t="shared" si="16"/>
        <v>192000</v>
      </c>
      <c r="G67" s="672">
        <f t="shared" si="16"/>
        <v>153600</v>
      </c>
      <c r="H67" s="672">
        <f t="shared" si="16"/>
        <v>38400</v>
      </c>
      <c r="I67" s="672">
        <f t="shared" si="16"/>
        <v>0</v>
      </c>
      <c r="J67" s="672"/>
      <c r="K67" s="672"/>
      <c r="IV67" s="672"/>
    </row>
    <row r="68" spans="1:256">
      <c r="B68" s="654" t="s">
        <v>796</v>
      </c>
      <c r="C68" s="654"/>
      <c r="D68" s="640">
        <v>0</v>
      </c>
      <c r="E68" s="640">
        <v>0</v>
      </c>
      <c r="F68" s="640">
        <v>0.5</v>
      </c>
      <c r="G68" s="640">
        <v>0.4</v>
      </c>
      <c r="H68" s="640">
        <v>0.1</v>
      </c>
      <c r="I68" s="640">
        <v>0</v>
      </c>
      <c r="J68" s="672"/>
      <c r="K68" s="672"/>
    </row>
    <row r="69" spans="1:256">
      <c r="B69" s="687" t="s">
        <v>802</v>
      </c>
      <c r="C69" s="724">
        <f>SUM(F69:R69)</f>
        <v>408000</v>
      </c>
      <c r="D69" s="640"/>
      <c r="F69" s="688">
        <f t="shared" ref="F69:R69" si="17">F60*($C$67+$E$4*$D$45/SUM($D$45,$D$77,$D$103,$D$132))</f>
        <v>0</v>
      </c>
      <c r="G69" s="688">
        <f t="shared" si="17"/>
        <v>326400</v>
      </c>
      <c r="H69" s="688">
        <f t="shared" si="17"/>
        <v>81600</v>
      </c>
      <c r="I69" s="688">
        <f t="shared" si="17"/>
        <v>0</v>
      </c>
      <c r="J69" s="688">
        <f t="shared" si="17"/>
        <v>0</v>
      </c>
      <c r="K69" s="688">
        <f t="shared" si="17"/>
        <v>0</v>
      </c>
      <c r="L69" s="688">
        <f t="shared" si="17"/>
        <v>0</v>
      </c>
      <c r="M69" s="688">
        <f t="shared" si="17"/>
        <v>0</v>
      </c>
      <c r="N69" s="688">
        <f t="shared" si="17"/>
        <v>0</v>
      </c>
      <c r="O69" s="688">
        <f t="shared" si="17"/>
        <v>0</v>
      </c>
      <c r="P69" s="688">
        <f t="shared" si="17"/>
        <v>0</v>
      </c>
      <c r="Q69" s="688">
        <f t="shared" si="17"/>
        <v>0</v>
      </c>
      <c r="R69" s="688">
        <f t="shared" si="17"/>
        <v>0</v>
      </c>
    </row>
    <row r="70" spans="1:256">
      <c r="A70" s="676"/>
      <c r="B70" s="687" t="s">
        <v>803</v>
      </c>
      <c r="C70" s="698">
        <f>$E$3*D45/SUM($D$45,$D$77,$D$103,$D$132)</f>
        <v>130000</v>
      </c>
      <c r="D70" s="640"/>
      <c r="F70" s="688"/>
      <c r="G70" s="688">
        <f>G60*$C$70</f>
        <v>104000</v>
      </c>
      <c r="H70" s="688">
        <f>H60*$C$70</f>
        <v>26000</v>
      </c>
      <c r="I70" s="688">
        <f>I60*$C$70</f>
        <v>0</v>
      </c>
      <c r="J70" s="688">
        <f>J60*$C$70</f>
        <v>0</v>
      </c>
      <c r="K70" s="688">
        <f>K60*G70</f>
        <v>0</v>
      </c>
      <c r="L70" s="688">
        <f t="shared" ref="L70:R70" si="18">L60*$C$70</f>
        <v>0</v>
      </c>
      <c r="M70" s="688">
        <f t="shared" si="18"/>
        <v>0</v>
      </c>
      <c r="N70" s="688">
        <f t="shared" si="18"/>
        <v>0</v>
      </c>
      <c r="O70" s="688">
        <f t="shared" si="18"/>
        <v>0</v>
      </c>
      <c r="P70" s="688">
        <f t="shared" si="18"/>
        <v>0</v>
      </c>
      <c r="Q70" s="688">
        <f t="shared" si="18"/>
        <v>0</v>
      </c>
      <c r="R70" s="688">
        <f t="shared" si="18"/>
        <v>0</v>
      </c>
    </row>
    <row r="71" spans="1:256">
      <c r="B71" s="687" t="s">
        <v>804</v>
      </c>
      <c r="C71" s="698">
        <f>$D$45/SUM($D$45,$D$77,$D$103,$D$132)*SUMIF($D$207:$R$207,"&lt;=" &amp; $E$6,$D$213:$R$213)</f>
        <v>35239</v>
      </c>
      <c r="D71" s="640"/>
      <c r="F71" s="688">
        <f>F60*$C$71</f>
        <v>0</v>
      </c>
      <c r="G71" s="688">
        <f>G60*$C$71</f>
        <v>28191.200000000001</v>
      </c>
      <c r="H71" s="688">
        <f t="shared" ref="H71:R71" si="19">H60*$C$71</f>
        <v>7047.8</v>
      </c>
      <c r="I71" s="688">
        <f t="shared" si="19"/>
        <v>0</v>
      </c>
      <c r="J71" s="688">
        <f t="shared" si="19"/>
        <v>0</v>
      </c>
      <c r="K71" s="688">
        <f t="shared" si="19"/>
        <v>0</v>
      </c>
      <c r="L71" s="688">
        <f t="shared" si="19"/>
        <v>0</v>
      </c>
      <c r="M71" s="688">
        <f t="shared" si="19"/>
        <v>0</v>
      </c>
      <c r="N71" s="688">
        <f t="shared" si="19"/>
        <v>0</v>
      </c>
      <c r="O71" s="688">
        <f t="shared" si="19"/>
        <v>0</v>
      </c>
      <c r="P71" s="688">
        <f t="shared" si="19"/>
        <v>0</v>
      </c>
      <c r="Q71" s="688">
        <f t="shared" si="19"/>
        <v>0</v>
      </c>
      <c r="R71" s="688">
        <f t="shared" si="19"/>
        <v>0</v>
      </c>
    </row>
    <row r="72" spans="1:256">
      <c r="B72" s="687" t="s">
        <v>805</v>
      </c>
      <c r="C72" s="698"/>
      <c r="D72" s="640"/>
      <c r="F72" s="688"/>
      <c r="G72" s="688">
        <f>I213*$D$45/SUM($D$45,$D$77,$D$103,$D$132)</f>
        <v>9684.0000000000018</v>
      </c>
      <c r="H72" s="688">
        <f>J213*$D$45/SUM($D$45,$D$77,$D$103,$D$132)</f>
        <v>7263.0000000000009</v>
      </c>
      <c r="I72" s="688">
        <f t="shared" ref="I72:R72" si="20">K213*$D$45/SUM($D$45,$D$77,$D$103,$D$132)</f>
        <v>4842.0000000000009</v>
      </c>
      <c r="J72" s="688">
        <f t="shared" si="20"/>
        <v>2421.0000000000005</v>
      </c>
      <c r="K72" s="688">
        <f t="shared" si="20"/>
        <v>0</v>
      </c>
      <c r="L72" s="688">
        <f t="shared" si="20"/>
        <v>0</v>
      </c>
      <c r="M72" s="688">
        <f t="shared" si="20"/>
        <v>0</v>
      </c>
      <c r="N72" s="688">
        <f t="shared" si="20"/>
        <v>0</v>
      </c>
      <c r="O72" s="688">
        <f t="shared" si="20"/>
        <v>0</v>
      </c>
      <c r="P72" s="688">
        <f t="shared" si="20"/>
        <v>0</v>
      </c>
      <c r="Q72" s="688">
        <f t="shared" si="20"/>
        <v>0</v>
      </c>
      <c r="R72" s="688">
        <f t="shared" si="20"/>
        <v>0</v>
      </c>
    </row>
    <row r="73" spans="1:256">
      <c r="B73" s="633" t="s">
        <v>656</v>
      </c>
      <c r="D73" s="688">
        <f>$D$52*D61</f>
        <v>0</v>
      </c>
      <c r="E73" s="688">
        <f>$D$52*E61</f>
        <v>0</v>
      </c>
      <c r="F73" s="688">
        <f>$D$52*F61</f>
        <v>16934.400000000001</v>
      </c>
      <c r="G73" s="688">
        <f>$D$52*G61</f>
        <v>18547.2</v>
      </c>
      <c r="H73" s="688">
        <f t="shared" ref="H73:R73" si="21">$D$52*H61</f>
        <v>4838.4000000000005</v>
      </c>
      <c r="I73" s="688">
        <f t="shared" si="21"/>
        <v>0</v>
      </c>
      <c r="J73" s="688">
        <f t="shared" si="21"/>
        <v>0</v>
      </c>
      <c r="K73" s="688">
        <f t="shared" si="21"/>
        <v>0</v>
      </c>
      <c r="L73" s="688">
        <f t="shared" si="21"/>
        <v>0</v>
      </c>
      <c r="M73" s="688">
        <f t="shared" si="21"/>
        <v>0</v>
      </c>
      <c r="N73" s="688">
        <f t="shared" si="21"/>
        <v>0</v>
      </c>
      <c r="O73" s="688">
        <f t="shared" si="21"/>
        <v>0</v>
      </c>
      <c r="P73" s="688">
        <f t="shared" si="21"/>
        <v>0</v>
      </c>
      <c r="Q73" s="688">
        <f t="shared" si="21"/>
        <v>0</v>
      </c>
      <c r="R73" s="688">
        <f t="shared" si="21"/>
        <v>0</v>
      </c>
    </row>
    <row r="75" spans="1:256" s="666" customFormat="1" hidden="1">
      <c r="A75" s="666" t="s">
        <v>806</v>
      </c>
      <c r="B75" s="666" t="s">
        <v>807</v>
      </c>
      <c r="AB75" s="667"/>
    </row>
    <row r="76" spans="1:256" s="633" customFormat="1" hidden="1">
      <c r="C76" s="633" t="s">
        <v>764</v>
      </c>
      <c r="AB76" s="670"/>
    </row>
    <row r="77" spans="1:256" ht="12" hidden="1" thickBot="1">
      <c r="B77" s="634" t="s">
        <v>686</v>
      </c>
      <c r="C77" s="634" t="s">
        <v>767</v>
      </c>
      <c r="D77" s="683">
        <v>0</v>
      </c>
      <c r="E77" s="633"/>
    </row>
    <row r="78" spans="1:256" ht="12" hidden="1" thickBot="1">
      <c r="B78" s="634" t="s">
        <v>779</v>
      </c>
      <c r="C78" s="634" t="s">
        <v>780</v>
      </c>
      <c r="D78" s="685">
        <v>0.75</v>
      </c>
      <c r="G78" s="633"/>
      <c r="H78" s="633"/>
      <c r="I78" s="633"/>
      <c r="J78" s="633"/>
      <c r="K78" s="633"/>
      <c r="L78" s="633"/>
      <c r="M78" s="633"/>
      <c r="N78" s="633"/>
      <c r="O78" s="633"/>
      <c r="P78" s="633"/>
      <c r="Q78" s="633"/>
      <c r="R78" s="633"/>
      <c r="S78" s="633"/>
      <c r="T78" s="633"/>
      <c r="U78" s="633"/>
      <c r="V78" s="633"/>
      <c r="W78" s="633"/>
    </row>
    <row r="79" spans="1:256" ht="12" hidden="1" thickBot="1">
      <c r="B79" s="634" t="s">
        <v>808</v>
      </c>
      <c r="C79" s="634" t="s">
        <v>767</v>
      </c>
      <c r="D79" s="671">
        <f>D77*D78</f>
        <v>0</v>
      </c>
    </row>
    <row r="80" spans="1:256" ht="12" hidden="1" thickBot="1">
      <c r="B80" s="634" t="s">
        <v>809</v>
      </c>
      <c r="C80" s="634" t="s">
        <v>769</v>
      </c>
      <c r="D80" s="683">
        <f>35*21000*12/10^6</f>
        <v>8.82</v>
      </c>
    </row>
    <row r="81" spans="2:18" ht="12" hidden="1" thickBot="1">
      <c r="B81" s="634" t="s">
        <v>810</v>
      </c>
      <c r="C81" s="634" t="s">
        <v>780</v>
      </c>
      <c r="D81" s="685">
        <v>0.05</v>
      </c>
      <c r="G81" s="633"/>
    </row>
    <row r="82" spans="2:18" ht="12" hidden="1" thickBot="1">
      <c r="B82" s="634" t="s">
        <v>811</v>
      </c>
      <c r="C82" s="634" t="s">
        <v>780</v>
      </c>
      <c r="D82" s="685">
        <v>0.8</v>
      </c>
    </row>
    <row r="83" spans="2:18" ht="12" hidden="1" thickBot="1">
      <c r="B83" s="634" t="s">
        <v>750</v>
      </c>
      <c r="C83" s="634" t="s">
        <v>769</v>
      </c>
      <c r="D83" s="674">
        <v>11</v>
      </c>
      <c r="G83" s="633"/>
    </row>
    <row r="84" spans="2:18" ht="12" hidden="1" thickBot="1">
      <c r="B84" s="634" t="s">
        <v>812</v>
      </c>
      <c r="C84" s="634" t="s">
        <v>780</v>
      </c>
      <c r="D84" s="685">
        <v>0.05</v>
      </c>
      <c r="G84" s="633"/>
    </row>
    <row r="85" spans="2:18" ht="12" hidden="1" thickBot="1">
      <c r="B85" s="634" t="s">
        <v>243</v>
      </c>
      <c r="C85" s="634" t="s">
        <v>813</v>
      </c>
      <c r="D85" s="683">
        <v>45</v>
      </c>
      <c r="G85" s="633"/>
    </row>
    <row r="86" spans="2:18" ht="12" hidden="1" thickBot="1">
      <c r="B86" s="634" t="s">
        <v>814</v>
      </c>
      <c r="C86" s="634" t="s">
        <v>780</v>
      </c>
      <c r="D86" s="685">
        <v>0.1</v>
      </c>
      <c r="G86" s="633"/>
    </row>
    <row r="87" spans="2:18" hidden="1">
      <c r="D87" s="634"/>
      <c r="G87" s="633"/>
    </row>
    <row r="88" spans="2:18" hidden="1">
      <c r="B88" s="700"/>
      <c r="C88" s="677" t="s">
        <v>642</v>
      </c>
      <c r="D88" s="677" t="str">
        <f>D54</f>
        <v>Past</v>
      </c>
      <c r="E88" s="677">
        <f t="shared" ref="E88:R88" si="22">E54</f>
        <v>2014</v>
      </c>
      <c r="F88" s="677">
        <f t="shared" si="22"/>
        <v>2015</v>
      </c>
      <c r="G88" s="677">
        <f t="shared" si="22"/>
        <v>2016</v>
      </c>
      <c r="H88" s="677">
        <f t="shared" si="22"/>
        <v>2017</v>
      </c>
      <c r="I88" s="677">
        <f t="shared" si="22"/>
        <v>2018</v>
      </c>
      <c r="J88" s="677">
        <f t="shared" si="22"/>
        <v>2019</v>
      </c>
      <c r="K88" s="677">
        <f t="shared" si="22"/>
        <v>2020</v>
      </c>
      <c r="L88" s="677">
        <f t="shared" si="22"/>
        <v>2021</v>
      </c>
      <c r="M88" s="677">
        <f t="shared" si="22"/>
        <v>2022</v>
      </c>
      <c r="N88" s="677">
        <f t="shared" si="22"/>
        <v>2023</v>
      </c>
      <c r="O88" s="677">
        <f t="shared" si="22"/>
        <v>2024</v>
      </c>
      <c r="P88" s="677">
        <f t="shared" si="22"/>
        <v>2025</v>
      </c>
      <c r="Q88" s="677">
        <f t="shared" si="22"/>
        <v>2026</v>
      </c>
      <c r="R88" s="677">
        <f t="shared" si="22"/>
        <v>2027</v>
      </c>
    </row>
    <row r="89" spans="2:18" hidden="1">
      <c r="B89" s="633" t="s">
        <v>815</v>
      </c>
      <c r="D89" s="634"/>
      <c r="F89" s="688">
        <f>D80</f>
        <v>8.82</v>
      </c>
      <c r="G89" s="689">
        <f>F89*(1+G90)</f>
        <v>9.261000000000001</v>
      </c>
      <c r="H89" s="689">
        <f t="shared" ref="H89:R89" si="23">G89*(1+H90)</f>
        <v>9.7240500000000019</v>
      </c>
      <c r="I89" s="689">
        <f t="shared" si="23"/>
        <v>10.210252500000003</v>
      </c>
      <c r="J89" s="689">
        <f t="shared" si="23"/>
        <v>10.720765125000003</v>
      </c>
      <c r="K89" s="689">
        <f t="shared" si="23"/>
        <v>11.256803381250004</v>
      </c>
      <c r="L89" s="689">
        <f t="shared" si="23"/>
        <v>11.819643550312504</v>
      </c>
      <c r="M89" s="689">
        <f t="shared" si="23"/>
        <v>12.41062572782813</v>
      </c>
      <c r="N89" s="689">
        <f t="shared" si="23"/>
        <v>13.031157014219536</v>
      </c>
      <c r="O89" s="689">
        <f t="shared" si="23"/>
        <v>13.682714864930514</v>
      </c>
      <c r="P89" s="689">
        <f t="shared" si="23"/>
        <v>14.366850608177041</v>
      </c>
      <c r="Q89" s="689">
        <f t="shared" si="23"/>
        <v>15.085193138585893</v>
      </c>
      <c r="R89" s="689">
        <f t="shared" si="23"/>
        <v>15.839452795515189</v>
      </c>
    </row>
    <row r="90" spans="2:18" hidden="1">
      <c r="B90" s="654" t="s">
        <v>816</v>
      </c>
      <c r="D90" s="634"/>
      <c r="E90" s="726"/>
      <c r="F90" s="696">
        <f t="shared" ref="F90:R90" si="24">$D$81</f>
        <v>0.05</v>
      </c>
      <c r="G90" s="696">
        <f t="shared" si="24"/>
        <v>0.05</v>
      </c>
      <c r="H90" s="696">
        <f t="shared" si="24"/>
        <v>0.05</v>
      </c>
      <c r="I90" s="696">
        <f t="shared" si="24"/>
        <v>0.05</v>
      </c>
      <c r="J90" s="696">
        <f t="shared" si="24"/>
        <v>0.05</v>
      </c>
      <c r="K90" s="696">
        <f t="shared" si="24"/>
        <v>0.05</v>
      </c>
      <c r="L90" s="696">
        <f t="shared" si="24"/>
        <v>0.05</v>
      </c>
      <c r="M90" s="696">
        <f t="shared" si="24"/>
        <v>0.05</v>
      </c>
      <c r="N90" s="696">
        <f t="shared" si="24"/>
        <v>0.05</v>
      </c>
      <c r="O90" s="696">
        <f t="shared" si="24"/>
        <v>0.05</v>
      </c>
      <c r="P90" s="696">
        <f t="shared" si="24"/>
        <v>0.05</v>
      </c>
      <c r="Q90" s="696">
        <f t="shared" si="24"/>
        <v>0.05</v>
      </c>
      <c r="R90" s="696">
        <f t="shared" si="24"/>
        <v>0.05</v>
      </c>
    </row>
    <row r="91" spans="2:18" hidden="1">
      <c r="B91" s="633" t="s">
        <v>817</v>
      </c>
      <c r="D91" s="634"/>
      <c r="E91" s="727"/>
      <c r="F91" s="696"/>
      <c r="G91" s="696">
        <v>0</v>
      </c>
      <c r="H91" s="696">
        <v>0.8</v>
      </c>
      <c r="I91" s="696">
        <v>0.9</v>
      </c>
      <c r="J91" s="696">
        <v>0.95</v>
      </c>
      <c r="K91" s="696">
        <f t="shared" ref="K91:R91" si="25">J91</f>
        <v>0.95</v>
      </c>
      <c r="L91" s="696">
        <f t="shared" si="25"/>
        <v>0.95</v>
      </c>
      <c r="M91" s="696">
        <f t="shared" si="25"/>
        <v>0.95</v>
      </c>
      <c r="N91" s="696">
        <f t="shared" si="25"/>
        <v>0.95</v>
      </c>
      <c r="O91" s="696">
        <f t="shared" si="25"/>
        <v>0.95</v>
      </c>
      <c r="P91" s="696">
        <f t="shared" si="25"/>
        <v>0.95</v>
      </c>
      <c r="Q91" s="696">
        <f t="shared" si="25"/>
        <v>0.95</v>
      </c>
      <c r="R91" s="696">
        <f t="shared" si="25"/>
        <v>0.95</v>
      </c>
    </row>
    <row r="92" spans="2:18" hidden="1">
      <c r="B92" s="633" t="s">
        <v>818</v>
      </c>
      <c r="D92" s="634"/>
      <c r="E92" s="688"/>
      <c r="F92" s="688">
        <v>0</v>
      </c>
      <c r="G92" s="688">
        <f>G89*$D$79*G91</f>
        <v>0</v>
      </c>
      <c r="H92" s="688">
        <f>H89*$D$79*H91</f>
        <v>0</v>
      </c>
      <c r="I92" s="688">
        <f t="shared" ref="I92:R92" si="26">I89*$D$79*I91</f>
        <v>0</v>
      </c>
      <c r="J92" s="688">
        <f t="shared" si="26"/>
        <v>0</v>
      </c>
      <c r="K92" s="688">
        <f t="shared" si="26"/>
        <v>0</v>
      </c>
      <c r="L92" s="688">
        <f t="shared" si="26"/>
        <v>0</v>
      </c>
      <c r="M92" s="688">
        <f t="shared" si="26"/>
        <v>0</v>
      </c>
      <c r="N92" s="688">
        <f t="shared" si="26"/>
        <v>0</v>
      </c>
      <c r="O92" s="688">
        <f t="shared" si="26"/>
        <v>0</v>
      </c>
      <c r="P92" s="688">
        <f t="shared" si="26"/>
        <v>0</v>
      </c>
      <c r="Q92" s="688">
        <f t="shared" si="26"/>
        <v>0</v>
      </c>
      <c r="R92" s="688">
        <f t="shared" si="26"/>
        <v>0</v>
      </c>
    </row>
    <row r="93" spans="2:18" hidden="1">
      <c r="B93" s="633" t="s">
        <v>819</v>
      </c>
      <c r="C93" s="679">
        <f>$D77*$D83+($E$3+$E$4+SUMIF($D$207:$R$207,"&lt;="&amp;$E$6,$D$213:$R$213))*$D77/SUM($D$77,$D$132,$D$45,$D$103)</f>
        <v>0</v>
      </c>
      <c r="D93" s="634"/>
      <c r="E93" s="688"/>
      <c r="F93" s="688">
        <v>0</v>
      </c>
      <c r="G93" s="688">
        <v>0</v>
      </c>
      <c r="H93" s="688">
        <f>-$C$93/$D$85</f>
        <v>0</v>
      </c>
      <c r="I93" s="688">
        <f t="shared" ref="I93:R93" si="27">-$C$93/$D$85</f>
        <v>0</v>
      </c>
      <c r="J93" s="688">
        <f t="shared" si="27"/>
        <v>0</v>
      </c>
      <c r="K93" s="688">
        <f t="shared" si="27"/>
        <v>0</v>
      </c>
      <c r="L93" s="688">
        <f t="shared" si="27"/>
        <v>0</v>
      </c>
      <c r="M93" s="688">
        <f t="shared" si="27"/>
        <v>0</v>
      </c>
      <c r="N93" s="688">
        <f t="shared" si="27"/>
        <v>0</v>
      </c>
      <c r="O93" s="688">
        <f t="shared" si="27"/>
        <v>0</v>
      </c>
      <c r="P93" s="688">
        <f t="shared" si="27"/>
        <v>0</v>
      </c>
      <c r="Q93" s="688">
        <f t="shared" si="27"/>
        <v>0</v>
      </c>
      <c r="R93" s="688">
        <f t="shared" si="27"/>
        <v>0</v>
      </c>
    </row>
    <row r="94" spans="2:18" hidden="1">
      <c r="B94" s="633" t="s">
        <v>805</v>
      </c>
      <c r="C94" s="679"/>
      <c r="D94" s="634"/>
      <c r="E94" s="688"/>
      <c r="F94" s="688"/>
      <c r="G94" s="688">
        <v>0</v>
      </c>
      <c r="H94" s="688">
        <f t="shared" ref="H94:R94" si="28">-J213*$D$77/SUM($D$77,$D$132,$D$45,$D$103)</f>
        <v>0</v>
      </c>
      <c r="I94" s="688">
        <f t="shared" si="28"/>
        <v>0</v>
      </c>
      <c r="J94" s="688">
        <f t="shared" si="28"/>
        <v>0</v>
      </c>
      <c r="K94" s="688">
        <f t="shared" si="28"/>
        <v>0</v>
      </c>
      <c r="L94" s="688">
        <f t="shared" si="28"/>
        <v>0</v>
      </c>
      <c r="M94" s="688">
        <f t="shared" si="28"/>
        <v>0</v>
      </c>
      <c r="N94" s="688">
        <f t="shared" si="28"/>
        <v>0</v>
      </c>
      <c r="O94" s="688">
        <f t="shared" si="28"/>
        <v>0</v>
      </c>
      <c r="P94" s="688">
        <f t="shared" si="28"/>
        <v>0</v>
      </c>
      <c r="Q94" s="688">
        <f t="shared" si="28"/>
        <v>0</v>
      </c>
      <c r="R94" s="688">
        <f t="shared" si="28"/>
        <v>0</v>
      </c>
    </row>
    <row r="95" spans="2:18" hidden="1">
      <c r="B95" s="633" t="s">
        <v>820</v>
      </c>
      <c r="C95" s="636"/>
      <c r="D95" s="634"/>
      <c r="E95" s="679"/>
      <c r="F95" s="679">
        <f>-$D$84*F92</f>
        <v>0</v>
      </c>
      <c r="G95" s="679">
        <f>-$D$84*G92</f>
        <v>0</v>
      </c>
      <c r="H95" s="679">
        <f t="shared" ref="H95:R95" si="29">-$D$84*H92</f>
        <v>0</v>
      </c>
      <c r="I95" s="679">
        <f t="shared" si="29"/>
        <v>0</v>
      </c>
      <c r="J95" s="679">
        <f t="shared" si="29"/>
        <v>0</v>
      </c>
      <c r="K95" s="679">
        <f t="shared" si="29"/>
        <v>0</v>
      </c>
      <c r="L95" s="679">
        <f t="shared" si="29"/>
        <v>0</v>
      </c>
      <c r="M95" s="679">
        <f t="shared" si="29"/>
        <v>0</v>
      </c>
      <c r="N95" s="679">
        <f t="shared" si="29"/>
        <v>0</v>
      </c>
      <c r="O95" s="679">
        <f t="shared" si="29"/>
        <v>0</v>
      </c>
      <c r="P95" s="679">
        <f t="shared" si="29"/>
        <v>0</v>
      </c>
      <c r="Q95" s="679">
        <f t="shared" si="29"/>
        <v>0</v>
      </c>
      <c r="R95" s="679">
        <f t="shared" si="29"/>
        <v>0</v>
      </c>
    </row>
    <row r="96" spans="2:18" hidden="1">
      <c r="B96" s="633" t="s">
        <v>821</v>
      </c>
      <c r="C96" s="636"/>
      <c r="D96" s="634"/>
      <c r="E96" s="679"/>
      <c r="F96" s="679">
        <f>-$D$86*F92</f>
        <v>0</v>
      </c>
      <c r="G96" s="679">
        <f>-$D$86*G92</f>
        <v>0</v>
      </c>
      <c r="H96" s="679">
        <f t="shared" ref="H96:R96" si="30">-$D$86*H92</f>
        <v>0</v>
      </c>
      <c r="I96" s="679">
        <f t="shared" si="30"/>
        <v>0</v>
      </c>
      <c r="J96" s="679">
        <f t="shared" si="30"/>
        <v>0</v>
      </c>
      <c r="K96" s="679">
        <f t="shared" si="30"/>
        <v>0</v>
      </c>
      <c r="L96" s="679">
        <f t="shared" si="30"/>
        <v>0</v>
      </c>
      <c r="M96" s="679">
        <f t="shared" si="30"/>
        <v>0</v>
      </c>
      <c r="N96" s="679">
        <f t="shared" si="30"/>
        <v>0</v>
      </c>
      <c r="O96" s="679">
        <f t="shared" si="30"/>
        <v>0</v>
      </c>
      <c r="P96" s="679">
        <f t="shared" si="30"/>
        <v>0</v>
      </c>
      <c r="Q96" s="679">
        <f t="shared" si="30"/>
        <v>0</v>
      </c>
      <c r="R96" s="679">
        <f t="shared" si="30"/>
        <v>0</v>
      </c>
    </row>
    <row r="97" spans="1:20" hidden="1">
      <c r="B97" s="633" t="s">
        <v>822</v>
      </c>
      <c r="C97" s="636"/>
      <c r="D97" s="634"/>
      <c r="E97" s="679"/>
      <c r="F97" s="679">
        <f>SUM(F92:F96)</f>
        <v>0</v>
      </c>
      <c r="G97" s="679">
        <f>SUM(G92:G96)</f>
        <v>0</v>
      </c>
      <c r="H97" s="679">
        <f t="shared" ref="H97:R97" si="31">SUM(H92:H96)</f>
        <v>0</v>
      </c>
      <c r="I97" s="679">
        <f t="shared" si="31"/>
        <v>0</v>
      </c>
      <c r="J97" s="679">
        <f t="shared" si="31"/>
        <v>0</v>
      </c>
      <c r="K97" s="679">
        <f t="shared" si="31"/>
        <v>0</v>
      </c>
      <c r="L97" s="679">
        <f t="shared" si="31"/>
        <v>0</v>
      </c>
      <c r="M97" s="679">
        <f t="shared" si="31"/>
        <v>0</v>
      </c>
      <c r="N97" s="679">
        <f t="shared" si="31"/>
        <v>0</v>
      </c>
      <c r="O97" s="679">
        <f t="shared" si="31"/>
        <v>0</v>
      </c>
      <c r="P97" s="679">
        <f t="shared" si="31"/>
        <v>0</v>
      </c>
      <c r="Q97" s="679">
        <f t="shared" si="31"/>
        <v>0</v>
      </c>
      <c r="R97" s="679">
        <f t="shared" si="31"/>
        <v>0</v>
      </c>
    </row>
    <row r="98" spans="1:20" s="640" customFormat="1" hidden="1">
      <c r="B98" s="728" t="s">
        <v>846</v>
      </c>
      <c r="F98" s="640">
        <v>0.22</v>
      </c>
      <c r="G98" s="640">
        <v>0.2</v>
      </c>
      <c r="H98" s="640">
        <f>G98</f>
        <v>0.2</v>
      </c>
      <c r="I98" s="640">
        <f t="shared" ref="I98:R98" si="32">H98</f>
        <v>0.2</v>
      </c>
      <c r="J98" s="640">
        <f t="shared" si="32"/>
        <v>0.2</v>
      </c>
      <c r="K98" s="640">
        <f t="shared" si="32"/>
        <v>0.2</v>
      </c>
      <c r="L98" s="640">
        <f t="shared" si="32"/>
        <v>0.2</v>
      </c>
      <c r="M98" s="640">
        <f t="shared" si="32"/>
        <v>0.2</v>
      </c>
      <c r="N98" s="640">
        <f t="shared" si="32"/>
        <v>0.2</v>
      </c>
      <c r="O98" s="640">
        <f t="shared" si="32"/>
        <v>0.2</v>
      </c>
      <c r="P98" s="640">
        <f t="shared" si="32"/>
        <v>0.2</v>
      </c>
      <c r="Q98" s="640">
        <f t="shared" si="32"/>
        <v>0.2</v>
      </c>
      <c r="R98" s="640">
        <f t="shared" si="32"/>
        <v>0.2</v>
      </c>
    </row>
    <row r="99" spans="1:20" hidden="1">
      <c r="B99" s="633" t="s">
        <v>661</v>
      </c>
      <c r="C99" s="636"/>
      <c r="D99" s="634"/>
      <c r="E99" s="679"/>
      <c r="F99" s="679">
        <f>IF(F97&lt;0,F97,F97*(1-F98))</f>
        <v>0</v>
      </c>
      <c r="G99" s="679">
        <f>IF(G97&lt;0,G97,G97*(1-G98))</f>
        <v>0</v>
      </c>
      <c r="H99" s="679">
        <f t="shared" ref="H99:R99" si="33">IF(H97&lt;0,H97,H97*(1-H98))</f>
        <v>0</v>
      </c>
      <c r="I99" s="679">
        <f t="shared" si="33"/>
        <v>0</v>
      </c>
      <c r="J99" s="679">
        <f t="shared" si="33"/>
        <v>0</v>
      </c>
      <c r="K99" s="679">
        <f t="shared" si="33"/>
        <v>0</v>
      </c>
      <c r="L99" s="679">
        <f t="shared" si="33"/>
        <v>0</v>
      </c>
      <c r="M99" s="679">
        <f t="shared" si="33"/>
        <v>0</v>
      </c>
      <c r="N99" s="679">
        <f t="shared" si="33"/>
        <v>0</v>
      </c>
      <c r="O99" s="679">
        <f t="shared" si="33"/>
        <v>0</v>
      </c>
      <c r="P99" s="679">
        <f t="shared" si="33"/>
        <v>0</v>
      </c>
      <c r="Q99" s="679">
        <f t="shared" si="33"/>
        <v>0</v>
      </c>
      <c r="R99" s="679">
        <f t="shared" si="33"/>
        <v>0</v>
      </c>
    </row>
    <row r="100" spans="1:20" hidden="1">
      <c r="B100" s="633"/>
      <c r="C100" s="636"/>
      <c r="D100" s="634"/>
      <c r="E100" s="679"/>
      <c r="F100" s="679"/>
      <c r="G100" s="679"/>
      <c r="H100" s="679"/>
      <c r="I100" s="679"/>
      <c r="J100" s="679"/>
      <c r="K100" s="679"/>
      <c r="L100" s="679"/>
      <c r="M100" s="679"/>
      <c r="N100" s="679"/>
      <c r="O100" s="679"/>
      <c r="P100" s="679"/>
      <c r="Q100" s="679"/>
      <c r="R100" s="679"/>
    </row>
    <row r="101" spans="1:20" hidden="1">
      <c r="A101" s="666" t="s">
        <v>823</v>
      </c>
      <c r="B101" s="666" t="s">
        <v>877</v>
      </c>
      <c r="C101" s="666"/>
      <c r="D101" s="666"/>
      <c r="E101" s="666"/>
      <c r="F101" s="666"/>
      <c r="G101" s="666"/>
      <c r="H101" s="666"/>
      <c r="I101" s="666"/>
      <c r="J101" s="666"/>
      <c r="K101" s="666"/>
      <c r="L101" s="666"/>
      <c r="M101" s="666"/>
      <c r="N101" s="666"/>
      <c r="O101" s="666"/>
      <c r="P101" s="666"/>
      <c r="Q101" s="666"/>
      <c r="R101" s="666"/>
      <c r="S101" s="666"/>
      <c r="T101" s="666"/>
    </row>
    <row r="102" spans="1:20" hidden="1">
      <c r="A102" s="633"/>
      <c r="B102" s="633"/>
      <c r="C102" s="633" t="s">
        <v>764</v>
      </c>
      <c r="D102" s="633"/>
      <c r="E102" s="633"/>
      <c r="F102" s="633"/>
      <c r="G102" s="633"/>
      <c r="H102" s="633"/>
      <c r="I102" s="633"/>
      <c r="J102" s="633"/>
      <c r="K102" s="633"/>
      <c r="L102" s="633"/>
      <c r="M102" s="633"/>
      <c r="N102" s="633"/>
      <c r="O102" s="633"/>
      <c r="P102" s="633"/>
      <c r="Q102" s="633"/>
      <c r="R102" s="633"/>
      <c r="S102" s="633"/>
      <c r="T102" s="633"/>
    </row>
    <row r="103" spans="1:20" ht="12" hidden="1" thickBot="1">
      <c r="B103" s="634" t="s">
        <v>686</v>
      </c>
      <c r="C103" s="634" t="s">
        <v>767</v>
      </c>
      <c r="D103" s="683">
        <v>0</v>
      </c>
      <c r="E103" s="633"/>
    </row>
    <row r="104" spans="1:20" ht="12" hidden="1" thickBot="1">
      <c r="B104" s="634" t="s">
        <v>779</v>
      </c>
      <c r="C104" s="634" t="s">
        <v>780</v>
      </c>
      <c r="D104" s="685">
        <v>0.75</v>
      </c>
      <c r="G104" s="633"/>
      <c r="H104" s="633"/>
      <c r="I104" s="633"/>
      <c r="J104" s="633"/>
      <c r="K104" s="633"/>
      <c r="L104" s="633"/>
      <c r="M104" s="633"/>
      <c r="N104" s="633"/>
      <c r="O104" s="633"/>
      <c r="P104" s="633"/>
      <c r="Q104" s="633"/>
      <c r="R104" s="633"/>
      <c r="S104" s="633"/>
      <c r="T104" s="633"/>
    </row>
    <row r="105" spans="1:20" ht="12" hidden="1" thickBot="1">
      <c r="B105" s="634" t="s">
        <v>808</v>
      </c>
      <c r="C105" s="634" t="s">
        <v>767</v>
      </c>
      <c r="D105" s="683">
        <f>D103*D104</f>
        <v>0</v>
      </c>
      <c r="H105" s="729"/>
    </row>
    <row r="106" spans="1:20" ht="12" hidden="1" thickBot="1">
      <c r="B106" s="634" t="s">
        <v>809</v>
      </c>
      <c r="C106" s="634" t="s">
        <v>769</v>
      </c>
      <c r="D106" s="730">
        <f>(30+5)*21000*12/10^6</f>
        <v>8.82</v>
      </c>
      <c r="J106" s="688"/>
    </row>
    <row r="107" spans="1:20" ht="12" hidden="1" thickBot="1">
      <c r="B107" s="634" t="s">
        <v>810</v>
      </c>
      <c r="C107" s="634" t="s">
        <v>780</v>
      </c>
      <c r="D107" s="685">
        <v>0.05</v>
      </c>
      <c r="G107" s="633"/>
    </row>
    <row r="108" spans="1:20" ht="12" hidden="1" thickBot="1">
      <c r="B108" s="634" t="s">
        <v>811</v>
      </c>
      <c r="C108" s="634" t="s">
        <v>780</v>
      </c>
      <c r="D108" s="685">
        <v>0.8</v>
      </c>
    </row>
    <row r="109" spans="1:20" ht="12" hidden="1" thickBot="1">
      <c r="B109" s="634" t="s">
        <v>750</v>
      </c>
      <c r="C109" s="634" t="s">
        <v>769</v>
      </c>
      <c r="D109" s="674">
        <v>11</v>
      </c>
      <c r="G109" s="633"/>
    </row>
    <row r="110" spans="1:20" ht="12" hidden="1" thickBot="1">
      <c r="B110" s="634" t="s">
        <v>812</v>
      </c>
      <c r="C110" s="634" t="s">
        <v>780</v>
      </c>
      <c r="D110" s="685">
        <v>0.05</v>
      </c>
      <c r="G110" s="633"/>
    </row>
    <row r="111" spans="1:20" ht="12" hidden="1" thickBot="1">
      <c r="B111" s="634" t="s">
        <v>243</v>
      </c>
      <c r="C111" s="634" t="s">
        <v>813</v>
      </c>
      <c r="D111" s="683">
        <v>45</v>
      </c>
      <c r="G111" s="633"/>
    </row>
    <row r="112" spans="1:20" ht="12" hidden="1" thickBot="1">
      <c r="B112" s="634" t="s">
        <v>814</v>
      </c>
      <c r="C112" s="634" t="s">
        <v>780</v>
      </c>
      <c r="D112" s="685">
        <v>0.1</v>
      </c>
      <c r="G112" s="633"/>
    </row>
    <row r="113" spans="1:20" hidden="1">
      <c r="D113" s="634"/>
      <c r="G113" s="633"/>
    </row>
    <row r="114" spans="1:20" hidden="1">
      <c r="D114" s="634"/>
      <c r="G114" s="633"/>
    </row>
    <row r="115" spans="1:20" hidden="1">
      <c r="B115" s="706" t="s">
        <v>878</v>
      </c>
      <c r="C115" s="707"/>
      <c r="D115" s="707"/>
      <c r="E115" s="707"/>
      <c r="F115" s="707"/>
      <c r="G115" s="707"/>
      <c r="H115" s="707"/>
      <c r="I115" s="707"/>
      <c r="J115" s="707"/>
      <c r="K115" s="707"/>
      <c r="L115" s="707"/>
      <c r="M115" s="707"/>
      <c r="N115" s="707"/>
      <c r="O115" s="707"/>
      <c r="P115" s="707"/>
      <c r="Q115" s="707"/>
      <c r="R115" s="707"/>
    </row>
    <row r="116" spans="1:20" hidden="1">
      <c r="B116" s="700"/>
      <c r="C116" s="677"/>
      <c r="D116" s="677" t="str">
        <f>D32</f>
        <v>Past</v>
      </c>
      <c r="E116" s="677">
        <f>E32</f>
        <v>2014</v>
      </c>
      <c r="F116" s="677">
        <f t="shared" ref="F116:R116" si="34">F32</f>
        <v>2015</v>
      </c>
      <c r="G116" s="677">
        <f t="shared" si="34"/>
        <v>2016</v>
      </c>
      <c r="H116" s="677">
        <f t="shared" si="34"/>
        <v>2017</v>
      </c>
      <c r="I116" s="677">
        <f t="shared" si="34"/>
        <v>2018</v>
      </c>
      <c r="J116" s="677">
        <f t="shared" si="34"/>
        <v>2019</v>
      </c>
      <c r="K116" s="677">
        <f t="shared" si="34"/>
        <v>2020</v>
      </c>
      <c r="L116" s="677">
        <f t="shared" si="34"/>
        <v>2021</v>
      </c>
      <c r="M116" s="677">
        <f t="shared" si="34"/>
        <v>2022</v>
      </c>
      <c r="N116" s="677">
        <f t="shared" si="34"/>
        <v>2023</v>
      </c>
      <c r="O116" s="677">
        <f t="shared" si="34"/>
        <v>2024</v>
      </c>
      <c r="P116" s="677">
        <f t="shared" si="34"/>
        <v>2025</v>
      </c>
      <c r="Q116" s="677">
        <f t="shared" si="34"/>
        <v>2026</v>
      </c>
      <c r="R116" s="677">
        <f t="shared" si="34"/>
        <v>2027</v>
      </c>
    </row>
    <row r="117" spans="1:20" hidden="1">
      <c r="B117" s="633" t="s">
        <v>815</v>
      </c>
      <c r="D117" s="634"/>
      <c r="E117" s="688"/>
      <c r="F117" s="701">
        <f>D106</f>
        <v>8.82</v>
      </c>
      <c r="G117" s="701">
        <f>F117*(1+G118)</f>
        <v>9.261000000000001</v>
      </c>
      <c r="H117" s="701">
        <f t="shared" ref="H117:R117" si="35">G117*(1+H118)</f>
        <v>9.7240500000000019</v>
      </c>
      <c r="I117" s="701">
        <f t="shared" si="35"/>
        <v>10.210252500000003</v>
      </c>
      <c r="J117" s="701">
        <f t="shared" si="35"/>
        <v>10.720765125000003</v>
      </c>
      <c r="K117" s="701">
        <f t="shared" si="35"/>
        <v>11.256803381250004</v>
      </c>
      <c r="L117" s="701">
        <f t="shared" si="35"/>
        <v>11.819643550312504</v>
      </c>
      <c r="M117" s="701">
        <f t="shared" si="35"/>
        <v>12.41062572782813</v>
      </c>
      <c r="N117" s="701">
        <f t="shared" si="35"/>
        <v>13.031157014219536</v>
      </c>
      <c r="O117" s="701">
        <f t="shared" si="35"/>
        <v>13.682714864930514</v>
      </c>
      <c r="P117" s="701">
        <f t="shared" si="35"/>
        <v>14.366850608177041</v>
      </c>
      <c r="Q117" s="701">
        <f t="shared" si="35"/>
        <v>15.085193138585893</v>
      </c>
      <c r="R117" s="701">
        <f t="shared" si="35"/>
        <v>15.839452795515189</v>
      </c>
    </row>
    <row r="118" spans="1:20" hidden="1">
      <c r="B118" s="654" t="s">
        <v>816</v>
      </c>
      <c r="D118" s="634"/>
      <c r="F118" s="696"/>
      <c r="G118" s="696">
        <v>0.05</v>
      </c>
      <c r="H118" s="696">
        <f t="shared" ref="H118:R119" si="36">G118</f>
        <v>0.05</v>
      </c>
      <c r="I118" s="696">
        <f t="shared" si="36"/>
        <v>0.05</v>
      </c>
      <c r="J118" s="696">
        <f t="shared" si="36"/>
        <v>0.05</v>
      </c>
      <c r="K118" s="696">
        <f t="shared" si="36"/>
        <v>0.05</v>
      </c>
      <c r="L118" s="696">
        <f t="shared" si="36"/>
        <v>0.05</v>
      </c>
      <c r="M118" s="696">
        <f t="shared" si="36"/>
        <v>0.05</v>
      </c>
      <c r="N118" s="696">
        <f t="shared" si="36"/>
        <v>0.05</v>
      </c>
      <c r="O118" s="696">
        <f t="shared" si="36"/>
        <v>0.05</v>
      </c>
      <c r="P118" s="696">
        <f t="shared" si="36"/>
        <v>0.05</v>
      </c>
      <c r="Q118" s="696">
        <f t="shared" si="36"/>
        <v>0.05</v>
      </c>
      <c r="R118" s="696">
        <f t="shared" si="36"/>
        <v>0.05</v>
      </c>
    </row>
    <row r="119" spans="1:20" hidden="1">
      <c r="B119" s="633" t="s">
        <v>817</v>
      </c>
      <c r="D119" s="634"/>
      <c r="E119" s="636"/>
      <c r="F119" s="696"/>
      <c r="G119" s="696">
        <v>0</v>
      </c>
      <c r="H119" s="696">
        <v>0.9</v>
      </c>
      <c r="I119" s="696">
        <f>H119+5%</f>
        <v>0.95000000000000007</v>
      </c>
      <c r="J119" s="696">
        <f>I119</f>
        <v>0.95000000000000007</v>
      </c>
      <c r="K119" s="696">
        <f t="shared" si="36"/>
        <v>0.95000000000000007</v>
      </c>
      <c r="L119" s="696">
        <f t="shared" si="36"/>
        <v>0.95000000000000007</v>
      </c>
      <c r="M119" s="696">
        <f t="shared" si="36"/>
        <v>0.95000000000000007</v>
      </c>
      <c r="N119" s="696">
        <f t="shared" si="36"/>
        <v>0.95000000000000007</v>
      </c>
      <c r="O119" s="696">
        <f t="shared" si="36"/>
        <v>0.95000000000000007</v>
      </c>
      <c r="P119" s="696">
        <f t="shared" si="36"/>
        <v>0.95000000000000007</v>
      </c>
      <c r="Q119" s="696">
        <f t="shared" si="36"/>
        <v>0.95000000000000007</v>
      </c>
      <c r="R119" s="696">
        <f t="shared" si="36"/>
        <v>0.95000000000000007</v>
      </c>
    </row>
    <row r="120" spans="1:20" hidden="1">
      <c r="B120" s="633" t="s">
        <v>818</v>
      </c>
      <c r="D120" s="634"/>
      <c r="E120" s="688"/>
      <c r="F120" s="688">
        <v>0</v>
      </c>
      <c r="G120" s="688">
        <f>G117*G119*$D$105</f>
        <v>0</v>
      </c>
      <c r="H120" s="688">
        <f t="shared" ref="H120:R120" si="37">H117*H119*$D$105</f>
        <v>0</v>
      </c>
      <c r="I120" s="688">
        <f t="shared" si="37"/>
        <v>0</v>
      </c>
      <c r="J120" s="688">
        <f t="shared" si="37"/>
        <v>0</v>
      </c>
      <c r="K120" s="688">
        <f t="shared" si="37"/>
        <v>0</v>
      </c>
      <c r="L120" s="688">
        <f t="shared" si="37"/>
        <v>0</v>
      </c>
      <c r="M120" s="688">
        <f t="shared" si="37"/>
        <v>0</v>
      </c>
      <c r="N120" s="688">
        <f t="shared" si="37"/>
        <v>0</v>
      </c>
      <c r="O120" s="688">
        <f t="shared" si="37"/>
        <v>0</v>
      </c>
      <c r="P120" s="688">
        <f t="shared" si="37"/>
        <v>0</v>
      </c>
      <c r="Q120" s="688">
        <f t="shared" si="37"/>
        <v>0</v>
      </c>
      <c r="R120" s="688">
        <f t="shared" si="37"/>
        <v>0</v>
      </c>
    </row>
    <row r="121" spans="1:20" hidden="1">
      <c r="B121" s="633" t="s">
        <v>243</v>
      </c>
      <c r="C121" s="679">
        <f>$D$109*$D$103+($E$3+$E$4+SUMIF($D$207:$R$207,"&lt;="&amp;$E$6,$D$213:$R$213))*$D$103/SUM($D$77,$D$132,$D$45,$D$103)</f>
        <v>0</v>
      </c>
      <c r="D121" s="634"/>
      <c r="E121" s="688"/>
      <c r="F121" s="688">
        <v>0</v>
      </c>
      <c r="G121" s="688">
        <v>0</v>
      </c>
      <c r="H121" s="688">
        <f t="shared" ref="H121:R121" si="38">-$C$121/$D$111</f>
        <v>0</v>
      </c>
      <c r="I121" s="688">
        <f t="shared" si="38"/>
        <v>0</v>
      </c>
      <c r="J121" s="688">
        <f t="shared" si="38"/>
        <v>0</v>
      </c>
      <c r="K121" s="688">
        <f t="shared" si="38"/>
        <v>0</v>
      </c>
      <c r="L121" s="688">
        <f t="shared" si="38"/>
        <v>0</v>
      </c>
      <c r="M121" s="688">
        <f t="shared" si="38"/>
        <v>0</v>
      </c>
      <c r="N121" s="688">
        <f t="shared" si="38"/>
        <v>0</v>
      </c>
      <c r="O121" s="688">
        <f t="shared" si="38"/>
        <v>0</v>
      </c>
      <c r="P121" s="688">
        <f t="shared" si="38"/>
        <v>0</v>
      </c>
      <c r="Q121" s="688">
        <f t="shared" si="38"/>
        <v>0</v>
      </c>
      <c r="R121" s="688">
        <f t="shared" si="38"/>
        <v>0</v>
      </c>
    </row>
    <row r="122" spans="1:20" hidden="1">
      <c r="B122" s="633" t="s">
        <v>879</v>
      </c>
      <c r="C122" s="636"/>
      <c r="D122" s="634"/>
      <c r="E122" s="679"/>
      <c r="F122" s="679">
        <f>-$D110*F120</f>
        <v>0</v>
      </c>
      <c r="G122" s="679">
        <f>-$D110*G120</f>
        <v>0</v>
      </c>
      <c r="H122" s="679">
        <f t="shared" ref="H122:R122" si="39">-$D110*H120</f>
        <v>0</v>
      </c>
      <c r="I122" s="679">
        <f t="shared" si="39"/>
        <v>0</v>
      </c>
      <c r="J122" s="679">
        <f t="shared" si="39"/>
        <v>0</v>
      </c>
      <c r="K122" s="679">
        <f t="shared" si="39"/>
        <v>0</v>
      </c>
      <c r="L122" s="679">
        <f t="shared" si="39"/>
        <v>0</v>
      </c>
      <c r="M122" s="679">
        <f t="shared" si="39"/>
        <v>0</v>
      </c>
      <c r="N122" s="679">
        <f t="shared" si="39"/>
        <v>0</v>
      </c>
      <c r="O122" s="679">
        <f t="shared" si="39"/>
        <v>0</v>
      </c>
      <c r="P122" s="679">
        <f t="shared" si="39"/>
        <v>0</v>
      </c>
      <c r="Q122" s="679">
        <f t="shared" si="39"/>
        <v>0</v>
      </c>
      <c r="R122" s="679">
        <f t="shared" si="39"/>
        <v>0</v>
      </c>
    </row>
    <row r="123" spans="1:20" hidden="1">
      <c r="B123" s="633" t="s">
        <v>821</v>
      </c>
      <c r="C123" s="636"/>
      <c r="D123" s="634"/>
      <c r="E123" s="679"/>
      <c r="F123" s="679">
        <f>-$D112*F120</f>
        <v>0</v>
      </c>
      <c r="G123" s="679">
        <f>-$D112*G120</f>
        <v>0</v>
      </c>
      <c r="H123" s="679">
        <f t="shared" ref="H123:R123" si="40">-$D112*H120</f>
        <v>0</v>
      </c>
      <c r="I123" s="679">
        <f t="shared" si="40"/>
        <v>0</v>
      </c>
      <c r="J123" s="679">
        <f t="shared" si="40"/>
        <v>0</v>
      </c>
      <c r="K123" s="679">
        <f t="shared" si="40"/>
        <v>0</v>
      </c>
      <c r="L123" s="679">
        <f t="shared" si="40"/>
        <v>0</v>
      </c>
      <c r="M123" s="679">
        <f t="shared" si="40"/>
        <v>0</v>
      </c>
      <c r="N123" s="679">
        <f t="shared" si="40"/>
        <v>0</v>
      </c>
      <c r="O123" s="679">
        <f t="shared" si="40"/>
        <v>0</v>
      </c>
      <c r="P123" s="679">
        <f t="shared" si="40"/>
        <v>0</v>
      </c>
      <c r="Q123" s="679">
        <f t="shared" si="40"/>
        <v>0</v>
      </c>
      <c r="R123" s="679">
        <f t="shared" si="40"/>
        <v>0</v>
      </c>
    </row>
    <row r="124" spans="1:20" hidden="1">
      <c r="B124" s="731" t="s">
        <v>805</v>
      </c>
      <c r="C124" s="636"/>
      <c r="D124" s="634"/>
      <c r="E124" s="679"/>
      <c r="F124" s="679"/>
      <c r="G124" s="679">
        <v>0</v>
      </c>
      <c r="H124" s="679">
        <f t="shared" ref="H124:R124" si="41">-J213*$D$103/SUM($D$77,$D$132,$D$45,$D$103)</f>
        <v>0</v>
      </c>
      <c r="I124" s="679">
        <f t="shared" si="41"/>
        <v>0</v>
      </c>
      <c r="J124" s="679">
        <f t="shared" si="41"/>
        <v>0</v>
      </c>
      <c r="K124" s="679">
        <f t="shared" si="41"/>
        <v>0</v>
      </c>
      <c r="L124" s="679">
        <f t="shared" si="41"/>
        <v>0</v>
      </c>
      <c r="M124" s="679">
        <f t="shared" si="41"/>
        <v>0</v>
      </c>
      <c r="N124" s="679">
        <f t="shared" si="41"/>
        <v>0</v>
      </c>
      <c r="O124" s="679">
        <f t="shared" si="41"/>
        <v>0</v>
      </c>
      <c r="P124" s="679">
        <f t="shared" si="41"/>
        <v>0</v>
      </c>
      <c r="Q124" s="679">
        <f t="shared" si="41"/>
        <v>0</v>
      </c>
      <c r="R124" s="679">
        <f t="shared" si="41"/>
        <v>0</v>
      </c>
      <c r="S124" s="679"/>
      <c r="T124" s="679"/>
    </row>
    <row r="125" spans="1:20" hidden="1">
      <c r="B125" s="633" t="s">
        <v>845</v>
      </c>
      <c r="C125" s="636"/>
      <c r="D125" s="634"/>
      <c r="E125" s="679"/>
      <c r="F125" s="679">
        <f>F120+SUM(F121:F124)</f>
        <v>0</v>
      </c>
      <c r="G125" s="679">
        <f>G120+SUM(G121:G124)</f>
        <v>0</v>
      </c>
      <c r="H125" s="679">
        <f t="shared" ref="H125:R125" si="42">H120+SUM(H121:H124)</f>
        <v>0</v>
      </c>
      <c r="I125" s="679">
        <f t="shared" si="42"/>
        <v>0</v>
      </c>
      <c r="J125" s="679">
        <f t="shared" si="42"/>
        <v>0</v>
      </c>
      <c r="K125" s="679">
        <f t="shared" si="42"/>
        <v>0</v>
      </c>
      <c r="L125" s="679">
        <f t="shared" si="42"/>
        <v>0</v>
      </c>
      <c r="M125" s="679">
        <f t="shared" si="42"/>
        <v>0</v>
      </c>
      <c r="N125" s="679">
        <f t="shared" si="42"/>
        <v>0</v>
      </c>
      <c r="O125" s="679">
        <f t="shared" si="42"/>
        <v>0</v>
      </c>
      <c r="P125" s="679">
        <f t="shared" si="42"/>
        <v>0</v>
      </c>
      <c r="Q125" s="679">
        <f t="shared" si="42"/>
        <v>0</v>
      </c>
      <c r="R125" s="679">
        <f t="shared" si="42"/>
        <v>0</v>
      </c>
    </row>
    <row r="126" spans="1:20" hidden="1">
      <c r="B126" s="634" t="s">
        <v>846</v>
      </c>
      <c r="C126" s="636"/>
      <c r="D126" s="636"/>
      <c r="E126" s="636"/>
      <c r="F126" s="636">
        <v>0.22</v>
      </c>
      <c r="G126" s="636">
        <v>0.2</v>
      </c>
      <c r="H126" s="636">
        <f>G126</f>
        <v>0.2</v>
      </c>
      <c r="I126" s="636">
        <f t="shared" ref="I126:R126" si="43">H126</f>
        <v>0.2</v>
      </c>
      <c r="J126" s="636">
        <f t="shared" si="43"/>
        <v>0.2</v>
      </c>
      <c r="K126" s="636">
        <f t="shared" si="43"/>
        <v>0.2</v>
      </c>
      <c r="L126" s="636">
        <f t="shared" si="43"/>
        <v>0.2</v>
      </c>
      <c r="M126" s="636">
        <f t="shared" si="43"/>
        <v>0.2</v>
      </c>
      <c r="N126" s="636">
        <f t="shared" si="43"/>
        <v>0.2</v>
      </c>
      <c r="O126" s="636">
        <f t="shared" si="43"/>
        <v>0.2</v>
      </c>
      <c r="P126" s="636">
        <f t="shared" si="43"/>
        <v>0.2</v>
      </c>
      <c r="Q126" s="636">
        <f t="shared" si="43"/>
        <v>0.2</v>
      </c>
      <c r="R126" s="636">
        <f t="shared" si="43"/>
        <v>0.2</v>
      </c>
      <c r="S126" s="636"/>
      <c r="T126" s="636"/>
    </row>
    <row r="127" spans="1:20" hidden="1">
      <c r="B127" s="633" t="s">
        <v>661</v>
      </c>
      <c r="C127" s="692"/>
      <c r="D127" s="692"/>
      <c r="E127" s="692"/>
      <c r="F127" s="692">
        <f>IF(F125&lt;0,F125,F125*(1-F126))</f>
        <v>0</v>
      </c>
      <c r="G127" s="692">
        <f>IF(G125&lt;0,G125,G125*(1-G126))</f>
        <v>0</v>
      </c>
      <c r="H127" s="692">
        <f>IF(H125&lt;0,H125,H125*(1-H126))</f>
        <v>0</v>
      </c>
      <c r="I127" s="692">
        <f t="shared" ref="I127:R127" si="44">IF(I125&lt;0,I125,I125*(1-I126))</f>
        <v>0</v>
      </c>
      <c r="J127" s="692">
        <f t="shared" si="44"/>
        <v>0</v>
      </c>
      <c r="K127" s="692">
        <f t="shared" si="44"/>
        <v>0</v>
      </c>
      <c r="L127" s="692">
        <f t="shared" si="44"/>
        <v>0</v>
      </c>
      <c r="M127" s="692">
        <f t="shared" si="44"/>
        <v>0</v>
      </c>
      <c r="N127" s="692">
        <f t="shared" si="44"/>
        <v>0</v>
      </c>
      <c r="O127" s="692">
        <f t="shared" si="44"/>
        <v>0</v>
      </c>
      <c r="P127" s="692">
        <f t="shared" si="44"/>
        <v>0</v>
      </c>
      <c r="Q127" s="692">
        <f t="shared" si="44"/>
        <v>0</v>
      </c>
      <c r="R127" s="692">
        <f t="shared" si="44"/>
        <v>0</v>
      </c>
      <c r="S127" s="692"/>
      <c r="T127" s="692"/>
    </row>
    <row r="128" spans="1:20" ht="14.25">
      <c r="A128" s="604"/>
      <c r="B128" s="604"/>
      <c r="C128" s="604"/>
      <c r="D128" s="604"/>
      <c r="E128" s="604"/>
      <c r="F128" s="604"/>
      <c r="G128" s="604"/>
      <c r="H128" s="604"/>
      <c r="I128" s="604"/>
      <c r="J128" s="604"/>
      <c r="K128" s="732"/>
      <c r="L128" s="604"/>
      <c r="M128" s="604"/>
      <c r="N128" s="604"/>
      <c r="O128" s="604"/>
      <c r="P128" s="604"/>
      <c r="Q128" s="604"/>
      <c r="R128" s="604"/>
      <c r="S128" s="604"/>
      <c r="T128" s="604"/>
    </row>
    <row r="129" spans="1:28">
      <c r="B129" s="634" t="s">
        <v>630</v>
      </c>
      <c r="G129" s="640"/>
    </row>
    <row r="130" spans="1:28" s="666" customFormat="1" hidden="1">
      <c r="A130" s="666" t="s">
        <v>828</v>
      </c>
      <c r="B130" s="666" t="s">
        <v>831</v>
      </c>
      <c r="AB130" s="667"/>
    </row>
    <row r="131" spans="1:28" hidden="1">
      <c r="C131" s="634" t="s">
        <v>764</v>
      </c>
      <c r="D131" s="634"/>
      <c r="E131" s="633"/>
    </row>
    <row r="132" spans="1:28" ht="12" hidden="1" thickBot="1">
      <c r="B132" s="634" t="s">
        <v>686</v>
      </c>
      <c r="C132" s="634" t="s">
        <v>767</v>
      </c>
      <c r="D132" s="683">
        <v>0</v>
      </c>
      <c r="E132" s="633"/>
    </row>
    <row r="133" spans="1:28" ht="12" hidden="1" thickBot="1">
      <c r="B133" s="634" t="s">
        <v>779</v>
      </c>
      <c r="C133" s="634" t="s">
        <v>780</v>
      </c>
      <c r="D133" s="685">
        <v>0.7</v>
      </c>
      <c r="E133" s="633"/>
      <c r="G133" s="633"/>
      <c r="H133" s="633"/>
      <c r="I133" s="633"/>
      <c r="J133" s="633"/>
      <c r="K133" s="633"/>
      <c r="L133" s="633"/>
      <c r="M133" s="633"/>
      <c r="N133" s="633"/>
      <c r="O133" s="633"/>
      <c r="P133" s="633"/>
      <c r="Q133" s="633"/>
      <c r="R133" s="633"/>
      <c r="S133" s="633"/>
      <c r="T133" s="633"/>
      <c r="U133" s="633"/>
      <c r="V133" s="633"/>
      <c r="W133" s="633"/>
    </row>
    <row r="134" spans="1:28" ht="12" hidden="1" thickBot="1">
      <c r="B134" s="634" t="s">
        <v>808</v>
      </c>
      <c r="C134" s="634" t="s">
        <v>767</v>
      </c>
      <c r="D134" s="671">
        <f>D132*D133</f>
        <v>0</v>
      </c>
    </row>
    <row r="135" spans="1:28" ht="12" hidden="1" thickBot="1">
      <c r="B135" s="634" t="s">
        <v>832</v>
      </c>
      <c r="D135" s="671">
        <f>D134*50%/(4*2.4)</f>
        <v>0</v>
      </c>
    </row>
    <row r="136" spans="1:28" ht="12" hidden="1" thickBot="1">
      <c r="B136" s="634" t="s">
        <v>833</v>
      </c>
      <c r="D136" s="671">
        <f>D134*50%/(1*2.4)</f>
        <v>0</v>
      </c>
      <c r="G136" s="633"/>
    </row>
    <row r="137" spans="1:28" ht="12" hidden="1" thickBot="1">
      <c r="B137" s="634" t="s">
        <v>834</v>
      </c>
      <c r="C137" s="634" t="s">
        <v>578</v>
      </c>
      <c r="D137" s="683">
        <v>20000</v>
      </c>
    </row>
    <row r="138" spans="1:28" ht="12" hidden="1" thickBot="1">
      <c r="B138" s="634" t="s">
        <v>835</v>
      </c>
      <c r="C138" s="634" t="s">
        <v>578</v>
      </c>
      <c r="D138" s="683">
        <v>5000</v>
      </c>
      <c r="G138" s="633"/>
    </row>
    <row r="139" spans="1:28" ht="12" hidden="1" thickBot="1">
      <c r="B139" s="634" t="s">
        <v>836</v>
      </c>
      <c r="C139" s="634" t="s">
        <v>837</v>
      </c>
      <c r="D139" s="705">
        <v>2</v>
      </c>
    </row>
    <row r="140" spans="1:28" ht="12" hidden="1" thickBot="1">
      <c r="B140" s="634" t="s">
        <v>838</v>
      </c>
      <c r="C140" s="634" t="s">
        <v>837</v>
      </c>
      <c r="D140" s="705">
        <v>2</v>
      </c>
    </row>
    <row r="141" spans="1:28" ht="12" hidden="1" thickBot="1">
      <c r="B141" s="634" t="s">
        <v>750</v>
      </c>
      <c r="D141" s="674">
        <v>11</v>
      </c>
    </row>
    <row r="142" spans="1:28" ht="12" hidden="1" thickBot="1">
      <c r="B142" s="634" t="s">
        <v>243</v>
      </c>
      <c r="C142" s="634" t="s">
        <v>813</v>
      </c>
      <c r="D142" s="683">
        <v>45</v>
      </c>
    </row>
    <row r="143" spans="1:28" ht="12" hidden="1" thickBot="1">
      <c r="B143" s="634" t="s">
        <v>814</v>
      </c>
      <c r="C143" s="634" t="s">
        <v>780</v>
      </c>
      <c r="D143" s="685">
        <v>0.1</v>
      </c>
    </row>
    <row r="144" spans="1:28" hidden="1"/>
    <row r="145" spans="2:20" hidden="1">
      <c r="B145" s="700"/>
      <c r="C145" s="677" t="str">
        <f t="shared" ref="C145:R145" si="45">C88</f>
        <v>Total</v>
      </c>
      <c r="D145" s="677" t="str">
        <f t="shared" si="45"/>
        <v>Past</v>
      </c>
      <c r="E145" s="677">
        <f t="shared" si="45"/>
        <v>2014</v>
      </c>
      <c r="F145" s="677">
        <f t="shared" si="45"/>
        <v>2015</v>
      </c>
      <c r="G145" s="677">
        <f t="shared" si="45"/>
        <v>2016</v>
      </c>
      <c r="H145" s="677">
        <f t="shared" si="45"/>
        <v>2017</v>
      </c>
      <c r="I145" s="677">
        <f t="shared" si="45"/>
        <v>2018</v>
      </c>
      <c r="J145" s="677">
        <f t="shared" si="45"/>
        <v>2019</v>
      </c>
      <c r="K145" s="677">
        <f t="shared" si="45"/>
        <v>2020</v>
      </c>
      <c r="L145" s="677">
        <f t="shared" si="45"/>
        <v>2021</v>
      </c>
      <c r="M145" s="677">
        <f t="shared" si="45"/>
        <v>2022</v>
      </c>
      <c r="N145" s="677">
        <f t="shared" si="45"/>
        <v>2023</v>
      </c>
      <c r="O145" s="677">
        <f t="shared" si="45"/>
        <v>2024</v>
      </c>
      <c r="P145" s="677">
        <f t="shared" si="45"/>
        <v>2025</v>
      </c>
      <c r="Q145" s="677">
        <f t="shared" si="45"/>
        <v>2026</v>
      </c>
      <c r="R145" s="677">
        <f t="shared" si="45"/>
        <v>2027</v>
      </c>
    </row>
    <row r="146" spans="2:20" hidden="1">
      <c r="B146" s="633" t="s">
        <v>839</v>
      </c>
      <c r="F146" s="679">
        <v>0</v>
      </c>
      <c r="G146" s="679">
        <v>0</v>
      </c>
      <c r="H146" s="679">
        <f t="shared" ref="H146:R146" si="46">$D$135*$D$137*$D$139*365/10^6</f>
        <v>0</v>
      </c>
      <c r="I146" s="679">
        <f t="shared" si="46"/>
        <v>0</v>
      </c>
      <c r="J146" s="679">
        <f t="shared" si="46"/>
        <v>0</v>
      </c>
      <c r="K146" s="679">
        <f t="shared" si="46"/>
        <v>0</v>
      </c>
      <c r="L146" s="679">
        <f t="shared" si="46"/>
        <v>0</v>
      </c>
      <c r="M146" s="679">
        <f t="shared" si="46"/>
        <v>0</v>
      </c>
      <c r="N146" s="679">
        <f t="shared" si="46"/>
        <v>0</v>
      </c>
      <c r="O146" s="679">
        <f t="shared" si="46"/>
        <v>0</v>
      </c>
      <c r="P146" s="679">
        <f t="shared" si="46"/>
        <v>0</v>
      </c>
      <c r="Q146" s="679">
        <f t="shared" si="46"/>
        <v>0</v>
      </c>
      <c r="R146" s="679">
        <f t="shared" si="46"/>
        <v>0</v>
      </c>
    </row>
    <row r="147" spans="2:20" hidden="1">
      <c r="B147" s="633" t="s">
        <v>840</v>
      </c>
      <c r="F147" s="679">
        <v>0</v>
      </c>
      <c r="G147" s="679">
        <v>0</v>
      </c>
      <c r="H147" s="679">
        <f t="shared" ref="H147:R147" si="47">$D$136*$D$138*$D$140*365/10^6</f>
        <v>0</v>
      </c>
      <c r="I147" s="679">
        <f t="shared" si="47"/>
        <v>0</v>
      </c>
      <c r="J147" s="679">
        <f t="shared" si="47"/>
        <v>0</v>
      </c>
      <c r="K147" s="679">
        <f t="shared" si="47"/>
        <v>0</v>
      </c>
      <c r="L147" s="679">
        <f t="shared" si="47"/>
        <v>0</v>
      </c>
      <c r="M147" s="679">
        <f t="shared" si="47"/>
        <v>0</v>
      </c>
      <c r="N147" s="679">
        <f t="shared" si="47"/>
        <v>0</v>
      </c>
      <c r="O147" s="679">
        <f t="shared" si="47"/>
        <v>0</v>
      </c>
      <c r="P147" s="679">
        <f t="shared" si="47"/>
        <v>0</v>
      </c>
      <c r="Q147" s="679">
        <f t="shared" si="47"/>
        <v>0</v>
      </c>
      <c r="R147" s="679">
        <f t="shared" si="47"/>
        <v>0</v>
      </c>
    </row>
    <row r="148" spans="2:20" hidden="1">
      <c r="B148" s="633" t="s">
        <v>819</v>
      </c>
      <c r="C148" s="679">
        <f>$D$141*$D$132+($E$3+$E$4+SUMIF($D$207:$R$207,"&lt;="&amp;$E$6,$D$213:$R$213))*$D$132/SUM($D$77,$D$132,$D$45,$D$103)</f>
        <v>0</v>
      </c>
      <c r="F148" s="679">
        <v>0</v>
      </c>
      <c r="G148" s="679">
        <v>0</v>
      </c>
      <c r="H148" s="679">
        <f t="shared" ref="H148:R148" si="48">-$C$148/$D$142</f>
        <v>0</v>
      </c>
      <c r="I148" s="679">
        <f t="shared" si="48"/>
        <v>0</v>
      </c>
      <c r="J148" s="679">
        <f t="shared" si="48"/>
        <v>0</v>
      </c>
      <c r="K148" s="679">
        <f t="shared" si="48"/>
        <v>0</v>
      </c>
      <c r="L148" s="679">
        <f t="shared" si="48"/>
        <v>0</v>
      </c>
      <c r="M148" s="679">
        <f t="shared" si="48"/>
        <v>0</v>
      </c>
      <c r="N148" s="679">
        <f t="shared" si="48"/>
        <v>0</v>
      </c>
      <c r="O148" s="679">
        <f t="shared" si="48"/>
        <v>0</v>
      </c>
      <c r="P148" s="679">
        <f t="shared" si="48"/>
        <v>0</v>
      </c>
      <c r="Q148" s="679">
        <f t="shared" si="48"/>
        <v>0</v>
      </c>
      <c r="R148" s="679">
        <f t="shared" si="48"/>
        <v>0</v>
      </c>
    </row>
    <row r="149" spans="2:20" hidden="1">
      <c r="B149" s="633" t="s">
        <v>805</v>
      </c>
      <c r="C149" s="679"/>
      <c r="F149" s="679"/>
      <c r="G149" s="679">
        <v>0</v>
      </c>
      <c r="H149" s="679">
        <f t="shared" ref="H149:R149" si="49">-J213*$D$132/SUM($D$77,$D$132,$D$45,$D$103)</f>
        <v>0</v>
      </c>
      <c r="I149" s="679">
        <f t="shared" si="49"/>
        <v>0</v>
      </c>
      <c r="J149" s="679">
        <f t="shared" si="49"/>
        <v>0</v>
      </c>
      <c r="K149" s="679">
        <f t="shared" si="49"/>
        <v>0</v>
      </c>
      <c r="L149" s="679">
        <f t="shared" si="49"/>
        <v>0</v>
      </c>
      <c r="M149" s="679">
        <f t="shared" si="49"/>
        <v>0</v>
      </c>
      <c r="N149" s="679">
        <f t="shared" si="49"/>
        <v>0</v>
      </c>
      <c r="O149" s="679">
        <f t="shared" si="49"/>
        <v>0</v>
      </c>
      <c r="P149" s="679">
        <f t="shared" si="49"/>
        <v>0</v>
      </c>
      <c r="Q149" s="679">
        <f t="shared" si="49"/>
        <v>0</v>
      </c>
      <c r="R149" s="679">
        <f t="shared" si="49"/>
        <v>0</v>
      </c>
    </row>
    <row r="150" spans="2:20" hidden="1">
      <c r="B150" s="633" t="s">
        <v>841</v>
      </c>
      <c r="F150" s="679">
        <f>-$D$143*SUM(F146:F147)</f>
        <v>0</v>
      </c>
      <c r="G150" s="679">
        <f>-$D$143*SUM(G146:G147)</f>
        <v>0</v>
      </c>
      <c r="H150" s="679">
        <f t="shared" ref="H150:R150" si="50">-$D$143*SUM(H146:H147)</f>
        <v>0</v>
      </c>
      <c r="I150" s="679">
        <f t="shared" si="50"/>
        <v>0</v>
      </c>
      <c r="J150" s="679">
        <f t="shared" si="50"/>
        <v>0</v>
      </c>
      <c r="K150" s="679">
        <f t="shared" si="50"/>
        <v>0</v>
      </c>
      <c r="L150" s="679">
        <f t="shared" si="50"/>
        <v>0</v>
      </c>
      <c r="M150" s="679">
        <f t="shared" si="50"/>
        <v>0</v>
      </c>
      <c r="N150" s="679">
        <f t="shared" si="50"/>
        <v>0</v>
      </c>
      <c r="O150" s="679">
        <f t="shared" si="50"/>
        <v>0</v>
      </c>
      <c r="P150" s="679">
        <f t="shared" si="50"/>
        <v>0</v>
      </c>
      <c r="Q150" s="679">
        <f t="shared" si="50"/>
        <v>0</v>
      </c>
      <c r="R150" s="679">
        <f t="shared" si="50"/>
        <v>0</v>
      </c>
    </row>
    <row r="152" spans="2:20">
      <c r="B152" s="706" t="s">
        <v>880</v>
      </c>
      <c r="C152" s="707"/>
      <c r="D152" s="707"/>
      <c r="E152" s="707"/>
      <c r="F152" s="707"/>
      <c r="G152" s="707"/>
      <c r="H152" s="707"/>
      <c r="I152" s="707"/>
      <c r="J152" s="707"/>
      <c r="K152" s="707"/>
      <c r="L152" s="707"/>
      <c r="M152" s="707"/>
      <c r="N152" s="707"/>
      <c r="O152" s="707"/>
      <c r="P152" s="707"/>
      <c r="Q152" s="707"/>
      <c r="R152" s="707"/>
    </row>
    <row r="153" spans="2:20">
      <c r="B153" s="708" t="s">
        <v>843</v>
      </c>
      <c r="C153" s="708" t="str">
        <f>C32</f>
        <v>Total</v>
      </c>
      <c r="D153" s="708" t="str">
        <f t="shared" ref="D153:R153" si="51">D32</f>
        <v>Past</v>
      </c>
      <c r="E153" s="708">
        <f t="shared" si="51"/>
        <v>2014</v>
      </c>
      <c r="F153" s="708">
        <f t="shared" si="51"/>
        <v>2015</v>
      </c>
      <c r="G153" s="708">
        <f t="shared" si="51"/>
        <v>2016</v>
      </c>
      <c r="H153" s="708">
        <f t="shared" si="51"/>
        <v>2017</v>
      </c>
      <c r="I153" s="708">
        <f t="shared" si="51"/>
        <v>2018</v>
      </c>
      <c r="J153" s="708">
        <f t="shared" si="51"/>
        <v>2019</v>
      </c>
      <c r="K153" s="708">
        <f t="shared" si="51"/>
        <v>2020</v>
      </c>
      <c r="L153" s="708">
        <f t="shared" si="51"/>
        <v>2021</v>
      </c>
      <c r="M153" s="708">
        <f t="shared" si="51"/>
        <v>2022</v>
      </c>
      <c r="N153" s="708">
        <f t="shared" si="51"/>
        <v>2023</v>
      </c>
      <c r="O153" s="708">
        <f t="shared" si="51"/>
        <v>2024</v>
      </c>
      <c r="P153" s="708">
        <f t="shared" si="51"/>
        <v>2025</v>
      </c>
      <c r="Q153" s="708">
        <f t="shared" si="51"/>
        <v>2026</v>
      </c>
      <c r="R153" s="708">
        <f t="shared" si="51"/>
        <v>2027</v>
      </c>
      <c r="S153" s="708"/>
      <c r="T153" s="708"/>
    </row>
    <row r="154" spans="2:20">
      <c r="B154" s="708" t="s">
        <v>26</v>
      </c>
      <c r="C154" s="709"/>
      <c r="D154" s="709"/>
      <c r="E154" s="709">
        <f>E59</f>
        <v>0</v>
      </c>
      <c r="F154" s="709">
        <f>F59</f>
        <v>0</v>
      </c>
      <c r="G154" s="709">
        <f>G59</f>
        <v>645120</v>
      </c>
      <c r="H154" s="709">
        <f t="shared" ref="H154:R154" si="52">H59</f>
        <v>161280</v>
      </c>
      <c r="I154" s="709">
        <f t="shared" si="52"/>
        <v>0</v>
      </c>
      <c r="J154" s="709">
        <f t="shared" si="52"/>
        <v>0</v>
      </c>
      <c r="K154" s="709">
        <f t="shared" si="52"/>
        <v>0</v>
      </c>
      <c r="L154" s="709">
        <f t="shared" si="52"/>
        <v>0</v>
      </c>
      <c r="M154" s="709">
        <f t="shared" si="52"/>
        <v>0</v>
      </c>
      <c r="N154" s="709">
        <f t="shared" si="52"/>
        <v>0</v>
      </c>
      <c r="O154" s="709">
        <f t="shared" si="52"/>
        <v>0</v>
      </c>
      <c r="P154" s="709">
        <f t="shared" si="52"/>
        <v>0</v>
      </c>
      <c r="Q154" s="709">
        <f t="shared" si="52"/>
        <v>0</v>
      </c>
      <c r="R154" s="709">
        <f t="shared" si="52"/>
        <v>0</v>
      </c>
      <c r="S154" s="709"/>
      <c r="T154" s="709"/>
    </row>
    <row r="155" spans="2:20">
      <c r="B155" s="708" t="s">
        <v>432</v>
      </c>
      <c r="D155" s="688"/>
      <c r="E155" s="688">
        <f>-SUM(E69:E71)</f>
        <v>0</v>
      </c>
      <c r="F155" s="688">
        <f>-SUM(F69:F71)</f>
        <v>0</v>
      </c>
      <c r="G155" s="688">
        <f>-SUM(G69:G71)</f>
        <v>-458591.2</v>
      </c>
      <c r="H155" s="688">
        <f t="shared" ref="H155:R155" si="53">-SUM(H69:H71)</f>
        <v>-114647.8</v>
      </c>
      <c r="I155" s="688">
        <f>-SUM(I69:I71)</f>
        <v>0</v>
      </c>
      <c r="J155" s="688">
        <f t="shared" si="53"/>
        <v>0</v>
      </c>
      <c r="K155" s="688">
        <f t="shared" si="53"/>
        <v>0</v>
      </c>
      <c r="L155" s="688">
        <f t="shared" si="53"/>
        <v>0</v>
      </c>
      <c r="M155" s="688">
        <f t="shared" si="53"/>
        <v>0</v>
      </c>
      <c r="N155" s="688">
        <f t="shared" si="53"/>
        <v>0</v>
      </c>
      <c r="O155" s="688">
        <f t="shared" si="53"/>
        <v>0</v>
      </c>
      <c r="P155" s="688">
        <f t="shared" si="53"/>
        <v>0</v>
      </c>
      <c r="Q155" s="688">
        <f t="shared" si="53"/>
        <v>0</v>
      </c>
      <c r="R155" s="688">
        <f t="shared" si="53"/>
        <v>0</v>
      </c>
      <c r="S155" s="688"/>
      <c r="T155" s="688"/>
    </row>
    <row r="156" spans="2:20">
      <c r="B156" s="708" t="s">
        <v>844</v>
      </c>
      <c r="C156" s="688"/>
      <c r="D156" s="688"/>
      <c r="E156" s="688">
        <f>-E73</f>
        <v>0</v>
      </c>
      <c r="F156" s="688">
        <f>-F73</f>
        <v>-16934.400000000001</v>
      </c>
      <c r="G156" s="688">
        <f>-G73</f>
        <v>-18547.2</v>
      </c>
      <c r="H156" s="688">
        <f t="shared" ref="H156:R156" si="54">-H73</f>
        <v>-4838.4000000000005</v>
      </c>
      <c r="I156" s="688">
        <f t="shared" si="54"/>
        <v>0</v>
      </c>
      <c r="J156" s="688">
        <f t="shared" si="54"/>
        <v>0</v>
      </c>
      <c r="K156" s="688">
        <f t="shared" si="54"/>
        <v>0</v>
      </c>
      <c r="L156" s="688">
        <f t="shared" si="54"/>
        <v>0</v>
      </c>
      <c r="M156" s="688">
        <f t="shared" si="54"/>
        <v>0</v>
      </c>
      <c r="N156" s="688">
        <f t="shared" si="54"/>
        <v>0</v>
      </c>
      <c r="O156" s="688">
        <f t="shared" si="54"/>
        <v>0</v>
      </c>
      <c r="P156" s="688">
        <f t="shared" si="54"/>
        <v>0</v>
      </c>
      <c r="Q156" s="688">
        <f t="shared" si="54"/>
        <v>0</v>
      </c>
      <c r="R156" s="688">
        <f t="shared" si="54"/>
        <v>0</v>
      </c>
      <c r="S156" s="688"/>
      <c r="T156" s="688"/>
    </row>
    <row r="157" spans="2:20">
      <c r="B157" s="708" t="s">
        <v>805</v>
      </c>
      <c r="C157" s="688"/>
      <c r="D157" s="688"/>
      <c r="E157" s="688">
        <f>-E72</f>
        <v>0</v>
      </c>
      <c r="F157" s="688">
        <f>-F72</f>
        <v>0</v>
      </c>
      <c r="G157" s="688">
        <f>-G72</f>
        <v>-9684.0000000000018</v>
      </c>
      <c r="H157" s="688">
        <f t="shared" ref="H157:R157" si="55">-H72</f>
        <v>-7263.0000000000009</v>
      </c>
      <c r="I157" s="688">
        <f t="shared" si="55"/>
        <v>-4842.0000000000009</v>
      </c>
      <c r="J157" s="688">
        <f t="shared" si="55"/>
        <v>-2421.0000000000005</v>
      </c>
      <c r="K157" s="688">
        <f t="shared" si="55"/>
        <v>0</v>
      </c>
      <c r="L157" s="688">
        <f t="shared" si="55"/>
        <v>0</v>
      </c>
      <c r="M157" s="688">
        <f t="shared" si="55"/>
        <v>0</v>
      </c>
      <c r="N157" s="688">
        <f t="shared" si="55"/>
        <v>0</v>
      </c>
      <c r="O157" s="688">
        <f t="shared" si="55"/>
        <v>0</v>
      </c>
      <c r="P157" s="688">
        <f t="shared" si="55"/>
        <v>0</v>
      </c>
      <c r="Q157" s="688">
        <f t="shared" si="55"/>
        <v>0</v>
      </c>
      <c r="R157" s="688">
        <f t="shared" si="55"/>
        <v>0</v>
      </c>
      <c r="S157" s="688"/>
      <c r="T157" s="688"/>
    </row>
    <row r="158" spans="2:20">
      <c r="B158" s="634" t="s">
        <v>845</v>
      </c>
      <c r="C158" s="688"/>
      <c r="D158" s="688"/>
      <c r="E158" s="688">
        <f>SUM(E154:E157)</f>
        <v>0</v>
      </c>
      <c r="F158" s="688">
        <f>SUM(F154:F157)</f>
        <v>-16934.400000000001</v>
      </c>
      <c r="G158" s="688">
        <f>SUM(G154:G157)</f>
        <v>158297.59999999998</v>
      </c>
      <c r="H158" s="688">
        <f t="shared" ref="H158:R158" si="56">SUM(H154:H157)</f>
        <v>34530.799999999996</v>
      </c>
      <c r="I158" s="688">
        <f t="shared" si="56"/>
        <v>-4842.0000000000009</v>
      </c>
      <c r="J158" s="688">
        <f t="shared" si="56"/>
        <v>-2421.0000000000005</v>
      </c>
      <c r="K158" s="688">
        <f t="shared" si="56"/>
        <v>0</v>
      </c>
      <c r="L158" s="688">
        <f t="shared" si="56"/>
        <v>0</v>
      </c>
      <c r="M158" s="688">
        <f t="shared" si="56"/>
        <v>0</v>
      </c>
      <c r="N158" s="688">
        <f t="shared" si="56"/>
        <v>0</v>
      </c>
      <c r="O158" s="688">
        <f t="shared" si="56"/>
        <v>0</v>
      </c>
      <c r="P158" s="688">
        <f t="shared" si="56"/>
        <v>0</v>
      </c>
      <c r="Q158" s="688">
        <f t="shared" si="56"/>
        <v>0</v>
      </c>
      <c r="R158" s="688">
        <f t="shared" si="56"/>
        <v>0</v>
      </c>
      <c r="S158" s="688"/>
      <c r="T158" s="688"/>
    </row>
    <row r="159" spans="2:20">
      <c r="B159" s="634" t="s">
        <v>846</v>
      </c>
      <c r="C159" s="636"/>
      <c r="D159" s="636"/>
      <c r="E159" s="636">
        <v>0.22</v>
      </c>
      <c r="F159" s="636">
        <v>0.22</v>
      </c>
      <c r="G159" s="636">
        <v>0.2</v>
      </c>
      <c r="H159" s="636">
        <f>'[10]Vin CenterB'!H46</f>
        <v>0.2</v>
      </c>
      <c r="I159" s="636">
        <f>'[10]Vin CenterB'!I46</f>
        <v>0.2</v>
      </c>
      <c r="J159" s="636">
        <f>'[10]Vin CenterB'!J46</f>
        <v>0.2</v>
      </c>
      <c r="K159" s="636">
        <f>'[10]Vin CenterB'!K46</f>
        <v>0.2</v>
      </c>
      <c r="L159" s="636">
        <f>'[10]Vin CenterB'!L46</f>
        <v>0.2</v>
      </c>
      <c r="M159" s="636">
        <f>'[10]Vin CenterB'!M46</f>
        <v>0.2</v>
      </c>
      <c r="N159" s="636">
        <f>'[10]Vin CenterB'!N46</f>
        <v>0.2</v>
      </c>
      <c r="O159" s="636">
        <f>'[10]Vin CenterB'!O46</f>
        <v>0.2</v>
      </c>
      <c r="P159" s="636">
        <f>'[10]Vin CenterB'!P46</f>
        <v>0.2</v>
      </c>
      <c r="Q159" s="636">
        <f>'[10]Vin CenterB'!Q46</f>
        <v>0.2</v>
      </c>
      <c r="R159" s="636">
        <f>'[10]Vin CenterB'!R46</f>
        <v>0.2</v>
      </c>
      <c r="S159" s="636"/>
      <c r="T159" s="636"/>
    </row>
    <row r="160" spans="2:20">
      <c r="B160" s="633" t="s">
        <v>661</v>
      </c>
      <c r="C160" s="692"/>
      <c r="D160" s="692"/>
      <c r="E160" s="692">
        <f>IF(E158&lt;0,E158,E158*(1-E159))</f>
        <v>0</v>
      </c>
      <c r="F160" s="692">
        <f>IF(F158&lt;0,F158,F158*(1-F159))</f>
        <v>-16934.400000000001</v>
      </c>
      <c r="G160" s="692">
        <f>IF(G158&lt;0,G158,G158*(1-G159))</f>
        <v>126638.07999999999</v>
      </c>
      <c r="H160" s="692">
        <f t="shared" ref="H160:R160" si="57">IF(H158&lt;0,H158,H158*(1-H159))</f>
        <v>27624.639999999999</v>
      </c>
      <c r="I160" s="692">
        <f t="shared" si="57"/>
        <v>-4842.0000000000009</v>
      </c>
      <c r="J160" s="692">
        <f t="shared" si="57"/>
        <v>-2421.0000000000005</v>
      </c>
      <c r="K160" s="692">
        <f t="shared" si="57"/>
        <v>0</v>
      </c>
      <c r="L160" s="692">
        <f t="shared" si="57"/>
        <v>0</v>
      </c>
      <c r="M160" s="692">
        <f t="shared" si="57"/>
        <v>0</v>
      </c>
      <c r="N160" s="692">
        <f t="shared" si="57"/>
        <v>0</v>
      </c>
      <c r="O160" s="692">
        <f t="shared" si="57"/>
        <v>0</v>
      </c>
      <c r="P160" s="692">
        <f t="shared" si="57"/>
        <v>0</v>
      </c>
      <c r="Q160" s="692">
        <f t="shared" si="57"/>
        <v>0</v>
      </c>
      <c r="R160" s="692">
        <f t="shared" si="57"/>
        <v>0</v>
      </c>
      <c r="S160" s="692"/>
      <c r="T160" s="692"/>
    </row>
    <row r="161" spans="2:20">
      <c r="D161" s="634"/>
      <c r="E161" s="640" t="e">
        <f>SUM(E154:E155)/E154</f>
        <v>#DIV/0!</v>
      </c>
      <c r="F161" s="640" t="e">
        <f>SUM(F154:F155)/F154</f>
        <v>#DIV/0!</v>
      </c>
      <c r="G161" s="640">
        <f>SUM(G154:G155)/G154</f>
        <v>0.28913814484126982</v>
      </c>
      <c r="H161" s="640">
        <f>SUM(H154:H155)/H154</f>
        <v>0.28913814484126982</v>
      </c>
      <c r="I161" s="640" t="e">
        <f>SUM(I154:I155)/I154</f>
        <v>#DIV/0!</v>
      </c>
      <c r="K161" s="733">
        <f>(SUM(G154:H154)+SUM(G155:H155))/SUM(G154:H154)</f>
        <v>0.28913814484126982</v>
      </c>
    </row>
    <row r="162" spans="2:20">
      <c r="D162" s="634"/>
      <c r="E162" s="640"/>
      <c r="F162" s="640"/>
      <c r="G162" s="640"/>
      <c r="H162" s="640"/>
      <c r="I162" s="640"/>
      <c r="K162" s="695">
        <f>SUM(F160:L160)/SUM(G154:H154)</f>
        <v>0.16129131944444444</v>
      </c>
    </row>
    <row r="163" spans="2:20">
      <c r="B163" s="706" t="s">
        <v>881</v>
      </c>
      <c r="C163" s="707"/>
      <c r="D163" s="707"/>
      <c r="E163" s="707"/>
      <c r="F163" s="707"/>
      <c r="G163" s="707"/>
      <c r="H163" s="707"/>
      <c r="I163" s="707"/>
      <c r="J163" s="707"/>
      <c r="K163" s="707"/>
      <c r="L163" s="707"/>
      <c r="M163" s="707"/>
      <c r="N163" s="707"/>
      <c r="O163" s="707"/>
      <c r="P163" s="707"/>
      <c r="Q163" s="707"/>
      <c r="R163" s="707"/>
    </row>
    <row r="164" spans="2:20">
      <c r="B164" s="708" t="s">
        <v>843</v>
      </c>
      <c r="C164" s="708" t="str">
        <f>C145</f>
        <v>Total</v>
      </c>
      <c r="D164" s="708" t="str">
        <f t="shared" ref="D164:R164" si="58">D145</f>
        <v>Past</v>
      </c>
      <c r="E164" s="708">
        <f t="shared" si="58"/>
        <v>2014</v>
      </c>
      <c r="F164" s="708">
        <f t="shared" si="58"/>
        <v>2015</v>
      </c>
      <c r="G164" s="708">
        <f t="shared" si="58"/>
        <v>2016</v>
      </c>
      <c r="H164" s="708">
        <f t="shared" si="58"/>
        <v>2017</v>
      </c>
      <c r="I164" s="708">
        <f t="shared" si="58"/>
        <v>2018</v>
      </c>
      <c r="J164" s="708">
        <f t="shared" si="58"/>
        <v>2019</v>
      </c>
      <c r="K164" s="708">
        <f t="shared" si="58"/>
        <v>2020</v>
      </c>
      <c r="L164" s="708">
        <f t="shared" si="58"/>
        <v>2021</v>
      </c>
      <c r="M164" s="708">
        <f t="shared" si="58"/>
        <v>2022</v>
      </c>
      <c r="N164" s="708">
        <f t="shared" si="58"/>
        <v>2023</v>
      </c>
      <c r="O164" s="708">
        <f t="shared" si="58"/>
        <v>2024</v>
      </c>
      <c r="P164" s="708">
        <f t="shared" si="58"/>
        <v>2025</v>
      </c>
      <c r="Q164" s="708">
        <f t="shared" si="58"/>
        <v>2026</v>
      </c>
      <c r="R164" s="708">
        <f t="shared" si="58"/>
        <v>2027</v>
      </c>
      <c r="S164" s="708"/>
      <c r="T164" s="708"/>
    </row>
    <row r="165" spans="2:20">
      <c r="B165" s="708" t="s">
        <v>26</v>
      </c>
      <c r="C165" s="709">
        <f>SUM(E165:R165)</f>
        <v>806400</v>
      </c>
      <c r="D165" s="709"/>
      <c r="E165" s="709">
        <f t="shared" ref="E165:L165" si="59">SUM(E154,E146,E147,E120,E92,E40)</f>
        <v>0</v>
      </c>
      <c r="F165" s="709">
        <f t="shared" si="59"/>
        <v>0</v>
      </c>
      <c r="G165" s="709">
        <f t="shared" si="59"/>
        <v>645120</v>
      </c>
      <c r="H165" s="709">
        <f t="shared" si="59"/>
        <v>161280</v>
      </c>
      <c r="I165" s="709">
        <f t="shared" si="59"/>
        <v>0</v>
      </c>
      <c r="J165" s="709">
        <f t="shared" si="59"/>
        <v>0</v>
      </c>
      <c r="K165" s="709">
        <f t="shared" si="59"/>
        <v>0</v>
      </c>
      <c r="L165" s="709">
        <f t="shared" si="59"/>
        <v>0</v>
      </c>
      <c r="M165" s="709">
        <f t="shared" ref="M165:R165" si="60">SUM(M154,M146,M147,M120,M92)</f>
        <v>0</v>
      </c>
      <c r="N165" s="709">
        <f t="shared" si="60"/>
        <v>0</v>
      </c>
      <c r="O165" s="709">
        <f t="shared" si="60"/>
        <v>0</v>
      </c>
      <c r="P165" s="709">
        <f t="shared" si="60"/>
        <v>0</v>
      </c>
      <c r="Q165" s="709">
        <f t="shared" si="60"/>
        <v>0</v>
      </c>
      <c r="R165" s="709">
        <f t="shared" si="60"/>
        <v>0</v>
      </c>
      <c r="S165" s="709"/>
      <c r="T165" s="709"/>
    </row>
    <row r="166" spans="2:20">
      <c r="B166" s="708" t="s">
        <v>432</v>
      </c>
      <c r="C166" s="709">
        <f t="shared" ref="C166:C171" si="61">SUM(E166:R166)</f>
        <v>-573239</v>
      </c>
      <c r="D166" s="688"/>
      <c r="E166" s="688">
        <f>SUM(E155,E148,E150,E121,E123,E93,E96)</f>
        <v>0</v>
      </c>
      <c r="F166" s="688">
        <f>SUM(F155,F148,F150,F121,F123,F93,F96)</f>
        <v>0</v>
      </c>
      <c r="G166" s="688">
        <f>SUM(G155,G148,G150,G121,G123,G93,G96)</f>
        <v>-458591.2</v>
      </c>
      <c r="H166" s="688">
        <f t="shared" ref="H166:R166" si="62">SUM(H155,H148,H150,H121,H123,H93,H96)</f>
        <v>-114647.8</v>
      </c>
      <c r="I166" s="688">
        <f t="shared" si="62"/>
        <v>0</v>
      </c>
      <c r="J166" s="688">
        <f t="shared" si="62"/>
        <v>0</v>
      </c>
      <c r="K166" s="688">
        <f t="shared" si="62"/>
        <v>0</v>
      </c>
      <c r="L166" s="688">
        <f t="shared" si="62"/>
        <v>0</v>
      </c>
      <c r="M166" s="688">
        <f t="shared" si="62"/>
        <v>0</v>
      </c>
      <c r="N166" s="688">
        <f t="shared" si="62"/>
        <v>0</v>
      </c>
      <c r="O166" s="688">
        <f t="shared" si="62"/>
        <v>0</v>
      </c>
      <c r="P166" s="688">
        <f t="shared" si="62"/>
        <v>0</v>
      </c>
      <c r="Q166" s="688">
        <f t="shared" si="62"/>
        <v>0</v>
      </c>
      <c r="R166" s="688">
        <f t="shared" si="62"/>
        <v>0</v>
      </c>
      <c r="S166" s="688"/>
      <c r="T166" s="688"/>
    </row>
    <row r="167" spans="2:20">
      <c r="B167" s="708" t="s">
        <v>844</v>
      </c>
      <c r="C167" s="709">
        <f t="shared" si="61"/>
        <v>-40320.000000000007</v>
      </c>
      <c r="D167" s="688"/>
      <c r="E167" s="688">
        <f t="shared" ref="E167:J167" si="63">SUM(E156,E122,E95,-E41)</f>
        <v>0</v>
      </c>
      <c r="F167" s="688">
        <v>0</v>
      </c>
      <c r="G167" s="688">
        <f>SUM(G156,G122,G95,-G41)+SUM(F156,F122,F95,-F41)</f>
        <v>-35481.600000000006</v>
      </c>
      <c r="H167" s="688">
        <f t="shared" si="63"/>
        <v>-4838.4000000000005</v>
      </c>
      <c r="I167" s="688">
        <f t="shared" si="63"/>
        <v>0</v>
      </c>
      <c r="J167" s="688">
        <f t="shared" si="63"/>
        <v>0</v>
      </c>
      <c r="K167" s="688">
        <f t="shared" ref="K167:R167" si="64">SUM(K156,K122,K95)</f>
        <v>0</v>
      </c>
      <c r="L167" s="688">
        <f t="shared" si="64"/>
        <v>0</v>
      </c>
      <c r="M167" s="688">
        <f t="shared" si="64"/>
        <v>0</v>
      </c>
      <c r="N167" s="688">
        <f t="shared" si="64"/>
        <v>0</v>
      </c>
      <c r="O167" s="688">
        <f t="shared" si="64"/>
        <v>0</v>
      </c>
      <c r="P167" s="688">
        <f t="shared" si="64"/>
        <v>0</v>
      </c>
      <c r="Q167" s="688">
        <f t="shared" si="64"/>
        <v>0</v>
      </c>
      <c r="R167" s="688">
        <f t="shared" si="64"/>
        <v>0</v>
      </c>
      <c r="S167" s="688"/>
      <c r="T167" s="688"/>
    </row>
    <row r="168" spans="2:20">
      <c r="B168" s="708" t="s">
        <v>805</v>
      </c>
      <c r="C168" s="709">
        <f t="shared" si="61"/>
        <v>-24210.000000000004</v>
      </c>
      <c r="D168" s="688"/>
      <c r="E168" s="688">
        <f>SUM(E157,E149,E124,E94)</f>
        <v>0</v>
      </c>
      <c r="F168" s="688">
        <f>SUM(F157,F149,F124,F94)</f>
        <v>0</v>
      </c>
      <c r="G168" s="688">
        <f>SUM(G157,G149,G124,G94)</f>
        <v>-9684.0000000000018</v>
      </c>
      <c r="H168" s="688">
        <f t="shared" ref="H168:R168" si="65">SUM(H157,H149,H124,H94)</f>
        <v>-7263.0000000000009</v>
      </c>
      <c r="I168" s="688">
        <f t="shared" si="65"/>
        <v>-4842.0000000000009</v>
      </c>
      <c r="J168" s="688">
        <f t="shared" si="65"/>
        <v>-2421.0000000000005</v>
      </c>
      <c r="K168" s="688">
        <f t="shared" si="65"/>
        <v>0</v>
      </c>
      <c r="L168" s="688">
        <f t="shared" si="65"/>
        <v>0</v>
      </c>
      <c r="M168" s="688">
        <f t="shared" si="65"/>
        <v>0</v>
      </c>
      <c r="N168" s="688">
        <f t="shared" si="65"/>
        <v>0</v>
      </c>
      <c r="O168" s="688">
        <f t="shared" si="65"/>
        <v>0</v>
      </c>
      <c r="P168" s="688">
        <f t="shared" si="65"/>
        <v>0</v>
      </c>
      <c r="Q168" s="688">
        <f t="shared" si="65"/>
        <v>0</v>
      </c>
      <c r="R168" s="688">
        <f t="shared" si="65"/>
        <v>0</v>
      </c>
      <c r="S168" s="688"/>
      <c r="T168" s="688"/>
    </row>
    <row r="169" spans="2:20">
      <c r="B169" s="634" t="s">
        <v>845</v>
      </c>
      <c r="C169" s="709">
        <f t="shared" si="61"/>
        <v>168630.99999999997</v>
      </c>
      <c r="D169" s="688"/>
      <c r="E169" s="688">
        <f>SUM(E165:E168)</f>
        <v>0</v>
      </c>
      <c r="F169" s="688">
        <f>SUM(F165:F168)</f>
        <v>0</v>
      </c>
      <c r="G169" s="688">
        <f>SUM(G165:G168)</f>
        <v>141363.19999999998</v>
      </c>
      <c r="H169" s="688">
        <f t="shared" ref="H169:R169" si="66">SUM(H165:H168)</f>
        <v>34530.799999999996</v>
      </c>
      <c r="I169" s="688">
        <f t="shared" si="66"/>
        <v>-4842.0000000000009</v>
      </c>
      <c r="J169" s="688">
        <f t="shared" si="66"/>
        <v>-2421.0000000000005</v>
      </c>
      <c r="K169" s="688">
        <f t="shared" si="66"/>
        <v>0</v>
      </c>
      <c r="L169" s="688">
        <f t="shared" si="66"/>
        <v>0</v>
      </c>
      <c r="M169" s="688">
        <f t="shared" si="66"/>
        <v>0</v>
      </c>
      <c r="N169" s="688">
        <f t="shared" si="66"/>
        <v>0</v>
      </c>
      <c r="O169" s="688">
        <f t="shared" si="66"/>
        <v>0</v>
      </c>
      <c r="P169" s="688">
        <f t="shared" si="66"/>
        <v>0</v>
      </c>
      <c r="Q169" s="688">
        <f t="shared" si="66"/>
        <v>0</v>
      </c>
      <c r="R169" s="688">
        <f t="shared" si="66"/>
        <v>0</v>
      </c>
      <c r="S169" s="688"/>
      <c r="T169" s="688"/>
    </row>
    <row r="170" spans="2:20">
      <c r="B170" s="634" t="s">
        <v>846</v>
      </c>
      <c r="C170" s="636"/>
      <c r="D170" s="636"/>
      <c r="E170" s="636">
        <v>0.22</v>
      </c>
      <c r="F170" s="636">
        <v>0.22</v>
      </c>
      <c r="G170" s="636">
        <v>0.2</v>
      </c>
      <c r="H170" s="636">
        <f>'[10]Vin CenterB'!H46</f>
        <v>0.2</v>
      </c>
      <c r="I170" s="636">
        <f>'[10]Vin CenterB'!I46</f>
        <v>0.2</v>
      </c>
      <c r="J170" s="636">
        <f>'[10]Vin CenterB'!J46</f>
        <v>0.2</v>
      </c>
      <c r="K170" s="636">
        <f>'[10]Vin CenterB'!K46</f>
        <v>0.2</v>
      </c>
      <c r="L170" s="636">
        <f>'[10]Vin CenterB'!L46</f>
        <v>0.2</v>
      </c>
      <c r="M170" s="636">
        <f>'[10]Vin CenterB'!M46</f>
        <v>0.2</v>
      </c>
      <c r="N170" s="636">
        <f>'[10]Vin CenterB'!N46</f>
        <v>0.2</v>
      </c>
      <c r="O170" s="636">
        <f>'[10]Vin CenterB'!O46</f>
        <v>0.2</v>
      </c>
      <c r="P170" s="636">
        <f>'[10]Vin CenterB'!P46</f>
        <v>0.2</v>
      </c>
      <c r="Q170" s="636">
        <f>'[10]Vin CenterB'!Q46</f>
        <v>0.2</v>
      </c>
      <c r="R170" s="636">
        <f>'[10]Vin CenterB'!R46</f>
        <v>0.2</v>
      </c>
      <c r="S170" s="636"/>
      <c r="T170" s="636"/>
    </row>
    <row r="171" spans="2:20">
      <c r="B171" s="633" t="s">
        <v>661</v>
      </c>
      <c r="C171" s="709">
        <f t="shared" si="61"/>
        <v>133452.20000000001</v>
      </c>
      <c r="D171" s="692"/>
      <c r="E171" s="692">
        <f>IF(E169&lt;0,E169,E169*(1-E170))</f>
        <v>0</v>
      </c>
      <c r="F171" s="692">
        <f>IF(F169&lt;0,F169,F169*(1-F170))</f>
        <v>0</v>
      </c>
      <c r="G171" s="692">
        <f>IF(G169&lt;0,G169,G169*(1-G170))</f>
        <v>113090.56</v>
      </c>
      <c r="H171" s="692">
        <f>IF(H169&lt;0,H169,H169*(1-H170))</f>
        <v>27624.639999999999</v>
      </c>
      <c r="I171" s="692">
        <f t="shared" ref="I171:R171" si="67">IF(I169&lt;0,I169,I169*(1-I170))</f>
        <v>-4842.0000000000009</v>
      </c>
      <c r="J171" s="692">
        <f t="shared" si="67"/>
        <v>-2421.0000000000005</v>
      </c>
      <c r="K171" s="692">
        <f t="shared" si="67"/>
        <v>0</v>
      </c>
      <c r="L171" s="692">
        <f t="shared" si="67"/>
        <v>0</v>
      </c>
      <c r="M171" s="692">
        <f t="shared" si="67"/>
        <v>0</v>
      </c>
      <c r="N171" s="692">
        <f t="shared" si="67"/>
        <v>0</v>
      </c>
      <c r="O171" s="692">
        <f t="shared" si="67"/>
        <v>0</v>
      </c>
      <c r="P171" s="692">
        <f t="shared" si="67"/>
        <v>0</v>
      </c>
      <c r="Q171" s="692">
        <f t="shared" si="67"/>
        <v>0</v>
      </c>
      <c r="R171" s="692">
        <f t="shared" si="67"/>
        <v>0</v>
      </c>
      <c r="S171" s="692"/>
      <c r="T171" s="692"/>
    </row>
    <row r="172" spans="2:20">
      <c r="C172" s="889">
        <f>(C165+C166)/C165</f>
        <v>0.28913814484126982</v>
      </c>
      <c r="D172" s="900">
        <f>C171/C165</f>
        <v>0.16549131944444445</v>
      </c>
    </row>
    <row r="173" spans="2:20">
      <c r="B173" s="706" t="s">
        <v>882</v>
      </c>
      <c r="C173" s="707"/>
      <c r="D173" s="707"/>
      <c r="E173" s="707"/>
      <c r="F173" s="707"/>
      <c r="G173" s="707"/>
      <c r="H173" s="707"/>
      <c r="I173" s="707"/>
      <c r="J173" s="707"/>
      <c r="K173" s="707"/>
      <c r="L173" s="707"/>
      <c r="M173" s="707"/>
      <c r="N173" s="707"/>
      <c r="O173" s="707"/>
      <c r="P173" s="707"/>
      <c r="Q173" s="707"/>
      <c r="R173" s="707"/>
    </row>
    <row r="174" spans="2:20">
      <c r="B174" s="708" t="s">
        <v>843</v>
      </c>
      <c r="C174" s="708" t="str">
        <f>C164</f>
        <v>Total</v>
      </c>
      <c r="D174" s="708" t="str">
        <f t="shared" ref="D174:R174" si="68">D164</f>
        <v>Past</v>
      </c>
      <c r="E174" s="708">
        <f t="shared" si="68"/>
        <v>2014</v>
      </c>
      <c r="F174" s="708">
        <f t="shared" si="68"/>
        <v>2015</v>
      </c>
      <c r="G174" s="708">
        <f t="shared" si="68"/>
        <v>2016</v>
      </c>
      <c r="H174" s="708">
        <f t="shared" si="68"/>
        <v>2017</v>
      </c>
      <c r="I174" s="708">
        <f t="shared" si="68"/>
        <v>2018</v>
      </c>
      <c r="J174" s="708">
        <f t="shared" si="68"/>
        <v>2019</v>
      </c>
      <c r="K174" s="708">
        <f t="shared" si="68"/>
        <v>2020</v>
      </c>
      <c r="L174" s="708">
        <f t="shared" si="68"/>
        <v>2021</v>
      </c>
      <c r="M174" s="708">
        <f t="shared" si="68"/>
        <v>2022</v>
      </c>
      <c r="N174" s="708">
        <f t="shared" si="68"/>
        <v>2023</v>
      </c>
      <c r="O174" s="708">
        <f t="shared" si="68"/>
        <v>2024</v>
      </c>
      <c r="P174" s="708">
        <f t="shared" si="68"/>
        <v>2025</v>
      </c>
      <c r="Q174" s="708">
        <f t="shared" si="68"/>
        <v>2026</v>
      </c>
      <c r="R174" s="708">
        <f t="shared" si="68"/>
        <v>2027</v>
      </c>
      <c r="S174" s="708"/>
      <c r="T174" s="708"/>
    </row>
    <row r="175" spans="2:20">
      <c r="B175" s="633" t="s">
        <v>850</v>
      </c>
      <c r="C175" s="670">
        <f>SUM(E175:R175)</f>
        <v>806400</v>
      </c>
      <c r="D175" s="670"/>
      <c r="E175" s="670">
        <f t="shared" ref="E175:P175" si="69">E61+E40</f>
        <v>0</v>
      </c>
      <c r="F175" s="670">
        <f t="shared" si="69"/>
        <v>338688</v>
      </c>
      <c r="G175" s="670">
        <f t="shared" si="69"/>
        <v>370944</v>
      </c>
      <c r="H175" s="670">
        <f t="shared" si="69"/>
        <v>96768</v>
      </c>
      <c r="I175" s="670">
        <f t="shared" si="69"/>
        <v>0</v>
      </c>
      <c r="J175" s="670">
        <f t="shared" si="69"/>
        <v>0</v>
      </c>
      <c r="K175" s="670">
        <f t="shared" si="69"/>
        <v>0</v>
      </c>
      <c r="L175" s="670">
        <f t="shared" si="69"/>
        <v>0</v>
      </c>
      <c r="M175" s="670">
        <f t="shared" si="69"/>
        <v>0</v>
      </c>
      <c r="N175" s="670">
        <f t="shared" si="69"/>
        <v>0</v>
      </c>
      <c r="O175" s="670">
        <f t="shared" si="69"/>
        <v>0</v>
      </c>
      <c r="P175" s="670">
        <f t="shared" si="69"/>
        <v>0</v>
      </c>
      <c r="Q175" s="670">
        <f>Q61</f>
        <v>0</v>
      </c>
      <c r="R175" s="670">
        <f>R61</f>
        <v>0</v>
      </c>
      <c r="S175" s="670"/>
      <c r="T175" s="670"/>
    </row>
    <row r="176" spans="2:20">
      <c r="B176" s="633" t="s">
        <v>851</v>
      </c>
      <c r="C176" s="670">
        <f>SUM(E176:R176)</f>
        <v>-613498.80000000005</v>
      </c>
      <c r="D176" s="670"/>
      <c r="E176" s="670">
        <f t="shared" ref="E176:R176" si="70">SUM(E177:E181)</f>
        <v>0</v>
      </c>
      <c r="F176" s="670">
        <f t="shared" si="70"/>
        <v>-358134.4</v>
      </c>
      <c r="G176" s="670">
        <f t="shared" si="70"/>
        <v>-205219.84000000003</v>
      </c>
      <c r="H176" s="670">
        <f t="shared" si="70"/>
        <v>-50144.56</v>
      </c>
      <c r="I176" s="670">
        <f t="shared" si="70"/>
        <v>0</v>
      </c>
      <c r="J176" s="670">
        <f t="shared" si="70"/>
        <v>0</v>
      </c>
      <c r="K176" s="670">
        <f t="shared" si="70"/>
        <v>0</v>
      </c>
      <c r="L176" s="670">
        <f t="shared" si="70"/>
        <v>0</v>
      </c>
      <c r="M176" s="670">
        <f t="shared" si="70"/>
        <v>0</v>
      </c>
      <c r="N176" s="670">
        <f t="shared" si="70"/>
        <v>0</v>
      </c>
      <c r="O176" s="670">
        <f t="shared" si="70"/>
        <v>0</v>
      </c>
      <c r="P176" s="670">
        <f t="shared" si="70"/>
        <v>0</v>
      </c>
      <c r="Q176" s="670">
        <f t="shared" si="70"/>
        <v>0</v>
      </c>
      <c r="R176" s="670">
        <f t="shared" si="70"/>
        <v>0</v>
      </c>
      <c r="S176" s="670"/>
      <c r="T176" s="670"/>
    </row>
    <row r="177" spans="2:20">
      <c r="B177" s="634" t="s">
        <v>852</v>
      </c>
      <c r="C177" s="688"/>
      <c r="D177" s="634"/>
      <c r="E177" s="688">
        <f>-E33*D45/SUM($D$45,$D$77,$D$103,$D$132)</f>
        <v>0</v>
      </c>
      <c r="F177" s="688">
        <f t="shared" ref="F177:R178" si="71">-F33</f>
        <v>-130000</v>
      </c>
      <c r="G177" s="688">
        <f t="shared" si="71"/>
        <v>0</v>
      </c>
      <c r="H177" s="688">
        <f t="shared" si="71"/>
        <v>0</v>
      </c>
      <c r="I177" s="688">
        <f t="shared" si="71"/>
        <v>0</v>
      </c>
      <c r="J177" s="688">
        <f t="shared" si="71"/>
        <v>0</v>
      </c>
      <c r="K177" s="688">
        <f t="shared" si="71"/>
        <v>0</v>
      </c>
      <c r="L177" s="688">
        <f t="shared" si="71"/>
        <v>0</v>
      </c>
      <c r="M177" s="688">
        <f t="shared" si="71"/>
        <v>0</v>
      </c>
      <c r="N177" s="688">
        <f t="shared" si="71"/>
        <v>0</v>
      </c>
      <c r="O177" s="688">
        <f t="shared" si="71"/>
        <v>0</v>
      </c>
      <c r="P177" s="688">
        <f t="shared" si="71"/>
        <v>0</v>
      </c>
      <c r="Q177" s="688">
        <f t="shared" si="71"/>
        <v>0</v>
      </c>
      <c r="R177" s="688">
        <f t="shared" si="71"/>
        <v>0</v>
      </c>
    </row>
    <row r="178" spans="2:20">
      <c r="B178" s="634" t="s">
        <v>853</v>
      </c>
      <c r="C178" s="688"/>
      <c r="D178" s="634"/>
      <c r="E178" s="688">
        <f>-E34*D45/SUM($D$45,$D$77,$D$103,$D$132)</f>
        <v>0</v>
      </c>
      <c r="F178" s="688">
        <f t="shared" si="71"/>
        <v>-19200</v>
      </c>
      <c r="G178" s="688">
        <f t="shared" si="71"/>
        <v>-4800</v>
      </c>
      <c r="H178" s="688">
        <f t="shared" si="71"/>
        <v>0</v>
      </c>
      <c r="I178" s="688">
        <f t="shared" si="71"/>
        <v>0</v>
      </c>
      <c r="J178" s="688">
        <f t="shared" si="71"/>
        <v>0</v>
      </c>
      <c r="K178" s="688">
        <f t="shared" si="71"/>
        <v>0</v>
      </c>
      <c r="L178" s="688">
        <f t="shared" si="71"/>
        <v>0</v>
      </c>
      <c r="M178" s="688">
        <f t="shared" si="71"/>
        <v>0</v>
      </c>
      <c r="N178" s="688">
        <f t="shared" si="71"/>
        <v>0</v>
      </c>
      <c r="O178" s="688">
        <f t="shared" si="71"/>
        <v>0</v>
      </c>
      <c r="P178" s="688">
        <f t="shared" si="71"/>
        <v>0</v>
      </c>
      <c r="Q178" s="688">
        <f t="shared" si="71"/>
        <v>0</v>
      </c>
      <c r="R178" s="688">
        <f t="shared" si="71"/>
        <v>0</v>
      </c>
    </row>
    <row r="179" spans="2:20">
      <c r="B179" s="634" t="s">
        <v>788</v>
      </c>
      <c r="C179" s="688"/>
      <c r="D179" s="688"/>
      <c r="E179" s="688">
        <f>-E67</f>
        <v>0</v>
      </c>
      <c r="F179" s="688">
        <f t="shared" ref="F179:R179" si="72">-F67</f>
        <v>-192000</v>
      </c>
      <c r="G179" s="688">
        <f t="shared" si="72"/>
        <v>-153600</v>
      </c>
      <c r="H179" s="688">
        <f t="shared" si="72"/>
        <v>-38400</v>
      </c>
      <c r="I179" s="688">
        <f t="shared" si="72"/>
        <v>0</v>
      </c>
      <c r="J179" s="688">
        <f t="shared" si="72"/>
        <v>0</v>
      </c>
      <c r="K179" s="688">
        <f t="shared" si="72"/>
        <v>0</v>
      </c>
      <c r="L179" s="688">
        <f t="shared" si="72"/>
        <v>0</v>
      </c>
      <c r="M179" s="688">
        <f t="shared" si="72"/>
        <v>0</v>
      </c>
      <c r="N179" s="688">
        <f t="shared" si="72"/>
        <v>0</v>
      </c>
      <c r="O179" s="688">
        <f t="shared" si="72"/>
        <v>0</v>
      </c>
      <c r="P179" s="688">
        <f t="shared" si="72"/>
        <v>0</v>
      </c>
      <c r="Q179" s="688">
        <f t="shared" si="72"/>
        <v>0</v>
      </c>
      <c r="R179" s="688">
        <f t="shared" si="72"/>
        <v>0</v>
      </c>
      <c r="S179" s="688"/>
      <c r="T179" s="688"/>
    </row>
    <row r="180" spans="2:20">
      <c r="B180" s="634" t="s">
        <v>656</v>
      </c>
      <c r="C180" s="688"/>
      <c r="D180" s="688"/>
      <c r="E180" s="688">
        <f t="shared" ref="E180:R180" si="73">-E73-E41</f>
        <v>0</v>
      </c>
      <c r="F180" s="688">
        <f t="shared" si="73"/>
        <v>-16934.400000000001</v>
      </c>
      <c r="G180" s="688">
        <f t="shared" si="73"/>
        <v>-18547.2</v>
      </c>
      <c r="H180" s="688">
        <f t="shared" si="73"/>
        <v>-4838.4000000000005</v>
      </c>
      <c r="I180" s="688">
        <f t="shared" si="73"/>
        <v>0</v>
      </c>
      <c r="J180" s="688">
        <f t="shared" si="73"/>
        <v>0</v>
      </c>
      <c r="K180" s="688">
        <f t="shared" si="73"/>
        <v>0</v>
      </c>
      <c r="L180" s="688">
        <f t="shared" si="73"/>
        <v>0</v>
      </c>
      <c r="M180" s="688">
        <f t="shared" si="73"/>
        <v>0</v>
      </c>
      <c r="N180" s="688">
        <f t="shared" si="73"/>
        <v>0</v>
      </c>
      <c r="O180" s="688">
        <f t="shared" si="73"/>
        <v>0</v>
      </c>
      <c r="P180" s="688">
        <f t="shared" si="73"/>
        <v>0</v>
      </c>
      <c r="Q180" s="688">
        <f t="shared" si="73"/>
        <v>0</v>
      </c>
      <c r="R180" s="688">
        <f t="shared" si="73"/>
        <v>0</v>
      </c>
      <c r="S180" s="688"/>
      <c r="T180" s="688"/>
    </row>
    <row r="181" spans="2:20">
      <c r="B181" s="634" t="s">
        <v>854</v>
      </c>
      <c r="C181" s="679"/>
      <c r="D181" s="679"/>
      <c r="E181" s="679">
        <f>IF(E158&lt;0,0,-E158*E159)</f>
        <v>0</v>
      </c>
      <c r="F181" s="679">
        <f>IF(F169&lt;0,0,-F169*F170)</f>
        <v>0</v>
      </c>
      <c r="G181" s="679">
        <f t="shared" ref="G181:O181" si="74">IF(G169&lt;0,0,-G169*G170)</f>
        <v>-28272.639999999999</v>
      </c>
      <c r="H181" s="679">
        <f t="shared" si="74"/>
        <v>-6906.16</v>
      </c>
      <c r="I181" s="679">
        <f t="shared" si="74"/>
        <v>0</v>
      </c>
      <c r="J181" s="679">
        <f t="shared" si="74"/>
        <v>0</v>
      </c>
      <c r="K181" s="679">
        <f t="shared" si="74"/>
        <v>0</v>
      </c>
      <c r="L181" s="679">
        <f t="shared" si="74"/>
        <v>0</v>
      </c>
      <c r="M181" s="679">
        <f t="shared" si="74"/>
        <v>0</v>
      </c>
      <c r="N181" s="679">
        <f t="shared" si="74"/>
        <v>0</v>
      </c>
      <c r="O181" s="679">
        <f t="shared" si="74"/>
        <v>0</v>
      </c>
      <c r="P181" s="679">
        <f>IF(P158&lt;0,0,-P158*P159)</f>
        <v>0</v>
      </c>
      <c r="Q181" s="679">
        <f>IF(Q158&lt;0,0,-Q158*Q159)</f>
        <v>0</v>
      </c>
      <c r="R181" s="679">
        <f>IF(R158&lt;0,0,-R158*R159)</f>
        <v>0</v>
      </c>
      <c r="S181" s="679"/>
      <c r="T181" s="679"/>
    </row>
    <row r="182" spans="2:20">
      <c r="B182" s="634" t="s">
        <v>855</v>
      </c>
      <c r="C182" s="670">
        <f>C175+C176</f>
        <v>192901.19999999995</v>
      </c>
      <c r="D182" s="670">
        <f>D175-D176</f>
        <v>0</v>
      </c>
      <c r="E182" s="670">
        <f>E175+E176</f>
        <v>0</v>
      </c>
      <c r="F182" s="670">
        <f>F175+F176</f>
        <v>-19446.400000000023</v>
      </c>
      <c r="G182" s="670">
        <f>G175+G176</f>
        <v>165724.15999999997</v>
      </c>
      <c r="H182" s="670">
        <f t="shared" ref="H182:R182" si="75">H175+H176</f>
        <v>46623.44</v>
      </c>
      <c r="I182" s="670">
        <f t="shared" si="75"/>
        <v>0</v>
      </c>
      <c r="J182" s="670">
        <f t="shared" si="75"/>
        <v>0</v>
      </c>
      <c r="K182" s="670">
        <f t="shared" si="75"/>
        <v>0</v>
      </c>
      <c r="L182" s="670">
        <f t="shared" si="75"/>
        <v>0</v>
      </c>
      <c r="M182" s="670">
        <f t="shared" si="75"/>
        <v>0</v>
      </c>
      <c r="N182" s="670">
        <f t="shared" si="75"/>
        <v>0</v>
      </c>
      <c r="O182" s="670">
        <f t="shared" si="75"/>
        <v>0</v>
      </c>
      <c r="P182" s="670">
        <f t="shared" si="75"/>
        <v>0</v>
      </c>
      <c r="Q182" s="670">
        <f t="shared" si="75"/>
        <v>0</v>
      </c>
      <c r="R182" s="670">
        <f t="shared" si="75"/>
        <v>0</v>
      </c>
      <c r="S182" s="670"/>
      <c r="T182" s="670"/>
    </row>
    <row r="183" spans="2:20" s="710" customFormat="1">
      <c r="B183" s="710" t="s">
        <v>856</v>
      </c>
      <c r="E183" s="710">
        <f>($F$21+1)^(3/12)</f>
        <v>1.0360799631532644</v>
      </c>
      <c r="F183" s="710">
        <f>E183*((1+G21)^(15/12))</f>
        <v>1.2294349092551093</v>
      </c>
      <c r="G183" s="710">
        <f>F183*(1+H21)^(27/12)</f>
        <v>1.6664968918645606</v>
      </c>
      <c r="H183" s="710">
        <f>G183*(1+I21)^(39/12)</f>
        <v>2.571625722243434</v>
      </c>
      <c r="I183" s="710">
        <f>H183*(1+J21)^(51/12)</f>
        <v>4.5350412933477626</v>
      </c>
      <c r="J183" s="710">
        <f t="shared" ref="J183:R183" si="76">I183*(1+K21)</f>
        <v>5.1826451900378236</v>
      </c>
      <c r="K183" s="710">
        <f t="shared" si="76"/>
        <v>5.9227269231752251</v>
      </c>
      <c r="L183" s="710">
        <f t="shared" si="76"/>
        <v>6.7684923278046476</v>
      </c>
      <c r="M183" s="710">
        <f t="shared" si="76"/>
        <v>7.7350330322151519</v>
      </c>
      <c r="N183" s="710">
        <f t="shared" si="76"/>
        <v>8.8395957492154764</v>
      </c>
      <c r="O183" s="710">
        <f t="shared" si="76"/>
        <v>10.101890022203447</v>
      </c>
      <c r="P183" s="710">
        <f t="shared" si="76"/>
        <v>11.544439917374099</v>
      </c>
      <c r="Q183" s="710">
        <f t="shared" si="76"/>
        <v>13.19298593757512</v>
      </c>
      <c r="R183" s="710">
        <f t="shared" si="76"/>
        <v>13.19298593757512</v>
      </c>
    </row>
    <row r="184" spans="2:20">
      <c r="B184" s="634" t="s">
        <v>857</v>
      </c>
      <c r="D184" s="634"/>
      <c r="E184" s="711">
        <f>E182/E183</f>
        <v>0</v>
      </c>
      <c r="F184" s="711">
        <f t="shared" ref="F184:R184" si="77">F182/F183</f>
        <v>-15817.34816020656</v>
      </c>
      <c r="G184" s="711">
        <f t="shared" si="77"/>
        <v>99444.625915011129</v>
      </c>
      <c r="H184" s="711">
        <f t="shared" si="77"/>
        <v>18129.947759010072</v>
      </c>
      <c r="I184" s="711">
        <f t="shared" si="77"/>
        <v>0</v>
      </c>
      <c r="J184" s="711">
        <f t="shared" si="77"/>
        <v>0</v>
      </c>
      <c r="K184" s="711">
        <f t="shared" si="77"/>
        <v>0</v>
      </c>
      <c r="L184" s="711">
        <f t="shared" si="77"/>
        <v>0</v>
      </c>
      <c r="M184" s="711">
        <f t="shared" si="77"/>
        <v>0</v>
      </c>
      <c r="N184" s="711">
        <f t="shared" si="77"/>
        <v>0</v>
      </c>
      <c r="O184" s="711">
        <f t="shared" si="77"/>
        <v>0</v>
      </c>
      <c r="P184" s="711">
        <f t="shared" si="77"/>
        <v>0</v>
      </c>
      <c r="Q184" s="711">
        <f t="shared" si="77"/>
        <v>0</v>
      </c>
      <c r="R184" s="711">
        <f t="shared" si="77"/>
        <v>0</v>
      </c>
    </row>
    <row r="185" spans="2:20">
      <c r="B185" s="634" t="s">
        <v>858</v>
      </c>
      <c r="C185" s="688">
        <f>E184+F184+G184+H184+I184+J184+K184</f>
        <v>101757.22551381464</v>
      </c>
      <c r="D185" s="634"/>
      <c r="E185" s="690"/>
    </row>
    <row r="186" spans="2:20">
      <c r="B186" s="712" t="s">
        <v>883</v>
      </c>
      <c r="C186" s="713">
        <f>C185*$C$9</f>
        <v>86798.913363283893</v>
      </c>
      <c r="D186" s="670"/>
      <c r="E186" s="670" t="s">
        <v>887</v>
      </c>
      <c r="F186" s="670"/>
      <c r="G186" s="670"/>
      <c r="H186" s="670"/>
      <c r="I186" s="670"/>
      <c r="J186" s="670"/>
      <c r="K186" s="670"/>
      <c r="L186" s="670"/>
      <c r="M186" s="670"/>
      <c r="N186" s="670"/>
      <c r="O186" s="670"/>
      <c r="P186" s="670"/>
      <c r="Q186" s="670"/>
      <c r="R186" s="670"/>
      <c r="S186" s="670"/>
      <c r="T186" s="670"/>
    </row>
    <row r="187" spans="2:20">
      <c r="C187" s="670"/>
      <c r="D187" s="670"/>
      <c r="E187" s="670">
        <f>E176+F177+G177</f>
        <v>-130000</v>
      </c>
      <c r="F187" s="670">
        <f>F182-F177</f>
        <v>110553.59999999998</v>
      </c>
      <c r="G187" s="670">
        <f>G182-G177</f>
        <v>165724.15999999997</v>
      </c>
      <c r="H187" s="670">
        <f>H182</f>
        <v>46623.44</v>
      </c>
      <c r="I187" s="670">
        <f>I182</f>
        <v>0</v>
      </c>
      <c r="J187" s="670"/>
      <c r="K187" s="670"/>
      <c r="L187" s="670"/>
      <c r="M187" s="670"/>
      <c r="N187" s="670"/>
      <c r="O187" s="670"/>
      <c r="P187" s="670"/>
      <c r="Q187" s="670"/>
      <c r="R187" s="670"/>
      <c r="S187" s="670"/>
      <c r="T187" s="670"/>
    </row>
    <row r="188" spans="2:20" hidden="1">
      <c r="B188" s="706" t="s">
        <v>860</v>
      </c>
      <c r="C188" s="707"/>
      <c r="D188" s="707"/>
      <c r="E188" s="707"/>
      <c r="F188" s="707"/>
      <c r="G188" s="707"/>
      <c r="H188" s="707"/>
      <c r="I188" s="707"/>
      <c r="J188" s="707"/>
      <c r="K188" s="707"/>
      <c r="L188" s="707"/>
      <c r="M188" s="707"/>
      <c r="N188" s="707"/>
      <c r="O188" s="707"/>
      <c r="P188" s="707"/>
      <c r="Q188" s="707"/>
      <c r="R188" s="707"/>
    </row>
    <row r="189" spans="2:20" hidden="1">
      <c r="B189" s="708" t="s">
        <v>843</v>
      </c>
      <c r="C189" s="708" t="str">
        <f>C174</f>
        <v>Total</v>
      </c>
      <c r="D189" s="708" t="str">
        <f t="shared" ref="D189:R189" si="78">D174</f>
        <v>Past</v>
      </c>
      <c r="E189" s="708">
        <f t="shared" si="78"/>
        <v>2014</v>
      </c>
      <c r="F189" s="708">
        <f t="shared" si="78"/>
        <v>2015</v>
      </c>
      <c r="G189" s="708">
        <f t="shared" si="78"/>
        <v>2016</v>
      </c>
      <c r="H189" s="708">
        <f t="shared" si="78"/>
        <v>2017</v>
      </c>
      <c r="I189" s="708">
        <f t="shared" si="78"/>
        <v>2018</v>
      </c>
      <c r="J189" s="708">
        <f t="shared" si="78"/>
        <v>2019</v>
      </c>
      <c r="K189" s="708">
        <f t="shared" si="78"/>
        <v>2020</v>
      </c>
      <c r="L189" s="708">
        <f t="shared" si="78"/>
        <v>2021</v>
      </c>
      <c r="M189" s="708">
        <f t="shared" si="78"/>
        <v>2022</v>
      </c>
      <c r="N189" s="708">
        <f t="shared" si="78"/>
        <v>2023</v>
      </c>
      <c r="O189" s="708">
        <f t="shared" si="78"/>
        <v>2024</v>
      </c>
      <c r="P189" s="708">
        <f t="shared" si="78"/>
        <v>2025</v>
      </c>
      <c r="Q189" s="708">
        <f t="shared" si="78"/>
        <v>2026</v>
      </c>
      <c r="R189" s="708">
        <f t="shared" si="78"/>
        <v>2027</v>
      </c>
      <c r="S189" s="708"/>
      <c r="T189" s="708"/>
    </row>
    <row r="190" spans="2:20" hidden="1">
      <c r="B190" s="633" t="s">
        <v>850</v>
      </c>
      <c r="C190" s="670"/>
      <c r="D190" s="670"/>
      <c r="E190" s="670">
        <f>E92+SUM(E146:E147)</f>
        <v>0</v>
      </c>
      <c r="F190" s="670">
        <f>SUM(F92,F120,F146:F147)</f>
        <v>0</v>
      </c>
      <c r="G190" s="670">
        <f t="shared" ref="G190:R190" si="79">SUM(G92,G120,G146:G147)</f>
        <v>0</v>
      </c>
      <c r="H190" s="670">
        <f t="shared" si="79"/>
        <v>0</v>
      </c>
      <c r="I190" s="670">
        <f t="shared" si="79"/>
        <v>0</v>
      </c>
      <c r="J190" s="670">
        <f t="shared" si="79"/>
        <v>0</v>
      </c>
      <c r="K190" s="670">
        <f t="shared" si="79"/>
        <v>0</v>
      </c>
      <c r="L190" s="670">
        <f t="shared" si="79"/>
        <v>0</v>
      </c>
      <c r="M190" s="670">
        <f t="shared" si="79"/>
        <v>0</v>
      </c>
      <c r="N190" s="670">
        <f t="shared" si="79"/>
        <v>0</v>
      </c>
      <c r="O190" s="670">
        <f t="shared" si="79"/>
        <v>0</v>
      </c>
      <c r="P190" s="670">
        <f t="shared" si="79"/>
        <v>0</v>
      </c>
      <c r="Q190" s="670">
        <f t="shared" si="79"/>
        <v>0</v>
      </c>
      <c r="R190" s="670">
        <f t="shared" si="79"/>
        <v>0</v>
      </c>
      <c r="S190" s="670"/>
      <c r="T190" s="670"/>
    </row>
    <row r="191" spans="2:20" hidden="1">
      <c r="B191" s="633" t="s">
        <v>851</v>
      </c>
      <c r="C191" s="670"/>
      <c r="D191" s="670"/>
      <c r="E191" s="670">
        <f t="shared" ref="E191:R191" si="80">SUM(E192:E197)</f>
        <v>0</v>
      </c>
      <c r="F191" s="670">
        <f t="shared" si="80"/>
        <v>-7065.5999999999985</v>
      </c>
      <c r="G191" s="670">
        <f>SUM(G192:G197)</f>
        <v>-21734.400000000005</v>
      </c>
      <c r="H191" s="670">
        <f t="shared" si="80"/>
        <v>0</v>
      </c>
      <c r="I191" s="670">
        <f t="shared" si="80"/>
        <v>0</v>
      </c>
      <c r="J191" s="670">
        <f t="shared" si="80"/>
        <v>0</v>
      </c>
      <c r="K191" s="670">
        <f t="shared" si="80"/>
        <v>0</v>
      </c>
      <c r="L191" s="670">
        <f t="shared" si="80"/>
        <v>0</v>
      </c>
      <c r="M191" s="670">
        <f t="shared" si="80"/>
        <v>0</v>
      </c>
      <c r="N191" s="670">
        <f t="shared" si="80"/>
        <v>0</v>
      </c>
      <c r="O191" s="670">
        <f t="shared" si="80"/>
        <v>0</v>
      </c>
      <c r="P191" s="670">
        <f t="shared" si="80"/>
        <v>0</v>
      </c>
      <c r="Q191" s="670">
        <f t="shared" si="80"/>
        <v>0</v>
      </c>
      <c r="R191" s="670">
        <f t="shared" si="80"/>
        <v>0</v>
      </c>
      <c r="S191" s="670"/>
      <c r="T191" s="670"/>
    </row>
    <row r="192" spans="2:20" hidden="1">
      <c r="B192" s="634" t="s">
        <v>852</v>
      </c>
      <c r="C192" s="688"/>
      <c r="D192" s="634"/>
      <c r="E192" s="688">
        <f t="shared" ref="E192:R192" si="81">-E33-E177</f>
        <v>0</v>
      </c>
      <c r="F192" s="688">
        <f t="shared" si="81"/>
        <v>0</v>
      </c>
      <c r="G192" s="688">
        <f t="shared" si="81"/>
        <v>0</v>
      </c>
      <c r="H192" s="688">
        <f t="shared" si="81"/>
        <v>0</v>
      </c>
      <c r="I192" s="688">
        <f t="shared" si="81"/>
        <v>0</v>
      </c>
      <c r="J192" s="688">
        <f t="shared" si="81"/>
        <v>0</v>
      </c>
      <c r="K192" s="688">
        <f t="shared" si="81"/>
        <v>0</v>
      </c>
      <c r="L192" s="688">
        <f t="shared" si="81"/>
        <v>0</v>
      </c>
      <c r="M192" s="688">
        <f t="shared" si="81"/>
        <v>0</v>
      </c>
      <c r="N192" s="688">
        <f t="shared" si="81"/>
        <v>0</v>
      </c>
      <c r="O192" s="688">
        <f t="shared" si="81"/>
        <v>0</v>
      </c>
      <c r="P192" s="688">
        <f t="shared" si="81"/>
        <v>0</v>
      </c>
      <c r="Q192" s="688">
        <f t="shared" si="81"/>
        <v>0</v>
      </c>
      <c r="R192" s="688">
        <f t="shared" si="81"/>
        <v>0</v>
      </c>
    </row>
    <row r="193" spans="2:20" hidden="1">
      <c r="B193" s="634" t="s">
        <v>853</v>
      </c>
      <c r="C193" s="688"/>
      <c r="D193" s="634"/>
      <c r="E193" s="688"/>
      <c r="F193" s="688">
        <f>-G34+F178</f>
        <v>-24000</v>
      </c>
      <c r="G193" s="688">
        <f>-H34+G178</f>
        <v>-4800</v>
      </c>
      <c r="H193" s="688">
        <f>-I34+H178</f>
        <v>0</v>
      </c>
      <c r="I193" s="688">
        <f t="shared" ref="I193:R193" si="82">-I34+I178</f>
        <v>0</v>
      </c>
      <c r="J193" s="688">
        <f t="shared" si="82"/>
        <v>0</v>
      </c>
      <c r="K193" s="688">
        <f t="shared" si="82"/>
        <v>0</v>
      </c>
      <c r="L193" s="688">
        <f t="shared" si="82"/>
        <v>0</v>
      </c>
      <c r="M193" s="688">
        <f t="shared" si="82"/>
        <v>0</v>
      </c>
      <c r="N193" s="688">
        <f t="shared" si="82"/>
        <v>0</v>
      </c>
      <c r="O193" s="688">
        <f t="shared" si="82"/>
        <v>0</v>
      </c>
      <c r="P193" s="688">
        <f t="shared" si="82"/>
        <v>0</v>
      </c>
      <c r="Q193" s="688">
        <f t="shared" si="82"/>
        <v>0</v>
      </c>
      <c r="R193" s="688">
        <f t="shared" si="82"/>
        <v>0</v>
      </c>
    </row>
    <row r="194" spans="2:20" hidden="1">
      <c r="B194" s="634" t="s">
        <v>788</v>
      </c>
      <c r="C194" s="688"/>
      <c r="D194" s="688"/>
      <c r="E194" s="688">
        <f>-(D132*D141+D103*D109+D77*D83)*40%</f>
        <v>0</v>
      </c>
      <c r="F194" s="688">
        <f>-(D132*D141+D103*D109+D77*D83)*40%</f>
        <v>0</v>
      </c>
      <c r="G194" s="688">
        <f>-(D132*D141+D103*D109+D77*D83)*20%</f>
        <v>0</v>
      </c>
      <c r="H194" s="688"/>
      <c r="I194" s="688"/>
      <c r="J194" s="688"/>
      <c r="K194" s="688"/>
      <c r="L194" s="688"/>
      <c r="M194" s="688"/>
      <c r="N194" s="688"/>
      <c r="O194" s="688"/>
      <c r="P194" s="688"/>
      <c r="Q194" s="688"/>
      <c r="R194" s="688"/>
      <c r="S194" s="688"/>
      <c r="T194" s="688"/>
    </row>
    <row r="195" spans="2:20" hidden="1">
      <c r="B195" s="634" t="s">
        <v>821</v>
      </c>
      <c r="C195" s="688"/>
      <c r="D195" s="688"/>
      <c r="E195" s="688">
        <f>-(E96+E150)</f>
        <v>0</v>
      </c>
      <c r="F195" s="688">
        <f>SUM(F150,F123,F96)</f>
        <v>0</v>
      </c>
      <c r="G195" s="688">
        <f>SUM(G150,G123,G96)</f>
        <v>0</v>
      </c>
      <c r="H195" s="688">
        <f t="shared" ref="H195:R195" si="83">SUM(H150,H123,H96)</f>
        <v>0</v>
      </c>
      <c r="I195" s="688">
        <f t="shared" si="83"/>
        <v>0</v>
      </c>
      <c r="J195" s="688">
        <f t="shared" si="83"/>
        <v>0</v>
      </c>
      <c r="K195" s="688">
        <f t="shared" si="83"/>
        <v>0</v>
      </c>
      <c r="L195" s="688">
        <f t="shared" si="83"/>
        <v>0</v>
      </c>
      <c r="M195" s="688">
        <f t="shared" si="83"/>
        <v>0</v>
      </c>
      <c r="N195" s="688">
        <f t="shared" si="83"/>
        <v>0</v>
      </c>
      <c r="O195" s="688">
        <f t="shared" si="83"/>
        <v>0</v>
      </c>
      <c r="P195" s="688">
        <f t="shared" si="83"/>
        <v>0</v>
      </c>
      <c r="Q195" s="688">
        <f t="shared" si="83"/>
        <v>0</v>
      </c>
      <c r="R195" s="688">
        <f t="shared" si="83"/>
        <v>0</v>
      </c>
      <c r="S195" s="688"/>
      <c r="T195" s="688"/>
    </row>
    <row r="196" spans="2:20" hidden="1">
      <c r="B196" s="634" t="s">
        <v>656</v>
      </c>
      <c r="C196" s="688">
        <f>C167</f>
        <v>-40320.000000000007</v>
      </c>
      <c r="D196" s="688">
        <f>D167</f>
        <v>0</v>
      </c>
      <c r="E196" s="688">
        <f>E167-E156</f>
        <v>0</v>
      </c>
      <c r="F196" s="688">
        <f>F167-F156</f>
        <v>16934.400000000001</v>
      </c>
      <c r="G196" s="688">
        <f>G167-G156</f>
        <v>-16934.400000000005</v>
      </c>
      <c r="H196" s="688">
        <f t="shared" ref="H196:R196" si="84">H167-H156</f>
        <v>0</v>
      </c>
      <c r="I196" s="688">
        <f t="shared" si="84"/>
        <v>0</v>
      </c>
      <c r="J196" s="688">
        <f t="shared" si="84"/>
        <v>0</v>
      </c>
      <c r="K196" s="688">
        <f t="shared" si="84"/>
        <v>0</v>
      </c>
      <c r="L196" s="688">
        <f t="shared" si="84"/>
        <v>0</v>
      </c>
      <c r="M196" s="688">
        <f t="shared" si="84"/>
        <v>0</v>
      </c>
      <c r="N196" s="688">
        <f t="shared" si="84"/>
        <v>0</v>
      </c>
      <c r="O196" s="688">
        <f t="shared" si="84"/>
        <v>0</v>
      </c>
      <c r="P196" s="688">
        <f t="shared" si="84"/>
        <v>0</v>
      </c>
      <c r="Q196" s="688">
        <f t="shared" si="84"/>
        <v>0</v>
      </c>
      <c r="R196" s="688">
        <f t="shared" si="84"/>
        <v>0</v>
      </c>
      <c r="S196" s="688"/>
      <c r="T196" s="688"/>
    </row>
    <row r="197" spans="2:20" hidden="1">
      <c r="B197" s="634" t="s">
        <v>854</v>
      </c>
      <c r="C197" s="679">
        <f>IF(C169&lt;0,0,C169*C170)</f>
        <v>0</v>
      </c>
      <c r="D197" s="679">
        <f>IF(D169&lt;0,0,D169*D170)</f>
        <v>0</v>
      </c>
      <c r="E197" s="679">
        <f t="shared" ref="E197:R197" si="85">IF(E169&lt;0,0,-E169*E170)-E181</f>
        <v>0</v>
      </c>
      <c r="F197" s="679">
        <f t="shared" si="85"/>
        <v>0</v>
      </c>
      <c r="G197" s="679">
        <f t="shared" si="85"/>
        <v>0</v>
      </c>
      <c r="H197" s="679">
        <f t="shared" si="85"/>
        <v>0</v>
      </c>
      <c r="I197" s="679">
        <f t="shared" si="85"/>
        <v>0</v>
      </c>
      <c r="J197" s="679">
        <f t="shared" si="85"/>
        <v>0</v>
      </c>
      <c r="K197" s="679">
        <f t="shared" si="85"/>
        <v>0</v>
      </c>
      <c r="L197" s="679">
        <f t="shared" si="85"/>
        <v>0</v>
      </c>
      <c r="M197" s="679">
        <f t="shared" si="85"/>
        <v>0</v>
      </c>
      <c r="N197" s="679">
        <f t="shared" si="85"/>
        <v>0</v>
      </c>
      <c r="O197" s="679">
        <f t="shared" si="85"/>
        <v>0</v>
      </c>
      <c r="P197" s="679">
        <f t="shared" si="85"/>
        <v>0</v>
      </c>
      <c r="Q197" s="679">
        <f t="shared" si="85"/>
        <v>0</v>
      </c>
      <c r="R197" s="679">
        <f t="shared" si="85"/>
        <v>0</v>
      </c>
      <c r="S197" s="679"/>
      <c r="T197" s="679"/>
    </row>
    <row r="198" spans="2:20" hidden="1">
      <c r="B198" s="634" t="s">
        <v>855</v>
      </c>
      <c r="C198" s="670">
        <f>C190-C191</f>
        <v>0</v>
      </c>
      <c r="D198" s="670">
        <f>D190-D191</f>
        <v>0</v>
      </c>
      <c r="E198" s="670">
        <f>IF($C$12&lt;E189,0,E190+E191)</f>
        <v>0</v>
      </c>
      <c r="F198" s="670">
        <f t="shared" ref="F198:R198" si="86">IF($C$12&lt;F189,0,F190+F191)</f>
        <v>-7065.5999999999985</v>
      </c>
      <c r="G198" s="670">
        <f>IF($C$12&lt;G189,0,G190+G191)</f>
        <v>-21734.400000000005</v>
      </c>
      <c r="H198" s="670">
        <f t="shared" si="86"/>
        <v>0</v>
      </c>
      <c r="I198" s="670">
        <f t="shared" si="86"/>
        <v>0</v>
      </c>
      <c r="J198" s="670">
        <f t="shared" si="86"/>
        <v>0</v>
      </c>
      <c r="K198" s="670">
        <f t="shared" si="86"/>
        <v>0</v>
      </c>
      <c r="L198" s="670">
        <f t="shared" si="86"/>
        <v>0</v>
      </c>
      <c r="M198" s="670">
        <f t="shared" si="86"/>
        <v>0</v>
      </c>
      <c r="N198" s="670">
        <f t="shared" si="86"/>
        <v>0</v>
      </c>
      <c r="O198" s="670">
        <f t="shared" si="86"/>
        <v>0</v>
      </c>
      <c r="P198" s="670">
        <f t="shared" si="86"/>
        <v>0</v>
      </c>
      <c r="Q198" s="670">
        <f t="shared" si="86"/>
        <v>0</v>
      </c>
      <c r="R198" s="670">
        <f t="shared" si="86"/>
        <v>0</v>
      </c>
      <c r="S198" s="670"/>
      <c r="T198" s="670"/>
    </row>
    <row r="199" spans="2:20" hidden="1">
      <c r="B199" s="634" t="s">
        <v>861</v>
      </c>
      <c r="C199" s="670"/>
      <c r="D199" s="670"/>
      <c r="E199" s="670">
        <f t="shared" ref="E199:R199" si="87">IF($C$12&lt;&gt;E189,0,E198*(1+$C$10)/(E21-$C$10))</f>
        <v>0</v>
      </c>
      <c r="F199" s="670">
        <f t="shared" si="87"/>
        <v>0</v>
      </c>
      <c r="G199" s="670">
        <f t="shared" si="87"/>
        <v>0</v>
      </c>
      <c r="H199" s="670">
        <f t="shared" si="87"/>
        <v>0</v>
      </c>
      <c r="I199" s="670">
        <f t="shared" si="87"/>
        <v>0</v>
      </c>
      <c r="J199" s="670">
        <f t="shared" si="87"/>
        <v>0</v>
      </c>
      <c r="K199" s="670">
        <f t="shared" si="87"/>
        <v>0</v>
      </c>
      <c r="L199" s="670">
        <f t="shared" si="87"/>
        <v>0</v>
      </c>
      <c r="M199" s="670">
        <f t="shared" si="87"/>
        <v>0</v>
      </c>
      <c r="N199" s="670">
        <f t="shared" si="87"/>
        <v>0</v>
      </c>
      <c r="O199" s="670">
        <f t="shared" si="87"/>
        <v>0</v>
      </c>
      <c r="P199" s="670">
        <f t="shared" si="87"/>
        <v>0</v>
      </c>
      <c r="Q199" s="670">
        <f t="shared" si="87"/>
        <v>0</v>
      </c>
      <c r="R199" s="670">
        <f t="shared" si="87"/>
        <v>0</v>
      </c>
      <c r="S199" s="670"/>
      <c r="T199" s="670"/>
    </row>
    <row r="200" spans="2:20" hidden="1">
      <c r="D200" s="634"/>
      <c r="E200" s="714">
        <f t="shared" ref="E200:J200" si="88">SUM(E198:E199)</f>
        <v>0</v>
      </c>
      <c r="F200" s="714">
        <f t="shared" si="88"/>
        <v>-7065.5999999999985</v>
      </c>
      <c r="G200" s="714">
        <f t="shared" si="88"/>
        <v>-21734.400000000005</v>
      </c>
      <c r="H200" s="714">
        <f t="shared" si="88"/>
        <v>0</v>
      </c>
      <c r="I200" s="714">
        <f t="shared" si="88"/>
        <v>0</v>
      </c>
      <c r="J200" s="714">
        <f t="shared" si="88"/>
        <v>0</v>
      </c>
      <c r="K200" s="714">
        <f t="shared" ref="K200:P200" si="89">SUM(K198:K199)</f>
        <v>0</v>
      </c>
      <c r="L200" s="714">
        <f t="shared" si="89"/>
        <v>0</v>
      </c>
      <c r="M200" s="714">
        <f t="shared" si="89"/>
        <v>0</v>
      </c>
      <c r="N200" s="714">
        <f t="shared" si="89"/>
        <v>0</v>
      </c>
      <c r="O200" s="714">
        <f t="shared" si="89"/>
        <v>0</v>
      </c>
      <c r="P200" s="714">
        <f t="shared" si="89"/>
        <v>0</v>
      </c>
      <c r="Q200" s="714">
        <f>SUM(Q198:Q199)</f>
        <v>0</v>
      </c>
      <c r="R200" s="714">
        <f>SUM(R198:R199)</f>
        <v>0</v>
      </c>
    </row>
    <row r="201" spans="2:20" s="710" customFormat="1" hidden="1">
      <c r="B201" s="710" t="s">
        <v>856</v>
      </c>
      <c r="E201" s="710">
        <f>E183</f>
        <v>1.0360799631532644</v>
      </c>
      <c r="F201" s="710">
        <f t="shared" ref="F201:R201" si="90">F183</f>
        <v>1.2294349092551093</v>
      </c>
      <c r="G201" s="710">
        <f t="shared" si="90"/>
        <v>1.6664968918645606</v>
      </c>
      <c r="H201" s="710">
        <f t="shared" si="90"/>
        <v>2.571625722243434</v>
      </c>
      <c r="I201" s="710">
        <f t="shared" si="90"/>
        <v>4.5350412933477626</v>
      </c>
      <c r="J201" s="710">
        <f t="shared" si="90"/>
        <v>5.1826451900378236</v>
      </c>
      <c r="K201" s="710">
        <f t="shared" si="90"/>
        <v>5.9227269231752251</v>
      </c>
      <c r="L201" s="710">
        <f t="shared" si="90"/>
        <v>6.7684923278046476</v>
      </c>
      <c r="M201" s="710">
        <f t="shared" si="90"/>
        <v>7.7350330322151519</v>
      </c>
      <c r="N201" s="710">
        <f t="shared" si="90"/>
        <v>8.8395957492154764</v>
      </c>
      <c r="O201" s="710">
        <f t="shared" si="90"/>
        <v>10.101890022203447</v>
      </c>
      <c r="P201" s="710">
        <f t="shared" si="90"/>
        <v>11.544439917374099</v>
      </c>
      <c r="Q201" s="710">
        <f t="shared" si="90"/>
        <v>13.19298593757512</v>
      </c>
      <c r="R201" s="710">
        <f t="shared" si="90"/>
        <v>13.19298593757512</v>
      </c>
    </row>
    <row r="202" spans="2:20" hidden="1">
      <c r="B202" s="634" t="s">
        <v>857</v>
      </c>
      <c r="D202" s="634"/>
      <c r="E202" s="711">
        <f>E200/E201</f>
        <v>0</v>
      </c>
      <c r="F202" s="711">
        <f>F200/F201</f>
        <v>-5747.0305640506886</v>
      </c>
      <c r="G202" s="711">
        <f t="shared" ref="G202:Q202" si="91">G200/G201</f>
        <v>-13041.968518574591</v>
      </c>
      <c r="H202" s="711">
        <f t="shared" si="91"/>
        <v>0</v>
      </c>
      <c r="I202" s="711">
        <f t="shared" si="91"/>
        <v>0</v>
      </c>
      <c r="J202" s="711">
        <f t="shared" si="91"/>
        <v>0</v>
      </c>
      <c r="K202" s="711">
        <f t="shared" si="91"/>
        <v>0</v>
      </c>
      <c r="L202" s="711">
        <f t="shared" si="91"/>
        <v>0</v>
      </c>
      <c r="M202" s="711">
        <f t="shared" si="91"/>
        <v>0</v>
      </c>
      <c r="N202" s="711">
        <f t="shared" si="91"/>
        <v>0</v>
      </c>
      <c r="O202" s="711">
        <f t="shared" si="91"/>
        <v>0</v>
      </c>
      <c r="P202" s="711">
        <f t="shared" si="91"/>
        <v>0</v>
      </c>
      <c r="Q202" s="711">
        <f t="shared" si="91"/>
        <v>0</v>
      </c>
      <c r="R202" s="711">
        <f>R200/R201</f>
        <v>0</v>
      </c>
    </row>
    <row r="203" spans="2:20" hidden="1">
      <c r="B203" s="634" t="s">
        <v>858</v>
      </c>
      <c r="C203" s="688">
        <f>SUM(F202:R202)+E202</f>
        <v>-18788.99908262528</v>
      </c>
      <c r="D203" s="634"/>
    </row>
    <row r="204" spans="2:20" hidden="1">
      <c r="B204" s="712" t="s">
        <v>862</v>
      </c>
      <c r="C204" s="713">
        <f>C203*C9</f>
        <v>-16027.016217479364</v>
      </c>
      <c r="D204" s="634"/>
      <c r="F204" s="636"/>
    </row>
    <row r="205" spans="2:20">
      <c r="E205" s="690">
        <f>IRR(E187:I187)</f>
        <v>0.71542708451500547</v>
      </c>
    </row>
    <row r="207" spans="2:20" ht="12" thickBot="1">
      <c r="B207" s="633" t="s">
        <v>863</v>
      </c>
      <c r="D207" s="633">
        <v>2011</v>
      </c>
      <c r="E207" s="633">
        <v>2012</v>
      </c>
      <c r="F207" s="633">
        <v>2013</v>
      </c>
      <c r="G207" s="633">
        <v>2014</v>
      </c>
      <c r="H207" s="633">
        <v>2015</v>
      </c>
      <c r="I207" s="633">
        <v>2016</v>
      </c>
      <c r="J207" s="633">
        <v>2017</v>
      </c>
      <c r="K207" s="633">
        <v>2018</v>
      </c>
      <c r="L207" s="633">
        <v>2019</v>
      </c>
      <c r="M207" s="633">
        <v>2020</v>
      </c>
      <c r="N207" s="633">
        <v>2021</v>
      </c>
      <c r="O207" s="633">
        <v>2022</v>
      </c>
      <c r="P207" s="633">
        <v>2023</v>
      </c>
      <c r="Q207" s="633">
        <v>2024</v>
      </c>
      <c r="R207" s="633">
        <v>2025</v>
      </c>
    </row>
    <row r="208" spans="2:20" ht="12" thickBot="1">
      <c r="B208" s="634" t="s">
        <v>864</v>
      </c>
      <c r="C208" s="671">
        <f>F1*E2</f>
        <v>134500</v>
      </c>
      <c r="D208" s="634"/>
    </row>
    <row r="209" spans="2:19" ht="12" thickBot="1">
      <c r="B209" s="634" t="s">
        <v>865</v>
      </c>
      <c r="C209" s="679"/>
      <c r="D209" s="715">
        <v>0</v>
      </c>
      <c r="E209" s="716">
        <v>0</v>
      </c>
      <c r="F209" s="716">
        <v>0</v>
      </c>
      <c r="G209" s="716">
        <v>0</v>
      </c>
      <c r="H209" s="717">
        <v>1</v>
      </c>
      <c r="I209" s="636">
        <v>0</v>
      </c>
      <c r="J209" s="636">
        <v>0</v>
      </c>
    </row>
    <row r="210" spans="2:19">
      <c r="B210" s="634" t="s">
        <v>866</v>
      </c>
      <c r="C210" s="679"/>
      <c r="D210" s="634">
        <f>IF(D209&gt;0,C210+1,0)</f>
        <v>0</v>
      </c>
      <c r="E210" s="634">
        <f t="shared" ref="E210:K210" si="92">IF(E209&gt;0,D210+1,0)</f>
        <v>0</v>
      </c>
      <c r="F210" s="634">
        <f t="shared" si="92"/>
        <v>0</v>
      </c>
      <c r="G210" s="634">
        <f>IF(G209&gt;0,F210+1,0)</f>
        <v>0</v>
      </c>
      <c r="H210" s="634">
        <f t="shared" si="92"/>
        <v>1</v>
      </c>
      <c r="I210" s="634">
        <f t="shared" si="92"/>
        <v>0</v>
      </c>
      <c r="J210" s="634">
        <f t="shared" si="92"/>
        <v>0</v>
      </c>
      <c r="K210" s="634">
        <f t="shared" si="92"/>
        <v>0</v>
      </c>
    </row>
    <row r="211" spans="2:19">
      <c r="B211" s="634" t="s">
        <v>867</v>
      </c>
      <c r="D211" s="688">
        <f>$C$208*D209</f>
        <v>0</v>
      </c>
      <c r="E211" s="688">
        <f>$C$208*E209</f>
        <v>0</v>
      </c>
      <c r="F211" s="688">
        <f>$C$208*F209</f>
        <v>0</v>
      </c>
      <c r="G211" s="688">
        <f>$C$208*G209</f>
        <v>0</v>
      </c>
      <c r="H211" s="688">
        <f>$C$208*H209</f>
        <v>134500</v>
      </c>
      <c r="I211" s="688">
        <f t="shared" ref="I211:S211" si="93">$C$208*I209</f>
        <v>0</v>
      </c>
      <c r="J211" s="688">
        <f t="shared" si="93"/>
        <v>0</v>
      </c>
      <c r="K211" s="688">
        <f t="shared" si="93"/>
        <v>0</v>
      </c>
      <c r="L211" s="688">
        <f t="shared" si="93"/>
        <v>0</v>
      </c>
      <c r="M211" s="688">
        <f t="shared" si="93"/>
        <v>0</v>
      </c>
      <c r="N211" s="688">
        <f t="shared" si="93"/>
        <v>0</v>
      </c>
      <c r="O211" s="688">
        <f t="shared" si="93"/>
        <v>0</v>
      </c>
      <c r="P211" s="688">
        <f t="shared" si="93"/>
        <v>0</v>
      </c>
      <c r="Q211" s="688">
        <f t="shared" si="93"/>
        <v>0</v>
      </c>
      <c r="R211" s="688">
        <f t="shared" si="93"/>
        <v>0</v>
      </c>
      <c r="S211" s="688">
        <f t="shared" si="93"/>
        <v>0</v>
      </c>
    </row>
    <row r="212" spans="2:19">
      <c r="B212" s="634" t="s">
        <v>868</v>
      </c>
      <c r="D212" s="688">
        <f>D211</f>
        <v>0</v>
      </c>
      <c r="E212" s="688">
        <f t="shared" ref="E212:R212" si="94">D234+E211</f>
        <v>0</v>
      </c>
      <c r="F212" s="688">
        <f t="shared" si="94"/>
        <v>0</v>
      </c>
      <c r="G212" s="688">
        <f t="shared" si="94"/>
        <v>0</v>
      </c>
      <c r="H212" s="688">
        <f t="shared" si="94"/>
        <v>134500</v>
      </c>
      <c r="I212" s="688">
        <f t="shared" si="94"/>
        <v>107600</v>
      </c>
      <c r="J212" s="688">
        <f t="shared" si="94"/>
        <v>80700</v>
      </c>
      <c r="K212" s="688">
        <f t="shared" si="94"/>
        <v>53800</v>
      </c>
      <c r="L212" s="688">
        <f t="shared" si="94"/>
        <v>26900</v>
      </c>
      <c r="M212" s="688">
        <f t="shared" si="94"/>
        <v>0</v>
      </c>
      <c r="N212" s="688">
        <f t="shared" si="94"/>
        <v>0</v>
      </c>
      <c r="O212" s="688">
        <f>N234+O211</f>
        <v>0</v>
      </c>
      <c r="P212" s="688">
        <f t="shared" si="94"/>
        <v>0</v>
      </c>
      <c r="Q212" s="688">
        <f t="shared" si="94"/>
        <v>0</v>
      </c>
      <c r="R212" s="688">
        <f t="shared" si="94"/>
        <v>0</v>
      </c>
    </row>
    <row r="213" spans="2:19" ht="12" thickBot="1">
      <c r="B213" s="634" t="s">
        <v>869</v>
      </c>
      <c r="D213" s="688">
        <f>D212*E20</f>
        <v>0</v>
      </c>
      <c r="E213" s="688">
        <f t="shared" ref="E213:R213" si="95">E212*E20</f>
        <v>0</v>
      </c>
      <c r="F213" s="688">
        <f t="shared" si="95"/>
        <v>0</v>
      </c>
      <c r="G213" s="688">
        <f t="shared" si="95"/>
        <v>0</v>
      </c>
      <c r="H213" s="688">
        <f t="shared" si="95"/>
        <v>13450</v>
      </c>
      <c r="I213" s="688">
        <f t="shared" si="95"/>
        <v>9684.0000000000018</v>
      </c>
      <c r="J213" s="688">
        <f t="shared" si="95"/>
        <v>7263.0000000000009</v>
      </c>
      <c r="K213" s="688">
        <f t="shared" si="95"/>
        <v>4842.0000000000009</v>
      </c>
      <c r="L213" s="688">
        <f t="shared" si="95"/>
        <v>2421.0000000000005</v>
      </c>
      <c r="M213" s="688">
        <f t="shared" si="95"/>
        <v>0</v>
      </c>
      <c r="N213" s="688">
        <f t="shared" si="95"/>
        <v>0</v>
      </c>
      <c r="O213" s="688">
        <f t="shared" si="95"/>
        <v>0</v>
      </c>
      <c r="P213" s="688">
        <f t="shared" si="95"/>
        <v>0</v>
      </c>
      <c r="Q213" s="688">
        <f t="shared" si="95"/>
        <v>0</v>
      </c>
      <c r="R213" s="688">
        <f t="shared" si="95"/>
        <v>0</v>
      </c>
    </row>
    <row r="214" spans="2:19" ht="12" thickBot="1">
      <c r="B214" s="634" t="s">
        <v>870</v>
      </c>
      <c r="C214" s="718">
        <v>5</v>
      </c>
      <c r="D214" s="688"/>
      <c r="E214" s="688"/>
      <c r="F214" s="688"/>
      <c r="G214" s="688"/>
      <c r="H214" s="688"/>
      <c r="I214" s="688"/>
      <c r="J214" s="688"/>
      <c r="K214" s="688"/>
      <c r="L214" s="688"/>
      <c r="M214" s="688"/>
      <c r="N214" s="688"/>
      <c r="O214" s="688"/>
      <c r="P214" s="688"/>
      <c r="Q214" s="688"/>
      <c r="R214" s="688"/>
    </row>
    <row r="215" spans="2:19" ht="12" thickBot="1">
      <c r="B215" s="634" t="s">
        <v>871</v>
      </c>
      <c r="C215" s="718">
        <v>2015</v>
      </c>
      <c r="D215" s="688"/>
      <c r="E215" s="688"/>
      <c r="F215" s="688"/>
      <c r="G215" s="688"/>
      <c r="H215" s="688"/>
      <c r="I215" s="688"/>
      <c r="J215" s="688"/>
      <c r="K215" s="688"/>
      <c r="L215" s="688"/>
      <c r="M215" s="688"/>
      <c r="N215" s="688"/>
      <c r="O215" s="688"/>
      <c r="P215" s="688"/>
      <c r="Q215" s="688"/>
      <c r="R215" s="688"/>
    </row>
    <row r="216" spans="2:19">
      <c r="B216" s="634" t="s">
        <v>872</v>
      </c>
      <c r="C216" s="688"/>
      <c r="D216" s="634"/>
    </row>
    <row r="217" spans="2:19" hidden="1">
      <c r="B217" s="634">
        <f>HLOOKUP(1,$D$210:$R$211,1,0)</f>
        <v>1</v>
      </c>
      <c r="C217" s="688"/>
      <c r="D217" s="688">
        <f>IF(IF(D207=$C$215,1,IF(D207&gt;$C$215,C217+1,0))&gt;$C$214,-100,IF(D207=$C$215,1,IF(D207&gt;$C$215,C217+1,0)))</f>
        <v>0</v>
      </c>
      <c r="E217" s="688">
        <f t="shared" ref="E217:R217" si="96">IF(IF(E207=$C$215,1,IF(E207&gt;$C$215,D217+1,0))&gt;$C$214,-100,IF(E207=$C$215,1,IF(E207&gt;$C$215,D217+1,0)))</f>
        <v>0</v>
      </c>
      <c r="F217" s="688">
        <f t="shared" si="96"/>
        <v>0</v>
      </c>
      <c r="G217" s="688">
        <f t="shared" si="96"/>
        <v>0</v>
      </c>
      <c r="H217" s="688">
        <f t="shared" si="96"/>
        <v>1</v>
      </c>
      <c r="I217" s="688">
        <f t="shared" si="96"/>
        <v>2</v>
      </c>
      <c r="J217" s="688">
        <f t="shared" si="96"/>
        <v>3</v>
      </c>
      <c r="K217" s="688">
        <f t="shared" si="96"/>
        <v>4</v>
      </c>
      <c r="L217" s="688">
        <f t="shared" si="96"/>
        <v>5</v>
      </c>
      <c r="M217" s="688">
        <f t="shared" si="96"/>
        <v>-100</v>
      </c>
      <c r="N217" s="688">
        <f t="shared" si="96"/>
        <v>-99</v>
      </c>
      <c r="O217" s="688">
        <f t="shared" si="96"/>
        <v>-98</v>
      </c>
      <c r="P217" s="688">
        <f t="shared" si="96"/>
        <v>-97</v>
      </c>
      <c r="Q217" s="688">
        <f t="shared" si="96"/>
        <v>-96</v>
      </c>
      <c r="R217" s="688">
        <f t="shared" si="96"/>
        <v>-95</v>
      </c>
    </row>
    <row r="218" spans="2:19" hidden="1">
      <c r="B218" s="634" t="e">
        <f>HLOOKUP(2,$D$210:$R$211,1,0)</f>
        <v>#N/A</v>
      </c>
      <c r="C218" s="688"/>
      <c r="D218" s="688">
        <f>IF(ISNA($B218),0,IF(C217&gt;0,C217,0))</f>
        <v>0</v>
      </c>
      <c r="E218" s="688">
        <f t="shared" ref="D218:R224" si="97">IF(ISNA($B218),0,IF(D217&gt;0,D217,0))</f>
        <v>0</v>
      </c>
      <c r="F218" s="688">
        <f t="shared" si="97"/>
        <v>0</v>
      </c>
      <c r="G218" s="688">
        <f t="shared" si="97"/>
        <v>0</v>
      </c>
      <c r="H218" s="688">
        <f t="shared" si="97"/>
        <v>0</v>
      </c>
      <c r="I218" s="688">
        <f t="shared" si="97"/>
        <v>0</v>
      </c>
      <c r="J218" s="688">
        <f t="shared" si="97"/>
        <v>0</v>
      </c>
      <c r="K218" s="688">
        <f t="shared" si="97"/>
        <v>0</v>
      </c>
      <c r="L218" s="688">
        <f t="shared" si="97"/>
        <v>0</v>
      </c>
      <c r="M218" s="688">
        <f t="shared" si="97"/>
        <v>0</v>
      </c>
      <c r="N218" s="688">
        <f t="shared" si="97"/>
        <v>0</v>
      </c>
      <c r="O218" s="688">
        <f t="shared" si="97"/>
        <v>0</v>
      </c>
      <c r="P218" s="688">
        <f t="shared" si="97"/>
        <v>0</v>
      </c>
      <c r="Q218" s="688">
        <f t="shared" si="97"/>
        <v>0</v>
      </c>
      <c r="R218" s="688">
        <f t="shared" si="97"/>
        <v>0</v>
      </c>
    </row>
    <row r="219" spans="2:19" hidden="1">
      <c r="B219" s="634" t="e">
        <f>HLOOKUP(3,$D$210:$R$211,1,0)</f>
        <v>#N/A</v>
      </c>
      <c r="C219" s="688"/>
      <c r="D219" s="688">
        <f>IF(ISNA($B219),0,IF(C218&gt;0,C218,0))</f>
        <v>0</v>
      </c>
      <c r="E219" s="688">
        <f t="shared" si="97"/>
        <v>0</v>
      </c>
      <c r="F219" s="688">
        <f t="shared" si="97"/>
        <v>0</v>
      </c>
      <c r="G219" s="688">
        <f t="shared" si="97"/>
        <v>0</v>
      </c>
      <c r="H219" s="688">
        <f t="shared" si="97"/>
        <v>0</v>
      </c>
      <c r="I219" s="688">
        <f t="shared" si="97"/>
        <v>0</v>
      </c>
      <c r="J219" s="688">
        <f t="shared" si="97"/>
        <v>0</v>
      </c>
      <c r="K219" s="688">
        <f t="shared" si="97"/>
        <v>0</v>
      </c>
      <c r="L219" s="688">
        <f t="shared" si="97"/>
        <v>0</v>
      </c>
      <c r="M219" s="688">
        <f t="shared" si="97"/>
        <v>0</v>
      </c>
      <c r="N219" s="688">
        <f t="shared" si="97"/>
        <v>0</v>
      </c>
      <c r="O219" s="688">
        <f t="shared" si="97"/>
        <v>0</v>
      </c>
      <c r="P219" s="688">
        <f t="shared" si="97"/>
        <v>0</v>
      </c>
      <c r="Q219" s="688">
        <f t="shared" si="97"/>
        <v>0</v>
      </c>
      <c r="R219" s="688">
        <f t="shared" si="97"/>
        <v>0</v>
      </c>
    </row>
    <row r="220" spans="2:19" hidden="1">
      <c r="B220" s="634" t="e">
        <f>HLOOKUP(4,$D$210:$R$211,1,0)</f>
        <v>#N/A</v>
      </c>
      <c r="C220" s="688"/>
      <c r="D220" s="688">
        <f>IF(ISNA($B220),0,IF(C219&gt;0,C219,0))</f>
        <v>0</v>
      </c>
      <c r="E220" s="688">
        <f t="shared" si="97"/>
        <v>0</v>
      </c>
      <c r="F220" s="688">
        <f t="shared" si="97"/>
        <v>0</v>
      </c>
      <c r="G220" s="688">
        <f t="shared" si="97"/>
        <v>0</v>
      </c>
      <c r="H220" s="688">
        <f t="shared" si="97"/>
        <v>0</v>
      </c>
      <c r="I220" s="688">
        <f t="shared" si="97"/>
        <v>0</v>
      </c>
      <c r="J220" s="688">
        <f t="shared" si="97"/>
        <v>0</v>
      </c>
      <c r="K220" s="688">
        <f t="shared" si="97"/>
        <v>0</v>
      </c>
      <c r="L220" s="688">
        <f t="shared" si="97"/>
        <v>0</v>
      </c>
      <c r="M220" s="688">
        <f t="shared" si="97"/>
        <v>0</v>
      </c>
      <c r="N220" s="688">
        <f t="shared" si="97"/>
        <v>0</v>
      </c>
      <c r="O220" s="688">
        <f t="shared" si="97"/>
        <v>0</v>
      </c>
      <c r="P220" s="688">
        <f t="shared" si="97"/>
        <v>0</v>
      </c>
      <c r="Q220" s="688">
        <f t="shared" si="97"/>
        <v>0</v>
      </c>
      <c r="R220" s="688">
        <f t="shared" si="97"/>
        <v>0</v>
      </c>
    </row>
    <row r="221" spans="2:19" hidden="1">
      <c r="B221" s="634" t="e">
        <f>HLOOKUP(5,$D$210:$R$211,1,0)</f>
        <v>#N/A</v>
      </c>
      <c r="C221" s="688"/>
      <c r="D221" s="688">
        <f t="shared" si="97"/>
        <v>0</v>
      </c>
      <c r="E221" s="688">
        <f t="shared" si="97"/>
        <v>0</v>
      </c>
      <c r="F221" s="688">
        <f t="shared" si="97"/>
        <v>0</v>
      </c>
      <c r="G221" s="688">
        <f t="shared" si="97"/>
        <v>0</v>
      </c>
      <c r="H221" s="688">
        <f t="shared" si="97"/>
        <v>0</v>
      </c>
      <c r="I221" s="688">
        <f t="shared" si="97"/>
        <v>0</v>
      </c>
      <c r="J221" s="688">
        <f t="shared" si="97"/>
        <v>0</v>
      </c>
      <c r="K221" s="688">
        <f t="shared" si="97"/>
        <v>0</v>
      </c>
      <c r="L221" s="688">
        <f t="shared" si="97"/>
        <v>0</v>
      </c>
      <c r="M221" s="688">
        <f t="shared" si="97"/>
        <v>0</v>
      </c>
      <c r="N221" s="688">
        <f t="shared" si="97"/>
        <v>0</v>
      </c>
      <c r="O221" s="688">
        <f t="shared" si="97"/>
        <v>0</v>
      </c>
      <c r="P221" s="688">
        <f t="shared" si="97"/>
        <v>0</v>
      </c>
      <c r="Q221" s="688">
        <f t="shared" si="97"/>
        <v>0</v>
      </c>
      <c r="R221" s="688">
        <f t="shared" si="97"/>
        <v>0</v>
      </c>
    </row>
    <row r="222" spans="2:19" hidden="1">
      <c r="B222" s="634" t="e">
        <f>HLOOKUP(6,$D$210:$R$211,1,0)</f>
        <v>#N/A</v>
      </c>
      <c r="C222" s="688"/>
      <c r="D222" s="688">
        <f t="shared" si="97"/>
        <v>0</v>
      </c>
      <c r="E222" s="688">
        <f t="shared" si="97"/>
        <v>0</v>
      </c>
      <c r="F222" s="688">
        <f t="shared" si="97"/>
        <v>0</v>
      </c>
      <c r="G222" s="688">
        <f t="shared" si="97"/>
        <v>0</v>
      </c>
      <c r="H222" s="688">
        <f t="shared" si="97"/>
        <v>0</v>
      </c>
      <c r="I222" s="688">
        <f t="shared" si="97"/>
        <v>0</v>
      </c>
      <c r="J222" s="688">
        <f t="shared" si="97"/>
        <v>0</v>
      </c>
      <c r="K222" s="688">
        <f t="shared" si="97"/>
        <v>0</v>
      </c>
      <c r="L222" s="688">
        <f t="shared" si="97"/>
        <v>0</v>
      </c>
      <c r="M222" s="688">
        <f t="shared" si="97"/>
        <v>0</v>
      </c>
      <c r="N222" s="688">
        <f t="shared" si="97"/>
        <v>0</v>
      </c>
      <c r="O222" s="688">
        <f t="shared" si="97"/>
        <v>0</v>
      </c>
      <c r="P222" s="688">
        <f t="shared" si="97"/>
        <v>0</v>
      </c>
      <c r="Q222" s="688">
        <f t="shared" si="97"/>
        <v>0</v>
      </c>
      <c r="R222" s="688">
        <f t="shared" si="97"/>
        <v>0</v>
      </c>
    </row>
    <row r="223" spans="2:19" hidden="1">
      <c r="B223" s="634" t="e">
        <f>HLOOKUP(7,$D$210:$R$211,1,0)</f>
        <v>#N/A</v>
      </c>
      <c r="C223" s="688"/>
      <c r="D223" s="688">
        <f t="shared" si="97"/>
        <v>0</v>
      </c>
      <c r="E223" s="688">
        <f t="shared" si="97"/>
        <v>0</v>
      </c>
      <c r="F223" s="688">
        <f t="shared" si="97"/>
        <v>0</v>
      </c>
      <c r="G223" s="688">
        <f t="shared" si="97"/>
        <v>0</v>
      </c>
      <c r="H223" s="688">
        <f t="shared" si="97"/>
        <v>0</v>
      </c>
      <c r="I223" s="688">
        <f t="shared" si="97"/>
        <v>0</v>
      </c>
      <c r="J223" s="688">
        <f t="shared" si="97"/>
        <v>0</v>
      </c>
      <c r="K223" s="688">
        <f t="shared" si="97"/>
        <v>0</v>
      </c>
      <c r="L223" s="688">
        <f t="shared" si="97"/>
        <v>0</v>
      </c>
      <c r="M223" s="688">
        <f t="shared" si="97"/>
        <v>0</v>
      </c>
      <c r="N223" s="688">
        <f t="shared" si="97"/>
        <v>0</v>
      </c>
      <c r="O223" s="688">
        <f t="shared" si="97"/>
        <v>0</v>
      </c>
      <c r="P223" s="688">
        <f t="shared" si="97"/>
        <v>0</v>
      </c>
      <c r="Q223" s="688">
        <f t="shared" si="97"/>
        <v>0</v>
      </c>
      <c r="R223" s="688">
        <f t="shared" si="97"/>
        <v>0</v>
      </c>
    </row>
    <row r="224" spans="2:19" hidden="1">
      <c r="B224" s="634" t="e">
        <f>HLOOKUP(8,$D$210:$R$211,1,0)</f>
        <v>#N/A</v>
      </c>
      <c r="C224" s="688"/>
      <c r="D224" s="688">
        <f t="shared" si="97"/>
        <v>0</v>
      </c>
      <c r="E224" s="688">
        <f t="shared" si="97"/>
        <v>0</v>
      </c>
      <c r="F224" s="688">
        <f t="shared" si="97"/>
        <v>0</v>
      </c>
      <c r="G224" s="688">
        <f t="shared" si="97"/>
        <v>0</v>
      </c>
      <c r="H224" s="688">
        <f t="shared" si="97"/>
        <v>0</v>
      </c>
      <c r="I224" s="688">
        <f t="shared" si="97"/>
        <v>0</v>
      </c>
      <c r="J224" s="688">
        <f t="shared" si="97"/>
        <v>0</v>
      </c>
      <c r="K224" s="688">
        <f t="shared" si="97"/>
        <v>0</v>
      </c>
      <c r="L224" s="688">
        <f t="shared" si="97"/>
        <v>0</v>
      </c>
      <c r="M224" s="688">
        <f t="shared" si="97"/>
        <v>0</v>
      </c>
      <c r="N224" s="688">
        <f t="shared" si="97"/>
        <v>0</v>
      </c>
      <c r="O224" s="688">
        <f t="shared" si="97"/>
        <v>0</v>
      </c>
      <c r="P224" s="688">
        <f t="shared" si="97"/>
        <v>0</v>
      </c>
      <c r="Q224" s="688">
        <f t="shared" si="97"/>
        <v>0</v>
      </c>
      <c r="R224" s="688">
        <f t="shared" si="97"/>
        <v>0</v>
      </c>
    </row>
    <row r="225" spans="2:18">
      <c r="B225" s="634" t="s">
        <v>873</v>
      </c>
      <c r="D225" s="719">
        <f>IF(ISERR(-SUM(D226:D233)),0,-SUM(D226:D233))</f>
        <v>0</v>
      </c>
      <c r="E225" s="719">
        <f t="shared" ref="E225:R225" si="98">IF(ISERR(-SUM(E226:E233)),0,-SUM(E226:E233))</f>
        <v>0</v>
      </c>
      <c r="F225" s="719">
        <f t="shared" si="98"/>
        <v>0</v>
      </c>
      <c r="G225" s="719">
        <f>IF(ISERR(-SUM(G226:G233)),0,-SUM(G226:G233))</f>
        <v>0</v>
      </c>
      <c r="H225" s="719">
        <f t="shared" si="98"/>
        <v>-26900</v>
      </c>
      <c r="I225" s="719">
        <f t="shared" si="98"/>
        <v>-26900</v>
      </c>
      <c r="J225" s="719">
        <f t="shared" si="98"/>
        <v>-26900</v>
      </c>
      <c r="K225" s="719">
        <f>IF(ISERR(-SUM(K226:K233)),0,-SUM(K226:K233))</f>
        <v>-26900</v>
      </c>
      <c r="L225" s="719">
        <f t="shared" si="98"/>
        <v>-26900</v>
      </c>
      <c r="M225" s="719">
        <f t="shared" si="98"/>
        <v>0</v>
      </c>
      <c r="N225" s="719">
        <f t="shared" si="98"/>
        <v>0</v>
      </c>
      <c r="O225" s="719">
        <f>IF(ISERR(-SUM(O226:O233)),0,-SUM(O226:O233))</f>
        <v>0</v>
      </c>
      <c r="P225" s="719">
        <f t="shared" si="98"/>
        <v>0</v>
      </c>
      <c r="Q225" s="719">
        <f t="shared" si="98"/>
        <v>0</v>
      </c>
      <c r="R225" s="719">
        <f t="shared" si="98"/>
        <v>0</v>
      </c>
    </row>
    <row r="226" spans="2:18" hidden="1">
      <c r="B226" s="634">
        <f>HLOOKUP(1,$D$210:$R$211,1,0)</f>
        <v>1</v>
      </c>
      <c r="D226" s="719">
        <f>IF(ISERR(IF(D217&gt;0,HLOOKUP($B226,$D$210:$R$211,2,0)/$C$214,0)),0,IF(D217&gt;0,HLOOKUP($B226,$D$210:$R$211,2,0)/$C$214,0))</f>
        <v>0</v>
      </c>
      <c r="E226" s="719">
        <f t="shared" ref="D226:R233" si="99">IF(ISERR(IF(E217&gt;0,HLOOKUP($B226,$D$210:$R$211,2,0)/$C$214,0)),0,IF(E217&gt;0,HLOOKUP($B226,$D$210:$R$211,2,0)/$C$214,0))</f>
        <v>0</v>
      </c>
      <c r="F226" s="719">
        <f t="shared" si="99"/>
        <v>0</v>
      </c>
      <c r="G226" s="719">
        <f t="shared" si="99"/>
        <v>0</v>
      </c>
      <c r="H226" s="719">
        <f t="shared" si="99"/>
        <v>26900</v>
      </c>
      <c r="I226" s="719">
        <f t="shared" si="99"/>
        <v>26900</v>
      </c>
      <c r="J226" s="719">
        <f t="shared" si="99"/>
        <v>26900</v>
      </c>
      <c r="K226" s="719">
        <f t="shared" si="99"/>
        <v>26900</v>
      </c>
      <c r="L226" s="719">
        <f t="shared" si="99"/>
        <v>26900</v>
      </c>
      <c r="M226" s="719">
        <f t="shared" si="99"/>
        <v>0</v>
      </c>
      <c r="N226" s="719">
        <f t="shared" si="99"/>
        <v>0</v>
      </c>
      <c r="O226" s="719">
        <f t="shared" si="99"/>
        <v>0</v>
      </c>
      <c r="P226" s="719">
        <f t="shared" si="99"/>
        <v>0</v>
      </c>
      <c r="Q226" s="719">
        <f t="shared" si="99"/>
        <v>0</v>
      </c>
      <c r="R226" s="719">
        <f t="shared" si="99"/>
        <v>0</v>
      </c>
    </row>
    <row r="227" spans="2:18" hidden="1">
      <c r="B227" s="634" t="e">
        <f>HLOOKUP(2,$D$210:$R$211,1,0)</f>
        <v>#N/A</v>
      </c>
      <c r="D227" s="719">
        <f t="shared" si="99"/>
        <v>0</v>
      </c>
      <c r="E227" s="719">
        <f t="shared" si="99"/>
        <v>0</v>
      </c>
      <c r="F227" s="719">
        <f t="shared" si="99"/>
        <v>0</v>
      </c>
      <c r="G227" s="719">
        <f t="shared" si="99"/>
        <v>0</v>
      </c>
      <c r="H227" s="719">
        <f t="shared" si="99"/>
        <v>0</v>
      </c>
      <c r="I227" s="719">
        <f t="shared" si="99"/>
        <v>0</v>
      </c>
      <c r="J227" s="719">
        <f t="shared" si="99"/>
        <v>0</v>
      </c>
      <c r="K227" s="719">
        <f t="shared" si="99"/>
        <v>0</v>
      </c>
      <c r="L227" s="719">
        <f t="shared" si="99"/>
        <v>0</v>
      </c>
      <c r="M227" s="719">
        <f t="shared" si="99"/>
        <v>0</v>
      </c>
      <c r="N227" s="719">
        <f t="shared" si="99"/>
        <v>0</v>
      </c>
      <c r="O227" s="719">
        <f t="shared" si="99"/>
        <v>0</v>
      </c>
      <c r="P227" s="719">
        <f t="shared" si="99"/>
        <v>0</v>
      </c>
      <c r="Q227" s="719">
        <f t="shared" si="99"/>
        <v>0</v>
      </c>
      <c r="R227" s="719">
        <f t="shared" si="99"/>
        <v>0</v>
      </c>
    </row>
    <row r="228" spans="2:18" hidden="1">
      <c r="B228" s="634" t="e">
        <f>HLOOKUP(3,$D$210:$R$211,1,0)</f>
        <v>#N/A</v>
      </c>
      <c r="D228" s="719">
        <f>IF(ISERR(IF(D219&gt;0,HLOOKUP($B228,$D$210:$R$211,2,0)/$C$214,0)),0,IF(D219&gt;0,HLOOKUP($B228,$D$210:$R$211,2,0)/$C$214,0))</f>
        <v>0</v>
      </c>
      <c r="E228" s="719">
        <f t="shared" si="99"/>
        <v>0</v>
      </c>
      <c r="F228" s="719">
        <f t="shared" si="99"/>
        <v>0</v>
      </c>
      <c r="G228" s="719">
        <f t="shared" si="99"/>
        <v>0</v>
      </c>
      <c r="H228" s="719">
        <f t="shared" si="99"/>
        <v>0</v>
      </c>
      <c r="I228" s="719">
        <f t="shared" si="99"/>
        <v>0</v>
      </c>
      <c r="J228" s="719">
        <f t="shared" si="99"/>
        <v>0</v>
      </c>
      <c r="K228" s="719">
        <f t="shared" si="99"/>
        <v>0</v>
      </c>
      <c r="L228" s="719">
        <f t="shared" si="99"/>
        <v>0</v>
      </c>
      <c r="M228" s="719">
        <f t="shared" si="99"/>
        <v>0</v>
      </c>
      <c r="N228" s="719">
        <f t="shared" si="99"/>
        <v>0</v>
      </c>
      <c r="O228" s="719">
        <f t="shared" si="99"/>
        <v>0</v>
      </c>
      <c r="P228" s="719">
        <f t="shared" si="99"/>
        <v>0</v>
      </c>
      <c r="Q228" s="719">
        <f t="shared" si="99"/>
        <v>0</v>
      </c>
      <c r="R228" s="719">
        <f t="shared" si="99"/>
        <v>0</v>
      </c>
    </row>
    <row r="229" spans="2:18" hidden="1">
      <c r="B229" s="634" t="e">
        <f>HLOOKUP(4,$D$210:$R$211,1,0)</f>
        <v>#N/A</v>
      </c>
      <c r="D229" s="719">
        <f t="shared" si="99"/>
        <v>0</v>
      </c>
      <c r="E229" s="719">
        <f t="shared" si="99"/>
        <v>0</v>
      </c>
      <c r="F229" s="719">
        <f t="shared" si="99"/>
        <v>0</v>
      </c>
      <c r="G229" s="719">
        <f t="shared" si="99"/>
        <v>0</v>
      </c>
      <c r="H229" s="719">
        <f t="shared" si="99"/>
        <v>0</v>
      </c>
      <c r="I229" s="719">
        <f t="shared" si="99"/>
        <v>0</v>
      </c>
      <c r="J229" s="719">
        <f t="shared" si="99"/>
        <v>0</v>
      </c>
      <c r="K229" s="719">
        <f t="shared" si="99"/>
        <v>0</v>
      </c>
      <c r="L229" s="719">
        <f t="shared" si="99"/>
        <v>0</v>
      </c>
      <c r="M229" s="719">
        <f t="shared" si="99"/>
        <v>0</v>
      </c>
      <c r="N229" s="719">
        <f t="shared" si="99"/>
        <v>0</v>
      </c>
      <c r="O229" s="719">
        <f t="shared" si="99"/>
        <v>0</v>
      </c>
      <c r="P229" s="719">
        <f t="shared" si="99"/>
        <v>0</v>
      </c>
      <c r="Q229" s="719">
        <f t="shared" si="99"/>
        <v>0</v>
      </c>
      <c r="R229" s="719">
        <f t="shared" si="99"/>
        <v>0</v>
      </c>
    </row>
    <row r="230" spans="2:18" hidden="1">
      <c r="B230" s="634" t="e">
        <f>HLOOKUP(5,$D$210:$R$211,1,0)</f>
        <v>#N/A</v>
      </c>
      <c r="D230" s="719">
        <f t="shared" si="99"/>
        <v>0</v>
      </c>
      <c r="E230" s="719">
        <f t="shared" si="99"/>
        <v>0</v>
      </c>
      <c r="F230" s="719">
        <f t="shared" si="99"/>
        <v>0</v>
      </c>
      <c r="G230" s="719">
        <f t="shared" si="99"/>
        <v>0</v>
      </c>
      <c r="H230" s="719">
        <f t="shared" si="99"/>
        <v>0</v>
      </c>
      <c r="I230" s="719">
        <f t="shared" si="99"/>
        <v>0</v>
      </c>
      <c r="J230" s="719">
        <f t="shared" si="99"/>
        <v>0</v>
      </c>
      <c r="K230" s="719">
        <f t="shared" si="99"/>
        <v>0</v>
      </c>
      <c r="L230" s="719">
        <f t="shared" si="99"/>
        <v>0</v>
      </c>
      <c r="M230" s="719">
        <f t="shared" si="99"/>
        <v>0</v>
      </c>
      <c r="N230" s="719">
        <f t="shared" si="99"/>
        <v>0</v>
      </c>
      <c r="O230" s="719">
        <f t="shared" si="99"/>
        <v>0</v>
      </c>
      <c r="P230" s="719">
        <f t="shared" si="99"/>
        <v>0</v>
      </c>
      <c r="Q230" s="719">
        <f t="shared" si="99"/>
        <v>0</v>
      </c>
      <c r="R230" s="719">
        <f t="shared" si="99"/>
        <v>0</v>
      </c>
    </row>
    <row r="231" spans="2:18" hidden="1">
      <c r="B231" s="634" t="e">
        <f>HLOOKUP(6,$D$210:$R$211,1,0)</f>
        <v>#N/A</v>
      </c>
      <c r="D231" s="719">
        <f t="shared" si="99"/>
        <v>0</v>
      </c>
      <c r="E231" s="719">
        <f t="shared" si="99"/>
        <v>0</v>
      </c>
      <c r="F231" s="719">
        <f t="shared" si="99"/>
        <v>0</v>
      </c>
      <c r="G231" s="719">
        <f t="shared" si="99"/>
        <v>0</v>
      </c>
      <c r="H231" s="719">
        <f t="shared" si="99"/>
        <v>0</v>
      </c>
      <c r="I231" s="719">
        <f t="shared" si="99"/>
        <v>0</v>
      </c>
      <c r="J231" s="719">
        <f t="shared" si="99"/>
        <v>0</v>
      </c>
      <c r="K231" s="719">
        <f t="shared" si="99"/>
        <v>0</v>
      </c>
      <c r="L231" s="719">
        <f t="shared" si="99"/>
        <v>0</v>
      </c>
      <c r="M231" s="719">
        <f t="shared" si="99"/>
        <v>0</v>
      </c>
      <c r="N231" s="719">
        <f t="shared" si="99"/>
        <v>0</v>
      </c>
      <c r="O231" s="719">
        <f t="shared" si="99"/>
        <v>0</v>
      </c>
      <c r="P231" s="719">
        <f t="shared" si="99"/>
        <v>0</v>
      </c>
      <c r="Q231" s="719">
        <f t="shared" si="99"/>
        <v>0</v>
      </c>
      <c r="R231" s="719">
        <f t="shared" si="99"/>
        <v>0</v>
      </c>
    </row>
    <row r="232" spans="2:18" hidden="1">
      <c r="B232" s="634" t="e">
        <f>HLOOKUP(7,$D$210:$R$211,1,0)</f>
        <v>#N/A</v>
      </c>
      <c r="D232" s="719">
        <f t="shared" si="99"/>
        <v>0</v>
      </c>
      <c r="E232" s="719">
        <f t="shared" si="99"/>
        <v>0</v>
      </c>
      <c r="F232" s="719">
        <f t="shared" si="99"/>
        <v>0</v>
      </c>
      <c r="G232" s="719">
        <f t="shared" si="99"/>
        <v>0</v>
      </c>
      <c r="H232" s="719">
        <f t="shared" si="99"/>
        <v>0</v>
      </c>
      <c r="I232" s="719">
        <f t="shared" si="99"/>
        <v>0</v>
      </c>
      <c r="J232" s="719">
        <f t="shared" si="99"/>
        <v>0</v>
      </c>
      <c r="K232" s="719">
        <f t="shared" si="99"/>
        <v>0</v>
      </c>
      <c r="L232" s="719">
        <f t="shared" si="99"/>
        <v>0</v>
      </c>
      <c r="M232" s="719">
        <f t="shared" si="99"/>
        <v>0</v>
      </c>
      <c r="N232" s="719">
        <f t="shared" si="99"/>
        <v>0</v>
      </c>
      <c r="O232" s="719">
        <f t="shared" si="99"/>
        <v>0</v>
      </c>
      <c r="P232" s="719">
        <f t="shared" si="99"/>
        <v>0</v>
      </c>
      <c r="Q232" s="719">
        <f t="shared" si="99"/>
        <v>0</v>
      </c>
      <c r="R232" s="719">
        <f t="shared" si="99"/>
        <v>0</v>
      </c>
    </row>
    <row r="233" spans="2:18" hidden="1">
      <c r="B233" s="634" t="e">
        <f>HLOOKUP(8,$D$210:$R$211,1,0)</f>
        <v>#N/A</v>
      </c>
      <c r="D233" s="719">
        <f t="shared" si="99"/>
        <v>0</v>
      </c>
      <c r="E233" s="719">
        <f t="shared" si="99"/>
        <v>0</v>
      </c>
      <c r="F233" s="719">
        <f t="shared" si="99"/>
        <v>0</v>
      </c>
      <c r="G233" s="719">
        <f t="shared" si="99"/>
        <v>0</v>
      </c>
      <c r="H233" s="719">
        <f t="shared" si="99"/>
        <v>0</v>
      </c>
      <c r="I233" s="719">
        <f t="shared" si="99"/>
        <v>0</v>
      </c>
      <c r="J233" s="719">
        <f t="shared" si="99"/>
        <v>0</v>
      </c>
      <c r="K233" s="719">
        <f t="shared" si="99"/>
        <v>0</v>
      </c>
      <c r="L233" s="719">
        <f t="shared" si="99"/>
        <v>0</v>
      </c>
      <c r="M233" s="719">
        <f t="shared" si="99"/>
        <v>0</v>
      </c>
      <c r="N233" s="719">
        <f t="shared" si="99"/>
        <v>0</v>
      </c>
      <c r="O233" s="719">
        <f t="shared" si="99"/>
        <v>0</v>
      </c>
      <c r="P233" s="719">
        <f t="shared" si="99"/>
        <v>0</v>
      </c>
      <c r="Q233" s="719">
        <f t="shared" si="99"/>
        <v>0</v>
      </c>
      <c r="R233" s="719">
        <f t="shared" si="99"/>
        <v>0</v>
      </c>
    </row>
    <row r="234" spans="2:18">
      <c r="B234" s="634" t="s">
        <v>874</v>
      </c>
      <c r="D234" s="688">
        <f t="shared" ref="D234:R234" si="100">D212+D225</f>
        <v>0</v>
      </c>
      <c r="E234" s="688">
        <f t="shared" si="100"/>
        <v>0</v>
      </c>
      <c r="F234" s="688">
        <f t="shared" si="100"/>
        <v>0</v>
      </c>
      <c r="G234" s="688">
        <f t="shared" si="100"/>
        <v>0</v>
      </c>
      <c r="H234" s="688">
        <f t="shared" si="100"/>
        <v>107600</v>
      </c>
      <c r="I234" s="688">
        <f t="shared" si="100"/>
        <v>80700</v>
      </c>
      <c r="J234" s="688">
        <f t="shared" si="100"/>
        <v>53800</v>
      </c>
      <c r="K234" s="688">
        <f t="shared" si="100"/>
        <v>26900</v>
      </c>
      <c r="L234" s="688">
        <f t="shared" si="100"/>
        <v>0</v>
      </c>
      <c r="M234" s="688">
        <f t="shared" si="100"/>
        <v>0</v>
      </c>
      <c r="N234" s="688">
        <f t="shared" si="100"/>
        <v>0</v>
      </c>
      <c r="O234" s="688">
        <f t="shared" si="100"/>
        <v>0</v>
      </c>
      <c r="P234" s="688">
        <f t="shared" si="100"/>
        <v>0</v>
      </c>
      <c r="Q234" s="688">
        <f t="shared" si="100"/>
        <v>0</v>
      </c>
      <c r="R234" s="688">
        <f t="shared" si="100"/>
        <v>0</v>
      </c>
    </row>
  </sheetData>
  <pageMargins left="0.7" right="0.7" top="0.75" bottom="0.75" header="0.3" footer="0.3"/>
  <pageSetup paperSize="9" orientation="portrait" r:id="rId1"/>
  <legacy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K11"/>
  <sheetViews>
    <sheetView workbookViewId="0">
      <selection activeCell="C2" sqref="C2"/>
    </sheetView>
  </sheetViews>
  <sheetFormatPr defaultRowHeight="12.75"/>
  <cols>
    <col min="1" max="1" width="15.42578125" style="734" bestFit="1" customWidth="1"/>
    <col min="2" max="6" width="9.5703125" style="737" bestFit="1" customWidth="1"/>
    <col min="7" max="7" width="11.5703125" style="737" bestFit="1" customWidth="1"/>
    <col min="8" max="8" width="11.5703125" style="737" customWidth="1"/>
    <col min="9" max="9" width="11.5703125" style="734" bestFit="1" customWidth="1"/>
    <col min="10" max="10" width="9.140625" style="734"/>
    <col min="11" max="11" width="12.42578125" style="734" bestFit="1" customWidth="1"/>
    <col min="12" max="256" width="9.140625" style="734"/>
    <col min="257" max="257" width="15.42578125" style="734" bestFit="1" customWidth="1"/>
    <col min="258" max="262" width="9.5703125" style="734" bestFit="1" customWidth="1"/>
    <col min="263" max="263" width="11.5703125" style="734" bestFit="1" customWidth="1"/>
    <col min="264" max="264" width="11.5703125" style="734" customWidth="1"/>
    <col min="265" max="265" width="11.5703125" style="734" bestFit="1" customWidth="1"/>
    <col min="266" max="266" width="9.140625" style="734"/>
    <col min="267" max="267" width="12.42578125" style="734" bestFit="1" customWidth="1"/>
    <col min="268" max="512" width="9.140625" style="734"/>
    <col min="513" max="513" width="15.42578125" style="734" bestFit="1" customWidth="1"/>
    <col min="514" max="518" width="9.5703125" style="734" bestFit="1" customWidth="1"/>
    <col min="519" max="519" width="11.5703125" style="734" bestFit="1" customWidth="1"/>
    <col min="520" max="520" width="11.5703125" style="734" customWidth="1"/>
    <col min="521" max="521" width="11.5703125" style="734" bestFit="1" customWidth="1"/>
    <col min="522" max="522" width="9.140625" style="734"/>
    <col min="523" max="523" width="12.42578125" style="734" bestFit="1" customWidth="1"/>
    <col min="524" max="768" width="9.140625" style="734"/>
    <col min="769" max="769" width="15.42578125" style="734" bestFit="1" customWidth="1"/>
    <col min="770" max="774" width="9.5703125" style="734" bestFit="1" customWidth="1"/>
    <col min="775" max="775" width="11.5703125" style="734" bestFit="1" customWidth="1"/>
    <col min="776" max="776" width="11.5703125" style="734" customWidth="1"/>
    <col min="777" max="777" width="11.5703125" style="734" bestFit="1" customWidth="1"/>
    <col min="778" max="778" width="9.140625" style="734"/>
    <col min="779" max="779" width="12.42578125" style="734" bestFit="1" customWidth="1"/>
    <col min="780" max="1024" width="9.140625" style="734"/>
    <col min="1025" max="1025" width="15.42578125" style="734" bestFit="1" customWidth="1"/>
    <col min="1026" max="1030" width="9.5703125" style="734" bestFit="1" customWidth="1"/>
    <col min="1031" max="1031" width="11.5703125" style="734" bestFit="1" customWidth="1"/>
    <col min="1032" max="1032" width="11.5703125" style="734" customWidth="1"/>
    <col min="1033" max="1033" width="11.5703125" style="734" bestFit="1" customWidth="1"/>
    <col min="1034" max="1034" width="9.140625" style="734"/>
    <col min="1035" max="1035" width="12.42578125" style="734" bestFit="1" customWidth="1"/>
    <col min="1036" max="1280" width="9.140625" style="734"/>
    <col min="1281" max="1281" width="15.42578125" style="734" bestFit="1" customWidth="1"/>
    <col min="1282" max="1286" width="9.5703125" style="734" bestFit="1" customWidth="1"/>
    <col min="1287" max="1287" width="11.5703125" style="734" bestFit="1" customWidth="1"/>
    <col min="1288" max="1288" width="11.5703125" style="734" customWidth="1"/>
    <col min="1289" max="1289" width="11.5703125" style="734" bestFit="1" customWidth="1"/>
    <col min="1290" max="1290" width="9.140625" style="734"/>
    <col min="1291" max="1291" width="12.42578125" style="734" bestFit="1" customWidth="1"/>
    <col min="1292" max="1536" width="9.140625" style="734"/>
    <col min="1537" max="1537" width="15.42578125" style="734" bestFit="1" customWidth="1"/>
    <col min="1538" max="1542" width="9.5703125" style="734" bestFit="1" customWidth="1"/>
    <col min="1543" max="1543" width="11.5703125" style="734" bestFit="1" customWidth="1"/>
    <col min="1544" max="1544" width="11.5703125" style="734" customWidth="1"/>
    <col min="1545" max="1545" width="11.5703125" style="734" bestFit="1" customWidth="1"/>
    <col min="1546" max="1546" width="9.140625" style="734"/>
    <col min="1547" max="1547" width="12.42578125" style="734" bestFit="1" customWidth="1"/>
    <col min="1548" max="1792" width="9.140625" style="734"/>
    <col min="1793" max="1793" width="15.42578125" style="734" bestFit="1" customWidth="1"/>
    <col min="1794" max="1798" width="9.5703125" style="734" bestFit="1" customWidth="1"/>
    <col min="1799" max="1799" width="11.5703125" style="734" bestFit="1" customWidth="1"/>
    <col min="1800" max="1800" width="11.5703125" style="734" customWidth="1"/>
    <col min="1801" max="1801" width="11.5703125" style="734" bestFit="1" customWidth="1"/>
    <col min="1802" max="1802" width="9.140625" style="734"/>
    <col min="1803" max="1803" width="12.42578125" style="734" bestFit="1" customWidth="1"/>
    <col min="1804" max="2048" width="9.140625" style="734"/>
    <col min="2049" max="2049" width="15.42578125" style="734" bestFit="1" customWidth="1"/>
    <col min="2050" max="2054" width="9.5703125" style="734" bestFit="1" customWidth="1"/>
    <col min="2055" max="2055" width="11.5703125" style="734" bestFit="1" customWidth="1"/>
    <col min="2056" max="2056" width="11.5703125" style="734" customWidth="1"/>
    <col min="2057" max="2057" width="11.5703125" style="734" bestFit="1" customWidth="1"/>
    <col min="2058" max="2058" width="9.140625" style="734"/>
    <col min="2059" max="2059" width="12.42578125" style="734" bestFit="1" customWidth="1"/>
    <col min="2060" max="2304" width="9.140625" style="734"/>
    <col min="2305" max="2305" width="15.42578125" style="734" bestFit="1" customWidth="1"/>
    <col min="2306" max="2310" width="9.5703125" style="734" bestFit="1" customWidth="1"/>
    <col min="2311" max="2311" width="11.5703125" style="734" bestFit="1" customWidth="1"/>
    <col min="2312" max="2312" width="11.5703125" style="734" customWidth="1"/>
    <col min="2313" max="2313" width="11.5703125" style="734" bestFit="1" customWidth="1"/>
    <col min="2314" max="2314" width="9.140625" style="734"/>
    <col min="2315" max="2315" width="12.42578125" style="734" bestFit="1" customWidth="1"/>
    <col min="2316" max="2560" width="9.140625" style="734"/>
    <col min="2561" max="2561" width="15.42578125" style="734" bestFit="1" customWidth="1"/>
    <col min="2562" max="2566" width="9.5703125" style="734" bestFit="1" customWidth="1"/>
    <col min="2567" max="2567" width="11.5703125" style="734" bestFit="1" customWidth="1"/>
    <col min="2568" max="2568" width="11.5703125" style="734" customWidth="1"/>
    <col min="2569" max="2569" width="11.5703125" style="734" bestFit="1" customWidth="1"/>
    <col min="2570" max="2570" width="9.140625" style="734"/>
    <col min="2571" max="2571" width="12.42578125" style="734" bestFit="1" customWidth="1"/>
    <col min="2572" max="2816" width="9.140625" style="734"/>
    <col min="2817" max="2817" width="15.42578125" style="734" bestFit="1" customWidth="1"/>
    <col min="2818" max="2822" width="9.5703125" style="734" bestFit="1" customWidth="1"/>
    <col min="2823" max="2823" width="11.5703125" style="734" bestFit="1" customWidth="1"/>
    <col min="2824" max="2824" width="11.5703125" style="734" customWidth="1"/>
    <col min="2825" max="2825" width="11.5703125" style="734" bestFit="1" customWidth="1"/>
    <col min="2826" max="2826" width="9.140625" style="734"/>
    <col min="2827" max="2827" width="12.42578125" style="734" bestFit="1" customWidth="1"/>
    <col min="2828" max="3072" width="9.140625" style="734"/>
    <col min="3073" max="3073" width="15.42578125" style="734" bestFit="1" customWidth="1"/>
    <col min="3074" max="3078" width="9.5703125" style="734" bestFit="1" customWidth="1"/>
    <col min="3079" max="3079" width="11.5703125" style="734" bestFit="1" customWidth="1"/>
    <col min="3080" max="3080" width="11.5703125" style="734" customWidth="1"/>
    <col min="3081" max="3081" width="11.5703125" style="734" bestFit="1" customWidth="1"/>
    <col min="3082" max="3082" width="9.140625" style="734"/>
    <col min="3083" max="3083" width="12.42578125" style="734" bestFit="1" customWidth="1"/>
    <col min="3084" max="3328" width="9.140625" style="734"/>
    <col min="3329" max="3329" width="15.42578125" style="734" bestFit="1" customWidth="1"/>
    <col min="3330" max="3334" width="9.5703125" style="734" bestFit="1" customWidth="1"/>
    <col min="3335" max="3335" width="11.5703125" style="734" bestFit="1" customWidth="1"/>
    <col min="3336" max="3336" width="11.5703125" style="734" customWidth="1"/>
    <col min="3337" max="3337" width="11.5703125" style="734" bestFit="1" customWidth="1"/>
    <col min="3338" max="3338" width="9.140625" style="734"/>
    <col min="3339" max="3339" width="12.42578125" style="734" bestFit="1" customWidth="1"/>
    <col min="3340" max="3584" width="9.140625" style="734"/>
    <col min="3585" max="3585" width="15.42578125" style="734" bestFit="1" customWidth="1"/>
    <col min="3586" max="3590" width="9.5703125" style="734" bestFit="1" customWidth="1"/>
    <col min="3591" max="3591" width="11.5703125" style="734" bestFit="1" customWidth="1"/>
    <col min="3592" max="3592" width="11.5703125" style="734" customWidth="1"/>
    <col min="3593" max="3593" width="11.5703125" style="734" bestFit="1" customWidth="1"/>
    <col min="3594" max="3594" width="9.140625" style="734"/>
    <col min="3595" max="3595" width="12.42578125" style="734" bestFit="1" customWidth="1"/>
    <col min="3596" max="3840" width="9.140625" style="734"/>
    <col min="3841" max="3841" width="15.42578125" style="734" bestFit="1" customWidth="1"/>
    <col min="3842" max="3846" width="9.5703125" style="734" bestFit="1" customWidth="1"/>
    <col min="3847" max="3847" width="11.5703125" style="734" bestFit="1" customWidth="1"/>
    <col min="3848" max="3848" width="11.5703125" style="734" customWidth="1"/>
    <col min="3849" max="3849" width="11.5703125" style="734" bestFit="1" customWidth="1"/>
    <col min="3850" max="3850" width="9.140625" style="734"/>
    <col min="3851" max="3851" width="12.42578125" style="734" bestFit="1" customWidth="1"/>
    <col min="3852" max="4096" width="9.140625" style="734"/>
    <col min="4097" max="4097" width="15.42578125" style="734" bestFit="1" customWidth="1"/>
    <col min="4098" max="4102" width="9.5703125" style="734" bestFit="1" customWidth="1"/>
    <col min="4103" max="4103" width="11.5703125" style="734" bestFit="1" customWidth="1"/>
    <col min="4104" max="4104" width="11.5703125" style="734" customWidth="1"/>
    <col min="4105" max="4105" width="11.5703125" style="734" bestFit="1" customWidth="1"/>
    <col min="4106" max="4106" width="9.140625" style="734"/>
    <col min="4107" max="4107" width="12.42578125" style="734" bestFit="1" customWidth="1"/>
    <col min="4108" max="4352" width="9.140625" style="734"/>
    <col min="4353" max="4353" width="15.42578125" style="734" bestFit="1" customWidth="1"/>
    <col min="4354" max="4358" width="9.5703125" style="734" bestFit="1" customWidth="1"/>
    <col min="4359" max="4359" width="11.5703125" style="734" bestFit="1" customWidth="1"/>
    <col min="4360" max="4360" width="11.5703125" style="734" customWidth="1"/>
    <col min="4361" max="4361" width="11.5703125" style="734" bestFit="1" customWidth="1"/>
    <col min="4362" max="4362" width="9.140625" style="734"/>
    <col min="4363" max="4363" width="12.42578125" style="734" bestFit="1" customWidth="1"/>
    <col min="4364" max="4608" width="9.140625" style="734"/>
    <col min="4609" max="4609" width="15.42578125" style="734" bestFit="1" customWidth="1"/>
    <col min="4610" max="4614" width="9.5703125" style="734" bestFit="1" customWidth="1"/>
    <col min="4615" max="4615" width="11.5703125" style="734" bestFit="1" customWidth="1"/>
    <col min="4616" max="4616" width="11.5703125" style="734" customWidth="1"/>
    <col min="4617" max="4617" width="11.5703125" style="734" bestFit="1" customWidth="1"/>
    <col min="4618" max="4618" width="9.140625" style="734"/>
    <col min="4619" max="4619" width="12.42578125" style="734" bestFit="1" customWidth="1"/>
    <col min="4620" max="4864" width="9.140625" style="734"/>
    <col min="4865" max="4865" width="15.42578125" style="734" bestFit="1" customWidth="1"/>
    <col min="4866" max="4870" width="9.5703125" style="734" bestFit="1" customWidth="1"/>
    <col min="4871" max="4871" width="11.5703125" style="734" bestFit="1" customWidth="1"/>
    <col min="4872" max="4872" width="11.5703125" style="734" customWidth="1"/>
    <col min="4873" max="4873" width="11.5703125" style="734" bestFit="1" customWidth="1"/>
    <col min="4874" max="4874" width="9.140625" style="734"/>
    <col min="4875" max="4875" width="12.42578125" style="734" bestFit="1" customWidth="1"/>
    <col min="4876" max="5120" width="9.140625" style="734"/>
    <col min="5121" max="5121" width="15.42578125" style="734" bestFit="1" customWidth="1"/>
    <col min="5122" max="5126" width="9.5703125" style="734" bestFit="1" customWidth="1"/>
    <col min="5127" max="5127" width="11.5703125" style="734" bestFit="1" customWidth="1"/>
    <col min="5128" max="5128" width="11.5703125" style="734" customWidth="1"/>
    <col min="5129" max="5129" width="11.5703125" style="734" bestFit="1" customWidth="1"/>
    <col min="5130" max="5130" width="9.140625" style="734"/>
    <col min="5131" max="5131" width="12.42578125" style="734" bestFit="1" customWidth="1"/>
    <col min="5132" max="5376" width="9.140625" style="734"/>
    <col min="5377" max="5377" width="15.42578125" style="734" bestFit="1" customWidth="1"/>
    <col min="5378" max="5382" width="9.5703125" style="734" bestFit="1" customWidth="1"/>
    <col min="5383" max="5383" width="11.5703125" style="734" bestFit="1" customWidth="1"/>
    <col min="5384" max="5384" width="11.5703125" style="734" customWidth="1"/>
    <col min="5385" max="5385" width="11.5703125" style="734" bestFit="1" customWidth="1"/>
    <col min="5386" max="5386" width="9.140625" style="734"/>
    <col min="5387" max="5387" width="12.42578125" style="734" bestFit="1" customWidth="1"/>
    <col min="5388" max="5632" width="9.140625" style="734"/>
    <col min="5633" max="5633" width="15.42578125" style="734" bestFit="1" customWidth="1"/>
    <col min="5634" max="5638" width="9.5703125" style="734" bestFit="1" customWidth="1"/>
    <col min="5639" max="5639" width="11.5703125" style="734" bestFit="1" customWidth="1"/>
    <col min="5640" max="5640" width="11.5703125" style="734" customWidth="1"/>
    <col min="5641" max="5641" width="11.5703125" style="734" bestFit="1" customWidth="1"/>
    <col min="5642" max="5642" width="9.140625" style="734"/>
    <col min="5643" max="5643" width="12.42578125" style="734" bestFit="1" customWidth="1"/>
    <col min="5644" max="5888" width="9.140625" style="734"/>
    <col min="5889" max="5889" width="15.42578125" style="734" bestFit="1" customWidth="1"/>
    <col min="5890" max="5894" width="9.5703125" style="734" bestFit="1" customWidth="1"/>
    <col min="5895" max="5895" width="11.5703125" style="734" bestFit="1" customWidth="1"/>
    <col min="5896" max="5896" width="11.5703125" style="734" customWidth="1"/>
    <col min="5897" max="5897" width="11.5703125" style="734" bestFit="1" customWidth="1"/>
    <col min="5898" max="5898" width="9.140625" style="734"/>
    <col min="5899" max="5899" width="12.42578125" style="734" bestFit="1" customWidth="1"/>
    <col min="5900" max="6144" width="9.140625" style="734"/>
    <col min="6145" max="6145" width="15.42578125" style="734" bestFit="1" customWidth="1"/>
    <col min="6146" max="6150" width="9.5703125" style="734" bestFit="1" customWidth="1"/>
    <col min="6151" max="6151" width="11.5703125" style="734" bestFit="1" customWidth="1"/>
    <col min="6152" max="6152" width="11.5703125" style="734" customWidth="1"/>
    <col min="6153" max="6153" width="11.5703125" style="734" bestFit="1" customWidth="1"/>
    <col min="6154" max="6154" width="9.140625" style="734"/>
    <col min="6155" max="6155" width="12.42578125" style="734" bestFit="1" customWidth="1"/>
    <col min="6156" max="6400" width="9.140625" style="734"/>
    <col min="6401" max="6401" width="15.42578125" style="734" bestFit="1" customWidth="1"/>
    <col min="6402" max="6406" width="9.5703125" style="734" bestFit="1" customWidth="1"/>
    <col min="6407" max="6407" width="11.5703125" style="734" bestFit="1" customWidth="1"/>
    <col min="6408" max="6408" width="11.5703125" style="734" customWidth="1"/>
    <col min="6409" max="6409" width="11.5703125" style="734" bestFit="1" customWidth="1"/>
    <col min="6410" max="6410" width="9.140625" style="734"/>
    <col min="6411" max="6411" width="12.42578125" style="734" bestFit="1" customWidth="1"/>
    <col min="6412" max="6656" width="9.140625" style="734"/>
    <col min="6657" max="6657" width="15.42578125" style="734" bestFit="1" customWidth="1"/>
    <col min="6658" max="6662" width="9.5703125" style="734" bestFit="1" customWidth="1"/>
    <col min="6663" max="6663" width="11.5703125" style="734" bestFit="1" customWidth="1"/>
    <col min="6664" max="6664" width="11.5703125" style="734" customWidth="1"/>
    <col min="6665" max="6665" width="11.5703125" style="734" bestFit="1" customWidth="1"/>
    <col min="6666" max="6666" width="9.140625" style="734"/>
    <col min="6667" max="6667" width="12.42578125" style="734" bestFit="1" customWidth="1"/>
    <col min="6668" max="6912" width="9.140625" style="734"/>
    <col min="6913" max="6913" width="15.42578125" style="734" bestFit="1" customWidth="1"/>
    <col min="6914" max="6918" width="9.5703125" style="734" bestFit="1" customWidth="1"/>
    <col min="6919" max="6919" width="11.5703125" style="734" bestFit="1" customWidth="1"/>
    <col min="6920" max="6920" width="11.5703125" style="734" customWidth="1"/>
    <col min="6921" max="6921" width="11.5703125" style="734" bestFit="1" customWidth="1"/>
    <col min="6922" max="6922" width="9.140625" style="734"/>
    <col min="6923" max="6923" width="12.42578125" style="734" bestFit="1" customWidth="1"/>
    <col min="6924" max="7168" width="9.140625" style="734"/>
    <col min="7169" max="7169" width="15.42578125" style="734" bestFit="1" customWidth="1"/>
    <col min="7170" max="7174" width="9.5703125" style="734" bestFit="1" customWidth="1"/>
    <col min="7175" max="7175" width="11.5703125" style="734" bestFit="1" customWidth="1"/>
    <col min="7176" max="7176" width="11.5703125" style="734" customWidth="1"/>
    <col min="7177" max="7177" width="11.5703125" style="734" bestFit="1" customWidth="1"/>
    <col min="7178" max="7178" width="9.140625" style="734"/>
    <col min="7179" max="7179" width="12.42578125" style="734" bestFit="1" customWidth="1"/>
    <col min="7180" max="7424" width="9.140625" style="734"/>
    <col min="7425" max="7425" width="15.42578125" style="734" bestFit="1" customWidth="1"/>
    <col min="7426" max="7430" width="9.5703125" style="734" bestFit="1" customWidth="1"/>
    <col min="7431" max="7431" width="11.5703125" style="734" bestFit="1" customWidth="1"/>
    <col min="7432" max="7432" width="11.5703125" style="734" customWidth="1"/>
    <col min="7433" max="7433" width="11.5703125" style="734" bestFit="1" customWidth="1"/>
    <col min="7434" max="7434" width="9.140625" style="734"/>
    <col min="7435" max="7435" width="12.42578125" style="734" bestFit="1" customWidth="1"/>
    <col min="7436" max="7680" width="9.140625" style="734"/>
    <col min="7681" max="7681" width="15.42578125" style="734" bestFit="1" customWidth="1"/>
    <col min="7682" max="7686" width="9.5703125" style="734" bestFit="1" customWidth="1"/>
    <col min="7687" max="7687" width="11.5703125" style="734" bestFit="1" customWidth="1"/>
    <col min="7688" max="7688" width="11.5703125" style="734" customWidth="1"/>
    <col min="7689" max="7689" width="11.5703125" style="734" bestFit="1" customWidth="1"/>
    <col min="7690" max="7690" width="9.140625" style="734"/>
    <col min="7691" max="7691" width="12.42578125" style="734" bestFit="1" customWidth="1"/>
    <col min="7692" max="7936" width="9.140625" style="734"/>
    <col min="7937" max="7937" width="15.42578125" style="734" bestFit="1" customWidth="1"/>
    <col min="7938" max="7942" width="9.5703125" style="734" bestFit="1" customWidth="1"/>
    <col min="7943" max="7943" width="11.5703125" style="734" bestFit="1" customWidth="1"/>
    <col min="7944" max="7944" width="11.5703125" style="734" customWidth="1"/>
    <col min="7945" max="7945" width="11.5703125" style="734" bestFit="1" customWidth="1"/>
    <col min="7946" max="7946" width="9.140625" style="734"/>
    <col min="7947" max="7947" width="12.42578125" style="734" bestFit="1" customWidth="1"/>
    <col min="7948" max="8192" width="9.140625" style="734"/>
    <col min="8193" max="8193" width="15.42578125" style="734" bestFit="1" customWidth="1"/>
    <col min="8194" max="8198" width="9.5703125" style="734" bestFit="1" customWidth="1"/>
    <col min="8199" max="8199" width="11.5703125" style="734" bestFit="1" customWidth="1"/>
    <col min="8200" max="8200" width="11.5703125" style="734" customWidth="1"/>
    <col min="8201" max="8201" width="11.5703125" style="734" bestFit="1" customWidth="1"/>
    <col min="8202" max="8202" width="9.140625" style="734"/>
    <col min="8203" max="8203" width="12.42578125" style="734" bestFit="1" customWidth="1"/>
    <col min="8204" max="8448" width="9.140625" style="734"/>
    <col min="8449" max="8449" width="15.42578125" style="734" bestFit="1" customWidth="1"/>
    <col min="8450" max="8454" width="9.5703125" style="734" bestFit="1" customWidth="1"/>
    <col min="8455" max="8455" width="11.5703125" style="734" bestFit="1" customWidth="1"/>
    <col min="8456" max="8456" width="11.5703125" style="734" customWidth="1"/>
    <col min="8457" max="8457" width="11.5703125" style="734" bestFit="1" customWidth="1"/>
    <col min="8458" max="8458" width="9.140625" style="734"/>
    <col min="8459" max="8459" width="12.42578125" style="734" bestFit="1" customWidth="1"/>
    <col min="8460" max="8704" width="9.140625" style="734"/>
    <col min="8705" max="8705" width="15.42578125" style="734" bestFit="1" customWidth="1"/>
    <col min="8706" max="8710" width="9.5703125" style="734" bestFit="1" customWidth="1"/>
    <col min="8711" max="8711" width="11.5703125" style="734" bestFit="1" customWidth="1"/>
    <col min="8712" max="8712" width="11.5703125" style="734" customWidth="1"/>
    <col min="8713" max="8713" width="11.5703125" style="734" bestFit="1" customWidth="1"/>
    <col min="8714" max="8714" width="9.140625" style="734"/>
    <col min="8715" max="8715" width="12.42578125" style="734" bestFit="1" customWidth="1"/>
    <col min="8716" max="8960" width="9.140625" style="734"/>
    <col min="8961" max="8961" width="15.42578125" style="734" bestFit="1" customWidth="1"/>
    <col min="8962" max="8966" width="9.5703125" style="734" bestFit="1" customWidth="1"/>
    <col min="8967" max="8967" width="11.5703125" style="734" bestFit="1" customWidth="1"/>
    <col min="8968" max="8968" width="11.5703125" style="734" customWidth="1"/>
    <col min="8969" max="8969" width="11.5703125" style="734" bestFit="1" customWidth="1"/>
    <col min="8970" max="8970" width="9.140625" style="734"/>
    <col min="8971" max="8971" width="12.42578125" style="734" bestFit="1" customWidth="1"/>
    <col min="8972" max="9216" width="9.140625" style="734"/>
    <col min="9217" max="9217" width="15.42578125" style="734" bestFit="1" customWidth="1"/>
    <col min="9218" max="9222" width="9.5703125" style="734" bestFit="1" customWidth="1"/>
    <col min="9223" max="9223" width="11.5703125" style="734" bestFit="1" customWidth="1"/>
    <col min="9224" max="9224" width="11.5703125" style="734" customWidth="1"/>
    <col min="9225" max="9225" width="11.5703125" style="734" bestFit="1" customWidth="1"/>
    <col min="9226" max="9226" width="9.140625" style="734"/>
    <col min="9227" max="9227" width="12.42578125" style="734" bestFit="1" customWidth="1"/>
    <col min="9228" max="9472" width="9.140625" style="734"/>
    <col min="9473" max="9473" width="15.42578125" style="734" bestFit="1" customWidth="1"/>
    <col min="9474" max="9478" width="9.5703125" style="734" bestFit="1" customWidth="1"/>
    <col min="9479" max="9479" width="11.5703125" style="734" bestFit="1" customWidth="1"/>
    <col min="9480" max="9480" width="11.5703125" style="734" customWidth="1"/>
    <col min="9481" max="9481" width="11.5703125" style="734" bestFit="1" customWidth="1"/>
    <col min="9482" max="9482" width="9.140625" style="734"/>
    <col min="9483" max="9483" width="12.42578125" style="734" bestFit="1" customWidth="1"/>
    <col min="9484" max="9728" width="9.140625" style="734"/>
    <col min="9729" max="9729" width="15.42578125" style="734" bestFit="1" customWidth="1"/>
    <col min="9730" max="9734" width="9.5703125" style="734" bestFit="1" customWidth="1"/>
    <col min="9735" max="9735" width="11.5703125" style="734" bestFit="1" customWidth="1"/>
    <col min="9736" max="9736" width="11.5703125" style="734" customWidth="1"/>
    <col min="9737" max="9737" width="11.5703125" style="734" bestFit="1" customWidth="1"/>
    <col min="9738" max="9738" width="9.140625" style="734"/>
    <col min="9739" max="9739" width="12.42578125" style="734" bestFit="1" customWidth="1"/>
    <col min="9740" max="9984" width="9.140625" style="734"/>
    <col min="9985" max="9985" width="15.42578125" style="734" bestFit="1" customWidth="1"/>
    <col min="9986" max="9990" width="9.5703125" style="734" bestFit="1" customWidth="1"/>
    <col min="9991" max="9991" width="11.5703125" style="734" bestFit="1" customWidth="1"/>
    <col min="9992" max="9992" width="11.5703125" style="734" customWidth="1"/>
    <col min="9993" max="9993" width="11.5703125" style="734" bestFit="1" customWidth="1"/>
    <col min="9994" max="9994" width="9.140625" style="734"/>
    <col min="9995" max="9995" width="12.42578125" style="734" bestFit="1" customWidth="1"/>
    <col min="9996" max="10240" width="9.140625" style="734"/>
    <col min="10241" max="10241" width="15.42578125" style="734" bestFit="1" customWidth="1"/>
    <col min="10242" max="10246" width="9.5703125" style="734" bestFit="1" customWidth="1"/>
    <col min="10247" max="10247" width="11.5703125" style="734" bestFit="1" customWidth="1"/>
    <col min="10248" max="10248" width="11.5703125" style="734" customWidth="1"/>
    <col min="10249" max="10249" width="11.5703125" style="734" bestFit="1" customWidth="1"/>
    <col min="10250" max="10250" width="9.140625" style="734"/>
    <col min="10251" max="10251" width="12.42578125" style="734" bestFit="1" customWidth="1"/>
    <col min="10252" max="10496" width="9.140625" style="734"/>
    <col min="10497" max="10497" width="15.42578125" style="734" bestFit="1" customWidth="1"/>
    <col min="10498" max="10502" width="9.5703125" style="734" bestFit="1" customWidth="1"/>
    <col min="10503" max="10503" width="11.5703125" style="734" bestFit="1" customWidth="1"/>
    <col min="10504" max="10504" width="11.5703125" style="734" customWidth="1"/>
    <col min="10505" max="10505" width="11.5703125" style="734" bestFit="1" customWidth="1"/>
    <col min="10506" max="10506" width="9.140625" style="734"/>
    <col min="10507" max="10507" width="12.42578125" style="734" bestFit="1" customWidth="1"/>
    <col min="10508" max="10752" width="9.140625" style="734"/>
    <col min="10753" max="10753" width="15.42578125" style="734" bestFit="1" customWidth="1"/>
    <col min="10754" max="10758" width="9.5703125" style="734" bestFit="1" customWidth="1"/>
    <col min="10759" max="10759" width="11.5703125" style="734" bestFit="1" customWidth="1"/>
    <col min="10760" max="10760" width="11.5703125" style="734" customWidth="1"/>
    <col min="10761" max="10761" width="11.5703125" style="734" bestFit="1" customWidth="1"/>
    <col min="10762" max="10762" width="9.140625" style="734"/>
    <col min="10763" max="10763" width="12.42578125" style="734" bestFit="1" customWidth="1"/>
    <col min="10764" max="11008" width="9.140625" style="734"/>
    <col min="11009" max="11009" width="15.42578125" style="734" bestFit="1" customWidth="1"/>
    <col min="11010" max="11014" width="9.5703125" style="734" bestFit="1" customWidth="1"/>
    <col min="11015" max="11015" width="11.5703125" style="734" bestFit="1" customWidth="1"/>
    <col min="11016" max="11016" width="11.5703125" style="734" customWidth="1"/>
    <col min="11017" max="11017" width="11.5703125" style="734" bestFit="1" customWidth="1"/>
    <col min="11018" max="11018" width="9.140625" style="734"/>
    <col min="11019" max="11019" width="12.42578125" style="734" bestFit="1" customWidth="1"/>
    <col min="11020" max="11264" width="9.140625" style="734"/>
    <col min="11265" max="11265" width="15.42578125" style="734" bestFit="1" customWidth="1"/>
    <col min="11266" max="11270" width="9.5703125" style="734" bestFit="1" customWidth="1"/>
    <col min="11271" max="11271" width="11.5703125" style="734" bestFit="1" customWidth="1"/>
    <col min="11272" max="11272" width="11.5703125" style="734" customWidth="1"/>
    <col min="11273" max="11273" width="11.5703125" style="734" bestFit="1" customWidth="1"/>
    <col min="11274" max="11274" width="9.140625" style="734"/>
    <col min="11275" max="11275" width="12.42578125" style="734" bestFit="1" customWidth="1"/>
    <col min="11276" max="11520" width="9.140625" style="734"/>
    <col min="11521" max="11521" width="15.42578125" style="734" bestFit="1" customWidth="1"/>
    <col min="11522" max="11526" width="9.5703125" style="734" bestFit="1" customWidth="1"/>
    <col min="11527" max="11527" width="11.5703125" style="734" bestFit="1" customWidth="1"/>
    <col min="11528" max="11528" width="11.5703125" style="734" customWidth="1"/>
    <col min="11529" max="11529" width="11.5703125" style="734" bestFit="1" customWidth="1"/>
    <col min="11530" max="11530" width="9.140625" style="734"/>
    <col min="11531" max="11531" width="12.42578125" style="734" bestFit="1" customWidth="1"/>
    <col min="11532" max="11776" width="9.140625" style="734"/>
    <col min="11777" max="11777" width="15.42578125" style="734" bestFit="1" customWidth="1"/>
    <col min="11778" max="11782" width="9.5703125" style="734" bestFit="1" customWidth="1"/>
    <col min="11783" max="11783" width="11.5703125" style="734" bestFit="1" customWidth="1"/>
    <col min="11784" max="11784" width="11.5703125" style="734" customWidth="1"/>
    <col min="11785" max="11785" width="11.5703125" style="734" bestFit="1" customWidth="1"/>
    <col min="11786" max="11786" width="9.140625" style="734"/>
    <col min="11787" max="11787" width="12.42578125" style="734" bestFit="1" customWidth="1"/>
    <col min="11788" max="12032" width="9.140625" style="734"/>
    <col min="12033" max="12033" width="15.42578125" style="734" bestFit="1" customWidth="1"/>
    <col min="12034" max="12038" width="9.5703125" style="734" bestFit="1" customWidth="1"/>
    <col min="12039" max="12039" width="11.5703125" style="734" bestFit="1" customWidth="1"/>
    <col min="12040" max="12040" width="11.5703125" style="734" customWidth="1"/>
    <col min="12041" max="12041" width="11.5703125" style="734" bestFit="1" customWidth="1"/>
    <col min="12042" max="12042" width="9.140625" style="734"/>
    <col min="12043" max="12043" width="12.42578125" style="734" bestFit="1" customWidth="1"/>
    <col min="12044" max="12288" width="9.140625" style="734"/>
    <col min="12289" max="12289" width="15.42578125" style="734" bestFit="1" customWidth="1"/>
    <col min="12290" max="12294" width="9.5703125" style="734" bestFit="1" customWidth="1"/>
    <col min="12295" max="12295" width="11.5703125" style="734" bestFit="1" customWidth="1"/>
    <col min="12296" max="12296" width="11.5703125" style="734" customWidth="1"/>
    <col min="12297" max="12297" width="11.5703125" style="734" bestFit="1" customWidth="1"/>
    <col min="12298" max="12298" width="9.140625" style="734"/>
    <col min="12299" max="12299" width="12.42578125" style="734" bestFit="1" customWidth="1"/>
    <col min="12300" max="12544" width="9.140625" style="734"/>
    <col min="12545" max="12545" width="15.42578125" style="734" bestFit="1" customWidth="1"/>
    <col min="12546" max="12550" width="9.5703125" style="734" bestFit="1" customWidth="1"/>
    <col min="12551" max="12551" width="11.5703125" style="734" bestFit="1" customWidth="1"/>
    <col min="12552" max="12552" width="11.5703125" style="734" customWidth="1"/>
    <col min="12553" max="12553" width="11.5703125" style="734" bestFit="1" customWidth="1"/>
    <col min="12554" max="12554" width="9.140625" style="734"/>
    <col min="12555" max="12555" width="12.42578125" style="734" bestFit="1" customWidth="1"/>
    <col min="12556" max="12800" width="9.140625" style="734"/>
    <col min="12801" max="12801" width="15.42578125" style="734" bestFit="1" customWidth="1"/>
    <col min="12802" max="12806" width="9.5703125" style="734" bestFit="1" customWidth="1"/>
    <col min="12807" max="12807" width="11.5703125" style="734" bestFit="1" customWidth="1"/>
    <col min="12808" max="12808" width="11.5703125" style="734" customWidth="1"/>
    <col min="12809" max="12809" width="11.5703125" style="734" bestFit="1" customWidth="1"/>
    <col min="12810" max="12810" width="9.140625" style="734"/>
    <col min="12811" max="12811" width="12.42578125" style="734" bestFit="1" customWidth="1"/>
    <col min="12812" max="13056" width="9.140625" style="734"/>
    <col min="13057" max="13057" width="15.42578125" style="734" bestFit="1" customWidth="1"/>
    <col min="13058" max="13062" width="9.5703125" style="734" bestFit="1" customWidth="1"/>
    <col min="13063" max="13063" width="11.5703125" style="734" bestFit="1" customWidth="1"/>
    <col min="13064" max="13064" width="11.5703125" style="734" customWidth="1"/>
    <col min="13065" max="13065" width="11.5703125" style="734" bestFit="1" customWidth="1"/>
    <col min="13066" max="13066" width="9.140625" style="734"/>
    <col min="13067" max="13067" width="12.42578125" style="734" bestFit="1" customWidth="1"/>
    <col min="13068" max="13312" width="9.140625" style="734"/>
    <col min="13313" max="13313" width="15.42578125" style="734" bestFit="1" customWidth="1"/>
    <col min="13314" max="13318" width="9.5703125" style="734" bestFit="1" customWidth="1"/>
    <col min="13319" max="13319" width="11.5703125" style="734" bestFit="1" customWidth="1"/>
    <col min="13320" max="13320" width="11.5703125" style="734" customWidth="1"/>
    <col min="13321" max="13321" width="11.5703125" style="734" bestFit="1" customWidth="1"/>
    <col min="13322" max="13322" width="9.140625" style="734"/>
    <col min="13323" max="13323" width="12.42578125" style="734" bestFit="1" customWidth="1"/>
    <col min="13324" max="13568" width="9.140625" style="734"/>
    <col min="13569" max="13569" width="15.42578125" style="734" bestFit="1" customWidth="1"/>
    <col min="13570" max="13574" width="9.5703125" style="734" bestFit="1" customWidth="1"/>
    <col min="13575" max="13575" width="11.5703125" style="734" bestFit="1" customWidth="1"/>
    <col min="13576" max="13576" width="11.5703125" style="734" customWidth="1"/>
    <col min="13577" max="13577" width="11.5703125" style="734" bestFit="1" customWidth="1"/>
    <col min="13578" max="13578" width="9.140625" style="734"/>
    <col min="13579" max="13579" width="12.42578125" style="734" bestFit="1" customWidth="1"/>
    <col min="13580" max="13824" width="9.140625" style="734"/>
    <col min="13825" max="13825" width="15.42578125" style="734" bestFit="1" customWidth="1"/>
    <col min="13826" max="13830" width="9.5703125" style="734" bestFit="1" customWidth="1"/>
    <col min="13831" max="13831" width="11.5703125" style="734" bestFit="1" customWidth="1"/>
    <col min="13832" max="13832" width="11.5703125" style="734" customWidth="1"/>
    <col min="13833" max="13833" width="11.5703125" style="734" bestFit="1" customWidth="1"/>
    <col min="13834" max="13834" width="9.140625" style="734"/>
    <col min="13835" max="13835" width="12.42578125" style="734" bestFit="1" customWidth="1"/>
    <col min="13836" max="14080" width="9.140625" style="734"/>
    <col min="14081" max="14081" width="15.42578125" style="734" bestFit="1" customWidth="1"/>
    <col min="14082" max="14086" width="9.5703125" style="734" bestFit="1" customWidth="1"/>
    <col min="14087" max="14087" width="11.5703125" style="734" bestFit="1" customWidth="1"/>
    <col min="14088" max="14088" width="11.5703125" style="734" customWidth="1"/>
    <col min="14089" max="14089" width="11.5703125" style="734" bestFit="1" customWidth="1"/>
    <col min="14090" max="14090" width="9.140625" style="734"/>
    <col min="14091" max="14091" width="12.42578125" style="734" bestFit="1" customWidth="1"/>
    <col min="14092" max="14336" width="9.140625" style="734"/>
    <col min="14337" max="14337" width="15.42578125" style="734" bestFit="1" customWidth="1"/>
    <col min="14338" max="14342" width="9.5703125" style="734" bestFit="1" customWidth="1"/>
    <col min="14343" max="14343" width="11.5703125" style="734" bestFit="1" customWidth="1"/>
    <col min="14344" max="14344" width="11.5703125" style="734" customWidth="1"/>
    <col min="14345" max="14345" width="11.5703125" style="734" bestFit="1" customWidth="1"/>
    <col min="14346" max="14346" width="9.140625" style="734"/>
    <col min="14347" max="14347" width="12.42578125" style="734" bestFit="1" customWidth="1"/>
    <col min="14348" max="14592" width="9.140625" style="734"/>
    <col min="14593" max="14593" width="15.42578125" style="734" bestFit="1" customWidth="1"/>
    <col min="14594" max="14598" width="9.5703125" style="734" bestFit="1" customWidth="1"/>
    <col min="14599" max="14599" width="11.5703125" style="734" bestFit="1" customWidth="1"/>
    <col min="14600" max="14600" width="11.5703125" style="734" customWidth="1"/>
    <col min="14601" max="14601" width="11.5703125" style="734" bestFit="1" customWidth="1"/>
    <col min="14602" max="14602" width="9.140625" style="734"/>
    <col min="14603" max="14603" width="12.42578125" style="734" bestFit="1" customWidth="1"/>
    <col min="14604" max="14848" width="9.140625" style="734"/>
    <col min="14849" max="14849" width="15.42578125" style="734" bestFit="1" customWidth="1"/>
    <col min="14850" max="14854" width="9.5703125" style="734" bestFit="1" customWidth="1"/>
    <col min="14855" max="14855" width="11.5703125" style="734" bestFit="1" customWidth="1"/>
    <col min="14856" max="14856" width="11.5703125" style="734" customWidth="1"/>
    <col min="14857" max="14857" width="11.5703125" style="734" bestFit="1" customWidth="1"/>
    <col min="14858" max="14858" width="9.140625" style="734"/>
    <col min="14859" max="14859" width="12.42578125" style="734" bestFit="1" customWidth="1"/>
    <col min="14860" max="15104" width="9.140625" style="734"/>
    <col min="15105" max="15105" width="15.42578125" style="734" bestFit="1" customWidth="1"/>
    <col min="15106" max="15110" width="9.5703125" style="734" bestFit="1" customWidth="1"/>
    <col min="15111" max="15111" width="11.5703125" style="734" bestFit="1" customWidth="1"/>
    <col min="15112" max="15112" width="11.5703125" style="734" customWidth="1"/>
    <col min="15113" max="15113" width="11.5703125" style="734" bestFit="1" customWidth="1"/>
    <col min="15114" max="15114" width="9.140625" style="734"/>
    <col min="15115" max="15115" width="12.42578125" style="734" bestFit="1" customWidth="1"/>
    <col min="15116" max="15360" width="9.140625" style="734"/>
    <col min="15361" max="15361" width="15.42578125" style="734" bestFit="1" customWidth="1"/>
    <col min="15362" max="15366" width="9.5703125" style="734" bestFit="1" customWidth="1"/>
    <col min="15367" max="15367" width="11.5703125" style="734" bestFit="1" customWidth="1"/>
    <col min="15368" max="15368" width="11.5703125" style="734" customWidth="1"/>
    <col min="15369" max="15369" width="11.5703125" style="734" bestFit="1" customWidth="1"/>
    <col min="15370" max="15370" width="9.140625" style="734"/>
    <col min="15371" max="15371" width="12.42578125" style="734" bestFit="1" customWidth="1"/>
    <col min="15372" max="15616" width="9.140625" style="734"/>
    <col min="15617" max="15617" width="15.42578125" style="734" bestFit="1" customWidth="1"/>
    <col min="15618" max="15622" width="9.5703125" style="734" bestFit="1" customWidth="1"/>
    <col min="15623" max="15623" width="11.5703125" style="734" bestFit="1" customWidth="1"/>
    <col min="15624" max="15624" width="11.5703125" style="734" customWidth="1"/>
    <col min="15625" max="15625" width="11.5703125" style="734" bestFit="1" customWidth="1"/>
    <col min="15626" max="15626" width="9.140625" style="734"/>
    <col min="15627" max="15627" width="12.42578125" style="734" bestFit="1" customWidth="1"/>
    <col min="15628" max="15872" width="9.140625" style="734"/>
    <col min="15873" max="15873" width="15.42578125" style="734" bestFit="1" customWidth="1"/>
    <col min="15874" max="15878" width="9.5703125" style="734" bestFit="1" customWidth="1"/>
    <col min="15879" max="15879" width="11.5703125" style="734" bestFit="1" customWidth="1"/>
    <col min="15880" max="15880" width="11.5703125" style="734" customWidth="1"/>
    <col min="15881" max="15881" width="11.5703125" style="734" bestFit="1" customWidth="1"/>
    <col min="15882" max="15882" width="9.140625" style="734"/>
    <col min="15883" max="15883" width="12.42578125" style="734" bestFit="1" customWidth="1"/>
    <col min="15884" max="16128" width="9.140625" style="734"/>
    <col min="16129" max="16129" width="15.42578125" style="734" bestFit="1" customWidth="1"/>
    <col min="16130" max="16134" width="9.5703125" style="734" bestFit="1" customWidth="1"/>
    <col min="16135" max="16135" width="11.5703125" style="734" bestFit="1" customWidth="1"/>
    <col min="16136" max="16136" width="11.5703125" style="734" customWidth="1"/>
    <col min="16137" max="16137" width="11.5703125" style="734" bestFit="1" customWidth="1"/>
    <col min="16138" max="16138" width="9.140625" style="734"/>
    <col min="16139" max="16139" width="12.42578125" style="734" bestFit="1" customWidth="1"/>
    <col min="16140" max="16384" width="9.140625" style="734"/>
  </cols>
  <sheetData>
    <row r="1" spans="1:11">
      <c r="B1" s="735">
        <v>2007</v>
      </c>
      <c r="C1" s="735">
        <v>2008</v>
      </c>
      <c r="D1" s="735">
        <v>2009</v>
      </c>
      <c r="E1" s="735">
        <v>2010</v>
      </c>
      <c r="F1" s="735">
        <v>2011</v>
      </c>
      <c r="G1" s="735">
        <v>2012</v>
      </c>
      <c r="H1" s="735">
        <v>2013</v>
      </c>
      <c r="I1" s="736" t="s">
        <v>655</v>
      </c>
      <c r="K1" s="736" t="s">
        <v>888</v>
      </c>
    </row>
    <row r="2" spans="1:11">
      <c r="A2" s="734" t="s">
        <v>26</v>
      </c>
      <c r="B2" s="737">
        <v>28607.37138</v>
      </c>
      <c r="C2" s="737">
        <v>28610.676713000001</v>
      </c>
      <c r="D2" s="737">
        <v>84909.410818000004</v>
      </c>
      <c r="E2" s="737">
        <v>103711.442446</v>
      </c>
      <c r="F2" s="737">
        <v>181290.059461</v>
      </c>
      <c r="G2" s="737">
        <v>162637.90627199999</v>
      </c>
      <c r="H2" s="737">
        <v>178150.532224</v>
      </c>
      <c r="I2" s="738">
        <f>AVERAGE(F2:H2)</f>
        <v>174026.16598566665</v>
      </c>
      <c r="K2" s="734" t="s">
        <v>889</v>
      </c>
    </row>
    <row r="3" spans="1:11">
      <c r="A3" s="734" t="s">
        <v>432</v>
      </c>
      <c r="B3" s="737">
        <v>3518.221376</v>
      </c>
      <c r="C3" s="737">
        <v>4046.6697389999999</v>
      </c>
      <c r="D3" s="737">
        <v>6118.7113820000004</v>
      </c>
      <c r="E3" s="737">
        <v>17243.130611</v>
      </c>
      <c r="F3" s="737">
        <v>21834.334036</v>
      </c>
      <c r="G3" s="737">
        <v>34934.806834000003</v>
      </c>
      <c r="H3" s="737">
        <v>46431.682643</v>
      </c>
      <c r="K3" s="734" t="s">
        <v>890</v>
      </c>
    </row>
    <row r="4" spans="1:11">
      <c r="A4" s="734" t="s">
        <v>197</v>
      </c>
      <c r="B4" s="739">
        <f t="shared" ref="B4:H4" si="0">1-B3/B2</f>
        <v>0.87701696428985221</v>
      </c>
      <c r="C4" s="739">
        <f t="shared" si="0"/>
        <v>0.85856085196470411</v>
      </c>
      <c r="D4" s="739">
        <f t="shared" si="0"/>
        <v>0.92793836015285491</v>
      </c>
      <c r="E4" s="739">
        <f t="shared" si="0"/>
        <v>0.83373936178760533</v>
      </c>
      <c r="F4" s="739">
        <f t="shared" si="0"/>
        <v>0.87956132784711727</v>
      </c>
      <c r="G4" s="739">
        <f t="shared" si="0"/>
        <v>0.78519886516754522</v>
      </c>
      <c r="H4" s="739">
        <f t="shared" si="0"/>
        <v>0.73936826310112569</v>
      </c>
      <c r="I4" s="740">
        <f>H4</f>
        <v>0.73936826310112569</v>
      </c>
      <c r="K4" s="734" t="s">
        <v>891</v>
      </c>
    </row>
    <row r="5" spans="1:11">
      <c r="A5" s="734" t="s">
        <v>656</v>
      </c>
      <c r="B5" s="737">
        <f>5283.724015+4482.122432</f>
        <v>9765.8464469999999</v>
      </c>
      <c r="C5" s="737">
        <f>7905.58879+8711.750827</f>
        <v>16617.339616999998</v>
      </c>
      <c r="D5" s="737">
        <f>18678.027708+23742.199102</f>
        <v>42420.22681</v>
      </c>
    </row>
    <row r="6" spans="1:11">
      <c r="A6" s="734" t="s">
        <v>287</v>
      </c>
      <c r="B6" s="737">
        <f>B2-B3-B5</f>
        <v>15323.303556999999</v>
      </c>
      <c r="C6" s="737">
        <f>C2-C3-C5</f>
        <v>7946.6673570000021</v>
      </c>
      <c r="D6" s="737">
        <f>D2-D3-D5</f>
        <v>36370.47262600001</v>
      </c>
      <c r="I6" s="737">
        <f>I2*I7</f>
        <v>59868.660247900181</v>
      </c>
    </row>
    <row r="7" spans="1:11">
      <c r="A7" s="734" t="s">
        <v>657</v>
      </c>
      <c r="B7" s="739">
        <f>B6/B2</f>
        <v>0.53564178803624141</v>
      </c>
      <c r="C7" s="739">
        <f>C6/C2</f>
        <v>0.27775181400687488</v>
      </c>
      <c r="D7" s="739">
        <f>D6/D2</f>
        <v>0.42834442349339452</v>
      </c>
      <c r="I7" s="740">
        <f>I8*I4</f>
        <v>0.34402102642904375</v>
      </c>
    </row>
    <row r="8" spans="1:11">
      <c r="A8" s="734" t="s">
        <v>658</v>
      </c>
      <c r="B8" s="739">
        <f>B7/B4</f>
        <v>0.61075419273100051</v>
      </c>
      <c r="C8" s="739">
        <f>C7/C4</f>
        <v>0.32350859391186565</v>
      </c>
      <c r="D8" s="739">
        <f>D7/D4</f>
        <v>0.46160870364582768</v>
      </c>
      <c r="E8" s="739"/>
      <c r="F8" s="739"/>
      <c r="G8" s="739"/>
      <c r="H8" s="739"/>
      <c r="I8" s="740">
        <f>AVERAGE(B8:D8)</f>
        <v>0.46529049676289791</v>
      </c>
    </row>
    <row r="9" spans="1:11">
      <c r="A9" s="734" t="s">
        <v>659</v>
      </c>
      <c r="I9" s="737">
        <f>I6*(1-22%)</f>
        <v>46697.554993362144</v>
      </c>
    </row>
    <row r="10" spans="1:11">
      <c r="A10" s="734" t="s">
        <v>13</v>
      </c>
      <c r="I10" s="741">
        <v>0.02</v>
      </c>
      <c r="K10" s="742"/>
    </row>
    <row r="11" spans="1:11" s="736" customFormat="1">
      <c r="A11" s="736" t="s">
        <v>660</v>
      </c>
      <c r="B11" s="601"/>
      <c r="C11" s="601"/>
      <c r="D11" s="601"/>
      <c r="E11" s="601"/>
      <c r="F11" s="601"/>
      <c r="G11" s="601"/>
      <c r="H11" s="601"/>
      <c r="I11" s="743" t="e">
        <f>I9*(1+I10)/(#REF!-'Brokerage value'!I10)</f>
        <v>#REF!</v>
      </c>
    </row>
  </sheetData>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00B050"/>
  </sheetPr>
  <dimension ref="A1:Q147"/>
  <sheetViews>
    <sheetView topLeftCell="A102" zoomScale="115" zoomScaleNormal="115" workbookViewId="0">
      <selection activeCell="J104" sqref="J104"/>
    </sheetView>
  </sheetViews>
  <sheetFormatPr defaultColWidth="9.140625" defaultRowHeight="14.25" customHeight="1"/>
  <cols>
    <col min="1" max="1" width="5.85546875" style="1406" customWidth="1"/>
    <col min="2" max="2" width="27.140625" style="1431" customWidth="1"/>
    <col min="3" max="3" width="11.85546875" style="1431" bestFit="1" customWidth="1"/>
    <col min="4" max="5" width="9.42578125" style="1431" customWidth="1"/>
    <col min="6" max="6" width="8.85546875" style="1431" customWidth="1"/>
    <col min="7" max="8" width="8.5703125" style="1431" customWidth="1"/>
    <col min="9" max="16384" width="9.140625" style="1431"/>
  </cols>
  <sheetData>
    <row r="1" spans="1:17" ht="18" customHeight="1">
      <c r="A1" s="1404" t="s">
        <v>1598</v>
      </c>
    </row>
    <row r="2" spans="1:17" ht="14.25" customHeight="1">
      <c r="A2" s="1405" t="s">
        <v>1538</v>
      </c>
    </row>
    <row r="4" spans="1:17" ht="14.25" customHeight="1">
      <c r="B4" s="1407" t="s">
        <v>1539</v>
      </c>
      <c r="F4" s="1407" t="s">
        <v>1540</v>
      </c>
      <c r="K4" s="1407" t="s">
        <v>1595</v>
      </c>
    </row>
    <row r="5" spans="1:17" ht="14.25" customHeight="1">
      <c r="B5" s="1432" t="s">
        <v>748</v>
      </c>
      <c r="C5" s="1432"/>
      <c r="D5" s="1408">
        <f>SUM(D6:D8)</f>
        <v>826169.1</v>
      </c>
      <c r="F5" s="1432" t="s">
        <v>636</v>
      </c>
      <c r="G5" s="1432"/>
      <c r="H5" s="1432"/>
      <c r="I5" s="1409">
        <v>0.41499999999999998</v>
      </c>
      <c r="K5" s="1431" t="s">
        <v>1140</v>
      </c>
    </row>
    <row r="6" spans="1:17" ht="14.25" customHeight="1">
      <c r="B6" s="1431" t="s">
        <v>678</v>
      </c>
      <c r="D6" s="1410">
        <f>SUM(E30:E31)</f>
        <v>390594.3</v>
      </c>
      <c r="F6" s="1431" t="s">
        <v>1541</v>
      </c>
      <c r="I6" s="1411">
        <v>0</v>
      </c>
      <c r="K6" s="1431" t="s">
        <v>1596</v>
      </c>
    </row>
    <row r="7" spans="1:17" ht="14.25" customHeight="1">
      <c r="B7" s="1431" t="s">
        <v>749</v>
      </c>
      <c r="D7" s="1410">
        <f>SUM(E32:E33)</f>
        <v>435574.8</v>
      </c>
      <c r="F7" s="1431" t="s">
        <v>755</v>
      </c>
      <c r="I7" s="1412">
        <v>2026</v>
      </c>
      <c r="K7" s="1431" t="s">
        <v>1596</v>
      </c>
    </row>
    <row r="8" spans="1:17" ht="14.25" customHeight="1">
      <c r="B8" s="1431" t="s">
        <v>750</v>
      </c>
      <c r="D8" s="1410">
        <f>C72</f>
        <v>0</v>
      </c>
      <c r="F8" s="1431" t="s">
        <v>1542</v>
      </c>
      <c r="I8" s="1411">
        <v>0.1</v>
      </c>
      <c r="K8" s="1431" t="s">
        <v>1596</v>
      </c>
    </row>
    <row r="9" spans="1:17" ht="14.25" customHeight="1">
      <c r="B9" s="1431" t="s">
        <v>1543</v>
      </c>
      <c r="D9" s="1412">
        <v>2012</v>
      </c>
      <c r="F9" s="1431" t="s">
        <v>1544</v>
      </c>
      <c r="I9" s="1433">
        <f>D22</f>
        <v>0.15888000000000002</v>
      </c>
    </row>
    <row r="10" spans="1:17" ht="14.25" customHeight="1">
      <c r="B10" s="1431" t="s">
        <v>751</v>
      </c>
      <c r="D10" s="1412">
        <v>2020</v>
      </c>
      <c r="F10" s="1431" t="s">
        <v>1588</v>
      </c>
      <c r="I10" s="1425" t="e">
        <f>B115</f>
        <v>#NUM!</v>
      </c>
    </row>
    <row r="11" spans="1:17" ht="14.25" customHeight="1">
      <c r="B11" s="1431" t="s">
        <v>1545</v>
      </c>
      <c r="D11" s="1412">
        <v>2015</v>
      </c>
      <c r="F11" s="1431" t="s">
        <v>1591</v>
      </c>
      <c r="I11" s="1410">
        <f>C112</f>
        <v>0</v>
      </c>
    </row>
    <row r="12" spans="1:17" ht="14.25" customHeight="1">
      <c r="E12" s="1412"/>
      <c r="J12" s="1413"/>
    </row>
    <row r="13" spans="1:17" ht="14.25" customHeight="1">
      <c r="B13" s="1407" t="s">
        <v>1546</v>
      </c>
      <c r="D13" s="1414">
        <f>D9</f>
        <v>2012</v>
      </c>
      <c r="E13" s="1407">
        <f t="shared" ref="E13:Q13" si="0">D13+1</f>
        <v>2013</v>
      </c>
      <c r="F13" s="1407">
        <f t="shared" si="0"/>
        <v>2014</v>
      </c>
      <c r="G13" s="1407">
        <f t="shared" si="0"/>
        <v>2015</v>
      </c>
      <c r="H13" s="1407">
        <f t="shared" si="0"/>
        <v>2016</v>
      </c>
      <c r="I13" s="1407">
        <f t="shared" si="0"/>
        <v>2017</v>
      </c>
      <c r="J13" s="1407">
        <f t="shared" si="0"/>
        <v>2018</v>
      </c>
      <c r="K13" s="1407">
        <f t="shared" si="0"/>
        <v>2019</v>
      </c>
      <c r="L13" s="1407">
        <f t="shared" si="0"/>
        <v>2020</v>
      </c>
      <c r="M13" s="1407">
        <f t="shared" si="0"/>
        <v>2021</v>
      </c>
      <c r="N13" s="1407">
        <f t="shared" si="0"/>
        <v>2022</v>
      </c>
      <c r="O13" s="1407">
        <f t="shared" si="0"/>
        <v>2023</v>
      </c>
      <c r="P13" s="1407">
        <f t="shared" si="0"/>
        <v>2024</v>
      </c>
      <c r="Q13" s="1407">
        <f t="shared" si="0"/>
        <v>2025</v>
      </c>
    </row>
    <row r="14" spans="1:17" ht="14.25" customHeight="1">
      <c r="B14" s="1432" t="s">
        <v>1547</v>
      </c>
      <c r="C14" s="1432"/>
      <c r="D14" s="1434">
        <f>1-I8</f>
        <v>0.9</v>
      </c>
      <c r="E14" s="1434">
        <f t="shared" ref="E14:Q17" si="1">D14</f>
        <v>0.9</v>
      </c>
      <c r="F14" s="1434">
        <f t="shared" si="1"/>
        <v>0.9</v>
      </c>
      <c r="G14" s="1434">
        <f t="shared" si="1"/>
        <v>0.9</v>
      </c>
      <c r="H14" s="1434">
        <f t="shared" si="1"/>
        <v>0.9</v>
      </c>
      <c r="I14" s="1434">
        <f t="shared" si="1"/>
        <v>0.9</v>
      </c>
      <c r="J14" s="1434">
        <f t="shared" si="1"/>
        <v>0.9</v>
      </c>
      <c r="K14" s="1434">
        <f t="shared" si="1"/>
        <v>0.9</v>
      </c>
      <c r="L14" s="1434">
        <f t="shared" si="1"/>
        <v>0.9</v>
      </c>
      <c r="M14" s="1434">
        <f t="shared" si="1"/>
        <v>0.9</v>
      </c>
      <c r="N14" s="1434">
        <f t="shared" si="1"/>
        <v>0.9</v>
      </c>
      <c r="O14" s="1434">
        <f t="shared" si="1"/>
        <v>0.9</v>
      </c>
      <c r="P14" s="1434">
        <f t="shared" si="1"/>
        <v>0.9</v>
      </c>
      <c r="Q14" s="1434">
        <f t="shared" si="1"/>
        <v>0.9</v>
      </c>
    </row>
    <row r="15" spans="1:17" ht="14.25" customHeight="1">
      <c r="B15" s="1431" t="s">
        <v>610</v>
      </c>
      <c r="D15" s="1412">
        <v>1.6</v>
      </c>
      <c r="E15" s="1431">
        <f>D15</f>
        <v>1.6</v>
      </c>
      <c r="F15" s="1431">
        <f t="shared" si="1"/>
        <v>1.6</v>
      </c>
      <c r="G15" s="1431">
        <f t="shared" si="1"/>
        <v>1.6</v>
      </c>
      <c r="H15" s="1431">
        <f t="shared" si="1"/>
        <v>1.6</v>
      </c>
      <c r="I15" s="1431">
        <f t="shared" si="1"/>
        <v>1.6</v>
      </c>
      <c r="J15" s="1431">
        <f t="shared" si="1"/>
        <v>1.6</v>
      </c>
      <c r="K15" s="1431">
        <f t="shared" si="1"/>
        <v>1.6</v>
      </c>
      <c r="L15" s="1431">
        <f t="shared" si="1"/>
        <v>1.6</v>
      </c>
      <c r="M15" s="1431">
        <f t="shared" si="1"/>
        <v>1.6</v>
      </c>
      <c r="N15" s="1431">
        <f t="shared" si="1"/>
        <v>1.6</v>
      </c>
      <c r="O15" s="1431">
        <f t="shared" si="1"/>
        <v>1.6</v>
      </c>
      <c r="P15" s="1431">
        <f t="shared" si="1"/>
        <v>1.6</v>
      </c>
      <c r="Q15" s="1431">
        <f t="shared" si="1"/>
        <v>1.6</v>
      </c>
    </row>
    <row r="16" spans="1:17" ht="14.25" customHeight="1">
      <c r="B16" s="1431" t="s">
        <v>757</v>
      </c>
      <c r="D16" s="1415">
        <v>5.5E-2</v>
      </c>
      <c r="E16" s="1435">
        <f t="shared" si="1"/>
        <v>5.5E-2</v>
      </c>
      <c r="F16" s="1435">
        <f t="shared" si="1"/>
        <v>5.5E-2</v>
      </c>
      <c r="G16" s="1435">
        <f t="shared" si="1"/>
        <v>5.5E-2</v>
      </c>
      <c r="H16" s="1435">
        <f t="shared" si="1"/>
        <v>5.5E-2</v>
      </c>
      <c r="I16" s="1435">
        <f t="shared" si="1"/>
        <v>5.5E-2</v>
      </c>
      <c r="J16" s="1435">
        <f t="shared" si="1"/>
        <v>5.5E-2</v>
      </c>
      <c r="K16" s="1435">
        <f t="shared" si="1"/>
        <v>5.5E-2</v>
      </c>
      <c r="L16" s="1435">
        <f t="shared" si="1"/>
        <v>5.5E-2</v>
      </c>
      <c r="M16" s="1435">
        <f t="shared" si="1"/>
        <v>5.5E-2</v>
      </c>
      <c r="N16" s="1435">
        <f t="shared" si="1"/>
        <v>5.5E-2</v>
      </c>
      <c r="O16" s="1435">
        <f t="shared" si="1"/>
        <v>5.5E-2</v>
      </c>
      <c r="P16" s="1435">
        <f t="shared" si="1"/>
        <v>5.5E-2</v>
      </c>
      <c r="Q16" s="1435">
        <f t="shared" si="1"/>
        <v>5.5E-2</v>
      </c>
    </row>
    <row r="17" spans="1:17" ht="14.25" customHeight="1">
      <c r="B17" s="1431" t="s">
        <v>609</v>
      </c>
      <c r="D17" s="1415">
        <v>7.0000000000000007E-2</v>
      </c>
      <c r="E17" s="1435">
        <f t="shared" si="1"/>
        <v>7.0000000000000007E-2</v>
      </c>
      <c r="F17" s="1435">
        <f t="shared" si="1"/>
        <v>7.0000000000000007E-2</v>
      </c>
      <c r="G17" s="1435">
        <f t="shared" si="1"/>
        <v>7.0000000000000007E-2</v>
      </c>
      <c r="H17" s="1435">
        <f t="shared" si="1"/>
        <v>7.0000000000000007E-2</v>
      </c>
      <c r="I17" s="1435">
        <f t="shared" si="1"/>
        <v>7.0000000000000007E-2</v>
      </c>
      <c r="J17" s="1435">
        <f t="shared" si="1"/>
        <v>7.0000000000000007E-2</v>
      </c>
      <c r="K17" s="1435">
        <f t="shared" si="1"/>
        <v>7.0000000000000007E-2</v>
      </c>
      <c r="L17" s="1435">
        <f t="shared" si="1"/>
        <v>7.0000000000000007E-2</v>
      </c>
      <c r="M17" s="1435">
        <f t="shared" si="1"/>
        <v>7.0000000000000007E-2</v>
      </c>
      <c r="N17" s="1435">
        <f t="shared" si="1"/>
        <v>7.0000000000000007E-2</v>
      </c>
      <c r="O17" s="1435">
        <f t="shared" si="1"/>
        <v>7.0000000000000007E-2</v>
      </c>
      <c r="P17" s="1435">
        <f t="shared" si="1"/>
        <v>7.0000000000000007E-2</v>
      </c>
      <c r="Q17" s="1435">
        <f t="shared" si="1"/>
        <v>7.0000000000000007E-2</v>
      </c>
    </row>
    <row r="18" spans="1:17" ht="14.25" customHeight="1">
      <c r="B18" s="1431" t="s">
        <v>758</v>
      </c>
      <c r="D18" s="1433">
        <f t="shared" ref="D18:I18" si="2">D16+D15*D17</f>
        <v>0.16700000000000001</v>
      </c>
      <c r="E18" s="1433">
        <f t="shared" si="2"/>
        <v>0.16700000000000001</v>
      </c>
      <c r="F18" s="1433">
        <f t="shared" si="2"/>
        <v>0.16700000000000001</v>
      </c>
      <c r="G18" s="1433">
        <f t="shared" si="2"/>
        <v>0.16700000000000001</v>
      </c>
      <c r="H18" s="1433">
        <f t="shared" si="2"/>
        <v>0.16700000000000001</v>
      </c>
      <c r="I18" s="1433">
        <f t="shared" si="2"/>
        <v>0.16700000000000001</v>
      </c>
      <c r="J18" s="1433">
        <f t="shared" ref="J18:Q18" si="3">J16+J15*J17</f>
        <v>0.16700000000000001</v>
      </c>
      <c r="K18" s="1433">
        <f t="shared" si="3"/>
        <v>0.16700000000000001</v>
      </c>
      <c r="L18" s="1433">
        <f t="shared" si="3"/>
        <v>0.16700000000000001</v>
      </c>
      <c r="M18" s="1433">
        <f t="shared" si="3"/>
        <v>0.16700000000000001</v>
      </c>
      <c r="N18" s="1433">
        <f t="shared" si="3"/>
        <v>0.16700000000000001</v>
      </c>
      <c r="O18" s="1433">
        <f t="shared" si="3"/>
        <v>0.16700000000000001</v>
      </c>
      <c r="P18" s="1433">
        <f t="shared" si="3"/>
        <v>0.16700000000000001</v>
      </c>
      <c r="Q18" s="1433">
        <f t="shared" si="3"/>
        <v>0.16700000000000001</v>
      </c>
    </row>
    <row r="19" spans="1:17" ht="14.25" customHeight="1">
      <c r="B19" s="1431" t="s">
        <v>1542</v>
      </c>
      <c r="D19" s="1436">
        <f t="shared" ref="D19:Q19" si="4">$I$8</f>
        <v>0.1</v>
      </c>
      <c r="E19" s="1436">
        <f t="shared" si="4"/>
        <v>0.1</v>
      </c>
      <c r="F19" s="1436">
        <f t="shared" si="4"/>
        <v>0.1</v>
      </c>
      <c r="G19" s="1436">
        <f t="shared" si="4"/>
        <v>0.1</v>
      </c>
      <c r="H19" s="1436">
        <f t="shared" si="4"/>
        <v>0.1</v>
      </c>
      <c r="I19" s="1436">
        <f t="shared" si="4"/>
        <v>0.1</v>
      </c>
      <c r="J19" s="1436">
        <f t="shared" si="4"/>
        <v>0.1</v>
      </c>
      <c r="K19" s="1436">
        <f t="shared" si="4"/>
        <v>0.1</v>
      </c>
      <c r="L19" s="1436">
        <f t="shared" si="4"/>
        <v>0.1</v>
      </c>
      <c r="M19" s="1436">
        <f t="shared" si="4"/>
        <v>0.1</v>
      </c>
      <c r="N19" s="1436">
        <f t="shared" si="4"/>
        <v>0.1</v>
      </c>
      <c r="O19" s="1436">
        <f t="shared" si="4"/>
        <v>0.1</v>
      </c>
      <c r="P19" s="1436">
        <f t="shared" si="4"/>
        <v>0.1</v>
      </c>
      <c r="Q19" s="1436">
        <f t="shared" si="4"/>
        <v>0.1</v>
      </c>
    </row>
    <row r="20" spans="1:17" ht="14.25" customHeight="1">
      <c r="B20" s="1431" t="s">
        <v>760</v>
      </c>
      <c r="D20" s="1416">
        <v>0.11</v>
      </c>
      <c r="E20" s="1445">
        <f>D20-0.01</f>
        <v>0.1</v>
      </c>
      <c r="F20" s="1445">
        <f>E20-0.01</f>
        <v>9.0000000000000011E-2</v>
      </c>
      <c r="G20" s="1418">
        <f>F20</f>
        <v>9.0000000000000011E-2</v>
      </c>
      <c r="H20" s="1418">
        <f t="shared" ref="H20:Q20" si="5">G20</f>
        <v>9.0000000000000011E-2</v>
      </c>
      <c r="I20" s="1418">
        <f t="shared" si="5"/>
        <v>9.0000000000000011E-2</v>
      </c>
      <c r="J20" s="1418">
        <f t="shared" si="5"/>
        <v>9.0000000000000011E-2</v>
      </c>
      <c r="K20" s="1418">
        <f t="shared" si="5"/>
        <v>9.0000000000000011E-2</v>
      </c>
      <c r="L20" s="1418">
        <f t="shared" si="5"/>
        <v>9.0000000000000011E-2</v>
      </c>
      <c r="M20" s="1418">
        <f t="shared" si="5"/>
        <v>9.0000000000000011E-2</v>
      </c>
      <c r="N20" s="1418">
        <f t="shared" si="5"/>
        <v>9.0000000000000011E-2</v>
      </c>
      <c r="O20" s="1418">
        <f t="shared" si="5"/>
        <v>9.0000000000000011E-2</v>
      </c>
      <c r="P20" s="1418">
        <f t="shared" si="5"/>
        <v>9.0000000000000011E-2</v>
      </c>
      <c r="Q20" s="1418">
        <f t="shared" si="5"/>
        <v>9.0000000000000011E-2</v>
      </c>
    </row>
    <row r="21" spans="1:17" ht="14.25" customHeight="1">
      <c r="B21" s="1431" t="s">
        <v>846</v>
      </c>
      <c r="D21" s="1416">
        <v>0.22</v>
      </c>
      <c r="E21" s="1416">
        <v>0.2</v>
      </c>
      <c r="F21" s="1417">
        <f>E21</f>
        <v>0.2</v>
      </c>
      <c r="G21" s="1417">
        <f t="shared" ref="G21:Q21" si="6">F21</f>
        <v>0.2</v>
      </c>
      <c r="H21" s="1417">
        <f t="shared" si="6"/>
        <v>0.2</v>
      </c>
      <c r="I21" s="1417">
        <f t="shared" si="6"/>
        <v>0.2</v>
      </c>
      <c r="J21" s="1417">
        <f t="shared" si="6"/>
        <v>0.2</v>
      </c>
      <c r="K21" s="1417">
        <f t="shared" si="6"/>
        <v>0.2</v>
      </c>
      <c r="L21" s="1417">
        <f t="shared" si="6"/>
        <v>0.2</v>
      </c>
      <c r="M21" s="1417">
        <f t="shared" si="6"/>
        <v>0.2</v>
      </c>
      <c r="N21" s="1417">
        <f t="shared" si="6"/>
        <v>0.2</v>
      </c>
      <c r="O21" s="1417">
        <f t="shared" si="6"/>
        <v>0.2</v>
      </c>
      <c r="P21" s="1417">
        <f t="shared" si="6"/>
        <v>0.2</v>
      </c>
      <c r="Q21" s="1417">
        <f t="shared" si="6"/>
        <v>0.2</v>
      </c>
    </row>
    <row r="22" spans="1:17" ht="14.25" customHeight="1">
      <c r="B22" s="1419" t="s">
        <v>14</v>
      </c>
      <c r="C22" s="1432"/>
      <c r="D22" s="1437">
        <f>D18*D14+D20*D19*(1-D21)</f>
        <v>0.15888000000000002</v>
      </c>
      <c r="E22" s="1437">
        <f t="shared" ref="E22:Q22" si="7">E18*E14+E20*E19*(1-E21)</f>
        <v>0.15830000000000002</v>
      </c>
      <c r="F22" s="1437">
        <f>F18*F14+F20*F19*(1-F21)</f>
        <v>0.15750000000000003</v>
      </c>
      <c r="G22" s="1437">
        <f>G18*G14+G20*G19*(1-G21)</f>
        <v>0.15750000000000003</v>
      </c>
      <c r="H22" s="1437">
        <f>H18*H14+H20*H19*(1-H21)</f>
        <v>0.15750000000000003</v>
      </c>
      <c r="I22" s="1437">
        <f>I18*I14+I20*I19*(1-I21)</f>
        <v>0.15750000000000003</v>
      </c>
      <c r="J22" s="1437">
        <f t="shared" si="7"/>
        <v>0.15750000000000003</v>
      </c>
      <c r="K22" s="1437">
        <f t="shared" si="7"/>
        <v>0.15750000000000003</v>
      </c>
      <c r="L22" s="1437">
        <f t="shared" si="7"/>
        <v>0.15750000000000003</v>
      </c>
      <c r="M22" s="1437">
        <f t="shared" si="7"/>
        <v>0.15750000000000003</v>
      </c>
      <c r="N22" s="1437">
        <f t="shared" si="7"/>
        <v>0.15750000000000003</v>
      </c>
      <c r="O22" s="1437">
        <f t="shared" si="7"/>
        <v>0.15750000000000003</v>
      </c>
      <c r="P22" s="1437">
        <f t="shared" si="7"/>
        <v>0.15750000000000003</v>
      </c>
      <c r="Q22" s="1437">
        <f t="shared" si="7"/>
        <v>0.15750000000000003</v>
      </c>
    </row>
    <row r="23" spans="1:17" ht="14.25" customHeight="1">
      <c r="E23" s="1412"/>
      <c r="J23" s="1413"/>
    </row>
    <row r="24" spans="1:17" ht="14.25" customHeight="1">
      <c r="E24" s="1412"/>
      <c r="J24" s="1413"/>
    </row>
    <row r="25" spans="1:17" ht="14.25" customHeight="1">
      <c r="A25" s="1420" t="s">
        <v>1548</v>
      </c>
      <c r="B25" s="1438"/>
    </row>
    <row r="27" spans="1:17" s="1407" customFormat="1" ht="14.25" customHeight="1">
      <c r="A27" s="1406" t="s">
        <v>762</v>
      </c>
      <c r="B27" s="1407" t="s">
        <v>1459</v>
      </c>
      <c r="C27" s="1407" t="s">
        <v>764</v>
      </c>
      <c r="D27" s="1407" t="s">
        <v>1549</v>
      </c>
      <c r="E27" s="1407" t="s">
        <v>1550</v>
      </c>
    </row>
    <row r="28" spans="1:17" ht="14.25" customHeight="1">
      <c r="A28" s="1421"/>
      <c r="B28" s="1432" t="s">
        <v>1551</v>
      </c>
      <c r="C28" s="1432" t="s">
        <v>1552</v>
      </c>
      <c r="D28" s="1432"/>
      <c r="E28" s="1422">
        <v>1170900</v>
      </c>
      <c r="F28" s="1432"/>
    </row>
    <row r="29" spans="1:17" ht="14.25" customHeight="1">
      <c r="B29" s="1431" t="s">
        <v>1553</v>
      </c>
      <c r="C29" s="1431" t="s">
        <v>1552</v>
      </c>
      <c r="E29" s="1410">
        <f>E28</f>
        <v>1170900</v>
      </c>
    </row>
    <row r="30" spans="1:17" ht="14.25" customHeight="1">
      <c r="B30" s="1431" t="s">
        <v>1554</v>
      </c>
      <c r="C30" s="1431" t="s">
        <v>1555</v>
      </c>
      <c r="D30" s="1446">
        <v>0.19</v>
      </c>
      <c r="E30" s="1410">
        <f>E28*D30</f>
        <v>222471</v>
      </c>
    </row>
    <row r="31" spans="1:17" ht="14.25" customHeight="1">
      <c r="B31" s="1431" t="s">
        <v>1556</v>
      </c>
      <c r="C31" s="1431" t="s">
        <v>1555</v>
      </c>
      <c r="D31" s="1446">
        <v>0.3</v>
      </c>
      <c r="E31" s="1440">
        <f>D31*D45</f>
        <v>168123.3</v>
      </c>
    </row>
    <row r="32" spans="1:17" ht="14.25" customHeight="1">
      <c r="B32" s="1431" t="s">
        <v>771</v>
      </c>
      <c r="C32" s="1431" t="s">
        <v>1555</v>
      </c>
      <c r="D32" s="1412">
        <v>0</v>
      </c>
      <c r="E32" s="1410">
        <f>D32*E28</f>
        <v>0</v>
      </c>
    </row>
    <row r="33" spans="1:11" ht="12">
      <c r="B33" s="1431" t="s">
        <v>1557</v>
      </c>
      <c r="C33" s="1431" t="s">
        <v>1555</v>
      </c>
      <c r="D33" s="1412">
        <v>0.372</v>
      </c>
      <c r="E33" s="1410">
        <f>D33*E28</f>
        <v>435574.8</v>
      </c>
    </row>
    <row r="35" spans="1:11" s="1407" customFormat="1" ht="12">
      <c r="A35" s="1406"/>
      <c r="B35" s="1407" t="s">
        <v>773</v>
      </c>
      <c r="C35" s="1407" t="s">
        <v>642</v>
      </c>
      <c r="D35" s="1414">
        <f t="shared" ref="D35:K35" si="8">D13</f>
        <v>2012</v>
      </c>
      <c r="E35" s="1414">
        <f t="shared" si="8"/>
        <v>2013</v>
      </c>
      <c r="F35" s="1414">
        <f t="shared" si="8"/>
        <v>2014</v>
      </c>
      <c r="G35" s="1414">
        <f t="shared" si="8"/>
        <v>2015</v>
      </c>
      <c r="H35" s="1414">
        <f t="shared" si="8"/>
        <v>2016</v>
      </c>
      <c r="I35" s="1414">
        <f t="shared" si="8"/>
        <v>2017</v>
      </c>
      <c r="J35" s="1414">
        <f t="shared" si="8"/>
        <v>2018</v>
      </c>
      <c r="K35" s="1414">
        <f t="shared" si="8"/>
        <v>2019</v>
      </c>
    </row>
    <row r="36" spans="1:11" ht="12">
      <c r="B36" s="1432"/>
      <c r="C36" s="1441">
        <f>D6</f>
        <v>390594.3</v>
      </c>
      <c r="D36" s="1422">
        <v>222472</v>
      </c>
      <c r="E36" s="1441"/>
      <c r="F36" s="1441">
        <f>(C36-D36)/6</f>
        <v>28020.383333333331</v>
      </c>
      <c r="G36" s="1441">
        <f>F36</f>
        <v>28020.383333333331</v>
      </c>
      <c r="H36" s="1441">
        <f>G36</f>
        <v>28020.383333333331</v>
      </c>
      <c r="I36" s="1441">
        <f>H36</f>
        <v>28020.383333333331</v>
      </c>
      <c r="J36" s="1441">
        <f>I36</f>
        <v>28020.383333333331</v>
      </c>
      <c r="K36" s="1441">
        <f>J36</f>
        <v>28020.383333333331</v>
      </c>
    </row>
    <row r="37" spans="1:11" ht="12">
      <c r="B37" s="1442" t="s">
        <v>1559</v>
      </c>
      <c r="C37" s="1436">
        <f>SUM(D37:J37)</f>
        <v>0.92826218064796806</v>
      </c>
      <c r="D37" s="1436">
        <f>D36/$C$36</f>
        <v>0.56957308388780892</v>
      </c>
      <c r="E37" s="1436"/>
      <c r="F37" s="1436">
        <f t="shared" ref="F37:K37" si="9">F36/$C$36</f>
        <v>7.1737819352031842E-2</v>
      </c>
      <c r="G37" s="1436">
        <f t="shared" si="9"/>
        <v>7.1737819352031842E-2</v>
      </c>
      <c r="H37" s="1436">
        <f t="shared" si="9"/>
        <v>7.1737819352031842E-2</v>
      </c>
      <c r="I37" s="1436">
        <f t="shared" si="9"/>
        <v>7.1737819352031842E-2</v>
      </c>
      <c r="J37" s="1436">
        <f t="shared" si="9"/>
        <v>7.1737819352031842E-2</v>
      </c>
      <c r="K37" s="1436">
        <f t="shared" si="9"/>
        <v>7.1737819352031842E-2</v>
      </c>
    </row>
    <row r="38" spans="1:11" ht="12">
      <c r="B38" s="1407" t="s">
        <v>1558</v>
      </c>
      <c r="C38" s="1440">
        <f>SUM(E32:E33)</f>
        <v>435574.8</v>
      </c>
      <c r="D38" s="1440">
        <f>$C$38*D39</f>
        <v>283123.62</v>
      </c>
      <c r="E38" s="1440"/>
      <c r="F38" s="1440">
        <f t="shared" ref="F38:K38" si="10">$C$38*F39</f>
        <v>21778.74</v>
      </c>
      <c r="G38" s="1440">
        <f t="shared" si="10"/>
        <v>26134.487999999998</v>
      </c>
      <c r="H38" s="1440">
        <f t="shared" si="10"/>
        <v>26134.487999999998</v>
      </c>
      <c r="I38" s="1440">
        <f t="shared" si="10"/>
        <v>26134.487999999998</v>
      </c>
      <c r="J38" s="1440">
        <f t="shared" si="10"/>
        <v>26134.487999999998</v>
      </c>
      <c r="K38" s="1440">
        <f t="shared" si="10"/>
        <v>26134.487999999998</v>
      </c>
    </row>
    <row r="39" spans="1:11" ht="12">
      <c r="B39" s="1442" t="s">
        <v>1559</v>
      </c>
      <c r="C39" s="1443">
        <f>SUM(D39:J39)</f>
        <v>0.94000000000000017</v>
      </c>
      <c r="D39" s="1411">
        <v>0.65</v>
      </c>
      <c r="E39" s="1411"/>
      <c r="F39" s="1411">
        <v>0.05</v>
      </c>
      <c r="G39" s="1411">
        <v>0.06</v>
      </c>
      <c r="H39" s="1443">
        <f>G39</f>
        <v>0.06</v>
      </c>
      <c r="I39" s="1443">
        <f>H39</f>
        <v>0.06</v>
      </c>
      <c r="J39" s="1443">
        <f>I39</f>
        <v>0.06</v>
      </c>
      <c r="K39" s="1443">
        <f>J39</f>
        <v>0.06</v>
      </c>
    </row>
    <row r="42" spans="1:11" s="1407" customFormat="1" ht="12">
      <c r="A42" s="1406" t="s">
        <v>777</v>
      </c>
      <c r="B42" s="1407" t="s">
        <v>1597</v>
      </c>
      <c r="C42" s="1407" t="s">
        <v>764</v>
      </c>
      <c r="D42" s="1407" t="s">
        <v>1549</v>
      </c>
    </row>
    <row r="43" spans="1:11" ht="12">
      <c r="A43" s="1421"/>
      <c r="B43" s="1432" t="s">
        <v>686</v>
      </c>
      <c r="C43" s="1432" t="s">
        <v>1552</v>
      </c>
      <c r="D43" s="1426">
        <f>E28</f>
        <v>1170900</v>
      </c>
      <c r="F43" s="1440"/>
    </row>
    <row r="44" spans="1:11" ht="12">
      <c r="B44" s="1431" t="s">
        <v>1560</v>
      </c>
      <c r="C44" s="1431" t="s">
        <v>780</v>
      </c>
      <c r="D44" s="1411">
        <f>D45/D43</f>
        <v>0.47861559484157484</v>
      </c>
    </row>
    <row r="45" spans="1:11" ht="12">
      <c r="B45" s="1431" t="s">
        <v>781</v>
      </c>
      <c r="C45" s="1431" t="s">
        <v>1552</v>
      </c>
      <c r="D45" s="1423">
        <v>560411</v>
      </c>
    </row>
    <row r="46" spans="1:11" ht="12">
      <c r="B46" s="1431" t="s">
        <v>1561</v>
      </c>
      <c r="C46" s="1431" t="s">
        <v>1555</v>
      </c>
      <c r="D46" s="1412">
        <v>2.2999999999999998</v>
      </c>
    </row>
    <row r="47" spans="1:11" ht="12">
      <c r="B47" s="1431" t="s">
        <v>1587</v>
      </c>
      <c r="C47" s="1431" t="s">
        <v>1555</v>
      </c>
      <c r="D47" s="1412">
        <v>0</v>
      </c>
    </row>
    <row r="48" spans="1:11" ht="12">
      <c r="B48" s="1431" t="s">
        <v>784</v>
      </c>
      <c r="C48" s="1431" t="s">
        <v>780</v>
      </c>
      <c r="D48" s="1411">
        <f>50/75</f>
        <v>0.66666666666666663</v>
      </c>
    </row>
    <row r="49" spans="1:12" ht="12">
      <c r="B49" s="1431" t="s">
        <v>1562</v>
      </c>
      <c r="C49" s="1431" t="s">
        <v>780</v>
      </c>
      <c r="D49" s="1411">
        <v>0.05</v>
      </c>
    </row>
    <row r="50" spans="1:12" ht="12">
      <c r="B50" s="1431" t="s">
        <v>1563</v>
      </c>
      <c r="C50" s="1431" t="s">
        <v>780</v>
      </c>
      <c r="D50" s="1411">
        <v>0</v>
      </c>
    </row>
    <row r="52" spans="1:12" s="1407" customFormat="1" ht="12">
      <c r="A52" s="1406">
        <v>1</v>
      </c>
      <c r="B52" s="1407" t="s">
        <v>1564</v>
      </c>
      <c r="C52" s="1407" t="str">
        <f>C35</f>
        <v>Total</v>
      </c>
      <c r="D52" s="1407">
        <f t="shared" ref="D52:K52" si="11">D35</f>
        <v>2012</v>
      </c>
      <c r="E52" s="1407">
        <f t="shared" si="11"/>
        <v>2013</v>
      </c>
      <c r="F52" s="1407">
        <f t="shared" si="11"/>
        <v>2014</v>
      </c>
      <c r="G52" s="1407">
        <f t="shared" si="11"/>
        <v>2015</v>
      </c>
      <c r="H52" s="1407">
        <f t="shared" si="11"/>
        <v>2016</v>
      </c>
      <c r="I52" s="1407">
        <f t="shared" si="11"/>
        <v>2017</v>
      </c>
      <c r="J52" s="1407">
        <f t="shared" si="11"/>
        <v>2018</v>
      </c>
      <c r="K52" s="1407">
        <f t="shared" si="11"/>
        <v>2019</v>
      </c>
    </row>
    <row r="53" spans="1:12" ht="12">
      <c r="B53" s="1432" t="s">
        <v>791</v>
      </c>
      <c r="C53" s="1441">
        <f>D45*D46</f>
        <v>1288945.2999999998</v>
      </c>
      <c r="D53" s="1441">
        <f t="shared" ref="D53:K53" si="12">$D$45*D54*D55</f>
        <v>286463.19493285997</v>
      </c>
      <c r="E53" s="1441">
        <f t="shared" si="12"/>
        <v>0</v>
      </c>
      <c r="F53" s="1441">
        <f t="shared" si="12"/>
        <v>64447.264999999999</v>
      </c>
      <c r="G53" s="1441">
        <f t="shared" si="12"/>
        <v>128894.53</v>
      </c>
      <c r="H53" s="1441">
        <f t="shared" si="12"/>
        <v>206231.24799999996</v>
      </c>
      <c r="I53" s="1441">
        <f t="shared" si="12"/>
        <v>206231.24799999996</v>
      </c>
      <c r="J53" s="1441">
        <f t="shared" si="12"/>
        <v>206231.24799999996</v>
      </c>
      <c r="K53" s="1441">
        <f t="shared" si="12"/>
        <v>190446.56606713988</v>
      </c>
    </row>
    <row r="54" spans="1:12" ht="12">
      <c r="B54" s="1444" t="s">
        <v>792</v>
      </c>
      <c r="C54" s="1436">
        <f>SUM(D54:K54)</f>
        <v>1</v>
      </c>
      <c r="D54" s="1416">
        <v>0.2222462</v>
      </c>
      <c r="E54" s="1416"/>
      <c r="F54" s="1416">
        <v>0.05</v>
      </c>
      <c r="G54" s="1416">
        <v>0.1</v>
      </c>
      <c r="H54" s="1416">
        <v>0.16</v>
      </c>
      <c r="I54" s="1416">
        <v>0.16</v>
      </c>
      <c r="J54" s="1416">
        <v>0.16</v>
      </c>
      <c r="K54" s="1417">
        <f>1-SUM(D54:J54)</f>
        <v>0.14775379999999994</v>
      </c>
    </row>
    <row r="55" spans="1:12" ht="12">
      <c r="B55" s="1444" t="s">
        <v>1565</v>
      </c>
      <c r="D55" s="1431">
        <f>D46</f>
        <v>2.2999999999999998</v>
      </c>
      <c r="E55" s="1439">
        <f>D55*(1+E56)</f>
        <v>2.2999999999999998</v>
      </c>
      <c r="F55" s="1439">
        <f t="shared" ref="F55:K55" si="13">E55*(1+F56)</f>
        <v>2.2999999999999998</v>
      </c>
      <c r="G55" s="1439">
        <f t="shared" si="13"/>
        <v>2.2999999999999998</v>
      </c>
      <c r="H55" s="1439">
        <f t="shared" si="13"/>
        <v>2.2999999999999998</v>
      </c>
      <c r="I55" s="1439">
        <f t="shared" si="13"/>
        <v>2.2999999999999998</v>
      </c>
      <c r="J55" s="1439">
        <f t="shared" si="13"/>
        <v>2.2999999999999998</v>
      </c>
      <c r="K55" s="1439">
        <f t="shared" si="13"/>
        <v>2.2999999999999998</v>
      </c>
    </row>
    <row r="56" spans="1:12" ht="12">
      <c r="B56" s="1444" t="s">
        <v>1563</v>
      </c>
      <c r="E56" s="1443">
        <f>D50</f>
        <v>0</v>
      </c>
      <c r="F56" s="1443">
        <f t="shared" ref="F56:K56" si="14">E50</f>
        <v>0</v>
      </c>
      <c r="G56" s="1443">
        <f t="shared" si="14"/>
        <v>0</v>
      </c>
      <c r="H56" s="1443">
        <f t="shared" si="14"/>
        <v>0</v>
      </c>
      <c r="I56" s="1443">
        <f t="shared" si="14"/>
        <v>0</v>
      </c>
      <c r="J56" s="1443">
        <f t="shared" si="14"/>
        <v>0</v>
      </c>
      <c r="K56" s="1443">
        <f t="shared" si="14"/>
        <v>0</v>
      </c>
    </row>
    <row r="57" spans="1:12" ht="12">
      <c r="B57" s="1444"/>
      <c r="F57" s="1443"/>
      <c r="G57" s="1443"/>
    </row>
    <row r="58" spans="1:12" ht="12">
      <c r="B58" s="1444"/>
      <c r="F58" s="1443"/>
      <c r="G58" s="1443"/>
    </row>
    <row r="59" spans="1:12" s="1407" customFormat="1" ht="12">
      <c r="A59" s="1406">
        <v>2</v>
      </c>
      <c r="B59" s="1407" t="s">
        <v>794</v>
      </c>
      <c r="C59" s="1407" t="str">
        <f>C52</f>
        <v>Total</v>
      </c>
      <c r="D59" s="1407">
        <f t="shared" ref="D59:K59" si="15">D52</f>
        <v>2012</v>
      </c>
      <c r="E59" s="1407">
        <f t="shared" si="15"/>
        <v>2013</v>
      </c>
      <c r="F59" s="1407">
        <f t="shared" si="15"/>
        <v>2014</v>
      </c>
      <c r="G59" s="1407">
        <f t="shared" si="15"/>
        <v>2015</v>
      </c>
      <c r="H59" s="1407">
        <f t="shared" si="15"/>
        <v>2016</v>
      </c>
      <c r="I59" s="1407">
        <f t="shared" si="15"/>
        <v>2017</v>
      </c>
      <c r="J59" s="1407">
        <f t="shared" si="15"/>
        <v>2018</v>
      </c>
      <c r="K59" s="1407">
        <f t="shared" si="15"/>
        <v>2019</v>
      </c>
    </row>
    <row r="60" spans="1:12" ht="12">
      <c r="B60" s="1432" t="s">
        <v>1586</v>
      </c>
      <c r="C60" s="1408">
        <f>C53</f>
        <v>1288945.2999999998</v>
      </c>
      <c r="D60" s="1422">
        <v>156794</v>
      </c>
      <c r="E60" s="1441">
        <f t="shared" ref="E60:K60" si="16">$C$60*E61</f>
        <v>0</v>
      </c>
      <c r="F60" s="1422">
        <v>74199</v>
      </c>
      <c r="G60" s="1441">
        <f t="shared" si="16"/>
        <v>206231.24799999996</v>
      </c>
      <c r="H60" s="1441">
        <f t="shared" si="16"/>
        <v>219120.70099999997</v>
      </c>
      <c r="I60" s="1441">
        <f t="shared" si="16"/>
        <v>219120.70099999997</v>
      </c>
      <c r="J60" s="1441">
        <f t="shared" si="16"/>
        <v>206231.24799999996</v>
      </c>
      <c r="K60" s="1441">
        <f t="shared" si="16"/>
        <v>207248.40199999974</v>
      </c>
    </row>
    <row r="61" spans="1:12" ht="12">
      <c r="B61" s="1442" t="s">
        <v>794</v>
      </c>
      <c r="C61" s="1417">
        <f>SUM(D61:K61)</f>
        <v>1</v>
      </c>
      <c r="D61" s="1448">
        <f>D60/C60</f>
        <v>0.12164519316684737</v>
      </c>
      <c r="E61" s="1411">
        <v>0</v>
      </c>
      <c r="F61" s="1461">
        <f>F60/$C$60</f>
        <v>5.7565670164591166E-2</v>
      </c>
      <c r="G61" s="1411">
        <v>0.16</v>
      </c>
      <c r="H61" s="1411">
        <v>0.17</v>
      </c>
      <c r="I61" s="1411">
        <v>0.17</v>
      </c>
      <c r="J61" s="1411">
        <v>0.16</v>
      </c>
      <c r="K61" s="1411">
        <f>1-SUM(D61:J61)</f>
        <v>0.16078913666856132</v>
      </c>
    </row>
    <row r="62" spans="1:12" ht="12">
      <c r="B62" s="1444"/>
      <c r="C62" s="1425"/>
      <c r="D62" s="1433"/>
      <c r="E62" s="1433"/>
      <c r="F62" s="1433"/>
      <c r="G62" s="1433"/>
    </row>
    <row r="63" spans="1:12" ht="12">
      <c r="C63" s="1440"/>
      <c r="D63" s="1440"/>
      <c r="E63" s="1440"/>
      <c r="F63" s="1440"/>
      <c r="G63" s="1440"/>
    </row>
    <row r="64" spans="1:12" s="1407" customFormat="1" ht="12">
      <c r="A64" s="1406">
        <v>3</v>
      </c>
      <c r="B64" s="1407" t="s">
        <v>1175</v>
      </c>
      <c r="C64" s="1407" t="str">
        <f>C59</f>
        <v>Total</v>
      </c>
      <c r="D64" s="1407">
        <f t="shared" ref="D64:K64" si="17">D59</f>
        <v>2012</v>
      </c>
      <c r="E64" s="1407">
        <f t="shared" si="17"/>
        <v>2013</v>
      </c>
      <c r="F64" s="1407">
        <f t="shared" si="17"/>
        <v>2014</v>
      </c>
      <c r="G64" s="1407">
        <f t="shared" si="17"/>
        <v>2015</v>
      </c>
      <c r="H64" s="1407">
        <f t="shared" si="17"/>
        <v>2016</v>
      </c>
      <c r="I64" s="1407">
        <f t="shared" si="17"/>
        <v>2017</v>
      </c>
      <c r="J64" s="1407">
        <f t="shared" si="17"/>
        <v>2018</v>
      </c>
      <c r="K64" s="1407">
        <f t="shared" si="17"/>
        <v>2019</v>
      </c>
      <c r="L64" s="1407">
        <f>K64+1</f>
        <v>2020</v>
      </c>
    </row>
    <row r="65" spans="1:12" ht="12">
      <c r="B65" s="1432"/>
      <c r="C65" s="1441">
        <f>SUM(D65:L65)</f>
        <v>1288945.2999999998</v>
      </c>
      <c r="D65" s="1422">
        <v>155738</v>
      </c>
      <c r="E65" s="1422">
        <v>0</v>
      </c>
      <c r="F65" s="1408">
        <f>D53-D65+F53*$D$66+E53*$D$67</f>
        <v>169393.55393285997</v>
      </c>
      <c r="G65" s="1408">
        <f t="shared" ref="G65:L65" si="18">G53*$D$66+F53*$D$67</f>
        <v>103115.624</v>
      </c>
      <c r="H65" s="1408">
        <f t="shared" si="18"/>
        <v>175296.56079999998</v>
      </c>
      <c r="I65" s="1408">
        <f t="shared" si="18"/>
        <v>206231.24799999996</v>
      </c>
      <c r="J65" s="1408">
        <f t="shared" si="18"/>
        <v>206231.24799999996</v>
      </c>
      <c r="K65" s="1408">
        <f t="shared" si="18"/>
        <v>196760.4388402839</v>
      </c>
      <c r="L65" s="1408">
        <f t="shared" si="18"/>
        <v>76178.626426855961</v>
      </c>
    </row>
    <row r="66" spans="1:12" ht="12">
      <c r="B66" s="1431" t="s">
        <v>797</v>
      </c>
      <c r="C66" s="1440" t="s">
        <v>798</v>
      </c>
      <c r="D66" s="1416">
        <v>0.6</v>
      </c>
      <c r="E66" s="1440"/>
      <c r="F66" s="1440"/>
      <c r="G66" s="1440"/>
    </row>
    <row r="67" spans="1:12" ht="12">
      <c r="C67" s="1440" t="s">
        <v>799</v>
      </c>
      <c r="D67" s="1416">
        <v>0.4</v>
      </c>
      <c r="E67" s="1440"/>
      <c r="F67" s="1440"/>
      <c r="G67" s="1440"/>
    </row>
    <row r="68" spans="1:12" ht="12">
      <c r="C68" s="1440" t="s">
        <v>800</v>
      </c>
      <c r="D68" s="1417">
        <f>1-SUM(D66:D67)</f>
        <v>0</v>
      </c>
      <c r="E68" s="1440"/>
      <c r="F68" s="1440"/>
      <c r="G68" s="1440"/>
    </row>
    <row r="69" spans="1:12" ht="12">
      <c r="C69" s="1440"/>
      <c r="D69" s="1416"/>
      <c r="E69" s="1440"/>
      <c r="F69" s="1440"/>
      <c r="G69" s="1440"/>
    </row>
    <row r="70" spans="1:12" ht="12">
      <c r="C70" s="1440"/>
      <c r="D70" s="1416"/>
      <c r="E70" s="1440"/>
      <c r="F70" s="1440"/>
      <c r="G70" s="1440"/>
    </row>
    <row r="71" spans="1:12" s="1407" customFormat="1" ht="12">
      <c r="A71" s="1406">
        <v>4</v>
      </c>
      <c r="B71" s="1407" t="s">
        <v>1462</v>
      </c>
      <c r="C71" s="1427" t="str">
        <f>C64</f>
        <v>Total</v>
      </c>
      <c r="D71" s="1407">
        <f t="shared" ref="D71:L71" si="19">D64</f>
        <v>2012</v>
      </c>
      <c r="E71" s="1407">
        <f t="shared" si="19"/>
        <v>2013</v>
      </c>
      <c r="F71" s="1407">
        <f t="shared" si="19"/>
        <v>2014</v>
      </c>
      <c r="G71" s="1407">
        <f t="shared" si="19"/>
        <v>2015</v>
      </c>
      <c r="H71" s="1407">
        <f t="shared" si="19"/>
        <v>2016</v>
      </c>
      <c r="I71" s="1407">
        <f t="shared" si="19"/>
        <v>2017</v>
      </c>
      <c r="J71" s="1407">
        <f t="shared" si="19"/>
        <v>2018</v>
      </c>
      <c r="K71" s="1407">
        <f t="shared" si="19"/>
        <v>2019</v>
      </c>
      <c r="L71" s="1407">
        <f t="shared" si="19"/>
        <v>2020</v>
      </c>
    </row>
    <row r="72" spans="1:12" ht="12">
      <c r="B72" s="1432" t="s">
        <v>1566</v>
      </c>
      <c r="C72" s="1441">
        <f>D43*D47</f>
        <v>0</v>
      </c>
      <c r="D72" s="1408">
        <f>$C$72*D73</f>
        <v>0</v>
      </c>
      <c r="E72" s="1408">
        <f t="shared" ref="E72:L72" si="20">$C$72*E73</f>
        <v>0</v>
      </c>
      <c r="F72" s="1408">
        <f t="shared" si="20"/>
        <v>0</v>
      </c>
      <c r="G72" s="1408">
        <f t="shared" si="20"/>
        <v>0</v>
      </c>
      <c r="H72" s="1408">
        <f t="shared" si="20"/>
        <v>0</v>
      </c>
      <c r="I72" s="1408">
        <f t="shared" si="20"/>
        <v>0</v>
      </c>
      <c r="J72" s="1408">
        <f t="shared" si="20"/>
        <v>0</v>
      </c>
      <c r="K72" s="1408">
        <f t="shared" si="20"/>
        <v>0</v>
      </c>
      <c r="L72" s="1408">
        <f t="shared" si="20"/>
        <v>0</v>
      </c>
    </row>
    <row r="73" spans="1:12" ht="12">
      <c r="B73" s="1442" t="s">
        <v>1559</v>
      </c>
      <c r="C73" s="1433"/>
      <c r="D73" s="1416"/>
      <c r="E73" s="1416"/>
      <c r="F73" s="1416"/>
      <c r="G73" s="1416"/>
      <c r="H73" s="1435"/>
    </row>
    <row r="74" spans="1:12" ht="12">
      <c r="C74" s="1433"/>
      <c r="D74" s="1425"/>
      <c r="E74" s="1425"/>
      <c r="F74" s="1424"/>
      <c r="G74" s="1424"/>
      <c r="H74" s="1435"/>
    </row>
    <row r="75" spans="1:12" ht="12">
      <c r="C75" s="1433"/>
      <c r="D75" s="1424"/>
      <c r="E75" s="1424"/>
      <c r="F75" s="1424"/>
      <c r="G75" s="1424"/>
    </row>
    <row r="76" spans="1:12" ht="12">
      <c r="A76" s="1406">
        <v>5</v>
      </c>
      <c r="B76" s="1407" t="s">
        <v>1466</v>
      </c>
      <c r="C76" s="1407" t="str">
        <f>C71</f>
        <v>Total</v>
      </c>
      <c r="D76" s="1407">
        <f t="shared" ref="D76:L76" si="21">D71</f>
        <v>2012</v>
      </c>
      <c r="E76" s="1407">
        <f t="shared" si="21"/>
        <v>2013</v>
      </c>
      <c r="F76" s="1407">
        <f t="shared" si="21"/>
        <v>2014</v>
      </c>
      <c r="G76" s="1407">
        <f t="shared" si="21"/>
        <v>2015</v>
      </c>
      <c r="H76" s="1407">
        <f t="shared" si="21"/>
        <v>2016</v>
      </c>
      <c r="I76" s="1407">
        <f t="shared" si="21"/>
        <v>2017</v>
      </c>
      <c r="J76" s="1407">
        <f t="shared" si="21"/>
        <v>2018</v>
      </c>
      <c r="K76" s="1407">
        <f t="shared" si="21"/>
        <v>2019</v>
      </c>
      <c r="L76" s="1407">
        <f t="shared" si="21"/>
        <v>2020</v>
      </c>
    </row>
    <row r="77" spans="1:12" ht="12">
      <c r="B77" s="1432" t="s">
        <v>1567</v>
      </c>
      <c r="C77" s="1441">
        <f>C61*($C$72+$D$7)</f>
        <v>435574.8</v>
      </c>
      <c r="D77" s="1441">
        <f t="shared" ref="D77:L77" si="22">D61*($C$72+$D$7)</f>
        <v>52985.580684610904</v>
      </c>
      <c r="E77" s="1441">
        <f t="shared" si="22"/>
        <v>0</v>
      </c>
      <c r="F77" s="1441">
        <f t="shared" si="22"/>
        <v>25074.155268807765</v>
      </c>
      <c r="G77" s="1441">
        <f t="shared" si="22"/>
        <v>69691.967999999993</v>
      </c>
      <c r="H77" s="1441">
        <f t="shared" si="22"/>
        <v>74047.716</v>
      </c>
      <c r="I77" s="1441">
        <f t="shared" si="22"/>
        <v>74047.716</v>
      </c>
      <c r="J77" s="1441">
        <f t="shared" si="22"/>
        <v>69691.967999999993</v>
      </c>
      <c r="K77" s="1441">
        <f t="shared" si="22"/>
        <v>70035.696046581259</v>
      </c>
      <c r="L77" s="1441">
        <f t="shared" si="22"/>
        <v>0</v>
      </c>
    </row>
    <row r="78" spans="1:12" ht="12">
      <c r="B78" s="1431" t="s">
        <v>803</v>
      </c>
      <c r="C78" s="1440">
        <f>$D$6*C61</f>
        <v>390594.3</v>
      </c>
      <c r="D78" s="1440">
        <f t="shared" ref="D78:L78" si="23">$D$6*D61</f>
        <v>47513.919073369529</v>
      </c>
      <c r="E78" s="1440">
        <f t="shared" si="23"/>
        <v>0</v>
      </c>
      <c r="F78" s="1440">
        <f t="shared" si="23"/>
        <v>22484.822641969371</v>
      </c>
      <c r="G78" s="1440">
        <f t="shared" si="23"/>
        <v>62495.087999999996</v>
      </c>
      <c r="H78" s="1440">
        <f t="shared" si="23"/>
        <v>66401.031000000003</v>
      </c>
      <c r="I78" s="1440">
        <f t="shared" si="23"/>
        <v>66401.031000000003</v>
      </c>
      <c r="J78" s="1440">
        <f t="shared" si="23"/>
        <v>62495.087999999996</v>
      </c>
      <c r="K78" s="1440">
        <f t="shared" si="23"/>
        <v>62803.320284661037</v>
      </c>
      <c r="L78" s="1440">
        <f t="shared" si="23"/>
        <v>0</v>
      </c>
    </row>
    <row r="79" spans="1:12" ht="12">
      <c r="B79" s="1447" t="s">
        <v>804</v>
      </c>
      <c r="C79" s="1458">
        <f>SUMIF(D118:L118,"&lt;="&amp;D10,D124:L124)</f>
        <v>0</v>
      </c>
      <c r="D79" s="1440">
        <f>$C$79*D61</f>
        <v>0</v>
      </c>
      <c r="E79" s="1440">
        <f t="shared" ref="E79:L79" si="24">$C$79*E61</f>
        <v>0</v>
      </c>
      <c r="F79" s="1440">
        <f t="shared" si="24"/>
        <v>0</v>
      </c>
      <c r="G79" s="1440">
        <f t="shared" si="24"/>
        <v>0</v>
      </c>
      <c r="H79" s="1440">
        <f t="shared" si="24"/>
        <v>0</v>
      </c>
      <c r="I79" s="1440">
        <f t="shared" si="24"/>
        <v>0</v>
      </c>
      <c r="J79" s="1440">
        <f t="shared" si="24"/>
        <v>0</v>
      </c>
      <c r="K79" s="1440">
        <f t="shared" si="24"/>
        <v>0</v>
      </c>
      <c r="L79" s="1440">
        <f t="shared" si="24"/>
        <v>0</v>
      </c>
    </row>
    <row r="80" spans="1:12" ht="12">
      <c r="B80" s="1447" t="s">
        <v>805</v>
      </c>
      <c r="C80" s="1410">
        <f>SUM(D80:H80)</f>
        <v>0</v>
      </c>
      <c r="D80" s="1440">
        <f>IF(D76&gt;$D$10,D124,0)</f>
        <v>0</v>
      </c>
      <c r="E80" s="1440">
        <f t="shared" ref="E80:L80" si="25">IF(E76&gt;$D$10,E124,0)</f>
        <v>0</v>
      </c>
      <c r="F80" s="1440">
        <f t="shared" si="25"/>
        <v>0</v>
      </c>
      <c r="G80" s="1440">
        <f t="shared" si="25"/>
        <v>0</v>
      </c>
      <c r="H80" s="1440">
        <f t="shared" si="25"/>
        <v>0</v>
      </c>
      <c r="I80" s="1440">
        <f t="shared" si="25"/>
        <v>0</v>
      </c>
      <c r="J80" s="1440">
        <f t="shared" si="25"/>
        <v>0</v>
      </c>
      <c r="K80" s="1440">
        <f t="shared" si="25"/>
        <v>0</v>
      </c>
      <c r="L80" s="1440">
        <f t="shared" si="25"/>
        <v>0</v>
      </c>
    </row>
    <row r="81" spans="1:12" ht="12">
      <c r="B81" s="1431" t="s">
        <v>656</v>
      </c>
      <c r="C81" s="1440">
        <f>$D$49*C65</f>
        <v>64447.264999999992</v>
      </c>
      <c r="D81" s="1440">
        <f t="shared" ref="D81:L81" si="26">$D$49*D65</f>
        <v>7786.9000000000005</v>
      </c>
      <c r="E81" s="1440">
        <f t="shared" si="26"/>
        <v>0</v>
      </c>
      <c r="F81" s="1440">
        <f t="shared" si="26"/>
        <v>8469.6776966429989</v>
      </c>
      <c r="G81" s="1440">
        <f t="shared" si="26"/>
        <v>5155.7812000000004</v>
      </c>
      <c r="H81" s="1440">
        <f t="shared" si="26"/>
        <v>8764.8280399999985</v>
      </c>
      <c r="I81" s="1440">
        <f t="shared" si="26"/>
        <v>10311.562399999999</v>
      </c>
      <c r="J81" s="1440">
        <f t="shared" si="26"/>
        <v>10311.562399999999</v>
      </c>
      <c r="K81" s="1440">
        <f t="shared" si="26"/>
        <v>9838.0219420141948</v>
      </c>
      <c r="L81" s="1440">
        <f t="shared" si="26"/>
        <v>3808.9313213427981</v>
      </c>
    </row>
    <row r="82" spans="1:12" ht="12">
      <c r="C82" s="1440"/>
      <c r="D82" s="1440"/>
      <c r="E82" s="1440"/>
      <c r="F82" s="1440"/>
      <c r="G82" s="1440"/>
    </row>
    <row r="83" spans="1:12" ht="12"/>
    <row r="84" spans="1:12" s="1407" customFormat="1" ht="12">
      <c r="A84" s="1406">
        <v>6</v>
      </c>
      <c r="B84" s="1407" t="s">
        <v>878</v>
      </c>
      <c r="C84" s="1427" t="str">
        <f>C71</f>
        <v>Total</v>
      </c>
      <c r="D84" s="1407">
        <f>D71</f>
        <v>2012</v>
      </c>
      <c r="E84" s="1407">
        <f t="shared" ref="E84:L84" si="27">E71</f>
        <v>2013</v>
      </c>
      <c r="F84" s="1407">
        <f t="shared" si="27"/>
        <v>2014</v>
      </c>
      <c r="G84" s="1407">
        <f t="shared" si="27"/>
        <v>2015</v>
      </c>
      <c r="H84" s="1407">
        <f t="shared" si="27"/>
        <v>2016</v>
      </c>
      <c r="I84" s="1407">
        <f t="shared" si="27"/>
        <v>2017</v>
      </c>
      <c r="J84" s="1407">
        <f t="shared" si="27"/>
        <v>2018</v>
      </c>
      <c r="K84" s="1407">
        <f t="shared" si="27"/>
        <v>2019</v>
      </c>
      <c r="L84" s="1407">
        <f t="shared" si="27"/>
        <v>2020</v>
      </c>
    </row>
    <row r="85" spans="1:12" ht="12">
      <c r="B85" s="1432" t="s">
        <v>26</v>
      </c>
      <c r="C85" s="1441"/>
      <c r="D85" s="1441"/>
      <c r="E85" s="1441"/>
      <c r="F85" s="1441"/>
      <c r="G85" s="1441"/>
      <c r="H85" s="1441"/>
      <c r="I85" s="1441"/>
      <c r="J85" s="1441"/>
      <c r="K85" s="1441"/>
      <c r="L85" s="1441"/>
    </row>
    <row r="86" spans="1:12" ht="12">
      <c r="B86" s="1431" t="s">
        <v>432</v>
      </c>
      <c r="C86" s="1440"/>
      <c r="D86" s="1440"/>
      <c r="E86" s="1440"/>
      <c r="F86" s="1440"/>
      <c r="G86" s="1440"/>
      <c r="H86" s="1440"/>
      <c r="I86" s="1440"/>
      <c r="J86" s="1440"/>
      <c r="K86" s="1440"/>
      <c r="L86" s="1440"/>
    </row>
    <row r="87" spans="1:12" ht="12">
      <c r="B87" s="1431" t="s">
        <v>656</v>
      </c>
      <c r="C87" s="1440"/>
      <c r="D87" s="1440"/>
      <c r="E87" s="1440"/>
      <c r="F87" s="1440"/>
      <c r="G87" s="1440"/>
      <c r="H87" s="1440"/>
      <c r="I87" s="1440"/>
      <c r="J87" s="1440"/>
      <c r="K87" s="1440"/>
      <c r="L87" s="1440"/>
    </row>
    <row r="88" spans="1:12" ht="12">
      <c r="B88" s="1431" t="s">
        <v>805</v>
      </c>
      <c r="C88" s="1410"/>
      <c r="D88" s="1440"/>
      <c r="E88" s="1440"/>
      <c r="F88" s="1440"/>
      <c r="G88" s="1440"/>
      <c r="H88" s="1440"/>
      <c r="I88" s="1440"/>
      <c r="J88" s="1440"/>
      <c r="K88" s="1440"/>
      <c r="L88" s="1440"/>
    </row>
    <row r="89" spans="1:12" ht="12">
      <c r="B89" s="1431" t="s">
        <v>822</v>
      </c>
      <c r="C89" s="1440"/>
      <c r="D89" s="1440"/>
      <c r="E89" s="1440"/>
      <c r="F89" s="1440"/>
      <c r="G89" s="1440"/>
      <c r="H89" s="1440"/>
      <c r="I89" s="1440"/>
      <c r="J89" s="1440"/>
      <c r="K89" s="1440"/>
      <c r="L89" s="1440"/>
    </row>
    <row r="90" spans="1:12" ht="12">
      <c r="B90" s="1431" t="s">
        <v>290</v>
      </c>
      <c r="C90" s="1440"/>
      <c r="D90" s="1440"/>
      <c r="E90" s="1440"/>
      <c r="F90" s="1440"/>
      <c r="G90" s="1440"/>
      <c r="H90" s="1440"/>
      <c r="I90" s="1440"/>
      <c r="J90" s="1440"/>
      <c r="K90" s="1440"/>
      <c r="L90" s="1440"/>
    </row>
    <row r="91" spans="1:12" ht="12">
      <c r="B91" s="1431" t="s">
        <v>661</v>
      </c>
      <c r="C91" s="1440"/>
      <c r="D91" s="1440"/>
      <c r="E91" s="1440"/>
      <c r="F91" s="1440"/>
      <c r="G91" s="1440"/>
      <c r="H91" s="1440"/>
      <c r="I91" s="1440"/>
      <c r="J91" s="1440"/>
      <c r="K91" s="1440"/>
      <c r="L91" s="1440"/>
    </row>
    <row r="92" spans="1:12" ht="12">
      <c r="B92" s="1428" t="s">
        <v>197</v>
      </c>
      <c r="C92" s="1429"/>
      <c r="D92" s="1429"/>
      <c r="E92" s="1429"/>
      <c r="F92" s="1429"/>
      <c r="G92" s="1429"/>
      <c r="H92" s="1429"/>
      <c r="I92" s="1429"/>
      <c r="J92" s="1429"/>
      <c r="K92" s="1429"/>
      <c r="L92" s="1429"/>
    </row>
    <row r="93" spans="1:12" ht="12">
      <c r="B93" s="1428" t="s">
        <v>1568</v>
      </c>
      <c r="C93" s="1429"/>
      <c r="D93" s="1429"/>
      <c r="E93" s="1429"/>
      <c r="F93" s="1429"/>
      <c r="G93" s="1429"/>
      <c r="H93" s="1429"/>
      <c r="I93" s="1429"/>
      <c r="J93" s="1429"/>
      <c r="K93" s="1429"/>
      <c r="L93" s="1429"/>
    </row>
    <row r="94" spans="1:12" ht="12">
      <c r="B94" s="1428"/>
      <c r="C94" s="1429"/>
      <c r="D94" s="1429"/>
      <c r="E94" s="1429"/>
      <c r="F94" s="1429"/>
      <c r="G94" s="1429"/>
      <c r="H94" s="1429"/>
    </row>
    <row r="95" spans="1:12" ht="12">
      <c r="D95" s="1440"/>
      <c r="E95" s="1440"/>
      <c r="F95" s="1440"/>
      <c r="G95" s="1440"/>
    </row>
    <row r="96" spans="1:12" s="1407" customFormat="1" ht="12">
      <c r="A96" s="1406">
        <v>7</v>
      </c>
      <c r="B96" s="1407" t="s">
        <v>1589</v>
      </c>
      <c r="C96" s="1427" t="s">
        <v>642</v>
      </c>
      <c r="D96" s="1407">
        <f t="shared" ref="D96:L96" si="28">D84</f>
        <v>2012</v>
      </c>
      <c r="E96" s="1407">
        <f t="shared" si="28"/>
        <v>2013</v>
      </c>
      <c r="F96" s="1407">
        <f t="shared" si="28"/>
        <v>2014</v>
      </c>
      <c r="G96" s="1407">
        <f t="shared" si="28"/>
        <v>2015</v>
      </c>
      <c r="H96" s="1407">
        <f t="shared" si="28"/>
        <v>2016</v>
      </c>
      <c r="I96" s="1407">
        <f t="shared" si="28"/>
        <v>2017</v>
      </c>
      <c r="J96" s="1407">
        <f t="shared" si="28"/>
        <v>2018</v>
      </c>
      <c r="K96" s="1407">
        <f t="shared" si="28"/>
        <v>2019</v>
      </c>
      <c r="L96" s="1407">
        <f t="shared" si="28"/>
        <v>2020</v>
      </c>
    </row>
    <row r="97" spans="2:12" ht="12">
      <c r="B97" s="1419" t="s">
        <v>850</v>
      </c>
      <c r="C97" s="1453"/>
      <c r="D97" s="1453"/>
      <c r="E97" s="1453"/>
      <c r="F97" s="1453"/>
      <c r="G97" s="1453"/>
      <c r="H97" s="1453"/>
      <c r="I97" s="1453"/>
      <c r="J97" s="1453"/>
      <c r="K97" s="1453"/>
      <c r="L97" s="1453"/>
    </row>
    <row r="98" spans="2:12" ht="12">
      <c r="B98" s="1431" t="s">
        <v>3</v>
      </c>
      <c r="C98" s="1440"/>
      <c r="D98" s="1440"/>
      <c r="E98" s="1440"/>
      <c r="F98" s="1440"/>
      <c r="G98" s="1440"/>
      <c r="H98" s="1440"/>
      <c r="I98" s="1440"/>
      <c r="J98" s="1440"/>
      <c r="K98" s="1440"/>
      <c r="L98" s="1440"/>
    </row>
    <row r="99" spans="2:12" ht="12">
      <c r="B99" s="1431" t="s">
        <v>1594</v>
      </c>
      <c r="C99" s="1440"/>
      <c r="D99" s="1440"/>
      <c r="E99" s="1440"/>
      <c r="F99" s="1440"/>
      <c r="G99" s="1440"/>
      <c r="H99" s="1440"/>
      <c r="I99" s="1440"/>
      <c r="J99" s="1440"/>
      <c r="K99" s="1440"/>
      <c r="L99" s="1440"/>
    </row>
    <row r="100" spans="2:12" ht="12">
      <c r="B100" s="1407"/>
      <c r="C100" s="1427"/>
      <c r="D100" s="1427"/>
      <c r="E100" s="1427"/>
      <c r="F100" s="1427"/>
      <c r="G100" s="1427"/>
      <c r="H100" s="1427"/>
      <c r="I100" s="1427"/>
      <c r="J100" s="1427"/>
      <c r="K100" s="1427"/>
      <c r="L100" s="1427"/>
    </row>
    <row r="101" spans="2:12" ht="12">
      <c r="B101" s="1407" t="s">
        <v>851</v>
      </c>
      <c r="C101" s="1427"/>
      <c r="D101" s="1427"/>
      <c r="E101" s="1427"/>
      <c r="F101" s="1427"/>
      <c r="G101" s="1427"/>
      <c r="H101" s="1427"/>
      <c r="I101" s="1427"/>
      <c r="J101" s="1427"/>
      <c r="K101" s="1427"/>
      <c r="L101" s="1427"/>
    </row>
    <row r="102" spans="2:12" ht="12">
      <c r="B102" s="1431" t="s">
        <v>852</v>
      </c>
      <c r="C102" s="1440"/>
      <c r="D102" s="1440"/>
      <c r="E102" s="1440"/>
      <c r="F102" s="1440"/>
      <c r="G102" s="1440"/>
      <c r="H102" s="1440"/>
      <c r="I102" s="1440"/>
      <c r="J102" s="1440"/>
      <c r="K102" s="1440"/>
      <c r="L102" s="1440"/>
    </row>
    <row r="103" spans="2:12" ht="12">
      <c r="B103" s="1431" t="s">
        <v>1569</v>
      </c>
      <c r="C103" s="1440"/>
      <c r="D103" s="1440"/>
      <c r="E103" s="1440"/>
      <c r="F103" s="1440"/>
      <c r="G103" s="1440"/>
      <c r="H103" s="1440"/>
      <c r="I103" s="1440"/>
      <c r="J103" s="1440"/>
      <c r="K103" s="1440"/>
      <c r="L103" s="1440"/>
    </row>
    <row r="104" spans="2:12" ht="12">
      <c r="B104" s="1431" t="s">
        <v>788</v>
      </c>
      <c r="C104" s="1440"/>
      <c r="D104" s="1440"/>
      <c r="E104" s="1440"/>
      <c r="F104" s="1440"/>
      <c r="G104" s="1440"/>
      <c r="H104" s="1440"/>
      <c r="I104" s="1440"/>
      <c r="J104" s="1440"/>
      <c r="K104" s="1440"/>
      <c r="L104" s="1440"/>
    </row>
    <row r="105" spans="2:12" ht="12">
      <c r="B105" s="1431" t="s">
        <v>656</v>
      </c>
      <c r="C105" s="1440"/>
      <c r="D105" s="1440"/>
      <c r="E105" s="1440"/>
      <c r="F105" s="1440"/>
      <c r="G105" s="1440"/>
      <c r="H105" s="1440"/>
      <c r="I105" s="1440"/>
      <c r="J105" s="1440"/>
      <c r="K105" s="1440"/>
      <c r="L105" s="1440"/>
    </row>
    <row r="106" spans="2:12" ht="12">
      <c r="B106" s="1431" t="s">
        <v>1593</v>
      </c>
      <c r="C106" s="1440"/>
      <c r="D106" s="1440"/>
      <c r="E106" s="1440"/>
      <c r="F106" s="1440"/>
      <c r="G106" s="1440"/>
      <c r="H106" s="1440"/>
      <c r="I106" s="1440"/>
      <c r="J106" s="1440"/>
      <c r="K106" s="1440"/>
      <c r="L106" s="1440"/>
    </row>
    <row r="107" spans="2:12" ht="12">
      <c r="B107" s="1431" t="s">
        <v>805</v>
      </c>
      <c r="C107" s="1450"/>
      <c r="D107" s="1450"/>
      <c r="E107" s="1450"/>
      <c r="F107" s="1450"/>
      <c r="G107" s="1450"/>
      <c r="H107" s="1450"/>
      <c r="I107" s="1450"/>
      <c r="J107" s="1450"/>
      <c r="K107" s="1450"/>
      <c r="L107" s="1450"/>
    </row>
    <row r="108" spans="2:12" ht="12">
      <c r="B108" s="1431" t="s">
        <v>854</v>
      </c>
      <c r="C108" s="1440"/>
      <c r="D108" s="1440"/>
      <c r="E108" s="1440"/>
      <c r="F108" s="1440"/>
      <c r="G108" s="1440"/>
      <c r="H108" s="1440"/>
      <c r="I108" s="1440"/>
      <c r="J108" s="1440"/>
      <c r="K108" s="1440"/>
      <c r="L108" s="1440"/>
    </row>
    <row r="109" spans="2:12" ht="12">
      <c r="B109" s="1407" t="s">
        <v>855</v>
      </c>
      <c r="C109" s="1427"/>
      <c r="D109" s="1454"/>
      <c r="E109" s="1427"/>
      <c r="F109" s="1427"/>
      <c r="G109" s="1427"/>
      <c r="H109" s="1427"/>
      <c r="I109" s="1427"/>
      <c r="J109" s="1427"/>
      <c r="K109" s="1427"/>
      <c r="L109" s="1427"/>
    </row>
    <row r="110" spans="2:12" ht="12">
      <c r="B110" s="1431" t="s">
        <v>1570</v>
      </c>
      <c r="D110" s="1452"/>
      <c r="E110" s="1452"/>
      <c r="F110" s="1452"/>
      <c r="G110" s="1452"/>
      <c r="H110" s="1452"/>
      <c r="I110" s="1452"/>
      <c r="J110" s="1452"/>
      <c r="K110" s="1452"/>
      <c r="L110" s="1452"/>
    </row>
    <row r="111" spans="2:12" ht="12">
      <c r="B111" s="1431" t="s">
        <v>1452</v>
      </c>
      <c r="C111" s="1440"/>
      <c r="D111" s="1440"/>
      <c r="E111" s="1440"/>
      <c r="F111" s="1440"/>
      <c r="G111" s="1440"/>
      <c r="H111" s="1440"/>
      <c r="I111" s="1440"/>
      <c r="J111" s="1440"/>
      <c r="K111" s="1440"/>
      <c r="L111" s="1440"/>
    </row>
    <row r="112" spans="2:12" ht="12">
      <c r="B112" s="1407" t="s">
        <v>1590</v>
      </c>
      <c r="C112" s="1427"/>
    </row>
    <row r="113" spans="1:12" ht="12">
      <c r="B113" s="1407"/>
      <c r="C113" s="1427"/>
    </row>
    <row r="114" spans="1:12" ht="12">
      <c r="B114" s="1407" t="s">
        <v>1588</v>
      </c>
      <c r="C114" s="1427"/>
      <c r="D114" s="1407"/>
      <c r="E114" s="1407"/>
      <c r="F114" s="1407"/>
      <c r="G114" s="1407"/>
      <c r="H114" s="1407"/>
      <c r="I114" s="1407"/>
      <c r="J114" s="1407"/>
      <c r="K114" s="1407"/>
      <c r="L114" s="1407"/>
    </row>
    <row r="115" spans="1:12" ht="12">
      <c r="B115" s="1460" t="e">
        <f>IRR(C115:L115)</f>
        <v>#NUM!</v>
      </c>
      <c r="C115" s="1408"/>
      <c r="D115" s="1408"/>
      <c r="E115" s="1408"/>
      <c r="F115" s="1408"/>
      <c r="G115" s="1408"/>
      <c r="H115" s="1408"/>
      <c r="I115" s="1408"/>
      <c r="J115" s="1408"/>
      <c r="K115" s="1408"/>
      <c r="L115" s="1408"/>
    </row>
    <row r="116" spans="1:12" ht="12">
      <c r="B116" s="1443"/>
      <c r="C116" s="1440"/>
      <c r="D116" s="1440"/>
      <c r="E116" s="1440"/>
      <c r="F116" s="1440"/>
      <c r="G116" s="1440"/>
      <c r="H116" s="1440"/>
    </row>
    <row r="117" spans="1:12" ht="12">
      <c r="B117" s="1407"/>
      <c r="C117" s="1427"/>
    </row>
    <row r="118" spans="1:12" s="1407" customFormat="1" ht="12">
      <c r="A118" s="1406">
        <v>8</v>
      </c>
      <c r="B118" s="1407" t="s">
        <v>1592</v>
      </c>
      <c r="C118" s="1427"/>
      <c r="D118" s="1407">
        <f>D96</f>
        <v>2012</v>
      </c>
      <c r="E118" s="1407">
        <f t="shared" ref="E118:L118" si="29">E96</f>
        <v>2013</v>
      </c>
      <c r="F118" s="1407">
        <f t="shared" si="29"/>
        <v>2014</v>
      </c>
      <c r="G118" s="1407">
        <f t="shared" si="29"/>
        <v>2015</v>
      </c>
      <c r="H118" s="1407">
        <f t="shared" si="29"/>
        <v>2016</v>
      </c>
      <c r="I118" s="1407">
        <f t="shared" si="29"/>
        <v>2017</v>
      </c>
      <c r="J118" s="1407">
        <f t="shared" si="29"/>
        <v>2018</v>
      </c>
      <c r="K118" s="1407">
        <f t="shared" si="29"/>
        <v>2019</v>
      </c>
      <c r="L118" s="1407">
        <f t="shared" si="29"/>
        <v>2020</v>
      </c>
    </row>
    <row r="119" spans="1:12" ht="12">
      <c r="B119" s="1432" t="s">
        <v>1571</v>
      </c>
      <c r="C119" s="1441"/>
      <c r="D119" s="1432"/>
      <c r="E119" s="1432"/>
      <c r="F119" s="1432"/>
      <c r="G119" s="1432"/>
      <c r="H119" s="1432"/>
      <c r="I119" s="1432"/>
      <c r="J119" s="1432"/>
      <c r="K119" s="1432"/>
      <c r="L119" s="1432"/>
    </row>
    <row r="120" spans="1:12" ht="12">
      <c r="B120" s="1431" t="s">
        <v>1572</v>
      </c>
      <c r="C120" s="1433"/>
      <c r="D120" s="1416"/>
      <c r="E120" s="1416"/>
      <c r="F120" s="1416"/>
      <c r="G120" s="1416"/>
      <c r="H120" s="1416"/>
      <c r="I120" s="1416"/>
      <c r="J120" s="1416"/>
    </row>
    <row r="121" spans="1:12" ht="12">
      <c r="B121" s="1431" t="s">
        <v>1573</v>
      </c>
      <c r="C121" s="1440"/>
      <c r="D121" s="1410"/>
      <c r="E121" s="1410"/>
      <c r="F121" s="1410"/>
      <c r="G121" s="1410"/>
      <c r="H121" s="1410"/>
      <c r="I121" s="1410"/>
      <c r="J121" s="1410"/>
      <c r="K121" s="1410"/>
      <c r="L121" s="1410"/>
    </row>
    <row r="122" spans="1:12" ht="12">
      <c r="B122" s="1431" t="s">
        <v>868</v>
      </c>
      <c r="C122" s="1440"/>
      <c r="D122" s="1410"/>
      <c r="E122" s="1440"/>
      <c r="F122" s="1440"/>
      <c r="G122" s="1440"/>
      <c r="H122" s="1440"/>
      <c r="I122" s="1440"/>
      <c r="J122" s="1440"/>
      <c r="K122" s="1440"/>
      <c r="L122" s="1440"/>
    </row>
    <row r="123" spans="1:12" ht="12">
      <c r="B123" s="1431" t="s">
        <v>1574</v>
      </c>
      <c r="C123" s="1440"/>
      <c r="D123" s="1423"/>
      <c r="E123" s="1410"/>
      <c r="F123" s="1440"/>
      <c r="G123" s="1423"/>
      <c r="H123" s="1440"/>
      <c r="I123" s="1440"/>
      <c r="J123" s="1440"/>
      <c r="K123" s="1440"/>
    </row>
    <row r="124" spans="1:12" ht="12">
      <c r="B124" s="1431" t="s">
        <v>869</v>
      </c>
      <c r="C124" s="1440"/>
      <c r="D124" s="1440"/>
      <c r="E124" s="1440"/>
      <c r="F124" s="1440"/>
      <c r="G124" s="1440"/>
      <c r="H124" s="1440"/>
      <c r="I124" s="1440"/>
      <c r="J124" s="1440"/>
      <c r="K124" s="1440"/>
      <c r="L124" s="1440"/>
    </row>
    <row r="125" spans="1:12" ht="12">
      <c r="B125" s="1431" t="s">
        <v>874</v>
      </c>
      <c r="C125" s="1440"/>
      <c r="D125" s="1410"/>
      <c r="E125" s="1440"/>
      <c r="F125" s="1440"/>
      <c r="G125" s="1440"/>
      <c r="H125" s="1440"/>
      <c r="I125" s="1440"/>
      <c r="J125" s="1440"/>
      <c r="K125" s="1440"/>
      <c r="L125" s="1440"/>
    </row>
    <row r="126" spans="1:12" ht="12">
      <c r="C126" s="1440"/>
      <c r="D126" s="1412"/>
      <c r="E126" s="1440"/>
      <c r="F126" s="1440"/>
      <c r="G126" s="1440"/>
      <c r="H126" s="1440"/>
    </row>
    <row r="127" spans="1:12" ht="12">
      <c r="C127" s="1440"/>
    </row>
    <row r="128" spans="1:12" s="1407" customFormat="1" ht="12">
      <c r="A128" s="1406">
        <v>9</v>
      </c>
      <c r="B128" s="1407" t="s">
        <v>350</v>
      </c>
      <c r="C128" s="1427"/>
    </row>
    <row r="129" spans="1:12" ht="12">
      <c r="B129" s="1432" t="s">
        <v>1575</v>
      </c>
      <c r="C129" s="1441"/>
      <c r="D129" s="1441"/>
      <c r="E129" s="1408"/>
      <c r="F129" s="1408"/>
      <c r="G129" s="1408"/>
      <c r="H129" s="1408"/>
      <c r="I129" s="1408"/>
      <c r="J129" s="1408"/>
      <c r="K129" s="1408"/>
      <c r="L129" s="1408"/>
    </row>
    <row r="130" spans="1:12" ht="12">
      <c r="B130" s="1431" t="s">
        <v>1576</v>
      </c>
      <c r="C130" s="1440"/>
      <c r="D130" s="1440"/>
      <c r="E130" s="1440"/>
      <c r="F130" s="1440"/>
      <c r="G130" s="1440"/>
      <c r="H130" s="1440"/>
      <c r="I130" s="1440"/>
      <c r="J130" s="1440"/>
      <c r="K130" s="1440"/>
      <c r="L130" s="1440"/>
    </row>
    <row r="131" spans="1:12" ht="12">
      <c r="B131" s="1431" t="s">
        <v>1577</v>
      </c>
      <c r="C131" s="1440"/>
      <c r="D131" s="1440"/>
      <c r="E131" s="1440"/>
      <c r="F131" s="1440"/>
      <c r="G131" s="1440"/>
      <c r="H131" s="1440"/>
      <c r="I131" s="1440"/>
      <c r="J131" s="1440"/>
      <c r="K131" s="1440"/>
      <c r="L131" s="1440"/>
    </row>
    <row r="132" spans="1:12" ht="12">
      <c r="B132" s="1431" t="s">
        <v>1578</v>
      </c>
      <c r="C132" s="1440"/>
      <c r="D132" s="1436"/>
      <c r="E132" s="1436"/>
      <c r="F132" s="1436"/>
      <c r="G132" s="1436"/>
      <c r="H132" s="1436"/>
      <c r="I132" s="1436"/>
      <c r="J132" s="1436"/>
      <c r="K132" s="1436"/>
      <c r="L132" s="1436"/>
    </row>
    <row r="133" spans="1:12" ht="12">
      <c r="B133" s="1431" t="s">
        <v>1579</v>
      </c>
      <c r="C133" s="1440"/>
      <c r="D133" s="1410"/>
      <c r="E133" s="1410"/>
      <c r="F133" s="1410"/>
      <c r="G133" s="1410"/>
      <c r="H133" s="1410"/>
      <c r="I133" s="1410"/>
      <c r="J133" s="1410"/>
      <c r="K133" s="1410"/>
      <c r="L133" s="1410"/>
    </row>
    <row r="134" spans="1:12" s="1407" customFormat="1" ht="12">
      <c r="A134" s="1406"/>
      <c r="B134" s="1407" t="s">
        <v>1580</v>
      </c>
      <c r="C134" s="1427"/>
      <c r="D134" s="1451"/>
      <c r="E134" s="1451"/>
      <c r="F134" s="1451"/>
      <c r="G134" s="1451"/>
      <c r="H134" s="1451"/>
      <c r="I134" s="1451"/>
      <c r="J134" s="1451"/>
      <c r="K134" s="1451"/>
      <c r="L134" s="1451"/>
    </row>
    <row r="135" spans="1:12" ht="12">
      <c r="B135" s="1407"/>
      <c r="E135" s="1440"/>
      <c r="F135" s="1440"/>
      <c r="G135" s="1440"/>
      <c r="H135" s="1440"/>
    </row>
    <row r="136" spans="1:12" ht="12">
      <c r="B136" s="1407" t="s">
        <v>1492</v>
      </c>
      <c r="E136" s="1440"/>
      <c r="F136" s="1440"/>
      <c r="G136" s="1440"/>
      <c r="H136" s="1440"/>
    </row>
    <row r="137" spans="1:12" ht="12">
      <c r="B137" s="1431" t="s">
        <v>1581</v>
      </c>
      <c r="D137" s="1412"/>
      <c r="E137" s="1410"/>
      <c r="F137" s="1440"/>
      <c r="G137" s="1440"/>
      <c r="H137" s="1440"/>
      <c r="I137" s="1440"/>
      <c r="J137" s="1440"/>
      <c r="K137" s="1440"/>
      <c r="L137" s="1440"/>
    </row>
    <row r="138" spans="1:12" ht="12">
      <c r="B138" s="1431" t="s">
        <v>994</v>
      </c>
      <c r="D138" s="1440"/>
      <c r="E138" s="1440"/>
      <c r="F138" s="1440"/>
      <c r="G138" s="1440"/>
      <c r="H138" s="1440"/>
      <c r="I138" s="1440"/>
      <c r="J138" s="1440"/>
      <c r="K138" s="1440"/>
      <c r="L138" s="1440"/>
    </row>
    <row r="139" spans="1:12" ht="12">
      <c r="B139" s="1431" t="s">
        <v>1582</v>
      </c>
      <c r="F139" s="1440"/>
      <c r="G139" s="1440"/>
    </row>
    <row r="140" spans="1:12" ht="12">
      <c r="B140" s="1431" t="s">
        <v>1583</v>
      </c>
      <c r="D140" s="1440"/>
      <c r="E140" s="1440"/>
      <c r="F140" s="1440"/>
      <c r="G140" s="1440"/>
      <c r="H140" s="1440"/>
      <c r="I140" s="1440"/>
      <c r="J140" s="1440"/>
      <c r="K140" s="1440"/>
      <c r="L140" s="1440"/>
    </row>
    <row r="141" spans="1:12" ht="12">
      <c r="B141" s="1431" t="s">
        <v>874</v>
      </c>
      <c r="D141" s="1440"/>
      <c r="E141" s="1440"/>
      <c r="F141" s="1440"/>
      <c r="G141" s="1440"/>
      <c r="H141" s="1440"/>
      <c r="I141" s="1440"/>
      <c r="J141" s="1440"/>
      <c r="K141" s="1440"/>
      <c r="L141" s="1440"/>
    </row>
    <row r="142" spans="1:12" ht="12">
      <c r="A142" s="1430" t="s">
        <v>1584</v>
      </c>
      <c r="B142" s="1432"/>
      <c r="C142" s="1432"/>
      <c r="D142" s="1432"/>
      <c r="E142" s="1432"/>
      <c r="F142" s="1432"/>
      <c r="G142" s="1432"/>
      <c r="H142" s="1432"/>
      <c r="I142" s="1432"/>
      <c r="J142" s="1432"/>
      <c r="K142" s="1432"/>
      <c r="L142" s="1432"/>
    </row>
    <row r="143" spans="1:12" ht="12"/>
    <row r="144" spans="1:12" ht="12"/>
    <row r="145" ht="12"/>
    <row r="146" ht="12"/>
    <row r="147" ht="12"/>
  </sheetData>
  <pageMargins left="0.7" right="0.7" top="0.75" bottom="0.75" header="0.3" footer="0.3"/>
  <pageSetup orientation="portrait" r:id="rId1"/>
  <drawing r:id="rId2"/>
  <legacyDrawing r:id="rId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00B050"/>
  </sheetPr>
  <dimension ref="A1:E17"/>
  <sheetViews>
    <sheetView workbookViewId="0">
      <selection activeCell="E9" sqref="E9"/>
    </sheetView>
  </sheetViews>
  <sheetFormatPr defaultRowHeight="12.75"/>
  <cols>
    <col min="1" max="1" width="32.7109375" style="736" bestFit="1" customWidth="1"/>
    <col min="2" max="2" width="26.140625" style="734" customWidth="1"/>
    <col min="3" max="3" width="9.140625" style="734"/>
    <col min="4" max="4" width="20.140625" style="734" bestFit="1" customWidth="1"/>
    <col min="5" max="5" width="12.85546875" style="734" bestFit="1" customWidth="1"/>
    <col min="6" max="256" width="9.140625" style="734"/>
    <col min="257" max="257" width="32.7109375" style="734" bestFit="1" customWidth="1"/>
    <col min="258" max="258" width="26.140625" style="734" customWidth="1"/>
    <col min="259" max="512" width="9.140625" style="734"/>
    <col min="513" max="513" width="32.7109375" style="734" bestFit="1" customWidth="1"/>
    <col min="514" max="514" width="26.140625" style="734" customWidth="1"/>
    <col min="515" max="768" width="9.140625" style="734"/>
    <col min="769" max="769" width="32.7109375" style="734" bestFit="1" customWidth="1"/>
    <col min="770" max="770" width="26.140625" style="734" customWidth="1"/>
    <col min="771" max="1024" width="9.140625" style="734"/>
    <col min="1025" max="1025" width="32.7109375" style="734" bestFit="1" customWidth="1"/>
    <col min="1026" max="1026" width="26.140625" style="734" customWidth="1"/>
    <col min="1027" max="1280" width="9.140625" style="734"/>
    <col min="1281" max="1281" width="32.7109375" style="734" bestFit="1" customWidth="1"/>
    <col min="1282" max="1282" width="26.140625" style="734" customWidth="1"/>
    <col min="1283" max="1536" width="9.140625" style="734"/>
    <col min="1537" max="1537" width="32.7109375" style="734" bestFit="1" customWidth="1"/>
    <col min="1538" max="1538" width="26.140625" style="734" customWidth="1"/>
    <col min="1539" max="1792" width="9.140625" style="734"/>
    <col min="1793" max="1793" width="32.7109375" style="734" bestFit="1" customWidth="1"/>
    <col min="1794" max="1794" width="26.140625" style="734" customWidth="1"/>
    <col min="1795" max="2048" width="9.140625" style="734"/>
    <col min="2049" max="2049" width="32.7109375" style="734" bestFit="1" customWidth="1"/>
    <col min="2050" max="2050" width="26.140625" style="734" customWidth="1"/>
    <col min="2051" max="2304" width="9.140625" style="734"/>
    <col min="2305" max="2305" width="32.7109375" style="734" bestFit="1" customWidth="1"/>
    <col min="2306" max="2306" width="26.140625" style="734" customWidth="1"/>
    <col min="2307" max="2560" width="9.140625" style="734"/>
    <col min="2561" max="2561" width="32.7109375" style="734" bestFit="1" customWidth="1"/>
    <col min="2562" max="2562" width="26.140625" style="734" customWidth="1"/>
    <col min="2563" max="2816" width="9.140625" style="734"/>
    <col min="2817" max="2817" width="32.7109375" style="734" bestFit="1" customWidth="1"/>
    <col min="2818" max="2818" width="26.140625" style="734" customWidth="1"/>
    <col min="2819" max="3072" width="9.140625" style="734"/>
    <col min="3073" max="3073" width="32.7109375" style="734" bestFit="1" customWidth="1"/>
    <col min="3074" max="3074" width="26.140625" style="734" customWidth="1"/>
    <col min="3075" max="3328" width="9.140625" style="734"/>
    <col min="3329" max="3329" width="32.7109375" style="734" bestFit="1" customWidth="1"/>
    <col min="3330" max="3330" width="26.140625" style="734" customWidth="1"/>
    <col min="3331" max="3584" width="9.140625" style="734"/>
    <col min="3585" max="3585" width="32.7109375" style="734" bestFit="1" customWidth="1"/>
    <col min="3586" max="3586" width="26.140625" style="734" customWidth="1"/>
    <col min="3587" max="3840" width="9.140625" style="734"/>
    <col min="3841" max="3841" width="32.7109375" style="734" bestFit="1" customWidth="1"/>
    <col min="3842" max="3842" width="26.140625" style="734" customWidth="1"/>
    <col min="3843" max="4096" width="9.140625" style="734"/>
    <col min="4097" max="4097" width="32.7109375" style="734" bestFit="1" customWidth="1"/>
    <col min="4098" max="4098" width="26.140625" style="734" customWidth="1"/>
    <col min="4099" max="4352" width="9.140625" style="734"/>
    <col min="4353" max="4353" width="32.7109375" style="734" bestFit="1" customWidth="1"/>
    <col min="4354" max="4354" width="26.140625" style="734" customWidth="1"/>
    <col min="4355" max="4608" width="9.140625" style="734"/>
    <col min="4609" max="4609" width="32.7109375" style="734" bestFit="1" customWidth="1"/>
    <col min="4610" max="4610" width="26.140625" style="734" customWidth="1"/>
    <col min="4611" max="4864" width="9.140625" style="734"/>
    <col min="4865" max="4865" width="32.7109375" style="734" bestFit="1" customWidth="1"/>
    <col min="4866" max="4866" width="26.140625" style="734" customWidth="1"/>
    <col min="4867" max="5120" width="9.140625" style="734"/>
    <col min="5121" max="5121" width="32.7109375" style="734" bestFit="1" customWidth="1"/>
    <col min="5122" max="5122" width="26.140625" style="734" customWidth="1"/>
    <col min="5123" max="5376" width="9.140625" style="734"/>
    <col min="5377" max="5377" width="32.7109375" style="734" bestFit="1" customWidth="1"/>
    <col min="5378" max="5378" width="26.140625" style="734" customWidth="1"/>
    <col min="5379" max="5632" width="9.140625" style="734"/>
    <col min="5633" max="5633" width="32.7109375" style="734" bestFit="1" customWidth="1"/>
    <col min="5634" max="5634" width="26.140625" style="734" customWidth="1"/>
    <col min="5635" max="5888" width="9.140625" style="734"/>
    <col min="5889" max="5889" width="32.7109375" style="734" bestFit="1" customWidth="1"/>
    <col min="5890" max="5890" width="26.140625" style="734" customWidth="1"/>
    <col min="5891" max="6144" width="9.140625" style="734"/>
    <col min="6145" max="6145" width="32.7109375" style="734" bestFit="1" customWidth="1"/>
    <col min="6146" max="6146" width="26.140625" style="734" customWidth="1"/>
    <col min="6147" max="6400" width="9.140625" style="734"/>
    <col min="6401" max="6401" width="32.7109375" style="734" bestFit="1" customWidth="1"/>
    <col min="6402" max="6402" width="26.140625" style="734" customWidth="1"/>
    <col min="6403" max="6656" width="9.140625" style="734"/>
    <col min="6657" max="6657" width="32.7109375" style="734" bestFit="1" customWidth="1"/>
    <col min="6658" max="6658" width="26.140625" style="734" customWidth="1"/>
    <col min="6659" max="6912" width="9.140625" style="734"/>
    <col min="6913" max="6913" width="32.7109375" style="734" bestFit="1" customWidth="1"/>
    <col min="6914" max="6914" width="26.140625" style="734" customWidth="1"/>
    <col min="6915" max="7168" width="9.140625" style="734"/>
    <col min="7169" max="7169" width="32.7109375" style="734" bestFit="1" customWidth="1"/>
    <col min="7170" max="7170" width="26.140625" style="734" customWidth="1"/>
    <col min="7171" max="7424" width="9.140625" style="734"/>
    <col min="7425" max="7425" width="32.7109375" style="734" bestFit="1" customWidth="1"/>
    <col min="7426" max="7426" width="26.140625" style="734" customWidth="1"/>
    <col min="7427" max="7680" width="9.140625" style="734"/>
    <col min="7681" max="7681" width="32.7109375" style="734" bestFit="1" customWidth="1"/>
    <col min="7682" max="7682" width="26.140625" style="734" customWidth="1"/>
    <col min="7683" max="7936" width="9.140625" style="734"/>
    <col min="7937" max="7937" width="32.7109375" style="734" bestFit="1" customWidth="1"/>
    <col min="7938" max="7938" width="26.140625" style="734" customWidth="1"/>
    <col min="7939" max="8192" width="9.140625" style="734"/>
    <col min="8193" max="8193" width="32.7109375" style="734" bestFit="1" customWidth="1"/>
    <col min="8194" max="8194" width="26.140625" style="734" customWidth="1"/>
    <col min="8195" max="8448" width="9.140625" style="734"/>
    <col min="8449" max="8449" width="32.7109375" style="734" bestFit="1" customWidth="1"/>
    <col min="8450" max="8450" width="26.140625" style="734" customWidth="1"/>
    <col min="8451" max="8704" width="9.140625" style="734"/>
    <col min="8705" max="8705" width="32.7109375" style="734" bestFit="1" customWidth="1"/>
    <col min="8706" max="8706" width="26.140625" style="734" customWidth="1"/>
    <col min="8707" max="8960" width="9.140625" style="734"/>
    <col min="8961" max="8961" width="32.7109375" style="734" bestFit="1" customWidth="1"/>
    <col min="8962" max="8962" width="26.140625" style="734" customWidth="1"/>
    <col min="8963" max="9216" width="9.140625" style="734"/>
    <col min="9217" max="9217" width="32.7109375" style="734" bestFit="1" customWidth="1"/>
    <col min="9218" max="9218" width="26.140625" style="734" customWidth="1"/>
    <col min="9219" max="9472" width="9.140625" style="734"/>
    <col min="9473" max="9473" width="32.7109375" style="734" bestFit="1" customWidth="1"/>
    <col min="9474" max="9474" width="26.140625" style="734" customWidth="1"/>
    <col min="9475" max="9728" width="9.140625" style="734"/>
    <col min="9729" max="9729" width="32.7109375" style="734" bestFit="1" customWidth="1"/>
    <col min="9730" max="9730" width="26.140625" style="734" customWidth="1"/>
    <col min="9731" max="9984" width="9.140625" style="734"/>
    <col min="9985" max="9985" width="32.7109375" style="734" bestFit="1" customWidth="1"/>
    <col min="9986" max="9986" width="26.140625" style="734" customWidth="1"/>
    <col min="9987" max="10240" width="9.140625" style="734"/>
    <col min="10241" max="10241" width="32.7109375" style="734" bestFit="1" customWidth="1"/>
    <col min="10242" max="10242" width="26.140625" style="734" customWidth="1"/>
    <col min="10243" max="10496" width="9.140625" style="734"/>
    <col min="10497" max="10497" width="32.7109375" style="734" bestFit="1" customWidth="1"/>
    <col min="10498" max="10498" width="26.140625" style="734" customWidth="1"/>
    <col min="10499" max="10752" width="9.140625" style="734"/>
    <col min="10753" max="10753" width="32.7109375" style="734" bestFit="1" customWidth="1"/>
    <col min="10754" max="10754" width="26.140625" style="734" customWidth="1"/>
    <col min="10755" max="11008" width="9.140625" style="734"/>
    <col min="11009" max="11009" width="32.7109375" style="734" bestFit="1" customWidth="1"/>
    <col min="11010" max="11010" width="26.140625" style="734" customWidth="1"/>
    <col min="11011" max="11264" width="9.140625" style="734"/>
    <col min="11265" max="11265" width="32.7109375" style="734" bestFit="1" customWidth="1"/>
    <col min="11266" max="11266" width="26.140625" style="734" customWidth="1"/>
    <col min="11267" max="11520" width="9.140625" style="734"/>
    <col min="11521" max="11521" width="32.7109375" style="734" bestFit="1" customWidth="1"/>
    <col min="11522" max="11522" width="26.140625" style="734" customWidth="1"/>
    <col min="11523" max="11776" width="9.140625" style="734"/>
    <col min="11777" max="11777" width="32.7109375" style="734" bestFit="1" customWidth="1"/>
    <col min="11778" max="11778" width="26.140625" style="734" customWidth="1"/>
    <col min="11779" max="12032" width="9.140625" style="734"/>
    <col min="12033" max="12033" width="32.7109375" style="734" bestFit="1" customWidth="1"/>
    <col min="12034" max="12034" width="26.140625" style="734" customWidth="1"/>
    <col min="12035" max="12288" width="9.140625" style="734"/>
    <col min="12289" max="12289" width="32.7109375" style="734" bestFit="1" customWidth="1"/>
    <col min="12290" max="12290" width="26.140625" style="734" customWidth="1"/>
    <col min="12291" max="12544" width="9.140625" style="734"/>
    <col min="12545" max="12545" width="32.7109375" style="734" bestFit="1" customWidth="1"/>
    <col min="12546" max="12546" width="26.140625" style="734" customWidth="1"/>
    <col min="12547" max="12800" width="9.140625" style="734"/>
    <col min="12801" max="12801" width="32.7109375" style="734" bestFit="1" customWidth="1"/>
    <col min="12802" max="12802" width="26.140625" style="734" customWidth="1"/>
    <col min="12803" max="13056" width="9.140625" style="734"/>
    <col min="13057" max="13057" width="32.7109375" style="734" bestFit="1" customWidth="1"/>
    <col min="13058" max="13058" width="26.140625" style="734" customWidth="1"/>
    <col min="13059" max="13312" width="9.140625" style="734"/>
    <col min="13313" max="13313" width="32.7109375" style="734" bestFit="1" customWidth="1"/>
    <col min="13314" max="13314" width="26.140625" style="734" customWidth="1"/>
    <col min="13315" max="13568" width="9.140625" style="734"/>
    <col min="13569" max="13569" width="32.7109375" style="734" bestFit="1" customWidth="1"/>
    <col min="13570" max="13570" width="26.140625" style="734" customWidth="1"/>
    <col min="13571" max="13824" width="9.140625" style="734"/>
    <col min="13825" max="13825" width="32.7109375" style="734" bestFit="1" customWidth="1"/>
    <col min="13826" max="13826" width="26.140625" style="734" customWidth="1"/>
    <col min="13827" max="14080" width="9.140625" style="734"/>
    <col min="14081" max="14081" width="32.7109375" style="734" bestFit="1" customWidth="1"/>
    <col min="14082" max="14082" width="26.140625" style="734" customWidth="1"/>
    <col min="14083" max="14336" width="9.140625" style="734"/>
    <col min="14337" max="14337" width="32.7109375" style="734" bestFit="1" customWidth="1"/>
    <col min="14338" max="14338" width="26.140625" style="734" customWidth="1"/>
    <col min="14339" max="14592" width="9.140625" style="734"/>
    <col min="14593" max="14593" width="32.7109375" style="734" bestFit="1" customWidth="1"/>
    <col min="14594" max="14594" width="26.140625" style="734" customWidth="1"/>
    <col min="14595" max="14848" width="9.140625" style="734"/>
    <col min="14849" max="14849" width="32.7109375" style="734" bestFit="1" customWidth="1"/>
    <col min="14850" max="14850" width="26.140625" style="734" customWidth="1"/>
    <col min="14851" max="15104" width="9.140625" style="734"/>
    <col min="15105" max="15105" width="32.7109375" style="734" bestFit="1" customWidth="1"/>
    <col min="15106" max="15106" width="26.140625" style="734" customWidth="1"/>
    <col min="15107" max="15360" width="9.140625" style="734"/>
    <col min="15361" max="15361" width="32.7109375" style="734" bestFit="1" customWidth="1"/>
    <col min="15362" max="15362" width="26.140625" style="734" customWidth="1"/>
    <col min="15363" max="15616" width="9.140625" style="734"/>
    <col min="15617" max="15617" width="32.7109375" style="734" bestFit="1" customWidth="1"/>
    <col min="15618" max="15618" width="26.140625" style="734" customWidth="1"/>
    <col min="15619" max="15872" width="9.140625" style="734"/>
    <col min="15873" max="15873" width="32.7109375" style="734" bestFit="1" customWidth="1"/>
    <col min="15874" max="15874" width="26.140625" style="734" customWidth="1"/>
    <col min="15875" max="16128" width="9.140625" style="734"/>
    <col min="16129" max="16129" width="32.7109375" style="734" bestFit="1" customWidth="1"/>
    <col min="16130" max="16130" width="26.140625" style="734" customWidth="1"/>
    <col min="16131" max="16384" width="9.140625" style="734"/>
  </cols>
  <sheetData>
    <row r="1" spans="1:5">
      <c r="A1" s="736" t="s">
        <v>892</v>
      </c>
      <c r="B1" s="734" t="s">
        <v>893</v>
      </c>
    </row>
    <row r="2" spans="1:5">
      <c r="A2" s="736" t="s">
        <v>748</v>
      </c>
      <c r="B2" s="734" t="s">
        <v>894</v>
      </c>
    </row>
    <row r="3" spans="1:5">
      <c r="A3" s="736" t="s">
        <v>694</v>
      </c>
      <c r="B3" s="734" t="s">
        <v>895</v>
      </c>
    </row>
    <row r="4" spans="1:5">
      <c r="B4" s="734" t="s">
        <v>896</v>
      </c>
    </row>
    <row r="5" spans="1:5">
      <c r="B5" s="734" t="s">
        <v>897</v>
      </c>
    </row>
    <row r="6" spans="1:5">
      <c r="B6" s="734" t="s">
        <v>898</v>
      </c>
    </row>
    <row r="7" spans="1:5">
      <c r="B7" s="734" t="s">
        <v>899</v>
      </c>
    </row>
    <row r="8" spans="1:5">
      <c r="A8" s="736" t="s">
        <v>900</v>
      </c>
    </row>
    <row r="9" spans="1:5">
      <c r="B9" s="734" t="s">
        <v>901</v>
      </c>
    </row>
    <row r="10" spans="1:5">
      <c r="B10" s="734" t="s">
        <v>902</v>
      </c>
    </row>
    <row r="11" spans="1:5" ht="15">
      <c r="B11" s="744" t="s">
        <v>903</v>
      </c>
    </row>
    <row r="12" spans="1:5">
      <c r="A12" s="736" t="s">
        <v>904</v>
      </c>
    </row>
    <row r="13" spans="1:5">
      <c r="B13" s="734" t="s">
        <v>905</v>
      </c>
    </row>
    <row r="14" spans="1:5">
      <c r="B14" s="734" t="s">
        <v>906</v>
      </c>
    </row>
    <row r="16" spans="1:5">
      <c r="D16" s="895">
        <f>100000000000+(500000*120000*0.85)</f>
        <v>151000000000</v>
      </c>
      <c r="E16" s="742">
        <f>D16/21000</f>
        <v>7190476.1904761903</v>
      </c>
    </row>
    <row r="17" spans="4:4">
      <c r="D17" s="895">
        <f>60*300*10000000</f>
        <v>180000000000</v>
      </c>
    </row>
  </sheetData>
  <hyperlinks>
    <hyperlink ref="B11" r:id="rId1" xr:uid="{00000000-0004-0000-4600-000000000000}"/>
  </hyperlinks>
  <pageMargins left="0.7" right="0.7" top="0.75" bottom="0.75" header="0.3" footer="0.3"/>
  <pageSetup orientation="portrait"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L43"/>
  <sheetViews>
    <sheetView workbookViewId="0"/>
  </sheetViews>
  <sheetFormatPr defaultRowHeight="12.75"/>
  <cols>
    <col min="1" max="1" width="14.140625" style="734" bestFit="1" customWidth="1"/>
    <col min="2" max="2" width="27" style="734" bestFit="1" customWidth="1"/>
    <col min="3" max="3" width="11.140625" style="734" bestFit="1" customWidth="1"/>
    <col min="4" max="4" width="14" style="734" bestFit="1" customWidth="1"/>
    <col min="5" max="9" width="9.140625" style="734"/>
    <col min="10" max="10" width="15.140625" style="734" bestFit="1" customWidth="1"/>
    <col min="11" max="256" width="9.140625" style="734"/>
    <col min="257" max="257" width="14.140625" style="734" bestFit="1" customWidth="1"/>
    <col min="258" max="258" width="27" style="734" bestFit="1" customWidth="1"/>
    <col min="259" max="259" width="11.140625" style="734" bestFit="1" customWidth="1"/>
    <col min="260" max="260" width="14" style="734" bestFit="1" customWidth="1"/>
    <col min="261" max="265" width="9.140625" style="734"/>
    <col min="266" max="266" width="15.140625" style="734" bestFit="1" customWidth="1"/>
    <col min="267" max="512" width="9.140625" style="734"/>
    <col min="513" max="513" width="14.140625" style="734" bestFit="1" customWidth="1"/>
    <col min="514" max="514" width="27" style="734" bestFit="1" customWidth="1"/>
    <col min="515" max="515" width="11.140625" style="734" bestFit="1" customWidth="1"/>
    <col min="516" max="516" width="14" style="734" bestFit="1" customWidth="1"/>
    <col min="517" max="521" width="9.140625" style="734"/>
    <col min="522" max="522" width="15.140625" style="734" bestFit="1" customWidth="1"/>
    <col min="523" max="768" width="9.140625" style="734"/>
    <col min="769" max="769" width="14.140625" style="734" bestFit="1" customWidth="1"/>
    <col min="770" max="770" width="27" style="734" bestFit="1" customWidth="1"/>
    <col min="771" max="771" width="11.140625" style="734" bestFit="1" customWidth="1"/>
    <col min="772" max="772" width="14" style="734" bestFit="1" customWidth="1"/>
    <col min="773" max="777" width="9.140625" style="734"/>
    <col min="778" max="778" width="15.140625" style="734" bestFit="1" customWidth="1"/>
    <col min="779" max="1024" width="9.140625" style="734"/>
    <col min="1025" max="1025" width="14.140625" style="734" bestFit="1" customWidth="1"/>
    <col min="1026" max="1026" width="27" style="734" bestFit="1" customWidth="1"/>
    <col min="1027" max="1027" width="11.140625" style="734" bestFit="1" customWidth="1"/>
    <col min="1028" max="1028" width="14" style="734" bestFit="1" customWidth="1"/>
    <col min="1029" max="1033" width="9.140625" style="734"/>
    <col min="1034" max="1034" width="15.140625" style="734" bestFit="1" customWidth="1"/>
    <col min="1035" max="1280" width="9.140625" style="734"/>
    <col min="1281" max="1281" width="14.140625" style="734" bestFit="1" customWidth="1"/>
    <col min="1282" max="1282" width="27" style="734" bestFit="1" customWidth="1"/>
    <col min="1283" max="1283" width="11.140625" style="734" bestFit="1" customWidth="1"/>
    <col min="1284" max="1284" width="14" style="734" bestFit="1" customWidth="1"/>
    <col min="1285" max="1289" width="9.140625" style="734"/>
    <col min="1290" max="1290" width="15.140625" style="734" bestFit="1" customWidth="1"/>
    <col min="1291" max="1536" width="9.140625" style="734"/>
    <col min="1537" max="1537" width="14.140625" style="734" bestFit="1" customWidth="1"/>
    <col min="1538" max="1538" width="27" style="734" bestFit="1" customWidth="1"/>
    <col min="1539" max="1539" width="11.140625" style="734" bestFit="1" customWidth="1"/>
    <col min="1540" max="1540" width="14" style="734" bestFit="1" customWidth="1"/>
    <col min="1541" max="1545" width="9.140625" style="734"/>
    <col min="1546" max="1546" width="15.140625" style="734" bestFit="1" customWidth="1"/>
    <col min="1547" max="1792" width="9.140625" style="734"/>
    <col min="1793" max="1793" width="14.140625" style="734" bestFit="1" customWidth="1"/>
    <col min="1794" max="1794" width="27" style="734" bestFit="1" customWidth="1"/>
    <col min="1795" max="1795" width="11.140625" style="734" bestFit="1" customWidth="1"/>
    <col min="1796" max="1796" width="14" style="734" bestFit="1" customWidth="1"/>
    <col min="1797" max="1801" width="9.140625" style="734"/>
    <col min="1802" max="1802" width="15.140625" style="734" bestFit="1" customWidth="1"/>
    <col min="1803" max="2048" width="9.140625" style="734"/>
    <col min="2049" max="2049" width="14.140625" style="734" bestFit="1" customWidth="1"/>
    <col min="2050" max="2050" width="27" style="734" bestFit="1" customWidth="1"/>
    <col min="2051" max="2051" width="11.140625" style="734" bestFit="1" customWidth="1"/>
    <col min="2052" max="2052" width="14" style="734" bestFit="1" customWidth="1"/>
    <col min="2053" max="2057" width="9.140625" style="734"/>
    <col min="2058" max="2058" width="15.140625" style="734" bestFit="1" customWidth="1"/>
    <col min="2059" max="2304" width="9.140625" style="734"/>
    <col min="2305" max="2305" width="14.140625" style="734" bestFit="1" customWidth="1"/>
    <col min="2306" max="2306" width="27" style="734" bestFit="1" customWidth="1"/>
    <col min="2307" max="2307" width="11.140625" style="734" bestFit="1" customWidth="1"/>
    <col min="2308" max="2308" width="14" style="734" bestFit="1" customWidth="1"/>
    <col min="2309" max="2313" width="9.140625" style="734"/>
    <col min="2314" max="2314" width="15.140625" style="734" bestFit="1" customWidth="1"/>
    <col min="2315" max="2560" width="9.140625" style="734"/>
    <col min="2561" max="2561" width="14.140625" style="734" bestFit="1" customWidth="1"/>
    <col min="2562" max="2562" width="27" style="734" bestFit="1" customWidth="1"/>
    <col min="2563" max="2563" width="11.140625" style="734" bestFit="1" customWidth="1"/>
    <col min="2564" max="2564" width="14" style="734" bestFit="1" customWidth="1"/>
    <col min="2565" max="2569" width="9.140625" style="734"/>
    <col min="2570" max="2570" width="15.140625" style="734" bestFit="1" customWidth="1"/>
    <col min="2571" max="2816" width="9.140625" style="734"/>
    <col min="2817" max="2817" width="14.140625" style="734" bestFit="1" customWidth="1"/>
    <col min="2818" max="2818" width="27" style="734" bestFit="1" customWidth="1"/>
    <col min="2819" max="2819" width="11.140625" style="734" bestFit="1" customWidth="1"/>
    <col min="2820" max="2820" width="14" style="734" bestFit="1" customWidth="1"/>
    <col min="2821" max="2825" width="9.140625" style="734"/>
    <col min="2826" max="2826" width="15.140625" style="734" bestFit="1" customWidth="1"/>
    <col min="2827" max="3072" width="9.140625" style="734"/>
    <col min="3073" max="3073" width="14.140625" style="734" bestFit="1" customWidth="1"/>
    <col min="3074" max="3074" width="27" style="734" bestFit="1" customWidth="1"/>
    <col min="3075" max="3075" width="11.140625" style="734" bestFit="1" customWidth="1"/>
    <col min="3076" max="3076" width="14" style="734" bestFit="1" customWidth="1"/>
    <col min="3077" max="3081" width="9.140625" style="734"/>
    <col min="3082" max="3082" width="15.140625" style="734" bestFit="1" customWidth="1"/>
    <col min="3083" max="3328" width="9.140625" style="734"/>
    <col min="3329" max="3329" width="14.140625" style="734" bestFit="1" customWidth="1"/>
    <col min="3330" max="3330" width="27" style="734" bestFit="1" customWidth="1"/>
    <col min="3331" max="3331" width="11.140625" style="734" bestFit="1" customWidth="1"/>
    <col min="3332" max="3332" width="14" style="734" bestFit="1" customWidth="1"/>
    <col min="3333" max="3337" width="9.140625" style="734"/>
    <col min="3338" max="3338" width="15.140625" style="734" bestFit="1" customWidth="1"/>
    <col min="3339" max="3584" width="9.140625" style="734"/>
    <col min="3585" max="3585" width="14.140625" style="734" bestFit="1" customWidth="1"/>
    <col min="3586" max="3586" width="27" style="734" bestFit="1" customWidth="1"/>
    <col min="3587" max="3587" width="11.140625" style="734" bestFit="1" customWidth="1"/>
    <col min="3588" max="3588" width="14" style="734" bestFit="1" customWidth="1"/>
    <col min="3589" max="3593" width="9.140625" style="734"/>
    <col min="3594" max="3594" width="15.140625" style="734" bestFit="1" customWidth="1"/>
    <col min="3595" max="3840" width="9.140625" style="734"/>
    <col min="3841" max="3841" width="14.140625" style="734" bestFit="1" customWidth="1"/>
    <col min="3842" max="3842" width="27" style="734" bestFit="1" customWidth="1"/>
    <col min="3843" max="3843" width="11.140625" style="734" bestFit="1" customWidth="1"/>
    <col min="3844" max="3844" width="14" style="734" bestFit="1" customWidth="1"/>
    <col min="3845" max="3849" width="9.140625" style="734"/>
    <col min="3850" max="3850" width="15.140625" style="734" bestFit="1" customWidth="1"/>
    <col min="3851" max="4096" width="9.140625" style="734"/>
    <col min="4097" max="4097" width="14.140625" style="734" bestFit="1" customWidth="1"/>
    <col min="4098" max="4098" width="27" style="734" bestFit="1" customWidth="1"/>
    <col min="4099" max="4099" width="11.140625" style="734" bestFit="1" customWidth="1"/>
    <col min="4100" max="4100" width="14" style="734" bestFit="1" customWidth="1"/>
    <col min="4101" max="4105" width="9.140625" style="734"/>
    <col min="4106" max="4106" width="15.140625" style="734" bestFit="1" customWidth="1"/>
    <col min="4107" max="4352" width="9.140625" style="734"/>
    <col min="4353" max="4353" width="14.140625" style="734" bestFit="1" customWidth="1"/>
    <col min="4354" max="4354" width="27" style="734" bestFit="1" customWidth="1"/>
    <col min="4355" max="4355" width="11.140625" style="734" bestFit="1" customWidth="1"/>
    <col min="4356" max="4356" width="14" style="734" bestFit="1" customWidth="1"/>
    <col min="4357" max="4361" width="9.140625" style="734"/>
    <col min="4362" max="4362" width="15.140625" style="734" bestFit="1" customWidth="1"/>
    <col min="4363" max="4608" width="9.140625" style="734"/>
    <col min="4609" max="4609" width="14.140625" style="734" bestFit="1" customWidth="1"/>
    <col min="4610" max="4610" width="27" style="734" bestFit="1" customWidth="1"/>
    <col min="4611" max="4611" width="11.140625" style="734" bestFit="1" customWidth="1"/>
    <col min="4612" max="4612" width="14" style="734" bestFit="1" customWidth="1"/>
    <col min="4613" max="4617" width="9.140625" style="734"/>
    <col min="4618" max="4618" width="15.140625" style="734" bestFit="1" customWidth="1"/>
    <col min="4619" max="4864" width="9.140625" style="734"/>
    <col min="4865" max="4865" width="14.140625" style="734" bestFit="1" customWidth="1"/>
    <col min="4866" max="4866" width="27" style="734" bestFit="1" customWidth="1"/>
    <col min="4867" max="4867" width="11.140625" style="734" bestFit="1" customWidth="1"/>
    <col min="4868" max="4868" width="14" style="734" bestFit="1" customWidth="1"/>
    <col min="4869" max="4873" width="9.140625" style="734"/>
    <col min="4874" max="4874" width="15.140625" style="734" bestFit="1" customWidth="1"/>
    <col min="4875" max="5120" width="9.140625" style="734"/>
    <col min="5121" max="5121" width="14.140625" style="734" bestFit="1" customWidth="1"/>
    <col min="5122" max="5122" width="27" style="734" bestFit="1" customWidth="1"/>
    <col min="5123" max="5123" width="11.140625" style="734" bestFit="1" customWidth="1"/>
    <col min="5124" max="5124" width="14" style="734" bestFit="1" customWidth="1"/>
    <col min="5125" max="5129" width="9.140625" style="734"/>
    <col min="5130" max="5130" width="15.140625" style="734" bestFit="1" customWidth="1"/>
    <col min="5131" max="5376" width="9.140625" style="734"/>
    <col min="5377" max="5377" width="14.140625" style="734" bestFit="1" customWidth="1"/>
    <col min="5378" max="5378" width="27" style="734" bestFit="1" customWidth="1"/>
    <col min="5379" max="5379" width="11.140625" style="734" bestFit="1" customWidth="1"/>
    <col min="5380" max="5380" width="14" style="734" bestFit="1" customWidth="1"/>
    <col min="5381" max="5385" width="9.140625" style="734"/>
    <col min="5386" max="5386" width="15.140625" style="734" bestFit="1" customWidth="1"/>
    <col min="5387" max="5632" width="9.140625" style="734"/>
    <col min="5633" max="5633" width="14.140625" style="734" bestFit="1" customWidth="1"/>
    <col min="5634" max="5634" width="27" style="734" bestFit="1" customWidth="1"/>
    <col min="5635" max="5635" width="11.140625" style="734" bestFit="1" customWidth="1"/>
    <col min="5636" max="5636" width="14" style="734" bestFit="1" customWidth="1"/>
    <col min="5637" max="5641" width="9.140625" style="734"/>
    <col min="5642" max="5642" width="15.140625" style="734" bestFit="1" customWidth="1"/>
    <col min="5643" max="5888" width="9.140625" style="734"/>
    <col min="5889" max="5889" width="14.140625" style="734" bestFit="1" customWidth="1"/>
    <col min="5890" max="5890" width="27" style="734" bestFit="1" customWidth="1"/>
    <col min="5891" max="5891" width="11.140625" style="734" bestFit="1" customWidth="1"/>
    <col min="5892" max="5892" width="14" style="734" bestFit="1" customWidth="1"/>
    <col min="5893" max="5897" width="9.140625" style="734"/>
    <col min="5898" max="5898" width="15.140625" style="734" bestFit="1" customWidth="1"/>
    <col min="5899" max="6144" width="9.140625" style="734"/>
    <col min="6145" max="6145" width="14.140625" style="734" bestFit="1" customWidth="1"/>
    <col min="6146" max="6146" width="27" style="734" bestFit="1" customWidth="1"/>
    <col min="6147" max="6147" width="11.140625" style="734" bestFit="1" customWidth="1"/>
    <col min="6148" max="6148" width="14" style="734" bestFit="1" customWidth="1"/>
    <col min="6149" max="6153" width="9.140625" style="734"/>
    <col min="6154" max="6154" width="15.140625" style="734" bestFit="1" customWidth="1"/>
    <col min="6155" max="6400" width="9.140625" style="734"/>
    <col min="6401" max="6401" width="14.140625" style="734" bestFit="1" customWidth="1"/>
    <col min="6402" max="6402" width="27" style="734" bestFit="1" customWidth="1"/>
    <col min="6403" max="6403" width="11.140625" style="734" bestFit="1" customWidth="1"/>
    <col min="6404" max="6404" width="14" style="734" bestFit="1" customWidth="1"/>
    <col min="6405" max="6409" width="9.140625" style="734"/>
    <col min="6410" max="6410" width="15.140625" style="734" bestFit="1" customWidth="1"/>
    <col min="6411" max="6656" width="9.140625" style="734"/>
    <col min="6657" max="6657" width="14.140625" style="734" bestFit="1" customWidth="1"/>
    <col min="6658" max="6658" width="27" style="734" bestFit="1" customWidth="1"/>
    <col min="6659" max="6659" width="11.140625" style="734" bestFit="1" customWidth="1"/>
    <col min="6660" max="6660" width="14" style="734" bestFit="1" customWidth="1"/>
    <col min="6661" max="6665" width="9.140625" style="734"/>
    <col min="6666" max="6666" width="15.140625" style="734" bestFit="1" customWidth="1"/>
    <col min="6667" max="6912" width="9.140625" style="734"/>
    <col min="6913" max="6913" width="14.140625" style="734" bestFit="1" customWidth="1"/>
    <col min="6914" max="6914" width="27" style="734" bestFit="1" customWidth="1"/>
    <col min="6915" max="6915" width="11.140625" style="734" bestFit="1" customWidth="1"/>
    <col min="6916" max="6916" width="14" style="734" bestFit="1" customWidth="1"/>
    <col min="6917" max="6921" width="9.140625" style="734"/>
    <col min="6922" max="6922" width="15.140625" style="734" bestFit="1" customWidth="1"/>
    <col min="6923" max="7168" width="9.140625" style="734"/>
    <col min="7169" max="7169" width="14.140625" style="734" bestFit="1" customWidth="1"/>
    <col min="7170" max="7170" width="27" style="734" bestFit="1" customWidth="1"/>
    <col min="7171" max="7171" width="11.140625" style="734" bestFit="1" customWidth="1"/>
    <col min="7172" max="7172" width="14" style="734" bestFit="1" customWidth="1"/>
    <col min="7173" max="7177" width="9.140625" style="734"/>
    <col min="7178" max="7178" width="15.140625" style="734" bestFit="1" customWidth="1"/>
    <col min="7179" max="7424" width="9.140625" style="734"/>
    <col min="7425" max="7425" width="14.140625" style="734" bestFit="1" customWidth="1"/>
    <col min="7426" max="7426" width="27" style="734" bestFit="1" customWidth="1"/>
    <col min="7427" max="7427" width="11.140625" style="734" bestFit="1" customWidth="1"/>
    <col min="7428" max="7428" width="14" style="734" bestFit="1" customWidth="1"/>
    <col min="7429" max="7433" width="9.140625" style="734"/>
    <col min="7434" max="7434" width="15.140625" style="734" bestFit="1" customWidth="1"/>
    <col min="7435" max="7680" width="9.140625" style="734"/>
    <col min="7681" max="7681" width="14.140625" style="734" bestFit="1" customWidth="1"/>
    <col min="7682" max="7682" width="27" style="734" bestFit="1" customWidth="1"/>
    <col min="7683" max="7683" width="11.140625" style="734" bestFit="1" customWidth="1"/>
    <col min="7684" max="7684" width="14" style="734" bestFit="1" customWidth="1"/>
    <col min="7685" max="7689" width="9.140625" style="734"/>
    <col min="7690" max="7690" width="15.140625" style="734" bestFit="1" customWidth="1"/>
    <col min="7691" max="7936" width="9.140625" style="734"/>
    <col min="7937" max="7937" width="14.140625" style="734" bestFit="1" customWidth="1"/>
    <col min="7938" max="7938" width="27" style="734" bestFit="1" customWidth="1"/>
    <col min="7939" max="7939" width="11.140625" style="734" bestFit="1" customWidth="1"/>
    <col min="7940" max="7940" width="14" style="734" bestFit="1" customWidth="1"/>
    <col min="7941" max="7945" width="9.140625" style="734"/>
    <col min="7946" max="7946" width="15.140625" style="734" bestFit="1" customWidth="1"/>
    <col min="7947" max="8192" width="9.140625" style="734"/>
    <col min="8193" max="8193" width="14.140625" style="734" bestFit="1" customWidth="1"/>
    <col min="8194" max="8194" width="27" style="734" bestFit="1" customWidth="1"/>
    <col min="8195" max="8195" width="11.140625" style="734" bestFit="1" customWidth="1"/>
    <col min="8196" max="8196" width="14" style="734" bestFit="1" customWidth="1"/>
    <col min="8197" max="8201" width="9.140625" style="734"/>
    <col min="8202" max="8202" width="15.140625" style="734" bestFit="1" customWidth="1"/>
    <col min="8203" max="8448" width="9.140625" style="734"/>
    <col min="8449" max="8449" width="14.140625" style="734" bestFit="1" customWidth="1"/>
    <col min="8450" max="8450" width="27" style="734" bestFit="1" customWidth="1"/>
    <col min="8451" max="8451" width="11.140625" style="734" bestFit="1" customWidth="1"/>
    <col min="8452" max="8452" width="14" style="734" bestFit="1" customWidth="1"/>
    <col min="8453" max="8457" width="9.140625" style="734"/>
    <col min="8458" max="8458" width="15.140625" style="734" bestFit="1" customWidth="1"/>
    <col min="8459" max="8704" width="9.140625" style="734"/>
    <col min="8705" max="8705" width="14.140625" style="734" bestFit="1" customWidth="1"/>
    <col min="8706" max="8706" width="27" style="734" bestFit="1" customWidth="1"/>
    <col min="8707" max="8707" width="11.140625" style="734" bestFit="1" customWidth="1"/>
    <col min="8708" max="8708" width="14" style="734" bestFit="1" customWidth="1"/>
    <col min="8709" max="8713" width="9.140625" style="734"/>
    <col min="8714" max="8714" width="15.140625" style="734" bestFit="1" customWidth="1"/>
    <col min="8715" max="8960" width="9.140625" style="734"/>
    <col min="8961" max="8961" width="14.140625" style="734" bestFit="1" customWidth="1"/>
    <col min="8962" max="8962" width="27" style="734" bestFit="1" customWidth="1"/>
    <col min="8963" max="8963" width="11.140625" style="734" bestFit="1" customWidth="1"/>
    <col min="8964" max="8964" width="14" style="734" bestFit="1" customWidth="1"/>
    <col min="8965" max="8969" width="9.140625" style="734"/>
    <col min="8970" max="8970" width="15.140625" style="734" bestFit="1" customWidth="1"/>
    <col min="8971" max="9216" width="9.140625" style="734"/>
    <col min="9217" max="9217" width="14.140625" style="734" bestFit="1" customWidth="1"/>
    <col min="9218" max="9218" width="27" style="734" bestFit="1" customWidth="1"/>
    <col min="9219" max="9219" width="11.140625" style="734" bestFit="1" customWidth="1"/>
    <col min="9220" max="9220" width="14" style="734" bestFit="1" customWidth="1"/>
    <col min="9221" max="9225" width="9.140625" style="734"/>
    <col min="9226" max="9226" width="15.140625" style="734" bestFit="1" customWidth="1"/>
    <col min="9227" max="9472" width="9.140625" style="734"/>
    <col min="9473" max="9473" width="14.140625" style="734" bestFit="1" customWidth="1"/>
    <col min="9474" max="9474" width="27" style="734" bestFit="1" customWidth="1"/>
    <col min="9475" max="9475" width="11.140625" style="734" bestFit="1" customWidth="1"/>
    <col min="9476" max="9476" width="14" style="734" bestFit="1" customWidth="1"/>
    <col min="9477" max="9481" width="9.140625" style="734"/>
    <col min="9482" max="9482" width="15.140625" style="734" bestFit="1" customWidth="1"/>
    <col min="9483" max="9728" width="9.140625" style="734"/>
    <col min="9729" max="9729" width="14.140625" style="734" bestFit="1" customWidth="1"/>
    <col min="9730" max="9730" width="27" style="734" bestFit="1" customWidth="1"/>
    <col min="9731" max="9731" width="11.140625" style="734" bestFit="1" customWidth="1"/>
    <col min="9732" max="9732" width="14" style="734" bestFit="1" customWidth="1"/>
    <col min="9733" max="9737" width="9.140625" style="734"/>
    <col min="9738" max="9738" width="15.140625" style="734" bestFit="1" customWidth="1"/>
    <col min="9739" max="9984" width="9.140625" style="734"/>
    <col min="9985" max="9985" width="14.140625" style="734" bestFit="1" customWidth="1"/>
    <col min="9986" max="9986" width="27" style="734" bestFit="1" customWidth="1"/>
    <col min="9987" max="9987" width="11.140625" style="734" bestFit="1" customWidth="1"/>
    <col min="9988" max="9988" width="14" style="734" bestFit="1" customWidth="1"/>
    <col min="9989" max="9993" width="9.140625" style="734"/>
    <col min="9994" max="9994" width="15.140625" style="734" bestFit="1" customWidth="1"/>
    <col min="9995" max="10240" width="9.140625" style="734"/>
    <col min="10241" max="10241" width="14.140625" style="734" bestFit="1" customWidth="1"/>
    <col min="10242" max="10242" width="27" style="734" bestFit="1" customWidth="1"/>
    <col min="10243" max="10243" width="11.140625" style="734" bestFit="1" customWidth="1"/>
    <col min="10244" max="10244" width="14" style="734" bestFit="1" customWidth="1"/>
    <col min="10245" max="10249" width="9.140625" style="734"/>
    <col min="10250" max="10250" width="15.140625" style="734" bestFit="1" customWidth="1"/>
    <col min="10251" max="10496" width="9.140625" style="734"/>
    <col min="10497" max="10497" width="14.140625" style="734" bestFit="1" customWidth="1"/>
    <col min="10498" max="10498" width="27" style="734" bestFit="1" customWidth="1"/>
    <col min="10499" max="10499" width="11.140625" style="734" bestFit="1" customWidth="1"/>
    <col min="10500" max="10500" width="14" style="734" bestFit="1" customWidth="1"/>
    <col min="10501" max="10505" width="9.140625" style="734"/>
    <col min="10506" max="10506" width="15.140625" style="734" bestFit="1" customWidth="1"/>
    <col min="10507" max="10752" width="9.140625" style="734"/>
    <col min="10753" max="10753" width="14.140625" style="734" bestFit="1" customWidth="1"/>
    <col min="10754" max="10754" width="27" style="734" bestFit="1" customWidth="1"/>
    <col min="10755" max="10755" width="11.140625" style="734" bestFit="1" customWidth="1"/>
    <col min="10756" max="10756" width="14" style="734" bestFit="1" customWidth="1"/>
    <col min="10757" max="10761" width="9.140625" style="734"/>
    <col min="10762" max="10762" width="15.140625" style="734" bestFit="1" customWidth="1"/>
    <col min="10763" max="11008" width="9.140625" style="734"/>
    <col min="11009" max="11009" width="14.140625" style="734" bestFit="1" customWidth="1"/>
    <col min="11010" max="11010" width="27" style="734" bestFit="1" customWidth="1"/>
    <col min="11011" max="11011" width="11.140625" style="734" bestFit="1" customWidth="1"/>
    <col min="11012" max="11012" width="14" style="734" bestFit="1" customWidth="1"/>
    <col min="11013" max="11017" width="9.140625" style="734"/>
    <col min="11018" max="11018" width="15.140625" style="734" bestFit="1" customWidth="1"/>
    <col min="11019" max="11264" width="9.140625" style="734"/>
    <col min="11265" max="11265" width="14.140625" style="734" bestFit="1" customWidth="1"/>
    <col min="11266" max="11266" width="27" style="734" bestFit="1" customWidth="1"/>
    <col min="11267" max="11267" width="11.140625" style="734" bestFit="1" customWidth="1"/>
    <col min="11268" max="11268" width="14" style="734" bestFit="1" customWidth="1"/>
    <col min="11269" max="11273" width="9.140625" style="734"/>
    <col min="11274" max="11274" width="15.140625" style="734" bestFit="1" customWidth="1"/>
    <col min="11275" max="11520" width="9.140625" style="734"/>
    <col min="11521" max="11521" width="14.140625" style="734" bestFit="1" customWidth="1"/>
    <col min="11522" max="11522" width="27" style="734" bestFit="1" customWidth="1"/>
    <col min="11523" max="11523" width="11.140625" style="734" bestFit="1" customWidth="1"/>
    <col min="11524" max="11524" width="14" style="734" bestFit="1" customWidth="1"/>
    <col min="11525" max="11529" width="9.140625" style="734"/>
    <col min="11530" max="11530" width="15.140625" style="734" bestFit="1" customWidth="1"/>
    <col min="11531" max="11776" width="9.140625" style="734"/>
    <col min="11777" max="11777" width="14.140625" style="734" bestFit="1" customWidth="1"/>
    <col min="11778" max="11778" width="27" style="734" bestFit="1" customWidth="1"/>
    <col min="11779" max="11779" width="11.140625" style="734" bestFit="1" customWidth="1"/>
    <col min="11780" max="11780" width="14" style="734" bestFit="1" customWidth="1"/>
    <col min="11781" max="11785" width="9.140625" style="734"/>
    <col min="11786" max="11786" width="15.140625" style="734" bestFit="1" customWidth="1"/>
    <col min="11787" max="12032" width="9.140625" style="734"/>
    <col min="12033" max="12033" width="14.140625" style="734" bestFit="1" customWidth="1"/>
    <col min="12034" max="12034" width="27" style="734" bestFit="1" customWidth="1"/>
    <col min="12035" max="12035" width="11.140625" style="734" bestFit="1" customWidth="1"/>
    <col min="12036" max="12036" width="14" style="734" bestFit="1" customWidth="1"/>
    <col min="12037" max="12041" width="9.140625" style="734"/>
    <col min="12042" max="12042" width="15.140625" style="734" bestFit="1" customWidth="1"/>
    <col min="12043" max="12288" width="9.140625" style="734"/>
    <col min="12289" max="12289" width="14.140625" style="734" bestFit="1" customWidth="1"/>
    <col min="12290" max="12290" width="27" style="734" bestFit="1" customWidth="1"/>
    <col min="12291" max="12291" width="11.140625" style="734" bestFit="1" customWidth="1"/>
    <col min="12292" max="12292" width="14" style="734" bestFit="1" customWidth="1"/>
    <col min="12293" max="12297" width="9.140625" style="734"/>
    <col min="12298" max="12298" width="15.140625" style="734" bestFit="1" customWidth="1"/>
    <col min="12299" max="12544" width="9.140625" style="734"/>
    <col min="12545" max="12545" width="14.140625" style="734" bestFit="1" customWidth="1"/>
    <col min="12546" max="12546" width="27" style="734" bestFit="1" customWidth="1"/>
    <col min="12547" max="12547" width="11.140625" style="734" bestFit="1" customWidth="1"/>
    <col min="12548" max="12548" width="14" style="734" bestFit="1" customWidth="1"/>
    <col min="12549" max="12553" width="9.140625" style="734"/>
    <col min="12554" max="12554" width="15.140625" style="734" bestFit="1" customWidth="1"/>
    <col min="12555" max="12800" width="9.140625" style="734"/>
    <col min="12801" max="12801" width="14.140625" style="734" bestFit="1" customWidth="1"/>
    <col min="12802" max="12802" width="27" style="734" bestFit="1" customWidth="1"/>
    <col min="12803" max="12803" width="11.140625" style="734" bestFit="1" customWidth="1"/>
    <col min="12804" max="12804" width="14" style="734" bestFit="1" customWidth="1"/>
    <col min="12805" max="12809" width="9.140625" style="734"/>
    <col min="12810" max="12810" width="15.140625" style="734" bestFit="1" customWidth="1"/>
    <col min="12811" max="13056" width="9.140625" style="734"/>
    <col min="13057" max="13057" width="14.140625" style="734" bestFit="1" customWidth="1"/>
    <col min="13058" max="13058" width="27" style="734" bestFit="1" customWidth="1"/>
    <col min="13059" max="13059" width="11.140625" style="734" bestFit="1" customWidth="1"/>
    <col min="13060" max="13060" width="14" style="734" bestFit="1" customWidth="1"/>
    <col min="13061" max="13065" width="9.140625" style="734"/>
    <col min="13066" max="13066" width="15.140625" style="734" bestFit="1" customWidth="1"/>
    <col min="13067" max="13312" width="9.140625" style="734"/>
    <col min="13313" max="13313" width="14.140625" style="734" bestFit="1" customWidth="1"/>
    <col min="13314" max="13314" width="27" style="734" bestFit="1" customWidth="1"/>
    <col min="13315" max="13315" width="11.140625" style="734" bestFit="1" customWidth="1"/>
    <col min="13316" max="13316" width="14" style="734" bestFit="1" customWidth="1"/>
    <col min="13317" max="13321" width="9.140625" style="734"/>
    <col min="13322" max="13322" width="15.140625" style="734" bestFit="1" customWidth="1"/>
    <col min="13323" max="13568" width="9.140625" style="734"/>
    <col min="13569" max="13569" width="14.140625" style="734" bestFit="1" customWidth="1"/>
    <col min="13570" max="13570" width="27" style="734" bestFit="1" customWidth="1"/>
    <col min="13571" max="13571" width="11.140625" style="734" bestFit="1" customWidth="1"/>
    <col min="13572" max="13572" width="14" style="734" bestFit="1" customWidth="1"/>
    <col min="13573" max="13577" width="9.140625" style="734"/>
    <col min="13578" max="13578" width="15.140625" style="734" bestFit="1" customWidth="1"/>
    <col min="13579" max="13824" width="9.140625" style="734"/>
    <col min="13825" max="13825" width="14.140625" style="734" bestFit="1" customWidth="1"/>
    <col min="13826" max="13826" width="27" style="734" bestFit="1" customWidth="1"/>
    <col min="13827" max="13827" width="11.140625" style="734" bestFit="1" customWidth="1"/>
    <col min="13828" max="13828" width="14" style="734" bestFit="1" customWidth="1"/>
    <col min="13829" max="13833" width="9.140625" style="734"/>
    <col min="13834" max="13834" width="15.140625" style="734" bestFit="1" customWidth="1"/>
    <col min="13835" max="14080" width="9.140625" style="734"/>
    <col min="14081" max="14081" width="14.140625" style="734" bestFit="1" customWidth="1"/>
    <col min="14082" max="14082" width="27" style="734" bestFit="1" customWidth="1"/>
    <col min="14083" max="14083" width="11.140625" style="734" bestFit="1" customWidth="1"/>
    <col min="14084" max="14084" width="14" style="734" bestFit="1" customWidth="1"/>
    <col min="14085" max="14089" width="9.140625" style="734"/>
    <col min="14090" max="14090" width="15.140625" style="734" bestFit="1" customWidth="1"/>
    <col min="14091" max="14336" width="9.140625" style="734"/>
    <col min="14337" max="14337" width="14.140625" style="734" bestFit="1" customWidth="1"/>
    <col min="14338" max="14338" width="27" style="734" bestFit="1" customWidth="1"/>
    <col min="14339" max="14339" width="11.140625" style="734" bestFit="1" customWidth="1"/>
    <col min="14340" max="14340" width="14" style="734" bestFit="1" customWidth="1"/>
    <col min="14341" max="14345" width="9.140625" style="734"/>
    <col min="14346" max="14346" width="15.140625" style="734" bestFit="1" customWidth="1"/>
    <col min="14347" max="14592" width="9.140625" style="734"/>
    <col min="14593" max="14593" width="14.140625" style="734" bestFit="1" customWidth="1"/>
    <col min="14594" max="14594" width="27" style="734" bestFit="1" customWidth="1"/>
    <col min="14595" max="14595" width="11.140625" style="734" bestFit="1" customWidth="1"/>
    <col min="14596" max="14596" width="14" style="734" bestFit="1" customWidth="1"/>
    <col min="14597" max="14601" width="9.140625" style="734"/>
    <col min="14602" max="14602" width="15.140625" style="734" bestFit="1" customWidth="1"/>
    <col min="14603" max="14848" width="9.140625" style="734"/>
    <col min="14849" max="14849" width="14.140625" style="734" bestFit="1" customWidth="1"/>
    <col min="14850" max="14850" width="27" style="734" bestFit="1" customWidth="1"/>
    <col min="14851" max="14851" width="11.140625" style="734" bestFit="1" customWidth="1"/>
    <col min="14852" max="14852" width="14" style="734" bestFit="1" customWidth="1"/>
    <col min="14853" max="14857" width="9.140625" style="734"/>
    <col min="14858" max="14858" width="15.140625" style="734" bestFit="1" customWidth="1"/>
    <col min="14859" max="15104" width="9.140625" style="734"/>
    <col min="15105" max="15105" width="14.140625" style="734" bestFit="1" customWidth="1"/>
    <col min="15106" max="15106" width="27" style="734" bestFit="1" customWidth="1"/>
    <col min="15107" max="15107" width="11.140625" style="734" bestFit="1" customWidth="1"/>
    <col min="15108" max="15108" width="14" style="734" bestFit="1" customWidth="1"/>
    <col min="15109" max="15113" width="9.140625" style="734"/>
    <col min="15114" max="15114" width="15.140625" style="734" bestFit="1" customWidth="1"/>
    <col min="15115" max="15360" width="9.140625" style="734"/>
    <col min="15361" max="15361" width="14.140625" style="734" bestFit="1" customWidth="1"/>
    <col min="15362" max="15362" width="27" style="734" bestFit="1" customWidth="1"/>
    <col min="15363" max="15363" width="11.140625" style="734" bestFit="1" customWidth="1"/>
    <col min="15364" max="15364" width="14" style="734" bestFit="1" customWidth="1"/>
    <col min="15365" max="15369" width="9.140625" style="734"/>
    <col min="15370" max="15370" width="15.140625" style="734" bestFit="1" customWidth="1"/>
    <col min="15371" max="15616" width="9.140625" style="734"/>
    <col min="15617" max="15617" width="14.140625" style="734" bestFit="1" customWidth="1"/>
    <col min="15618" max="15618" width="27" style="734" bestFit="1" customWidth="1"/>
    <col min="15619" max="15619" width="11.140625" style="734" bestFit="1" customWidth="1"/>
    <col min="15620" max="15620" width="14" style="734" bestFit="1" customWidth="1"/>
    <col min="15621" max="15625" width="9.140625" style="734"/>
    <col min="15626" max="15626" width="15.140625" style="734" bestFit="1" customWidth="1"/>
    <col min="15627" max="15872" width="9.140625" style="734"/>
    <col min="15873" max="15873" width="14.140625" style="734" bestFit="1" customWidth="1"/>
    <col min="15874" max="15874" width="27" style="734" bestFit="1" customWidth="1"/>
    <col min="15875" max="15875" width="11.140625" style="734" bestFit="1" customWidth="1"/>
    <col min="15876" max="15876" width="14" style="734" bestFit="1" customWidth="1"/>
    <col min="15877" max="15881" width="9.140625" style="734"/>
    <col min="15882" max="15882" width="15.140625" style="734" bestFit="1" customWidth="1"/>
    <col min="15883" max="16128" width="9.140625" style="734"/>
    <col min="16129" max="16129" width="14.140625" style="734" bestFit="1" customWidth="1"/>
    <col min="16130" max="16130" width="27" style="734" bestFit="1" customWidth="1"/>
    <col min="16131" max="16131" width="11.140625" style="734" bestFit="1" customWidth="1"/>
    <col min="16132" max="16132" width="14" style="734" bestFit="1" customWidth="1"/>
    <col min="16133" max="16137" width="9.140625" style="734"/>
    <col min="16138" max="16138" width="15.140625" style="734" bestFit="1" customWidth="1"/>
    <col min="16139" max="16384" width="9.140625" style="734"/>
  </cols>
  <sheetData>
    <row r="1" spans="1:12">
      <c r="A1" s="736" t="s">
        <v>907</v>
      </c>
    </row>
    <row r="3" spans="1:12">
      <c r="C3" s="734" t="s">
        <v>26</v>
      </c>
      <c r="D3" s="734" t="s">
        <v>822</v>
      </c>
    </row>
    <row r="4" spans="1:12">
      <c r="B4" s="734" t="s">
        <v>908</v>
      </c>
      <c r="C4" s="734">
        <v>280</v>
      </c>
      <c r="D4" s="734">
        <v>90</v>
      </c>
    </row>
    <row r="5" spans="1:12">
      <c r="B5" s="734" t="s">
        <v>909</v>
      </c>
      <c r="C5" s="734">
        <v>150</v>
      </c>
      <c r="D5" s="734">
        <v>35</v>
      </c>
    </row>
    <row r="6" spans="1:12">
      <c r="B6" s="734" t="s">
        <v>910</v>
      </c>
      <c r="C6" s="734">
        <v>80</v>
      </c>
      <c r="D6" s="734">
        <v>80</v>
      </c>
    </row>
    <row r="7" spans="1:12">
      <c r="B7" s="734" t="s">
        <v>662</v>
      </c>
      <c r="C7" s="734">
        <v>15</v>
      </c>
      <c r="D7" s="734">
        <v>20</v>
      </c>
    </row>
    <row r="8" spans="1:12">
      <c r="B8" s="734" t="s">
        <v>911</v>
      </c>
      <c r="C8" s="734">
        <f>SUM(C4:C7)</f>
        <v>525</v>
      </c>
      <c r="D8" s="734">
        <f>SUM(D4:D7)</f>
        <v>225</v>
      </c>
    </row>
    <row r="9" spans="1:12">
      <c r="B9" s="734" t="s">
        <v>912</v>
      </c>
      <c r="D9" s="734">
        <f>60</f>
        <v>60</v>
      </c>
    </row>
    <row r="10" spans="1:12">
      <c r="B10" s="734" t="s">
        <v>913</v>
      </c>
      <c r="D10" s="734">
        <f>D8-D9</f>
        <v>165</v>
      </c>
    </row>
    <row r="11" spans="1:12">
      <c r="B11" s="734" t="s">
        <v>661</v>
      </c>
      <c r="D11" s="734">
        <f>D10*78%</f>
        <v>128.70000000000002</v>
      </c>
    </row>
    <row r="13" spans="1:12">
      <c r="A13" s="736" t="s">
        <v>914</v>
      </c>
    </row>
    <row r="15" spans="1:12">
      <c r="C15" s="734" t="str">
        <f>C3</f>
        <v>Revenue</v>
      </c>
      <c r="D15" s="734" t="s">
        <v>915</v>
      </c>
      <c r="E15" s="734" t="s">
        <v>847</v>
      </c>
      <c r="K15" s="734" t="s">
        <v>26</v>
      </c>
      <c r="L15" s="734" t="s">
        <v>28</v>
      </c>
    </row>
    <row r="16" spans="1:12">
      <c r="B16" s="734" t="str">
        <f>B4</f>
        <v>Residential sales</v>
      </c>
      <c r="C16" s="734">
        <f>C4</f>
        <v>280</v>
      </c>
      <c r="D16" s="737" t="e">
        <f>(C16-70)*#REF!+42</f>
        <v>#REF!</v>
      </c>
      <c r="E16" s="741" t="e">
        <f>D16/C16</f>
        <v>#REF!</v>
      </c>
      <c r="J16" s="734" t="s">
        <v>908</v>
      </c>
      <c r="K16" s="734">
        <f>C16</f>
        <v>280</v>
      </c>
      <c r="L16" s="745" t="e">
        <f>D16</f>
        <v>#REF!</v>
      </c>
    </row>
    <row r="17" spans="2:12">
      <c r="B17" s="734" t="str">
        <f>B5</f>
        <v>Traditional brokerage</v>
      </c>
      <c r="C17" s="734">
        <f>C5</f>
        <v>150</v>
      </c>
      <c r="D17" s="737">
        <f>SUM(C17,C18)*80%-D18</f>
        <v>104</v>
      </c>
      <c r="E17" s="741">
        <f>D17/C17</f>
        <v>0.69333333333333336</v>
      </c>
      <c r="J17" s="734" t="s">
        <v>654</v>
      </c>
      <c r="K17" s="734">
        <f>SUM(C17,C18)</f>
        <v>230</v>
      </c>
      <c r="L17" s="734">
        <f>SUM(D17,D18)</f>
        <v>184</v>
      </c>
    </row>
    <row r="18" spans="2:12">
      <c r="B18" s="734" t="str">
        <f>B6</f>
        <v>Secondary investment</v>
      </c>
      <c r="C18" s="734">
        <f>C6</f>
        <v>80</v>
      </c>
      <c r="D18" s="737">
        <f>D6</f>
        <v>80</v>
      </c>
      <c r="E18" s="741">
        <f>D18/C18</f>
        <v>1</v>
      </c>
      <c r="G18" s="742">
        <f>SUM(D17:D18)/SUM(C17:C18)</f>
        <v>0.8</v>
      </c>
      <c r="J18" s="734" t="s">
        <v>916</v>
      </c>
      <c r="K18" s="734">
        <f>C19</f>
        <v>15</v>
      </c>
      <c r="L18" s="738">
        <f>D19</f>
        <v>12</v>
      </c>
    </row>
    <row r="19" spans="2:12">
      <c r="B19" s="734" t="str">
        <f>B7</f>
        <v>Construction</v>
      </c>
      <c r="C19" s="734">
        <f>C7</f>
        <v>15</v>
      </c>
      <c r="D19" s="737">
        <f>C19*80%</f>
        <v>12</v>
      </c>
      <c r="E19" s="741">
        <f>D19/C19</f>
        <v>0.8</v>
      </c>
      <c r="J19" s="734" t="s">
        <v>911</v>
      </c>
      <c r="K19" s="734">
        <f>SUM(K16:K18)</f>
        <v>525</v>
      </c>
      <c r="L19" s="745" t="e">
        <f>SUM(L16:L18)</f>
        <v>#REF!</v>
      </c>
    </row>
    <row r="20" spans="2:12">
      <c r="B20" s="734" t="str">
        <f>B8</f>
        <v>TOTAL</v>
      </c>
      <c r="C20" s="734">
        <f>SUM(C16:C19)</f>
        <v>525</v>
      </c>
      <c r="D20" s="737" t="e">
        <f>SUM(D16:D19)</f>
        <v>#REF!</v>
      </c>
      <c r="E20" s="741">
        <f>C20/'[13]Revenue breakdown'!D6-1</f>
        <v>0.5308303079352783</v>
      </c>
      <c r="F20" s="741" t="e">
        <f>D20/C20</f>
        <v>#REF!</v>
      </c>
      <c r="J20" s="734" t="s">
        <v>917</v>
      </c>
      <c r="L20" s="738">
        <f>D21</f>
        <v>10</v>
      </c>
    </row>
    <row r="21" spans="2:12">
      <c r="B21" s="734" t="s">
        <v>917</v>
      </c>
      <c r="D21" s="737">
        <v>10</v>
      </c>
      <c r="J21" s="734" t="s">
        <v>656</v>
      </c>
      <c r="L21" s="738" t="e">
        <f>D22</f>
        <v>#REF!</v>
      </c>
    </row>
    <row r="22" spans="2:12">
      <c r="B22" s="734" t="s">
        <v>656</v>
      </c>
      <c r="D22" s="737" t="e">
        <f>D20+D21-D23</f>
        <v>#REF!</v>
      </c>
      <c r="J22" s="734" t="s">
        <v>822</v>
      </c>
      <c r="L22" s="738" t="e">
        <f>L19+L20-L21</f>
        <v>#REF!</v>
      </c>
    </row>
    <row r="23" spans="2:12">
      <c r="B23" s="734" t="str">
        <f>B10</f>
        <v>Consolidated PBT</v>
      </c>
      <c r="D23" s="737">
        <f>D24/0.78</f>
        <v>157.69230769230768</v>
      </c>
      <c r="J23" s="734" t="s">
        <v>661</v>
      </c>
      <c r="L23" s="738" t="e">
        <f>L22*78%</f>
        <v>#REF!</v>
      </c>
    </row>
    <row r="24" spans="2:12" s="736" customFormat="1">
      <c r="B24" s="736" t="str">
        <f>B11</f>
        <v>NPAT</v>
      </c>
      <c r="D24" s="601">
        <f>123</f>
        <v>123</v>
      </c>
      <c r="E24" s="746">
        <f>D24/'[13]Revenue breakdown'!C36*1000-1</f>
        <v>0.48615351473525492</v>
      </c>
    </row>
    <row r="25" spans="2:12">
      <c r="B25" s="734" t="s">
        <v>918</v>
      </c>
      <c r="D25" s="737">
        <f>75+5.25+3+(18.75+25.7)/2</f>
        <v>105.47499999999999</v>
      </c>
    </row>
    <row r="26" spans="2:12">
      <c r="B26" s="736" t="s">
        <v>919</v>
      </c>
      <c r="D26" s="601">
        <f>D24*10^3/D25</f>
        <v>1166.1531168523347</v>
      </c>
    </row>
    <row r="27" spans="2:12">
      <c r="B27" s="734" t="s">
        <v>920</v>
      </c>
      <c r="D27" s="737">
        <v>49320934</v>
      </c>
    </row>
    <row r="28" spans="2:12">
      <c r="B28" s="734" t="s">
        <v>921</v>
      </c>
      <c r="D28" s="737">
        <f>D27+5250000+3000000</f>
        <v>57570934</v>
      </c>
    </row>
    <row r="29" spans="2:12">
      <c r="B29" s="736" t="s">
        <v>922</v>
      </c>
      <c r="C29" s="736"/>
      <c r="D29" s="601">
        <f>'[13]Revenue breakdown'!C36*10^6/'2014 forecast'!D28</f>
        <v>1437.6003281794942</v>
      </c>
    </row>
    <row r="30" spans="2:12">
      <c r="B30" s="736" t="s">
        <v>923</v>
      </c>
      <c r="D30" s="746">
        <f>D26/D29-1</f>
        <v>-0.18881966427408015</v>
      </c>
    </row>
    <row r="32" spans="2:12">
      <c r="C32" s="734" t="s">
        <v>26</v>
      </c>
      <c r="D32" s="734" t="s">
        <v>915</v>
      </c>
    </row>
    <row r="33" spans="2:4">
      <c r="B33" s="734" t="s">
        <v>908</v>
      </c>
      <c r="C33" s="737" t="e">
        <f>#REF!+'Viva City'!G179+#REF!</f>
        <v>#REF!</v>
      </c>
      <c r="D33" s="738" t="e">
        <f>#REF!+#REF!+'Viva City'!G179+'Viva City'!G180+#REF!+#REF!</f>
        <v>#REF!</v>
      </c>
    </row>
    <row r="34" spans="2:4">
      <c r="B34" s="734" t="s">
        <v>909</v>
      </c>
      <c r="C34" s="737">
        <f>150000</f>
        <v>150000</v>
      </c>
      <c r="D34" s="738">
        <v>104000</v>
      </c>
    </row>
    <row r="35" spans="2:4">
      <c r="B35" s="734" t="s">
        <v>910</v>
      </c>
      <c r="C35" s="737">
        <f>80000*1.1</f>
        <v>88000</v>
      </c>
      <c r="D35" s="738">
        <f>C35</f>
        <v>88000</v>
      </c>
    </row>
    <row r="36" spans="2:4">
      <c r="B36" s="734" t="s">
        <v>662</v>
      </c>
      <c r="C36" s="737">
        <f>20000*1.2</f>
        <v>24000</v>
      </c>
      <c r="D36" s="738">
        <f>C36*80%</f>
        <v>19200</v>
      </c>
    </row>
    <row r="37" spans="2:4">
      <c r="B37" s="734" t="s">
        <v>911</v>
      </c>
      <c r="C37" s="738" t="e">
        <f>SUM(C33:C36)</f>
        <v>#REF!</v>
      </c>
      <c r="D37" s="738" t="e">
        <f>SUM(D33:D36)</f>
        <v>#REF!</v>
      </c>
    </row>
    <row r="38" spans="2:4">
      <c r="B38" s="734" t="s">
        <v>917</v>
      </c>
      <c r="D38" s="738">
        <v>12000</v>
      </c>
    </row>
    <row r="39" spans="2:4">
      <c r="B39" s="734" t="s">
        <v>656</v>
      </c>
      <c r="D39" s="738" t="e">
        <f>D22/C20*C37*0.9</f>
        <v>#REF!</v>
      </c>
    </row>
    <row r="40" spans="2:4">
      <c r="B40" s="734" t="s">
        <v>913</v>
      </c>
      <c r="D40" s="738" t="e">
        <f>D37-D38-D39</f>
        <v>#REF!</v>
      </c>
    </row>
    <row r="41" spans="2:4">
      <c r="B41" s="734" t="s">
        <v>661</v>
      </c>
      <c r="D41" s="738" t="e">
        <f>D40*0.78</f>
        <v>#REF!</v>
      </c>
    </row>
    <row r="42" spans="2:4">
      <c r="B42" s="734" t="s">
        <v>918</v>
      </c>
      <c r="D42" s="738">
        <v>119.5</v>
      </c>
    </row>
    <row r="43" spans="2:4">
      <c r="B43" s="734" t="s">
        <v>919</v>
      </c>
      <c r="D43" s="738" t="e">
        <f>D41/D42</f>
        <v>#REF!</v>
      </c>
    </row>
  </sheetData>
  <pageMargins left="0.7" right="0.7" top="0.75" bottom="0.75" header="0.3" footer="0.3"/>
  <pageSetup paperSize="9" orientation="portrait" r:id="rId1"/>
  <legacy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B1:K41"/>
  <sheetViews>
    <sheetView workbookViewId="0">
      <selection activeCell="B1" sqref="B1"/>
    </sheetView>
  </sheetViews>
  <sheetFormatPr defaultRowHeight="14.25"/>
  <cols>
    <col min="1" max="1" width="3.140625" style="604" customWidth="1"/>
    <col min="2" max="2" width="18.5703125" style="604" customWidth="1"/>
    <col min="3" max="3" width="30.140625" style="604" customWidth="1"/>
    <col min="4" max="4" width="12.42578125" style="604" bestFit="1" customWidth="1"/>
    <col min="5" max="5" width="27" style="604" customWidth="1"/>
    <col min="6" max="6" width="40.7109375" style="604" bestFit="1" customWidth="1"/>
    <col min="7" max="7" width="9.42578125" style="604" customWidth="1"/>
    <col min="8" max="256" width="9.140625" style="604"/>
    <col min="257" max="257" width="3.140625" style="604" customWidth="1"/>
    <col min="258" max="258" width="18.5703125" style="604" customWidth="1"/>
    <col min="259" max="259" width="30.140625" style="604" customWidth="1"/>
    <col min="260" max="260" width="12.42578125" style="604" bestFit="1" customWidth="1"/>
    <col min="261" max="261" width="27" style="604" customWidth="1"/>
    <col min="262" max="262" width="40.7109375" style="604" bestFit="1" customWidth="1"/>
    <col min="263" max="263" width="9.42578125" style="604" customWidth="1"/>
    <col min="264" max="512" width="9.140625" style="604"/>
    <col min="513" max="513" width="3.140625" style="604" customWidth="1"/>
    <col min="514" max="514" width="18.5703125" style="604" customWidth="1"/>
    <col min="515" max="515" width="30.140625" style="604" customWidth="1"/>
    <col min="516" max="516" width="12.42578125" style="604" bestFit="1" customWidth="1"/>
    <col min="517" max="517" width="27" style="604" customWidth="1"/>
    <col min="518" max="518" width="40.7109375" style="604" bestFit="1" customWidth="1"/>
    <col min="519" max="519" width="9.42578125" style="604" customWidth="1"/>
    <col min="520" max="768" width="9.140625" style="604"/>
    <col min="769" max="769" width="3.140625" style="604" customWidth="1"/>
    <col min="770" max="770" width="18.5703125" style="604" customWidth="1"/>
    <col min="771" max="771" width="30.140625" style="604" customWidth="1"/>
    <col min="772" max="772" width="12.42578125" style="604" bestFit="1" customWidth="1"/>
    <col min="773" max="773" width="27" style="604" customWidth="1"/>
    <col min="774" max="774" width="40.7109375" style="604" bestFit="1" customWidth="1"/>
    <col min="775" max="775" width="9.42578125" style="604" customWidth="1"/>
    <col min="776" max="1024" width="9.140625" style="604"/>
    <col min="1025" max="1025" width="3.140625" style="604" customWidth="1"/>
    <col min="1026" max="1026" width="18.5703125" style="604" customWidth="1"/>
    <col min="1027" max="1027" width="30.140625" style="604" customWidth="1"/>
    <col min="1028" max="1028" width="12.42578125" style="604" bestFit="1" customWidth="1"/>
    <col min="1029" max="1029" width="27" style="604" customWidth="1"/>
    <col min="1030" max="1030" width="40.7109375" style="604" bestFit="1" customWidth="1"/>
    <col min="1031" max="1031" width="9.42578125" style="604" customWidth="1"/>
    <col min="1032" max="1280" width="9.140625" style="604"/>
    <col min="1281" max="1281" width="3.140625" style="604" customWidth="1"/>
    <col min="1282" max="1282" width="18.5703125" style="604" customWidth="1"/>
    <col min="1283" max="1283" width="30.140625" style="604" customWidth="1"/>
    <col min="1284" max="1284" width="12.42578125" style="604" bestFit="1" customWidth="1"/>
    <col min="1285" max="1285" width="27" style="604" customWidth="1"/>
    <col min="1286" max="1286" width="40.7109375" style="604" bestFit="1" customWidth="1"/>
    <col min="1287" max="1287" width="9.42578125" style="604" customWidth="1"/>
    <col min="1288" max="1536" width="9.140625" style="604"/>
    <col min="1537" max="1537" width="3.140625" style="604" customWidth="1"/>
    <col min="1538" max="1538" width="18.5703125" style="604" customWidth="1"/>
    <col min="1539" max="1539" width="30.140625" style="604" customWidth="1"/>
    <col min="1540" max="1540" width="12.42578125" style="604" bestFit="1" customWidth="1"/>
    <col min="1541" max="1541" width="27" style="604" customWidth="1"/>
    <col min="1542" max="1542" width="40.7109375" style="604" bestFit="1" customWidth="1"/>
    <col min="1543" max="1543" width="9.42578125" style="604" customWidth="1"/>
    <col min="1544" max="1792" width="9.140625" style="604"/>
    <col min="1793" max="1793" width="3.140625" style="604" customWidth="1"/>
    <col min="1794" max="1794" width="18.5703125" style="604" customWidth="1"/>
    <col min="1795" max="1795" width="30.140625" style="604" customWidth="1"/>
    <col min="1796" max="1796" width="12.42578125" style="604" bestFit="1" customWidth="1"/>
    <col min="1797" max="1797" width="27" style="604" customWidth="1"/>
    <col min="1798" max="1798" width="40.7109375" style="604" bestFit="1" customWidth="1"/>
    <col min="1799" max="1799" width="9.42578125" style="604" customWidth="1"/>
    <col min="1800" max="2048" width="9.140625" style="604"/>
    <col min="2049" max="2049" width="3.140625" style="604" customWidth="1"/>
    <col min="2050" max="2050" width="18.5703125" style="604" customWidth="1"/>
    <col min="2051" max="2051" width="30.140625" style="604" customWidth="1"/>
    <col min="2052" max="2052" width="12.42578125" style="604" bestFit="1" customWidth="1"/>
    <col min="2053" max="2053" width="27" style="604" customWidth="1"/>
    <col min="2054" max="2054" width="40.7109375" style="604" bestFit="1" customWidth="1"/>
    <col min="2055" max="2055" width="9.42578125" style="604" customWidth="1"/>
    <col min="2056" max="2304" width="9.140625" style="604"/>
    <col min="2305" max="2305" width="3.140625" style="604" customWidth="1"/>
    <col min="2306" max="2306" width="18.5703125" style="604" customWidth="1"/>
    <col min="2307" max="2307" width="30.140625" style="604" customWidth="1"/>
    <col min="2308" max="2308" width="12.42578125" style="604" bestFit="1" customWidth="1"/>
    <col min="2309" max="2309" width="27" style="604" customWidth="1"/>
    <col min="2310" max="2310" width="40.7109375" style="604" bestFit="1" customWidth="1"/>
    <col min="2311" max="2311" width="9.42578125" style="604" customWidth="1"/>
    <col min="2312" max="2560" width="9.140625" style="604"/>
    <col min="2561" max="2561" width="3.140625" style="604" customWidth="1"/>
    <col min="2562" max="2562" width="18.5703125" style="604" customWidth="1"/>
    <col min="2563" max="2563" width="30.140625" style="604" customWidth="1"/>
    <col min="2564" max="2564" width="12.42578125" style="604" bestFit="1" customWidth="1"/>
    <col min="2565" max="2565" width="27" style="604" customWidth="1"/>
    <col min="2566" max="2566" width="40.7109375" style="604" bestFit="1" customWidth="1"/>
    <col min="2567" max="2567" width="9.42578125" style="604" customWidth="1"/>
    <col min="2568" max="2816" width="9.140625" style="604"/>
    <col min="2817" max="2817" width="3.140625" style="604" customWidth="1"/>
    <col min="2818" max="2818" width="18.5703125" style="604" customWidth="1"/>
    <col min="2819" max="2819" width="30.140625" style="604" customWidth="1"/>
    <col min="2820" max="2820" width="12.42578125" style="604" bestFit="1" customWidth="1"/>
    <col min="2821" max="2821" width="27" style="604" customWidth="1"/>
    <col min="2822" max="2822" width="40.7109375" style="604" bestFit="1" customWidth="1"/>
    <col min="2823" max="2823" width="9.42578125" style="604" customWidth="1"/>
    <col min="2824" max="3072" width="9.140625" style="604"/>
    <col min="3073" max="3073" width="3.140625" style="604" customWidth="1"/>
    <col min="3074" max="3074" width="18.5703125" style="604" customWidth="1"/>
    <col min="3075" max="3075" width="30.140625" style="604" customWidth="1"/>
    <col min="3076" max="3076" width="12.42578125" style="604" bestFit="1" customWidth="1"/>
    <col min="3077" max="3077" width="27" style="604" customWidth="1"/>
    <col min="3078" max="3078" width="40.7109375" style="604" bestFit="1" customWidth="1"/>
    <col min="3079" max="3079" width="9.42578125" style="604" customWidth="1"/>
    <col min="3080" max="3328" width="9.140625" style="604"/>
    <col min="3329" max="3329" width="3.140625" style="604" customWidth="1"/>
    <col min="3330" max="3330" width="18.5703125" style="604" customWidth="1"/>
    <col min="3331" max="3331" width="30.140625" style="604" customWidth="1"/>
    <col min="3332" max="3332" width="12.42578125" style="604" bestFit="1" customWidth="1"/>
    <col min="3333" max="3333" width="27" style="604" customWidth="1"/>
    <col min="3334" max="3334" width="40.7109375" style="604" bestFit="1" customWidth="1"/>
    <col min="3335" max="3335" width="9.42578125" style="604" customWidth="1"/>
    <col min="3336" max="3584" width="9.140625" style="604"/>
    <col min="3585" max="3585" width="3.140625" style="604" customWidth="1"/>
    <col min="3586" max="3586" width="18.5703125" style="604" customWidth="1"/>
    <col min="3587" max="3587" width="30.140625" style="604" customWidth="1"/>
    <col min="3588" max="3588" width="12.42578125" style="604" bestFit="1" customWidth="1"/>
    <col min="3589" max="3589" width="27" style="604" customWidth="1"/>
    <col min="3590" max="3590" width="40.7109375" style="604" bestFit="1" customWidth="1"/>
    <col min="3591" max="3591" width="9.42578125" style="604" customWidth="1"/>
    <col min="3592" max="3840" width="9.140625" style="604"/>
    <col min="3841" max="3841" width="3.140625" style="604" customWidth="1"/>
    <col min="3842" max="3842" width="18.5703125" style="604" customWidth="1"/>
    <col min="3843" max="3843" width="30.140625" style="604" customWidth="1"/>
    <col min="3844" max="3844" width="12.42578125" style="604" bestFit="1" customWidth="1"/>
    <col min="3845" max="3845" width="27" style="604" customWidth="1"/>
    <col min="3846" max="3846" width="40.7109375" style="604" bestFit="1" customWidth="1"/>
    <col min="3847" max="3847" width="9.42578125" style="604" customWidth="1"/>
    <col min="3848" max="4096" width="9.140625" style="604"/>
    <col min="4097" max="4097" width="3.140625" style="604" customWidth="1"/>
    <col min="4098" max="4098" width="18.5703125" style="604" customWidth="1"/>
    <col min="4099" max="4099" width="30.140625" style="604" customWidth="1"/>
    <col min="4100" max="4100" width="12.42578125" style="604" bestFit="1" customWidth="1"/>
    <col min="4101" max="4101" width="27" style="604" customWidth="1"/>
    <col min="4102" max="4102" width="40.7109375" style="604" bestFit="1" customWidth="1"/>
    <col min="4103" max="4103" width="9.42578125" style="604" customWidth="1"/>
    <col min="4104" max="4352" width="9.140625" style="604"/>
    <col min="4353" max="4353" width="3.140625" style="604" customWidth="1"/>
    <col min="4354" max="4354" width="18.5703125" style="604" customWidth="1"/>
    <col min="4355" max="4355" width="30.140625" style="604" customWidth="1"/>
    <col min="4356" max="4356" width="12.42578125" style="604" bestFit="1" customWidth="1"/>
    <col min="4357" max="4357" width="27" style="604" customWidth="1"/>
    <col min="4358" max="4358" width="40.7109375" style="604" bestFit="1" customWidth="1"/>
    <col min="4359" max="4359" width="9.42578125" style="604" customWidth="1"/>
    <col min="4360" max="4608" width="9.140625" style="604"/>
    <col min="4609" max="4609" width="3.140625" style="604" customWidth="1"/>
    <col min="4610" max="4610" width="18.5703125" style="604" customWidth="1"/>
    <col min="4611" max="4611" width="30.140625" style="604" customWidth="1"/>
    <col min="4612" max="4612" width="12.42578125" style="604" bestFit="1" customWidth="1"/>
    <col min="4613" max="4613" width="27" style="604" customWidth="1"/>
    <col min="4614" max="4614" width="40.7109375" style="604" bestFit="1" customWidth="1"/>
    <col min="4615" max="4615" width="9.42578125" style="604" customWidth="1"/>
    <col min="4616" max="4864" width="9.140625" style="604"/>
    <col min="4865" max="4865" width="3.140625" style="604" customWidth="1"/>
    <col min="4866" max="4866" width="18.5703125" style="604" customWidth="1"/>
    <col min="4867" max="4867" width="30.140625" style="604" customWidth="1"/>
    <col min="4868" max="4868" width="12.42578125" style="604" bestFit="1" customWidth="1"/>
    <col min="4869" max="4869" width="27" style="604" customWidth="1"/>
    <col min="4870" max="4870" width="40.7109375" style="604" bestFit="1" customWidth="1"/>
    <col min="4871" max="4871" width="9.42578125" style="604" customWidth="1"/>
    <col min="4872" max="5120" width="9.140625" style="604"/>
    <col min="5121" max="5121" width="3.140625" style="604" customWidth="1"/>
    <col min="5122" max="5122" width="18.5703125" style="604" customWidth="1"/>
    <col min="5123" max="5123" width="30.140625" style="604" customWidth="1"/>
    <col min="5124" max="5124" width="12.42578125" style="604" bestFit="1" customWidth="1"/>
    <col min="5125" max="5125" width="27" style="604" customWidth="1"/>
    <col min="5126" max="5126" width="40.7109375" style="604" bestFit="1" customWidth="1"/>
    <col min="5127" max="5127" width="9.42578125" style="604" customWidth="1"/>
    <col min="5128" max="5376" width="9.140625" style="604"/>
    <col min="5377" max="5377" width="3.140625" style="604" customWidth="1"/>
    <col min="5378" max="5378" width="18.5703125" style="604" customWidth="1"/>
    <col min="5379" max="5379" width="30.140625" style="604" customWidth="1"/>
    <col min="5380" max="5380" width="12.42578125" style="604" bestFit="1" customWidth="1"/>
    <col min="5381" max="5381" width="27" style="604" customWidth="1"/>
    <col min="5382" max="5382" width="40.7109375" style="604" bestFit="1" customWidth="1"/>
    <col min="5383" max="5383" width="9.42578125" style="604" customWidth="1"/>
    <col min="5384" max="5632" width="9.140625" style="604"/>
    <col min="5633" max="5633" width="3.140625" style="604" customWidth="1"/>
    <col min="5634" max="5634" width="18.5703125" style="604" customWidth="1"/>
    <col min="5635" max="5635" width="30.140625" style="604" customWidth="1"/>
    <col min="5636" max="5636" width="12.42578125" style="604" bestFit="1" customWidth="1"/>
    <col min="5637" max="5637" width="27" style="604" customWidth="1"/>
    <col min="5638" max="5638" width="40.7109375" style="604" bestFit="1" customWidth="1"/>
    <col min="5639" max="5639" width="9.42578125" style="604" customWidth="1"/>
    <col min="5640" max="5888" width="9.140625" style="604"/>
    <col min="5889" max="5889" width="3.140625" style="604" customWidth="1"/>
    <col min="5890" max="5890" width="18.5703125" style="604" customWidth="1"/>
    <col min="5891" max="5891" width="30.140625" style="604" customWidth="1"/>
    <col min="5892" max="5892" width="12.42578125" style="604" bestFit="1" customWidth="1"/>
    <col min="5893" max="5893" width="27" style="604" customWidth="1"/>
    <col min="5894" max="5894" width="40.7109375" style="604" bestFit="1" customWidth="1"/>
    <col min="5895" max="5895" width="9.42578125" style="604" customWidth="1"/>
    <col min="5896" max="6144" width="9.140625" style="604"/>
    <col min="6145" max="6145" width="3.140625" style="604" customWidth="1"/>
    <col min="6146" max="6146" width="18.5703125" style="604" customWidth="1"/>
    <col min="6147" max="6147" width="30.140625" style="604" customWidth="1"/>
    <col min="6148" max="6148" width="12.42578125" style="604" bestFit="1" customWidth="1"/>
    <col min="6149" max="6149" width="27" style="604" customWidth="1"/>
    <col min="6150" max="6150" width="40.7109375" style="604" bestFit="1" customWidth="1"/>
    <col min="6151" max="6151" width="9.42578125" style="604" customWidth="1"/>
    <col min="6152" max="6400" width="9.140625" style="604"/>
    <col min="6401" max="6401" width="3.140625" style="604" customWidth="1"/>
    <col min="6402" max="6402" width="18.5703125" style="604" customWidth="1"/>
    <col min="6403" max="6403" width="30.140625" style="604" customWidth="1"/>
    <col min="6404" max="6404" width="12.42578125" style="604" bestFit="1" customWidth="1"/>
    <col min="6405" max="6405" width="27" style="604" customWidth="1"/>
    <col min="6406" max="6406" width="40.7109375" style="604" bestFit="1" customWidth="1"/>
    <col min="6407" max="6407" width="9.42578125" style="604" customWidth="1"/>
    <col min="6408" max="6656" width="9.140625" style="604"/>
    <col min="6657" max="6657" width="3.140625" style="604" customWidth="1"/>
    <col min="6658" max="6658" width="18.5703125" style="604" customWidth="1"/>
    <col min="6659" max="6659" width="30.140625" style="604" customWidth="1"/>
    <col min="6660" max="6660" width="12.42578125" style="604" bestFit="1" customWidth="1"/>
    <col min="6661" max="6661" width="27" style="604" customWidth="1"/>
    <col min="6662" max="6662" width="40.7109375" style="604" bestFit="1" customWidth="1"/>
    <col min="6663" max="6663" width="9.42578125" style="604" customWidth="1"/>
    <col min="6664" max="6912" width="9.140625" style="604"/>
    <col min="6913" max="6913" width="3.140625" style="604" customWidth="1"/>
    <col min="6914" max="6914" width="18.5703125" style="604" customWidth="1"/>
    <col min="6915" max="6915" width="30.140625" style="604" customWidth="1"/>
    <col min="6916" max="6916" width="12.42578125" style="604" bestFit="1" customWidth="1"/>
    <col min="6917" max="6917" width="27" style="604" customWidth="1"/>
    <col min="6918" max="6918" width="40.7109375" style="604" bestFit="1" customWidth="1"/>
    <col min="6919" max="6919" width="9.42578125" style="604" customWidth="1"/>
    <col min="6920" max="7168" width="9.140625" style="604"/>
    <col min="7169" max="7169" width="3.140625" style="604" customWidth="1"/>
    <col min="7170" max="7170" width="18.5703125" style="604" customWidth="1"/>
    <col min="7171" max="7171" width="30.140625" style="604" customWidth="1"/>
    <col min="7172" max="7172" width="12.42578125" style="604" bestFit="1" customWidth="1"/>
    <col min="7173" max="7173" width="27" style="604" customWidth="1"/>
    <col min="7174" max="7174" width="40.7109375" style="604" bestFit="1" customWidth="1"/>
    <col min="7175" max="7175" width="9.42578125" style="604" customWidth="1"/>
    <col min="7176" max="7424" width="9.140625" style="604"/>
    <col min="7425" max="7425" width="3.140625" style="604" customWidth="1"/>
    <col min="7426" max="7426" width="18.5703125" style="604" customWidth="1"/>
    <col min="7427" max="7427" width="30.140625" style="604" customWidth="1"/>
    <col min="7428" max="7428" width="12.42578125" style="604" bestFit="1" customWidth="1"/>
    <col min="7429" max="7429" width="27" style="604" customWidth="1"/>
    <col min="7430" max="7430" width="40.7109375" style="604" bestFit="1" customWidth="1"/>
    <col min="7431" max="7431" width="9.42578125" style="604" customWidth="1"/>
    <col min="7432" max="7680" width="9.140625" style="604"/>
    <col min="7681" max="7681" width="3.140625" style="604" customWidth="1"/>
    <col min="7682" max="7682" width="18.5703125" style="604" customWidth="1"/>
    <col min="7683" max="7683" width="30.140625" style="604" customWidth="1"/>
    <col min="7684" max="7684" width="12.42578125" style="604" bestFit="1" customWidth="1"/>
    <col min="7685" max="7685" width="27" style="604" customWidth="1"/>
    <col min="7686" max="7686" width="40.7109375" style="604" bestFit="1" customWidth="1"/>
    <col min="7687" max="7687" width="9.42578125" style="604" customWidth="1"/>
    <col min="7688" max="7936" width="9.140625" style="604"/>
    <col min="7937" max="7937" width="3.140625" style="604" customWidth="1"/>
    <col min="7938" max="7938" width="18.5703125" style="604" customWidth="1"/>
    <col min="7939" max="7939" width="30.140625" style="604" customWidth="1"/>
    <col min="7940" max="7940" width="12.42578125" style="604" bestFit="1" customWidth="1"/>
    <col min="7941" max="7941" width="27" style="604" customWidth="1"/>
    <col min="7942" max="7942" width="40.7109375" style="604" bestFit="1" customWidth="1"/>
    <col min="7943" max="7943" width="9.42578125" style="604" customWidth="1"/>
    <col min="7944" max="8192" width="9.140625" style="604"/>
    <col min="8193" max="8193" width="3.140625" style="604" customWidth="1"/>
    <col min="8194" max="8194" width="18.5703125" style="604" customWidth="1"/>
    <col min="8195" max="8195" width="30.140625" style="604" customWidth="1"/>
    <col min="8196" max="8196" width="12.42578125" style="604" bestFit="1" customWidth="1"/>
    <col min="8197" max="8197" width="27" style="604" customWidth="1"/>
    <col min="8198" max="8198" width="40.7109375" style="604" bestFit="1" customWidth="1"/>
    <col min="8199" max="8199" width="9.42578125" style="604" customWidth="1"/>
    <col min="8200" max="8448" width="9.140625" style="604"/>
    <col min="8449" max="8449" width="3.140625" style="604" customWidth="1"/>
    <col min="8450" max="8450" width="18.5703125" style="604" customWidth="1"/>
    <col min="8451" max="8451" width="30.140625" style="604" customWidth="1"/>
    <col min="8452" max="8452" width="12.42578125" style="604" bestFit="1" customWidth="1"/>
    <col min="8453" max="8453" width="27" style="604" customWidth="1"/>
    <col min="8454" max="8454" width="40.7109375" style="604" bestFit="1" customWidth="1"/>
    <col min="8455" max="8455" width="9.42578125" style="604" customWidth="1"/>
    <col min="8456" max="8704" width="9.140625" style="604"/>
    <col min="8705" max="8705" width="3.140625" style="604" customWidth="1"/>
    <col min="8706" max="8706" width="18.5703125" style="604" customWidth="1"/>
    <col min="8707" max="8707" width="30.140625" style="604" customWidth="1"/>
    <col min="8708" max="8708" width="12.42578125" style="604" bestFit="1" customWidth="1"/>
    <col min="8709" max="8709" width="27" style="604" customWidth="1"/>
    <col min="8710" max="8710" width="40.7109375" style="604" bestFit="1" customWidth="1"/>
    <col min="8711" max="8711" width="9.42578125" style="604" customWidth="1"/>
    <col min="8712" max="8960" width="9.140625" style="604"/>
    <col min="8961" max="8961" width="3.140625" style="604" customWidth="1"/>
    <col min="8962" max="8962" width="18.5703125" style="604" customWidth="1"/>
    <col min="8963" max="8963" width="30.140625" style="604" customWidth="1"/>
    <col min="8964" max="8964" width="12.42578125" style="604" bestFit="1" customWidth="1"/>
    <col min="8965" max="8965" width="27" style="604" customWidth="1"/>
    <col min="8966" max="8966" width="40.7109375" style="604" bestFit="1" customWidth="1"/>
    <col min="8967" max="8967" width="9.42578125" style="604" customWidth="1"/>
    <col min="8968" max="9216" width="9.140625" style="604"/>
    <col min="9217" max="9217" width="3.140625" style="604" customWidth="1"/>
    <col min="9218" max="9218" width="18.5703125" style="604" customWidth="1"/>
    <col min="9219" max="9219" width="30.140625" style="604" customWidth="1"/>
    <col min="9220" max="9220" width="12.42578125" style="604" bestFit="1" customWidth="1"/>
    <col min="9221" max="9221" width="27" style="604" customWidth="1"/>
    <col min="9222" max="9222" width="40.7109375" style="604" bestFit="1" customWidth="1"/>
    <col min="9223" max="9223" width="9.42578125" style="604" customWidth="1"/>
    <col min="9224" max="9472" width="9.140625" style="604"/>
    <col min="9473" max="9473" width="3.140625" style="604" customWidth="1"/>
    <col min="9474" max="9474" width="18.5703125" style="604" customWidth="1"/>
    <col min="9475" max="9475" width="30.140625" style="604" customWidth="1"/>
    <col min="9476" max="9476" width="12.42578125" style="604" bestFit="1" customWidth="1"/>
    <col min="9477" max="9477" width="27" style="604" customWidth="1"/>
    <col min="9478" max="9478" width="40.7109375" style="604" bestFit="1" customWidth="1"/>
    <col min="9479" max="9479" width="9.42578125" style="604" customWidth="1"/>
    <col min="9480" max="9728" width="9.140625" style="604"/>
    <col min="9729" max="9729" width="3.140625" style="604" customWidth="1"/>
    <col min="9730" max="9730" width="18.5703125" style="604" customWidth="1"/>
    <col min="9731" max="9731" width="30.140625" style="604" customWidth="1"/>
    <col min="9732" max="9732" width="12.42578125" style="604" bestFit="1" customWidth="1"/>
    <col min="9733" max="9733" width="27" style="604" customWidth="1"/>
    <col min="9734" max="9734" width="40.7109375" style="604" bestFit="1" customWidth="1"/>
    <col min="9735" max="9735" width="9.42578125" style="604" customWidth="1"/>
    <col min="9736" max="9984" width="9.140625" style="604"/>
    <col min="9985" max="9985" width="3.140625" style="604" customWidth="1"/>
    <col min="9986" max="9986" width="18.5703125" style="604" customWidth="1"/>
    <col min="9987" max="9987" width="30.140625" style="604" customWidth="1"/>
    <col min="9988" max="9988" width="12.42578125" style="604" bestFit="1" customWidth="1"/>
    <col min="9989" max="9989" width="27" style="604" customWidth="1"/>
    <col min="9990" max="9990" width="40.7109375" style="604" bestFit="1" customWidth="1"/>
    <col min="9991" max="9991" width="9.42578125" style="604" customWidth="1"/>
    <col min="9992" max="10240" width="9.140625" style="604"/>
    <col min="10241" max="10241" width="3.140625" style="604" customWidth="1"/>
    <col min="10242" max="10242" width="18.5703125" style="604" customWidth="1"/>
    <col min="10243" max="10243" width="30.140625" style="604" customWidth="1"/>
    <col min="10244" max="10244" width="12.42578125" style="604" bestFit="1" customWidth="1"/>
    <col min="10245" max="10245" width="27" style="604" customWidth="1"/>
    <col min="10246" max="10246" width="40.7109375" style="604" bestFit="1" customWidth="1"/>
    <col min="10247" max="10247" width="9.42578125" style="604" customWidth="1"/>
    <col min="10248" max="10496" width="9.140625" style="604"/>
    <col min="10497" max="10497" width="3.140625" style="604" customWidth="1"/>
    <col min="10498" max="10498" width="18.5703125" style="604" customWidth="1"/>
    <col min="10499" max="10499" width="30.140625" style="604" customWidth="1"/>
    <col min="10500" max="10500" width="12.42578125" style="604" bestFit="1" customWidth="1"/>
    <col min="10501" max="10501" width="27" style="604" customWidth="1"/>
    <col min="10502" max="10502" width="40.7109375" style="604" bestFit="1" customWidth="1"/>
    <col min="10503" max="10503" width="9.42578125" style="604" customWidth="1"/>
    <col min="10504" max="10752" width="9.140625" style="604"/>
    <col min="10753" max="10753" width="3.140625" style="604" customWidth="1"/>
    <col min="10754" max="10754" width="18.5703125" style="604" customWidth="1"/>
    <col min="10755" max="10755" width="30.140625" style="604" customWidth="1"/>
    <col min="10756" max="10756" width="12.42578125" style="604" bestFit="1" customWidth="1"/>
    <col min="10757" max="10757" width="27" style="604" customWidth="1"/>
    <col min="10758" max="10758" width="40.7109375" style="604" bestFit="1" customWidth="1"/>
    <col min="10759" max="10759" width="9.42578125" style="604" customWidth="1"/>
    <col min="10760" max="11008" width="9.140625" style="604"/>
    <col min="11009" max="11009" width="3.140625" style="604" customWidth="1"/>
    <col min="11010" max="11010" width="18.5703125" style="604" customWidth="1"/>
    <col min="11011" max="11011" width="30.140625" style="604" customWidth="1"/>
    <col min="11012" max="11012" width="12.42578125" style="604" bestFit="1" customWidth="1"/>
    <col min="11013" max="11013" width="27" style="604" customWidth="1"/>
    <col min="11014" max="11014" width="40.7109375" style="604" bestFit="1" customWidth="1"/>
    <col min="11015" max="11015" width="9.42578125" style="604" customWidth="1"/>
    <col min="11016" max="11264" width="9.140625" style="604"/>
    <col min="11265" max="11265" width="3.140625" style="604" customWidth="1"/>
    <col min="11266" max="11266" width="18.5703125" style="604" customWidth="1"/>
    <col min="11267" max="11267" width="30.140625" style="604" customWidth="1"/>
    <col min="11268" max="11268" width="12.42578125" style="604" bestFit="1" customWidth="1"/>
    <col min="11269" max="11269" width="27" style="604" customWidth="1"/>
    <col min="11270" max="11270" width="40.7109375" style="604" bestFit="1" customWidth="1"/>
    <col min="11271" max="11271" width="9.42578125" style="604" customWidth="1"/>
    <col min="11272" max="11520" width="9.140625" style="604"/>
    <col min="11521" max="11521" width="3.140625" style="604" customWidth="1"/>
    <col min="11522" max="11522" width="18.5703125" style="604" customWidth="1"/>
    <col min="11523" max="11523" width="30.140625" style="604" customWidth="1"/>
    <col min="11524" max="11524" width="12.42578125" style="604" bestFit="1" customWidth="1"/>
    <col min="11525" max="11525" width="27" style="604" customWidth="1"/>
    <col min="11526" max="11526" width="40.7109375" style="604" bestFit="1" customWidth="1"/>
    <col min="11527" max="11527" width="9.42578125" style="604" customWidth="1"/>
    <col min="11528" max="11776" width="9.140625" style="604"/>
    <col min="11777" max="11777" width="3.140625" style="604" customWidth="1"/>
    <col min="11778" max="11778" width="18.5703125" style="604" customWidth="1"/>
    <col min="11779" max="11779" width="30.140625" style="604" customWidth="1"/>
    <col min="11780" max="11780" width="12.42578125" style="604" bestFit="1" customWidth="1"/>
    <col min="11781" max="11781" width="27" style="604" customWidth="1"/>
    <col min="11782" max="11782" width="40.7109375" style="604" bestFit="1" customWidth="1"/>
    <col min="11783" max="11783" width="9.42578125" style="604" customWidth="1"/>
    <col min="11784" max="12032" width="9.140625" style="604"/>
    <col min="12033" max="12033" width="3.140625" style="604" customWidth="1"/>
    <col min="12034" max="12034" width="18.5703125" style="604" customWidth="1"/>
    <col min="12035" max="12035" width="30.140625" style="604" customWidth="1"/>
    <col min="12036" max="12036" width="12.42578125" style="604" bestFit="1" customWidth="1"/>
    <col min="12037" max="12037" width="27" style="604" customWidth="1"/>
    <col min="12038" max="12038" width="40.7109375" style="604" bestFit="1" customWidth="1"/>
    <col min="12039" max="12039" width="9.42578125" style="604" customWidth="1"/>
    <col min="12040" max="12288" width="9.140625" style="604"/>
    <col min="12289" max="12289" width="3.140625" style="604" customWidth="1"/>
    <col min="12290" max="12290" width="18.5703125" style="604" customWidth="1"/>
    <col min="12291" max="12291" width="30.140625" style="604" customWidth="1"/>
    <col min="12292" max="12292" width="12.42578125" style="604" bestFit="1" customWidth="1"/>
    <col min="12293" max="12293" width="27" style="604" customWidth="1"/>
    <col min="12294" max="12294" width="40.7109375" style="604" bestFit="1" customWidth="1"/>
    <col min="12295" max="12295" width="9.42578125" style="604" customWidth="1"/>
    <col min="12296" max="12544" width="9.140625" style="604"/>
    <col min="12545" max="12545" width="3.140625" style="604" customWidth="1"/>
    <col min="12546" max="12546" width="18.5703125" style="604" customWidth="1"/>
    <col min="12547" max="12547" width="30.140625" style="604" customWidth="1"/>
    <col min="12548" max="12548" width="12.42578125" style="604" bestFit="1" customWidth="1"/>
    <col min="12549" max="12549" width="27" style="604" customWidth="1"/>
    <col min="12550" max="12550" width="40.7109375" style="604" bestFit="1" customWidth="1"/>
    <col min="12551" max="12551" width="9.42578125" style="604" customWidth="1"/>
    <col min="12552" max="12800" width="9.140625" style="604"/>
    <col min="12801" max="12801" width="3.140625" style="604" customWidth="1"/>
    <col min="12802" max="12802" width="18.5703125" style="604" customWidth="1"/>
    <col min="12803" max="12803" width="30.140625" style="604" customWidth="1"/>
    <col min="12804" max="12804" width="12.42578125" style="604" bestFit="1" customWidth="1"/>
    <col min="12805" max="12805" width="27" style="604" customWidth="1"/>
    <col min="12806" max="12806" width="40.7109375" style="604" bestFit="1" customWidth="1"/>
    <col min="12807" max="12807" width="9.42578125" style="604" customWidth="1"/>
    <col min="12808" max="13056" width="9.140625" style="604"/>
    <col min="13057" max="13057" width="3.140625" style="604" customWidth="1"/>
    <col min="13058" max="13058" width="18.5703125" style="604" customWidth="1"/>
    <col min="13059" max="13059" width="30.140625" style="604" customWidth="1"/>
    <col min="13060" max="13060" width="12.42578125" style="604" bestFit="1" customWidth="1"/>
    <col min="13061" max="13061" width="27" style="604" customWidth="1"/>
    <col min="13062" max="13062" width="40.7109375" style="604" bestFit="1" customWidth="1"/>
    <col min="13063" max="13063" width="9.42578125" style="604" customWidth="1"/>
    <col min="13064" max="13312" width="9.140625" style="604"/>
    <col min="13313" max="13313" width="3.140625" style="604" customWidth="1"/>
    <col min="13314" max="13314" width="18.5703125" style="604" customWidth="1"/>
    <col min="13315" max="13315" width="30.140625" style="604" customWidth="1"/>
    <col min="13316" max="13316" width="12.42578125" style="604" bestFit="1" customWidth="1"/>
    <col min="13317" max="13317" width="27" style="604" customWidth="1"/>
    <col min="13318" max="13318" width="40.7109375" style="604" bestFit="1" customWidth="1"/>
    <col min="13319" max="13319" width="9.42578125" style="604" customWidth="1"/>
    <col min="13320" max="13568" width="9.140625" style="604"/>
    <col min="13569" max="13569" width="3.140625" style="604" customWidth="1"/>
    <col min="13570" max="13570" width="18.5703125" style="604" customWidth="1"/>
    <col min="13571" max="13571" width="30.140625" style="604" customWidth="1"/>
    <col min="13572" max="13572" width="12.42578125" style="604" bestFit="1" customWidth="1"/>
    <col min="13573" max="13573" width="27" style="604" customWidth="1"/>
    <col min="13574" max="13574" width="40.7109375" style="604" bestFit="1" customWidth="1"/>
    <col min="13575" max="13575" width="9.42578125" style="604" customWidth="1"/>
    <col min="13576" max="13824" width="9.140625" style="604"/>
    <col min="13825" max="13825" width="3.140625" style="604" customWidth="1"/>
    <col min="13826" max="13826" width="18.5703125" style="604" customWidth="1"/>
    <col min="13827" max="13827" width="30.140625" style="604" customWidth="1"/>
    <col min="13828" max="13828" width="12.42578125" style="604" bestFit="1" customWidth="1"/>
    <col min="13829" max="13829" width="27" style="604" customWidth="1"/>
    <col min="13830" max="13830" width="40.7109375" style="604" bestFit="1" customWidth="1"/>
    <col min="13831" max="13831" width="9.42578125" style="604" customWidth="1"/>
    <col min="13832" max="14080" width="9.140625" style="604"/>
    <col min="14081" max="14081" width="3.140625" style="604" customWidth="1"/>
    <col min="14082" max="14082" width="18.5703125" style="604" customWidth="1"/>
    <col min="14083" max="14083" width="30.140625" style="604" customWidth="1"/>
    <col min="14084" max="14084" width="12.42578125" style="604" bestFit="1" customWidth="1"/>
    <col min="14085" max="14085" width="27" style="604" customWidth="1"/>
    <col min="14086" max="14086" width="40.7109375" style="604" bestFit="1" customWidth="1"/>
    <col min="14087" max="14087" width="9.42578125" style="604" customWidth="1"/>
    <col min="14088" max="14336" width="9.140625" style="604"/>
    <col min="14337" max="14337" width="3.140625" style="604" customWidth="1"/>
    <col min="14338" max="14338" width="18.5703125" style="604" customWidth="1"/>
    <col min="14339" max="14339" width="30.140625" style="604" customWidth="1"/>
    <col min="14340" max="14340" width="12.42578125" style="604" bestFit="1" customWidth="1"/>
    <col min="14341" max="14341" width="27" style="604" customWidth="1"/>
    <col min="14342" max="14342" width="40.7109375" style="604" bestFit="1" customWidth="1"/>
    <col min="14343" max="14343" width="9.42578125" style="604" customWidth="1"/>
    <col min="14344" max="14592" width="9.140625" style="604"/>
    <col min="14593" max="14593" width="3.140625" style="604" customWidth="1"/>
    <col min="14594" max="14594" width="18.5703125" style="604" customWidth="1"/>
    <col min="14595" max="14595" width="30.140625" style="604" customWidth="1"/>
    <col min="14596" max="14596" width="12.42578125" style="604" bestFit="1" customWidth="1"/>
    <col min="14597" max="14597" width="27" style="604" customWidth="1"/>
    <col min="14598" max="14598" width="40.7109375" style="604" bestFit="1" customWidth="1"/>
    <col min="14599" max="14599" width="9.42578125" style="604" customWidth="1"/>
    <col min="14600" max="14848" width="9.140625" style="604"/>
    <col min="14849" max="14849" width="3.140625" style="604" customWidth="1"/>
    <col min="14850" max="14850" width="18.5703125" style="604" customWidth="1"/>
    <col min="14851" max="14851" width="30.140625" style="604" customWidth="1"/>
    <col min="14852" max="14852" width="12.42578125" style="604" bestFit="1" customWidth="1"/>
    <col min="14853" max="14853" width="27" style="604" customWidth="1"/>
    <col min="14854" max="14854" width="40.7109375" style="604" bestFit="1" customWidth="1"/>
    <col min="14855" max="14855" width="9.42578125" style="604" customWidth="1"/>
    <col min="14856" max="15104" width="9.140625" style="604"/>
    <col min="15105" max="15105" width="3.140625" style="604" customWidth="1"/>
    <col min="15106" max="15106" width="18.5703125" style="604" customWidth="1"/>
    <col min="15107" max="15107" width="30.140625" style="604" customWidth="1"/>
    <col min="15108" max="15108" width="12.42578125" style="604" bestFit="1" customWidth="1"/>
    <col min="15109" max="15109" width="27" style="604" customWidth="1"/>
    <col min="15110" max="15110" width="40.7109375" style="604" bestFit="1" customWidth="1"/>
    <col min="15111" max="15111" width="9.42578125" style="604" customWidth="1"/>
    <col min="15112" max="15360" width="9.140625" style="604"/>
    <col min="15361" max="15361" width="3.140625" style="604" customWidth="1"/>
    <col min="15362" max="15362" width="18.5703125" style="604" customWidth="1"/>
    <col min="15363" max="15363" width="30.140625" style="604" customWidth="1"/>
    <col min="15364" max="15364" width="12.42578125" style="604" bestFit="1" customWidth="1"/>
    <col min="15365" max="15365" width="27" style="604" customWidth="1"/>
    <col min="15366" max="15366" width="40.7109375" style="604" bestFit="1" customWidth="1"/>
    <col min="15367" max="15367" width="9.42578125" style="604" customWidth="1"/>
    <col min="15368" max="15616" width="9.140625" style="604"/>
    <col min="15617" max="15617" width="3.140625" style="604" customWidth="1"/>
    <col min="15618" max="15618" width="18.5703125" style="604" customWidth="1"/>
    <col min="15619" max="15619" width="30.140625" style="604" customWidth="1"/>
    <col min="15620" max="15620" width="12.42578125" style="604" bestFit="1" customWidth="1"/>
    <col min="15621" max="15621" width="27" style="604" customWidth="1"/>
    <col min="15622" max="15622" width="40.7109375" style="604" bestFit="1" customWidth="1"/>
    <col min="15623" max="15623" width="9.42578125" style="604" customWidth="1"/>
    <col min="15624" max="15872" width="9.140625" style="604"/>
    <col min="15873" max="15873" width="3.140625" style="604" customWidth="1"/>
    <col min="15874" max="15874" width="18.5703125" style="604" customWidth="1"/>
    <col min="15875" max="15875" width="30.140625" style="604" customWidth="1"/>
    <col min="15876" max="15876" width="12.42578125" style="604" bestFit="1" customWidth="1"/>
    <col min="15877" max="15877" width="27" style="604" customWidth="1"/>
    <col min="15878" max="15878" width="40.7109375" style="604" bestFit="1" customWidth="1"/>
    <col min="15879" max="15879" width="9.42578125" style="604" customWidth="1"/>
    <col min="15880" max="16128" width="9.140625" style="604"/>
    <col min="16129" max="16129" width="3.140625" style="604" customWidth="1"/>
    <col min="16130" max="16130" width="18.5703125" style="604" customWidth="1"/>
    <col min="16131" max="16131" width="30.140625" style="604" customWidth="1"/>
    <col min="16132" max="16132" width="12.42578125" style="604" bestFit="1" customWidth="1"/>
    <col min="16133" max="16133" width="27" style="604" customWidth="1"/>
    <col min="16134" max="16134" width="40.7109375" style="604" bestFit="1" customWidth="1"/>
    <col min="16135" max="16135" width="9.42578125" style="604" customWidth="1"/>
    <col min="16136" max="16384" width="9.140625" style="604"/>
  </cols>
  <sheetData>
    <row r="1" spans="2:9" ht="15" thickBot="1"/>
    <row r="2" spans="2:9">
      <c r="B2" s="747" t="s">
        <v>924</v>
      </c>
      <c r="C2" s="748" t="s">
        <v>925</v>
      </c>
      <c r="D2" s="748" t="s">
        <v>926</v>
      </c>
      <c r="E2" s="748" t="s">
        <v>927</v>
      </c>
      <c r="F2" s="749"/>
    </row>
    <row r="3" spans="2:9">
      <c r="B3" s="750" t="s">
        <v>928</v>
      </c>
      <c r="D3" s="604" t="s">
        <v>929</v>
      </c>
      <c r="F3" s="751"/>
      <c r="I3" s="604" t="s">
        <v>930</v>
      </c>
    </row>
    <row r="4" spans="2:9">
      <c r="B4" s="750"/>
      <c r="F4" s="751"/>
    </row>
    <row r="5" spans="2:9">
      <c r="B5" s="750" t="s">
        <v>931</v>
      </c>
      <c r="D5" s="604" t="s">
        <v>932</v>
      </c>
      <c r="E5" s="604" t="s">
        <v>933</v>
      </c>
      <c r="F5" s="751"/>
    </row>
    <row r="6" spans="2:9">
      <c r="B6" s="750"/>
      <c r="F6" s="751"/>
    </row>
    <row r="7" spans="2:9" ht="15" thickBot="1">
      <c r="B7" s="752" t="s">
        <v>934</v>
      </c>
      <c r="C7" s="753"/>
      <c r="D7" s="753"/>
      <c r="E7" s="753"/>
      <c r="F7" s="754"/>
    </row>
    <row r="9" spans="2:9">
      <c r="H9" s="604" t="s">
        <v>935</v>
      </c>
    </row>
    <row r="10" spans="2:9" ht="15" thickBot="1">
      <c r="H10" s="604" t="s">
        <v>936</v>
      </c>
    </row>
    <row r="11" spans="2:9">
      <c r="B11" s="747" t="s">
        <v>662</v>
      </c>
      <c r="C11" s="748" t="s">
        <v>937</v>
      </c>
      <c r="D11" s="748"/>
      <c r="E11" s="749"/>
    </row>
    <row r="12" spans="2:9">
      <c r="B12" s="750"/>
      <c r="C12" s="604" t="s">
        <v>938</v>
      </c>
      <c r="E12" s="751"/>
      <c r="F12" s="604" t="s">
        <v>939</v>
      </c>
    </row>
    <row r="13" spans="2:9">
      <c r="B13" s="750"/>
      <c r="C13" s="604" t="s">
        <v>940</v>
      </c>
      <c r="E13" s="751"/>
      <c r="F13" s="604" t="s">
        <v>941</v>
      </c>
    </row>
    <row r="14" spans="2:9" ht="15" thickBot="1">
      <c r="B14" s="752"/>
      <c r="C14" s="753" t="s">
        <v>942</v>
      </c>
      <c r="D14" s="753"/>
      <c r="E14" s="754"/>
      <c r="F14" s="604" t="s">
        <v>943</v>
      </c>
    </row>
    <row r="15" spans="2:9" ht="15" thickBot="1">
      <c r="F15" s="604" t="s">
        <v>944</v>
      </c>
    </row>
    <row r="16" spans="2:9" ht="15" thickBot="1">
      <c r="B16" s="747" t="s">
        <v>668</v>
      </c>
      <c r="C16" s="748" t="s">
        <v>945</v>
      </c>
      <c r="D16" s="749"/>
    </row>
    <row r="17" spans="2:11" ht="30" customHeight="1">
      <c r="B17" s="750"/>
      <c r="C17" s="2288" t="s">
        <v>946</v>
      </c>
      <c r="D17" s="2289"/>
      <c r="F17" s="747" t="s">
        <v>947</v>
      </c>
      <c r="G17" s="748"/>
      <c r="H17" s="748"/>
      <c r="I17" s="748"/>
      <c r="J17" s="748"/>
      <c r="K17" s="749"/>
    </row>
    <row r="18" spans="2:11" ht="30" customHeight="1">
      <c r="B18" s="750"/>
      <c r="C18" s="755" t="s">
        <v>948</v>
      </c>
      <c r="D18" s="756"/>
      <c r="F18" s="757" t="s">
        <v>949</v>
      </c>
      <c r="G18" s="758"/>
      <c r="H18" s="758"/>
      <c r="I18" s="758"/>
      <c r="J18" s="758"/>
      <c r="K18" s="759"/>
    </row>
    <row r="19" spans="2:11" ht="30" customHeight="1" thickBot="1">
      <c r="B19" s="750"/>
      <c r="C19" s="755"/>
      <c r="D19" s="756"/>
      <c r="F19" s="752" t="s">
        <v>950</v>
      </c>
      <c r="G19" s="753"/>
      <c r="H19" s="753"/>
      <c r="I19" s="753"/>
      <c r="J19" s="753"/>
      <c r="K19" s="754"/>
    </row>
    <row r="20" spans="2:11" ht="15.75" customHeight="1" thickBot="1">
      <c r="B20" s="752"/>
      <c r="C20" s="753" t="s">
        <v>951</v>
      </c>
      <c r="D20" s="754"/>
    </row>
    <row r="21" spans="2:11" ht="15" thickBot="1"/>
    <row r="22" spans="2:11" ht="15" thickBot="1">
      <c r="B22" s="760" t="s">
        <v>952</v>
      </c>
      <c r="C22" s="761" t="s">
        <v>953</v>
      </c>
    </row>
    <row r="24" spans="2:11" ht="15" thickBot="1"/>
    <row r="25" spans="2:11">
      <c r="B25" s="747" t="s">
        <v>954</v>
      </c>
      <c r="C25" s="748" t="s">
        <v>955</v>
      </c>
      <c r="D25" s="748" t="s">
        <v>956</v>
      </c>
      <c r="E25" s="748" t="s">
        <v>957</v>
      </c>
      <c r="F25" s="749" t="s">
        <v>958</v>
      </c>
    </row>
    <row r="26" spans="2:11" ht="15" customHeight="1">
      <c r="B26" s="750"/>
      <c r="D26" s="604" t="s">
        <v>959</v>
      </c>
      <c r="F26" s="751" t="s">
        <v>960</v>
      </c>
    </row>
    <row r="27" spans="2:11" ht="30" customHeight="1">
      <c r="B27" s="750"/>
      <c r="E27" s="762" t="s">
        <v>961</v>
      </c>
      <c r="F27" s="759" t="s">
        <v>962</v>
      </c>
    </row>
    <row r="28" spans="2:11">
      <c r="B28" s="750"/>
      <c r="F28" s="759"/>
    </row>
    <row r="29" spans="2:11" ht="15" thickBot="1">
      <c r="B29" s="752"/>
      <c r="C29" s="753"/>
      <c r="D29" s="753"/>
      <c r="E29" s="753"/>
      <c r="F29" s="763"/>
    </row>
    <row r="30" spans="2:11" ht="15" thickBot="1">
      <c r="F30" s="604" t="s">
        <v>963</v>
      </c>
    </row>
    <row r="31" spans="2:11">
      <c r="B31" s="747"/>
      <c r="C31" s="749" t="s">
        <v>964</v>
      </c>
    </row>
    <row r="32" spans="2:11">
      <c r="B32" s="750" t="s">
        <v>965</v>
      </c>
      <c r="C32" s="751" t="s">
        <v>966</v>
      </c>
      <c r="E32" s="604" t="s">
        <v>967</v>
      </c>
    </row>
    <row r="33" spans="2:7">
      <c r="B33" s="750"/>
      <c r="C33" s="751" t="s">
        <v>968</v>
      </c>
    </row>
    <row r="34" spans="2:7" ht="15" thickBot="1">
      <c r="B34" s="752"/>
      <c r="C34" s="754" t="s">
        <v>969</v>
      </c>
    </row>
    <row r="35" spans="2:7" ht="15" thickBot="1"/>
    <row r="36" spans="2:7">
      <c r="B36" s="747" t="s">
        <v>733</v>
      </c>
      <c r="C36" s="748" t="s">
        <v>970</v>
      </c>
      <c r="D36" s="748"/>
      <c r="E36" s="749"/>
      <c r="G36" s="604" t="s">
        <v>971</v>
      </c>
    </row>
    <row r="37" spans="2:7">
      <c r="B37" s="750"/>
      <c r="C37" s="604" t="s">
        <v>972</v>
      </c>
      <c r="E37" s="751"/>
    </row>
    <row r="38" spans="2:7">
      <c r="B38" s="750"/>
      <c r="C38" s="604" t="s">
        <v>973</v>
      </c>
      <c r="E38" s="751"/>
    </row>
    <row r="39" spans="2:7" ht="15" thickBot="1">
      <c r="B39" s="752"/>
      <c r="C39" s="753" t="s">
        <v>974</v>
      </c>
      <c r="D39" s="753"/>
      <c r="E39" s="754"/>
    </row>
    <row r="40" spans="2:7" ht="15" thickBot="1"/>
    <row r="41" spans="2:7" ht="15" thickBot="1">
      <c r="B41" s="760" t="s">
        <v>975</v>
      </c>
      <c r="C41" s="764">
        <v>41840</v>
      </c>
      <c r="E41" s="604" t="s">
        <v>976</v>
      </c>
    </row>
  </sheetData>
  <mergeCells count="1">
    <mergeCell ref="C17:D17"/>
  </mergeCell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A70"/>
  <sheetViews>
    <sheetView zoomScale="115" zoomScaleNormal="115" workbookViewId="0">
      <pane xSplit="2" ySplit="2" topLeftCell="C3" activePane="bottomRight" state="frozen"/>
      <selection activeCell="B24" sqref="B24:B42"/>
      <selection pane="topRight" activeCell="B24" sqref="B24:B42"/>
      <selection pane="bottomLeft" activeCell="B24" sqref="B24:B42"/>
      <selection pane="bottomRight" activeCell="C16" sqref="C16"/>
    </sheetView>
  </sheetViews>
  <sheetFormatPr defaultRowHeight="12" outlineLevelCol="1"/>
  <cols>
    <col min="1" max="1" width="4" style="932" customWidth="1"/>
    <col min="2" max="2" width="23.140625" style="932" bestFit="1" customWidth="1"/>
    <col min="3" max="3" width="17.140625" style="932" customWidth="1"/>
    <col min="4" max="4" width="24.140625" style="932" customWidth="1" outlineLevel="1"/>
    <col min="5" max="5" width="14.85546875" style="932" customWidth="1" outlineLevel="1"/>
    <col min="6" max="6" width="15.42578125" style="932" customWidth="1" outlineLevel="1"/>
    <col min="7" max="7" width="14.42578125" style="932" customWidth="1" outlineLevel="1"/>
    <col min="8" max="8" width="9" style="932" customWidth="1" outlineLevel="1"/>
    <col min="9" max="9" width="29.7109375" style="932" customWidth="1" outlineLevel="1"/>
    <col min="10" max="10" width="16.5703125" style="932" customWidth="1" outlineLevel="1"/>
    <col min="11" max="11" width="29.42578125" style="932" customWidth="1" outlineLevel="1"/>
    <col min="12" max="12" width="8.5703125" style="932" customWidth="1" outlineLevel="1"/>
    <col min="13" max="13" width="12.5703125" style="933" customWidth="1" outlineLevel="1"/>
    <col min="14" max="14" width="22.42578125" style="933" customWidth="1" outlineLevel="1"/>
    <col min="15" max="15" width="20.85546875" style="933" customWidth="1" outlineLevel="1"/>
    <col min="16" max="16" width="13.140625" style="933" customWidth="1" outlineLevel="1"/>
    <col min="17" max="17" width="11.7109375" style="933" customWidth="1" outlineLevel="1"/>
    <col min="18" max="18" width="13.140625" style="932" customWidth="1" outlineLevel="1"/>
    <col min="19" max="19" width="12" style="933" customWidth="1"/>
    <col min="20" max="20" width="13.140625" style="933" customWidth="1"/>
    <col min="21" max="21" width="41.140625" style="932" customWidth="1"/>
    <col min="22" max="22" width="12.85546875" style="932" bestFit="1" customWidth="1"/>
    <col min="23" max="23" width="6.5703125" style="932" bestFit="1" customWidth="1"/>
    <col min="24" max="257" width="9.140625" style="932"/>
    <col min="258" max="258" width="4" style="932" customWidth="1"/>
    <col min="259" max="259" width="23.140625" style="932" bestFit="1" customWidth="1"/>
    <col min="260" max="260" width="17.140625" style="932" customWidth="1"/>
    <col min="261" max="261" width="24.140625" style="932" customWidth="1"/>
    <col min="262" max="262" width="14.85546875" style="932" customWidth="1"/>
    <col min="263" max="263" width="15.42578125" style="932" customWidth="1"/>
    <col min="264" max="264" width="14.42578125" style="932" customWidth="1"/>
    <col min="265" max="265" width="9" style="932" customWidth="1"/>
    <col min="266" max="266" width="29.7109375" style="932" customWidth="1"/>
    <col min="267" max="267" width="16.5703125" style="932" customWidth="1"/>
    <col min="268" max="268" width="29.42578125" style="932" customWidth="1"/>
    <col min="269" max="269" width="8.5703125" style="932" bestFit="1" customWidth="1"/>
    <col min="270" max="271" width="12.5703125" style="932" customWidth="1"/>
    <col min="272" max="272" width="16.42578125" style="932" customWidth="1"/>
    <col min="273" max="273" width="15.7109375" style="932" customWidth="1"/>
    <col min="274" max="274" width="0" style="932" hidden="1" customWidth="1"/>
    <col min="275" max="275" width="15.42578125" style="932" customWidth="1"/>
    <col min="276" max="276" width="16.85546875" style="932" customWidth="1"/>
    <col min="277" max="277" width="52.85546875" style="932" customWidth="1"/>
    <col min="278" max="278" width="17" style="932" bestFit="1" customWidth="1"/>
    <col min="279" max="279" width="10.140625" style="932" customWidth="1"/>
    <col min="280" max="513" width="9.140625" style="932"/>
    <col min="514" max="514" width="4" style="932" customWidth="1"/>
    <col min="515" max="515" width="23.140625" style="932" bestFit="1" customWidth="1"/>
    <col min="516" max="516" width="17.140625" style="932" customWidth="1"/>
    <col min="517" max="517" width="24.140625" style="932" customWidth="1"/>
    <col min="518" max="518" width="14.85546875" style="932" customWidth="1"/>
    <col min="519" max="519" width="15.42578125" style="932" customWidth="1"/>
    <col min="520" max="520" width="14.42578125" style="932" customWidth="1"/>
    <col min="521" max="521" width="9" style="932" customWidth="1"/>
    <col min="522" max="522" width="29.7109375" style="932" customWidth="1"/>
    <col min="523" max="523" width="16.5703125" style="932" customWidth="1"/>
    <col min="524" max="524" width="29.42578125" style="932" customWidth="1"/>
    <col min="525" max="525" width="8.5703125" style="932" bestFit="1" customWidth="1"/>
    <col min="526" max="527" width="12.5703125" style="932" customWidth="1"/>
    <col min="528" max="528" width="16.42578125" style="932" customWidth="1"/>
    <col min="529" max="529" width="15.7109375" style="932" customWidth="1"/>
    <col min="530" max="530" width="0" style="932" hidden="1" customWidth="1"/>
    <col min="531" max="531" width="15.42578125" style="932" customWidth="1"/>
    <col min="532" max="532" width="16.85546875" style="932" customWidth="1"/>
    <col min="533" max="533" width="52.85546875" style="932" customWidth="1"/>
    <col min="534" max="534" width="17" style="932" bestFit="1" customWidth="1"/>
    <col min="535" max="535" width="10.140625" style="932" customWidth="1"/>
    <col min="536" max="769" width="9.140625" style="932"/>
    <col min="770" max="770" width="4" style="932" customWidth="1"/>
    <col min="771" max="771" width="23.140625" style="932" bestFit="1" customWidth="1"/>
    <col min="772" max="772" width="17.140625" style="932" customWidth="1"/>
    <col min="773" max="773" width="24.140625" style="932" customWidth="1"/>
    <col min="774" max="774" width="14.85546875" style="932" customWidth="1"/>
    <col min="775" max="775" width="15.42578125" style="932" customWidth="1"/>
    <col min="776" max="776" width="14.42578125" style="932" customWidth="1"/>
    <col min="777" max="777" width="9" style="932" customWidth="1"/>
    <col min="778" max="778" width="29.7109375" style="932" customWidth="1"/>
    <col min="779" max="779" width="16.5703125" style="932" customWidth="1"/>
    <col min="780" max="780" width="29.42578125" style="932" customWidth="1"/>
    <col min="781" max="781" width="8.5703125" style="932" bestFit="1" customWidth="1"/>
    <col min="782" max="783" width="12.5703125" style="932" customWidth="1"/>
    <col min="784" max="784" width="16.42578125" style="932" customWidth="1"/>
    <col min="785" max="785" width="15.7109375" style="932" customWidth="1"/>
    <col min="786" max="786" width="0" style="932" hidden="1" customWidth="1"/>
    <col min="787" max="787" width="15.42578125" style="932" customWidth="1"/>
    <col min="788" max="788" width="16.85546875" style="932" customWidth="1"/>
    <col min="789" max="789" width="52.85546875" style="932" customWidth="1"/>
    <col min="790" max="790" width="17" style="932" bestFit="1" customWidth="1"/>
    <col min="791" max="791" width="10.140625" style="932" customWidth="1"/>
    <col min="792" max="1025" width="9.140625" style="932"/>
    <col min="1026" max="1026" width="4" style="932" customWidth="1"/>
    <col min="1027" max="1027" width="23.140625" style="932" bestFit="1" customWidth="1"/>
    <col min="1028" max="1028" width="17.140625" style="932" customWidth="1"/>
    <col min="1029" max="1029" width="24.140625" style="932" customWidth="1"/>
    <col min="1030" max="1030" width="14.85546875" style="932" customWidth="1"/>
    <col min="1031" max="1031" width="15.42578125" style="932" customWidth="1"/>
    <col min="1032" max="1032" width="14.42578125" style="932" customWidth="1"/>
    <col min="1033" max="1033" width="9" style="932" customWidth="1"/>
    <col min="1034" max="1034" width="29.7109375" style="932" customWidth="1"/>
    <col min="1035" max="1035" width="16.5703125" style="932" customWidth="1"/>
    <col min="1036" max="1036" width="29.42578125" style="932" customWidth="1"/>
    <col min="1037" max="1037" width="8.5703125" style="932" bestFit="1" customWidth="1"/>
    <col min="1038" max="1039" width="12.5703125" style="932" customWidth="1"/>
    <col min="1040" max="1040" width="16.42578125" style="932" customWidth="1"/>
    <col min="1041" max="1041" width="15.7109375" style="932" customWidth="1"/>
    <col min="1042" max="1042" width="0" style="932" hidden="1" customWidth="1"/>
    <col min="1043" max="1043" width="15.42578125" style="932" customWidth="1"/>
    <col min="1044" max="1044" width="16.85546875" style="932" customWidth="1"/>
    <col min="1045" max="1045" width="52.85546875" style="932" customWidth="1"/>
    <col min="1046" max="1046" width="17" style="932" bestFit="1" customWidth="1"/>
    <col min="1047" max="1047" width="10.140625" style="932" customWidth="1"/>
    <col min="1048" max="1281" width="9.140625" style="932"/>
    <col min="1282" max="1282" width="4" style="932" customWidth="1"/>
    <col min="1283" max="1283" width="23.140625" style="932" bestFit="1" customWidth="1"/>
    <col min="1284" max="1284" width="17.140625" style="932" customWidth="1"/>
    <col min="1285" max="1285" width="24.140625" style="932" customWidth="1"/>
    <col min="1286" max="1286" width="14.85546875" style="932" customWidth="1"/>
    <col min="1287" max="1287" width="15.42578125" style="932" customWidth="1"/>
    <col min="1288" max="1288" width="14.42578125" style="932" customWidth="1"/>
    <col min="1289" max="1289" width="9" style="932" customWidth="1"/>
    <col min="1290" max="1290" width="29.7109375" style="932" customWidth="1"/>
    <col min="1291" max="1291" width="16.5703125" style="932" customWidth="1"/>
    <col min="1292" max="1292" width="29.42578125" style="932" customWidth="1"/>
    <col min="1293" max="1293" width="8.5703125" style="932" bestFit="1" customWidth="1"/>
    <col min="1294" max="1295" width="12.5703125" style="932" customWidth="1"/>
    <col min="1296" max="1296" width="16.42578125" style="932" customWidth="1"/>
    <col min="1297" max="1297" width="15.7109375" style="932" customWidth="1"/>
    <col min="1298" max="1298" width="0" style="932" hidden="1" customWidth="1"/>
    <col min="1299" max="1299" width="15.42578125" style="932" customWidth="1"/>
    <col min="1300" max="1300" width="16.85546875" style="932" customWidth="1"/>
    <col min="1301" max="1301" width="52.85546875" style="932" customWidth="1"/>
    <col min="1302" max="1302" width="17" style="932" bestFit="1" customWidth="1"/>
    <col min="1303" max="1303" width="10.140625" style="932" customWidth="1"/>
    <col min="1304" max="1537" width="9.140625" style="932"/>
    <col min="1538" max="1538" width="4" style="932" customWidth="1"/>
    <col min="1539" max="1539" width="23.140625" style="932" bestFit="1" customWidth="1"/>
    <col min="1540" max="1540" width="17.140625" style="932" customWidth="1"/>
    <col min="1541" max="1541" width="24.140625" style="932" customWidth="1"/>
    <col min="1542" max="1542" width="14.85546875" style="932" customWidth="1"/>
    <col min="1543" max="1543" width="15.42578125" style="932" customWidth="1"/>
    <col min="1544" max="1544" width="14.42578125" style="932" customWidth="1"/>
    <col min="1545" max="1545" width="9" style="932" customWidth="1"/>
    <col min="1546" max="1546" width="29.7109375" style="932" customWidth="1"/>
    <col min="1547" max="1547" width="16.5703125" style="932" customWidth="1"/>
    <col min="1548" max="1548" width="29.42578125" style="932" customWidth="1"/>
    <col min="1549" max="1549" width="8.5703125" style="932" bestFit="1" customWidth="1"/>
    <col min="1550" max="1551" width="12.5703125" style="932" customWidth="1"/>
    <col min="1552" max="1552" width="16.42578125" style="932" customWidth="1"/>
    <col min="1553" max="1553" width="15.7109375" style="932" customWidth="1"/>
    <col min="1554" max="1554" width="0" style="932" hidden="1" customWidth="1"/>
    <col min="1555" max="1555" width="15.42578125" style="932" customWidth="1"/>
    <col min="1556" max="1556" width="16.85546875" style="932" customWidth="1"/>
    <col min="1557" max="1557" width="52.85546875" style="932" customWidth="1"/>
    <col min="1558" max="1558" width="17" style="932" bestFit="1" customWidth="1"/>
    <col min="1559" max="1559" width="10.140625" style="932" customWidth="1"/>
    <col min="1560" max="1793" width="9.140625" style="932"/>
    <col min="1794" max="1794" width="4" style="932" customWidth="1"/>
    <col min="1795" max="1795" width="23.140625" style="932" bestFit="1" customWidth="1"/>
    <col min="1796" max="1796" width="17.140625" style="932" customWidth="1"/>
    <col min="1797" max="1797" width="24.140625" style="932" customWidth="1"/>
    <col min="1798" max="1798" width="14.85546875" style="932" customWidth="1"/>
    <col min="1799" max="1799" width="15.42578125" style="932" customWidth="1"/>
    <col min="1800" max="1800" width="14.42578125" style="932" customWidth="1"/>
    <col min="1801" max="1801" width="9" style="932" customWidth="1"/>
    <col min="1802" max="1802" width="29.7109375" style="932" customWidth="1"/>
    <col min="1803" max="1803" width="16.5703125" style="932" customWidth="1"/>
    <col min="1804" max="1804" width="29.42578125" style="932" customWidth="1"/>
    <col min="1805" max="1805" width="8.5703125" style="932" bestFit="1" customWidth="1"/>
    <col min="1806" max="1807" width="12.5703125" style="932" customWidth="1"/>
    <col min="1808" max="1808" width="16.42578125" style="932" customWidth="1"/>
    <col min="1809" max="1809" width="15.7109375" style="932" customWidth="1"/>
    <col min="1810" max="1810" width="0" style="932" hidden="1" customWidth="1"/>
    <col min="1811" max="1811" width="15.42578125" style="932" customWidth="1"/>
    <col min="1812" max="1812" width="16.85546875" style="932" customWidth="1"/>
    <col min="1813" max="1813" width="52.85546875" style="932" customWidth="1"/>
    <col min="1814" max="1814" width="17" style="932" bestFit="1" customWidth="1"/>
    <col min="1815" max="1815" width="10.140625" style="932" customWidth="1"/>
    <col min="1816" max="2049" width="9.140625" style="932"/>
    <col min="2050" max="2050" width="4" style="932" customWidth="1"/>
    <col min="2051" max="2051" width="23.140625" style="932" bestFit="1" customWidth="1"/>
    <col min="2052" max="2052" width="17.140625" style="932" customWidth="1"/>
    <col min="2053" max="2053" width="24.140625" style="932" customWidth="1"/>
    <col min="2054" max="2054" width="14.85546875" style="932" customWidth="1"/>
    <col min="2055" max="2055" width="15.42578125" style="932" customWidth="1"/>
    <col min="2056" max="2056" width="14.42578125" style="932" customWidth="1"/>
    <col min="2057" max="2057" width="9" style="932" customWidth="1"/>
    <col min="2058" max="2058" width="29.7109375" style="932" customWidth="1"/>
    <col min="2059" max="2059" width="16.5703125" style="932" customWidth="1"/>
    <col min="2060" max="2060" width="29.42578125" style="932" customWidth="1"/>
    <col min="2061" max="2061" width="8.5703125" style="932" bestFit="1" customWidth="1"/>
    <col min="2062" max="2063" width="12.5703125" style="932" customWidth="1"/>
    <col min="2064" max="2064" width="16.42578125" style="932" customWidth="1"/>
    <col min="2065" max="2065" width="15.7109375" style="932" customWidth="1"/>
    <col min="2066" max="2066" width="0" style="932" hidden="1" customWidth="1"/>
    <col min="2067" max="2067" width="15.42578125" style="932" customWidth="1"/>
    <col min="2068" max="2068" width="16.85546875" style="932" customWidth="1"/>
    <col min="2069" max="2069" width="52.85546875" style="932" customWidth="1"/>
    <col min="2070" max="2070" width="17" style="932" bestFit="1" customWidth="1"/>
    <col min="2071" max="2071" width="10.140625" style="932" customWidth="1"/>
    <col min="2072" max="2305" width="9.140625" style="932"/>
    <col min="2306" max="2306" width="4" style="932" customWidth="1"/>
    <col min="2307" max="2307" width="23.140625" style="932" bestFit="1" customWidth="1"/>
    <col min="2308" max="2308" width="17.140625" style="932" customWidth="1"/>
    <col min="2309" max="2309" width="24.140625" style="932" customWidth="1"/>
    <col min="2310" max="2310" width="14.85546875" style="932" customWidth="1"/>
    <col min="2311" max="2311" width="15.42578125" style="932" customWidth="1"/>
    <col min="2312" max="2312" width="14.42578125" style="932" customWidth="1"/>
    <col min="2313" max="2313" width="9" style="932" customWidth="1"/>
    <col min="2314" max="2314" width="29.7109375" style="932" customWidth="1"/>
    <col min="2315" max="2315" width="16.5703125" style="932" customWidth="1"/>
    <col min="2316" max="2316" width="29.42578125" style="932" customWidth="1"/>
    <col min="2317" max="2317" width="8.5703125" style="932" bestFit="1" customWidth="1"/>
    <col min="2318" max="2319" width="12.5703125" style="932" customWidth="1"/>
    <col min="2320" max="2320" width="16.42578125" style="932" customWidth="1"/>
    <col min="2321" max="2321" width="15.7109375" style="932" customWidth="1"/>
    <col min="2322" max="2322" width="0" style="932" hidden="1" customWidth="1"/>
    <col min="2323" max="2323" width="15.42578125" style="932" customWidth="1"/>
    <col min="2324" max="2324" width="16.85546875" style="932" customWidth="1"/>
    <col min="2325" max="2325" width="52.85546875" style="932" customWidth="1"/>
    <col min="2326" max="2326" width="17" style="932" bestFit="1" customWidth="1"/>
    <col min="2327" max="2327" width="10.140625" style="932" customWidth="1"/>
    <col min="2328" max="2561" width="9.140625" style="932"/>
    <col min="2562" max="2562" width="4" style="932" customWidth="1"/>
    <col min="2563" max="2563" width="23.140625" style="932" bestFit="1" customWidth="1"/>
    <col min="2564" max="2564" width="17.140625" style="932" customWidth="1"/>
    <col min="2565" max="2565" width="24.140625" style="932" customWidth="1"/>
    <col min="2566" max="2566" width="14.85546875" style="932" customWidth="1"/>
    <col min="2567" max="2567" width="15.42578125" style="932" customWidth="1"/>
    <col min="2568" max="2568" width="14.42578125" style="932" customWidth="1"/>
    <col min="2569" max="2569" width="9" style="932" customWidth="1"/>
    <col min="2570" max="2570" width="29.7109375" style="932" customWidth="1"/>
    <col min="2571" max="2571" width="16.5703125" style="932" customWidth="1"/>
    <col min="2572" max="2572" width="29.42578125" style="932" customWidth="1"/>
    <col min="2573" max="2573" width="8.5703125" style="932" bestFit="1" customWidth="1"/>
    <col min="2574" max="2575" width="12.5703125" style="932" customWidth="1"/>
    <col min="2576" max="2576" width="16.42578125" style="932" customWidth="1"/>
    <col min="2577" max="2577" width="15.7109375" style="932" customWidth="1"/>
    <col min="2578" max="2578" width="0" style="932" hidden="1" customWidth="1"/>
    <col min="2579" max="2579" width="15.42578125" style="932" customWidth="1"/>
    <col min="2580" max="2580" width="16.85546875" style="932" customWidth="1"/>
    <col min="2581" max="2581" width="52.85546875" style="932" customWidth="1"/>
    <col min="2582" max="2582" width="17" style="932" bestFit="1" customWidth="1"/>
    <col min="2583" max="2583" width="10.140625" style="932" customWidth="1"/>
    <col min="2584" max="2817" width="9.140625" style="932"/>
    <col min="2818" max="2818" width="4" style="932" customWidth="1"/>
    <col min="2819" max="2819" width="23.140625" style="932" bestFit="1" customWidth="1"/>
    <col min="2820" max="2820" width="17.140625" style="932" customWidth="1"/>
    <col min="2821" max="2821" width="24.140625" style="932" customWidth="1"/>
    <col min="2822" max="2822" width="14.85546875" style="932" customWidth="1"/>
    <col min="2823" max="2823" width="15.42578125" style="932" customWidth="1"/>
    <col min="2824" max="2824" width="14.42578125" style="932" customWidth="1"/>
    <col min="2825" max="2825" width="9" style="932" customWidth="1"/>
    <col min="2826" max="2826" width="29.7109375" style="932" customWidth="1"/>
    <col min="2827" max="2827" width="16.5703125" style="932" customWidth="1"/>
    <col min="2828" max="2828" width="29.42578125" style="932" customWidth="1"/>
    <col min="2829" max="2829" width="8.5703125" style="932" bestFit="1" customWidth="1"/>
    <col min="2830" max="2831" width="12.5703125" style="932" customWidth="1"/>
    <col min="2832" max="2832" width="16.42578125" style="932" customWidth="1"/>
    <col min="2833" max="2833" width="15.7109375" style="932" customWidth="1"/>
    <col min="2834" max="2834" width="0" style="932" hidden="1" customWidth="1"/>
    <col min="2835" max="2835" width="15.42578125" style="932" customWidth="1"/>
    <col min="2836" max="2836" width="16.85546875" style="932" customWidth="1"/>
    <col min="2837" max="2837" width="52.85546875" style="932" customWidth="1"/>
    <col min="2838" max="2838" width="17" style="932" bestFit="1" customWidth="1"/>
    <col min="2839" max="2839" width="10.140625" style="932" customWidth="1"/>
    <col min="2840" max="3073" width="9.140625" style="932"/>
    <col min="3074" max="3074" width="4" style="932" customWidth="1"/>
    <col min="3075" max="3075" width="23.140625" style="932" bestFit="1" customWidth="1"/>
    <col min="3076" max="3076" width="17.140625" style="932" customWidth="1"/>
    <col min="3077" max="3077" width="24.140625" style="932" customWidth="1"/>
    <col min="3078" max="3078" width="14.85546875" style="932" customWidth="1"/>
    <col min="3079" max="3079" width="15.42578125" style="932" customWidth="1"/>
    <col min="3080" max="3080" width="14.42578125" style="932" customWidth="1"/>
    <col min="3081" max="3081" width="9" style="932" customWidth="1"/>
    <col min="3082" max="3082" width="29.7109375" style="932" customWidth="1"/>
    <col min="3083" max="3083" width="16.5703125" style="932" customWidth="1"/>
    <col min="3084" max="3084" width="29.42578125" style="932" customWidth="1"/>
    <col min="3085" max="3085" width="8.5703125" style="932" bestFit="1" customWidth="1"/>
    <col min="3086" max="3087" width="12.5703125" style="932" customWidth="1"/>
    <col min="3088" max="3088" width="16.42578125" style="932" customWidth="1"/>
    <col min="3089" max="3089" width="15.7109375" style="932" customWidth="1"/>
    <col min="3090" max="3090" width="0" style="932" hidden="1" customWidth="1"/>
    <col min="3091" max="3091" width="15.42578125" style="932" customWidth="1"/>
    <col min="3092" max="3092" width="16.85546875" style="932" customWidth="1"/>
    <col min="3093" max="3093" width="52.85546875" style="932" customWidth="1"/>
    <col min="3094" max="3094" width="17" style="932" bestFit="1" customWidth="1"/>
    <col min="3095" max="3095" width="10.140625" style="932" customWidth="1"/>
    <col min="3096" max="3329" width="9.140625" style="932"/>
    <col min="3330" max="3330" width="4" style="932" customWidth="1"/>
    <col min="3331" max="3331" width="23.140625" style="932" bestFit="1" customWidth="1"/>
    <col min="3332" max="3332" width="17.140625" style="932" customWidth="1"/>
    <col min="3333" max="3333" width="24.140625" style="932" customWidth="1"/>
    <col min="3334" max="3334" width="14.85546875" style="932" customWidth="1"/>
    <col min="3335" max="3335" width="15.42578125" style="932" customWidth="1"/>
    <col min="3336" max="3336" width="14.42578125" style="932" customWidth="1"/>
    <col min="3337" max="3337" width="9" style="932" customWidth="1"/>
    <col min="3338" max="3338" width="29.7109375" style="932" customWidth="1"/>
    <col min="3339" max="3339" width="16.5703125" style="932" customWidth="1"/>
    <col min="3340" max="3340" width="29.42578125" style="932" customWidth="1"/>
    <col min="3341" max="3341" width="8.5703125" style="932" bestFit="1" customWidth="1"/>
    <col min="3342" max="3343" width="12.5703125" style="932" customWidth="1"/>
    <col min="3344" max="3344" width="16.42578125" style="932" customWidth="1"/>
    <col min="3345" max="3345" width="15.7109375" style="932" customWidth="1"/>
    <col min="3346" max="3346" width="0" style="932" hidden="1" customWidth="1"/>
    <col min="3347" max="3347" width="15.42578125" style="932" customWidth="1"/>
    <col min="3348" max="3348" width="16.85546875" style="932" customWidth="1"/>
    <col min="3349" max="3349" width="52.85546875" style="932" customWidth="1"/>
    <col min="3350" max="3350" width="17" style="932" bestFit="1" customWidth="1"/>
    <col min="3351" max="3351" width="10.140625" style="932" customWidth="1"/>
    <col min="3352" max="3585" width="9.140625" style="932"/>
    <col min="3586" max="3586" width="4" style="932" customWidth="1"/>
    <col min="3587" max="3587" width="23.140625" style="932" bestFit="1" customWidth="1"/>
    <col min="3588" max="3588" width="17.140625" style="932" customWidth="1"/>
    <col min="3589" max="3589" width="24.140625" style="932" customWidth="1"/>
    <col min="3590" max="3590" width="14.85546875" style="932" customWidth="1"/>
    <col min="3591" max="3591" width="15.42578125" style="932" customWidth="1"/>
    <col min="3592" max="3592" width="14.42578125" style="932" customWidth="1"/>
    <col min="3593" max="3593" width="9" style="932" customWidth="1"/>
    <col min="3594" max="3594" width="29.7109375" style="932" customWidth="1"/>
    <col min="3595" max="3595" width="16.5703125" style="932" customWidth="1"/>
    <col min="3596" max="3596" width="29.42578125" style="932" customWidth="1"/>
    <col min="3597" max="3597" width="8.5703125" style="932" bestFit="1" customWidth="1"/>
    <col min="3598" max="3599" width="12.5703125" style="932" customWidth="1"/>
    <col min="3600" max="3600" width="16.42578125" style="932" customWidth="1"/>
    <col min="3601" max="3601" width="15.7109375" style="932" customWidth="1"/>
    <col min="3602" max="3602" width="0" style="932" hidden="1" customWidth="1"/>
    <col min="3603" max="3603" width="15.42578125" style="932" customWidth="1"/>
    <col min="3604" max="3604" width="16.85546875" style="932" customWidth="1"/>
    <col min="3605" max="3605" width="52.85546875" style="932" customWidth="1"/>
    <col min="3606" max="3606" width="17" style="932" bestFit="1" customWidth="1"/>
    <col min="3607" max="3607" width="10.140625" style="932" customWidth="1"/>
    <col min="3608" max="3841" width="9.140625" style="932"/>
    <col min="3842" max="3842" width="4" style="932" customWidth="1"/>
    <col min="3843" max="3843" width="23.140625" style="932" bestFit="1" customWidth="1"/>
    <col min="3844" max="3844" width="17.140625" style="932" customWidth="1"/>
    <col min="3845" max="3845" width="24.140625" style="932" customWidth="1"/>
    <col min="3846" max="3846" width="14.85546875" style="932" customWidth="1"/>
    <col min="3847" max="3847" width="15.42578125" style="932" customWidth="1"/>
    <col min="3848" max="3848" width="14.42578125" style="932" customWidth="1"/>
    <col min="3849" max="3849" width="9" style="932" customWidth="1"/>
    <col min="3850" max="3850" width="29.7109375" style="932" customWidth="1"/>
    <col min="3851" max="3851" width="16.5703125" style="932" customWidth="1"/>
    <col min="3852" max="3852" width="29.42578125" style="932" customWidth="1"/>
    <col min="3853" max="3853" width="8.5703125" style="932" bestFit="1" customWidth="1"/>
    <col min="3854" max="3855" width="12.5703125" style="932" customWidth="1"/>
    <col min="3856" max="3856" width="16.42578125" style="932" customWidth="1"/>
    <col min="3857" max="3857" width="15.7109375" style="932" customWidth="1"/>
    <col min="3858" max="3858" width="0" style="932" hidden="1" customWidth="1"/>
    <col min="3859" max="3859" width="15.42578125" style="932" customWidth="1"/>
    <col min="3860" max="3860" width="16.85546875" style="932" customWidth="1"/>
    <col min="3861" max="3861" width="52.85546875" style="932" customWidth="1"/>
    <col min="3862" max="3862" width="17" style="932" bestFit="1" customWidth="1"/>
    <col min="3863" max="3863" width="10.140625" style="932" customWidth="1"/>
    <col min="3864" max="4097" width="9.140625" style="932"/>
    <col min="4098" max="4098" width="4" style="932" customWidth="1"/>
    <col min="4099" max="4099" width="23.140625" style="932" bestFit="1" customWidth="1"/>
    <col min="4100" max="4100" width="17.140625" style="932" customWidth="1"/>
    <col min="4101" max="4101" width="24.140625" style="932" customWidth="1"/>
    <col min="4102" max="4102" width="14.85546875" style="932" customWidth="1"/>
    <col min="4103" max="4103" width="15.42578125" style="932" customWidth="1"/>
    <col min="4104" max="4104" width="14.42578125" style="932" customWidth="1"/>
    <col min="4105" max="4105" width="9" style="932" customWidth="1"/>
    <col min="4106" max="4106" width="29.7109375" style="932" customWidth="1"/>
    <col min="4107" max="4107" width="16.5703125" style="932" customWidth="1"/>
    <col min="4108" max="4108" width="29.42578125" style="932" customWidth="1"/>
    <col min="4109" max="4109" width="8.5703125" style="932" bestFit="1" customWidth="1"/>
    <col min="4110" max="4111" width="12.5703125" style="932" customWidth="1"/>
    <col min="4112" max="4112" width="16.42578125" style="932" customWidth="1"/>
    <col min="4113" max="4113" width="15.7109375" style="932" customWidth="1"/>
    <col min="4114" max="4114" width="0" style="932" hidden="1" customWidth="1"/>
    <col min="4115" max="4115" width="15.42578125" style="932" customWidth="1"/>
    <col min="4116" max="4116" width="16.85546875" style="932" customWidth="1"/>
    <col min="4117" max="4117" width="52.85546875" style="932" customWidth="1"/>
    <col min="4118" max="4118" width="17" style="932" bestFit="1" customWidth="1"/>
    <col min="4119" max="4119" width="10.140625" style="932" customWidth="1"/>
    <col min="4120" max="4353" width="9.140625" style="932"/>
    <col min="4354" max="4354" width="4" style="932" customWidth="1"/>
    <col min="4355" max="4355" width="23.140625" style="932" bestFit="1" customWidth="1"/>
    <col min="4356" max="4356" width="17.140625" style="932" customWidth="1"/>
    <col min="4357" max="4357" width="24.140625" style="932" customWidth="1"/>
    <col min="4358" max="4358" width="14.85546875" style="932" customWidth="1"/>
    <col min="4359" max="4359" width="15.42578125" style="932" customWidth="1"/>
    <col min="4360" max="4360" width="14.42578125" style="932" customWidth="1"/>
    <col min="4361" max="4361" width="9" style="932" customWidth="1"/>
    <col min="4362" max="4362" width="29.7109375" style="932" customWidth="1"/>
    <col min="4363" max="4363" width="16.5703125" style="932" customWidth="1"/>
    <col min="4364" max="4364" width="29.42578125" style="932" customWidth="1"/>
    <col min="4365" max="4365" width="8.5703125" style="932" bestFit="1" customWidth="1"/>
    <col min="4366" max="4367" width="12.5703125" style="932" customWidth="1"/>
    <col min="4368" max="4368" width="16.42578125" style="932" customWidth="1"/>
    <col min="4369" max="4369" width="15.7109375" style="932" customWidth="1"/>
    <col min="4370" max="4370" width="0" style="932" hidden="1" customWidth="1"/>
    <col min="4371" max="4371" width="15.42578125" style="932" customWidth="1"/>
    <col min="4372" max="4372" width="16.85546875" style="932" customWidth="1"/>
    <col min="4373" max="4373" width="52.85546875" style="932" customWidth="1"/>
    <col min="4374" max="4374" width="17" style="932" bestFit="1" customWidth="1"/>
    <col min="4375" max="4375" width="10.140625" style="932" customWidth="1"/>
    <col min="4376" max="4609" width="9.140625" style="932"/>
    <col min="4610" max="4610" width="4" style="932" customWidth="1"/>
    <col min="4611" max="4611" width="23.140625" style="932" bestFit="1" customWidth="1"/>
    <col min="4612" max="4612" width="17.140625" style="932" customWidth="1"/>
    <col min="4613" max="4613" width="24.140625" style="932" customWidth="1"/>
    <col min="4614" max="4614" width="14.85546875" style="932" customWidth="1"/>
    <col min="4615" max="4615" width="15.42578125" style="932" customWidth="1"/>
    <col min="4616" max="4616" width="14.42578125" style="932" customWidth="1"/>
    <col min="4617" max="4617" width="9" style="932" customWidth="1"/>
    <col min="4618" max="4618" width="29.7109375" style="932" customWidth="1"/>
    <col min="4619" max="4619" width="16.5703125" style="932" customWidth="1"/>
    <col min="4620" max="4620" width="29.42578125" style="932" customWidth="1"/>
    <col min="4621" max="4621" width="8.5703125" style="932" bestFit="1" customWidth="1"/>
    <col min="4622" max="4623" width="12.5703125" style="932" customWidth="1"/>
    <col min="4624" max="4624" width="16.42578125" style="932" customWidth="1"/>
    <col min="4625" max="4625" width="15.7109375" style="932" customWidth="1"/>
    <col min="4626" max="4626" width="0" style="932" hidden="1" customWidth="1"/>
    <col min="4627" max="4627" width="15.42578125" style="932" customWidth="1"/>
    <col min="4628" max="4628" width="16.85546875" style="932" customWidth="1"/>
    <col min="4629" max="4629" width="52.85546875" style="932" customWidth="1"/>
    <col min="4630" max="4630" width="17" style="932" bestFit="1" customWidth="1"/>
    <col min="4631" max="4631" width="10.140625" style="932" customWidth="1"/>
    <col min="4632" max="4865" width="9.140625" style="932"/>
    <col min="4866" max="4866" width="4" style="932" customWidth="1"/>
    <col min="4867" max="4867" width="23.140625" style="932" bestFit="1" customWidth="1"/>
    <col min="4868" max="4868" width="17.140625" style="932" customWidth="1"/>
    <col min="4869" max="4869" width="24.140625" style="932" customWidth="1"/>
    <col min="4870" max="4870" width="14.85546875" style="932" customWidth="1"/>
    <col min="4871" max="4871" width="15.42578125" style="932" customWidth="1"/>
    <col min="4872" max="4872" width="14.42578125" style="932" customWidth="1"/>
    <col min="4873" max="4873" width="9" style="932" customWidth="1"/>
    <col min="4874" max="4874" width="29.7109375" style="932" customWidth="1"/>
    <col min="4875" max="4875" width="16.5703125" style="932" customWidth="1"/>
    <col min="4876" max="4876" width="29.42578125" style="932" customWidth="1"/>
    <col min="4877" max="4877" width="8.5703125" style="932" bestFit="1" customWidth="1"/>
    <col min="4878" max="4879" width="12.5703125" style="932" customWidth="1"/>
    <col min="4880" max="4880" width="16.42578125" style="932" customWidth="1"/>
    <col min="4881" max="4881" width="15.7109375" style="932" customWidth="1"/>
    <col min="4882" max="4882" width="0" style="932" hidden="1" customWidth="1"/>
    <col min="4883" max="4883" width="15.42578125" style="932" customWidth="1"/>
    <col min="4884" max="4884" width="16.85546875" style="932" customWidth="1"/>
    <col min="4885" max="4885" width="52.85546875" style="932" customWidth="1"/>
    <col min="4886" max="4886" width="17" style="932" bestFit="1" customWidth="1"/>
    <col min="4887" max="4887" width="10.140625" style="932" customWidth="1"/>
    <col min="4888" max="5121" width="9.140625" style="932"/>
    <col min="5122" max="5122" width="4" style="932" customWidth="1"/>
    <col min="5123" max="5123" width="23.140625" style="932" bestFit="1" customWidth="1"/>
    <col min="5124" max="5124" width="17.140625" style="932" customWidth="1"/>
    <col min="5125" max="5125" width="24.140625" style="932" customWidth="1"/>
    <col min="5126" max="5126" width="14.85546875" style="932" customWidth="1"/>
    <col min="5127" max="5127" width="15.42578125" style="932" customWidth="1"/>
    <col min="5128" max="5128" width="14.42578125" style="932" customWidth="1"/>
    <col min="5129" max="5129" width="9" style="932" customWidth="1"/>
    <col min="5130" max="5130" width="29.7109375" style="932" customWidth="1"/>
    <col min="5131" max="5131" width="16.5703125" style="932" customWidth="1"/>
    <col min="5132" max="5132" width="29.42578125" style="932" customWidth="1"/>
    <col min="5133" max="5133" width="8.5703125" style="932" bestFit="1" customWidth="1"/>
    <col min="5134" max="5135" width="12.5703125" style="932" customWidth="1"/>
    <col min="5136" max="5136" width="16.42578125" style="932" customWidth="1"/>
    <col min="5137" max="5137" width="15.7109375" style="932" customWidth="1"/>
    <col min="5138" max="5138" width="0" style="932" hidden="1" customWidth="1"/>
    <col min="5139" max="5139" width="15.42578125" style="932" customWidth="1"/>
    <col min="5140" max="5140" width="16.85546875" style="932" customWidth="1"/>
    <col min="5141" max="5141" width="52.85546875" style="932" customWidth="1"/>
    <col min="5142" max="5142" width="17" style="932" bestFit="1" customWidth="1"/>
    <col min="5143" max="5143" width="10.140625" style="932" customWidth="1"/>
    <col min="5144" max="5377" width="9.140625" style="932"/>
    <col min="5378" max="5378" width="4" style="932" customWidth="1"/>
    <col min="5379" max="5379" width="23.140625" style="932" bestFit="1" customWidth="1"/>
    <col min="5380" max="5380" width="17.140625" style="932" customWidth="1"/>
    <col min="5381" max="5381" width="24.140625" style="932" customWidth="1"/>
    <col min="5382" max="5382" width="14.85546875" style="932" customWidth="1"/>
    <col min="5383" max="5383" width="15.42578125" style="932" customWidth="1"/>
    <col min="5384" max="5384" width="14.42578125" style="932" customWidth="1"/>
    <col min="5385" max="5385" width="9" style="932" customWidth="1"/>
    <col min="5386" max="5386" width="29.7109375" style="932" customWidth="1"/>
    <col min="5387" max="5387" width="16.5703125" style="932" customWidth="1"/>
    <col min="5388" max="5388" width="29.42578125" style="932" customWidth="1"/>
    <col min="5389" max="5389" width="8.5703125" style="932" bestFit="1" customWidth="1"/>
    <col min="5390" max="5391" width="12.5703125" style="932" customWidth="1"/>
    <col min="5392" max="5392" width="16.42578125" style="932" customWidth="1"/>
    <col min="5393" max="5393" width="15.7109375" style="932" customWidth="1"/>
    <col min="5394" max="5394" width="0" style="932" hidden="1" customWidth="1"/>
    <col min="5395" max="5395" width="15.42578125" style="932" customWidth="1"/>
    <col min="5396" max="5396" width="16.85546875" style="932" customWidth="1"/>
    <col min="5397" max="5397" width="52.85546875" style="932" customWidth="1"/>
    <col min="5398" max="5398" width="17" style="932" bestFit="1" customWidth="1"/>
    <col min="5399" max="5399" width="10.140625" style="932" customWidth="1"/>
    <col min="5400" max="5633" width="9.140625" style="932"/>
    <col min="5634" max="5634" width="4" style="932" customWidth="1"/>
    <col min="5635" max="5635" width="23.140625" style="932" bestFit="1" customWidth="1"/>
    <col min="5636" max="5636" width="17.140625" style="932" customWidth="1"/>
    <col min="5637" max="5637" width="24.140625" style="932" customWidth="1"/>
    <col min="5638" max="5638" width="14.85546875" style="932" customWidth="1"/>
    <col min="5639" max="5639" width="15.42578125" style="932" customWidth="1"/>
    <col min="5640" max="5640" width="14.42578125" style="932" customWidth="1"/>
    <col min="5641" max="5641" width="9" style="932" customWidth="1"/>
    <col min="5642" max="5642" width="29.7109375" style="932" customWidth="1"/>
    <col min="5643" max="5643" width="16.5703125" style="932" customWidth="1"/>
    <col min="5644" max="5644" width="29.42578125" style="932" customWidth="1"/>
    <col min="5645" max="5645" width="8.5703125" style="932" bestFit="1" customWidth="1"/>
    <col min="5646" max="5647" width="12.5703125" style="932" customWidth="1"/>
    <col min="5648" max="5648" width="16.42578125" style="932" customWidth="1"/>
    <col min="5649" max="5649" width="15.7109375" style="932" customWidth="1"/>
    <col min="5650" max="5650" width="0" style="932" hidden="1" customWidth="1"/>
    <col min="5651" max="5651" width="15.42578125" style="932" customWidth="1"/>
    <col min="5652" max="5652" width="16.85546875" style="932" customWidth="1"/>
    <col min="5653" max="5653" width="52.85546875" style="932" customWidth="1"/>
    <col min="5654" max="5654" width="17" style="932" bestFit="1" customWidth="1"/>
    <col min="5655" max="5655" width="10.140625" style="932" customWidth="1"/>
    <col min="5656" max="5889" width="9.140625" style="932"/>
    <col min="5890" max="5890" width="4" style="932" customWidth="1"/>
    <col min="5891" max="5891" width="23.140625" style="932" bestFit="1" customWidth="1"/>
    <col min="5892" max="5892" width="17.140625" style="932" customWidth="1"/>
    <col min="5893" max="5893" width="24.140625" style="932" customWidth="1"/>
    <col min="5894" max="5894" width="14.85546875" style="932" customWidth="1"/>
    <col min="5895" max="5895" width="15.42578125" style="932" customWidth="1"/>
    <col min="5896" max="5896" width="14.42578125" style="932" customWidth="1"/>
    <col min="5897" max="5897" width="9" style="932" customWidth="1"/>
    <col min="5898" max="5898" width="29.7109375" style="932" customWidth="1"/>
    <col min="5899" max="5899" width="16.5703125" style="932" customWidth="1"/>
    <col min="5900" max="5900" width="29.42578125" style="932" customWidth="1"/>
    <col min="5901" max="5901" width="8.5703125" style="932" bestFit="1" customWidth="1"/>
    <col min="5902" max="5903" width="12.5703125" style="932" customWidth="1"/>
    <col min="5904" max="5904" width="16.42578125" style="932" customWidth="1"/>
    <col min="5905" max="5905" width="15.7109375" style="932" customWidth="1"/>
    <col min="5906" max="5906" width="0" style="932" hidden="1" customWidth="1"/>
    <col min="5907" max="5907" width="15.42578125" style="932" customWidth="1"/>
    <col min="5908" max="5908" width="16.85546875" style="932" customWidth="1"/>
    <col min="5909" max="5909" width="52.85546875" style="932" customWidth="1"/>
    <col min="5910" max="5910" width="17" style="932" bestFit="1" customWidth="1"/>
    <col min="5911" max="5911" width="10.140625" style="932" customWidth="1"/>
    <col min="5912" max="6145" width="9.140625" style="932"/>
    <col min="6146" max="6146" width="4" style="932" customWidth="1"/>
    <col min="6147" max="6147" width="23.140625" style="932" bestFit="1" customWidth="1"/>
    <col min="6148" max="6148" width="17.140625" style="932" customWidth="1"/>
    <col min="6149" max="6149" width="24.140625" style="932" customWidth="1"/>
    <col min="6150" max="6150" width="14.85546875" style="932" customWidth="1"/>
    <col min="6151" max="6151" width="15.42578125" style="932" customWidth="1"/>
    <col min="6152" max="6152" width="14.42578125" style="932" customWidth="1"/>
    <col min="6153" max="6153" width="9" style="932" customWidth="1"/>
    <col min="6154" max="6154" width="29.7109375" style="932" customWidth="1"/>
    <col min="6155" max="6155" width="16.5703125" style="932" customWidth="1"/>
    <col min="6156" max="6156" width="29.42578125" style="932" customWidth="1"/>
    <col min="6157" max="6157" width="8.5703125" style="932" bestFit="1" customWidth="1"/>
    <col min="6158" max="6159" width="12.5703125" style="932" customWidth="1"/>
    <col min="6160" max="6160" width="16.42578125" style="932" customWidth="1"/>
    <col min="6161" max="6161" width="15.7109375" style="932" customWidth="1"/>
    <col min="6162" max="6162" width="0" style="932" hidden="1" customWidth="1"/>
    <col min="6163" max="6163" width="15.42578125" style="932" customWidth="1"/>
    <col min="6164" max="6164" width="16.85546875" style="932" customWidth="1"/>
    <col min="6165" max="6165" width="52.85546875" style="932" customWidth="1"/>
    <col min="6166" max="6166" width="17" style="932" bestFit="1" customWidth="1"/>
    <col min="6167" max="6167" width="10.140625" style="932" customWidth="1"/>
    <col min="6168" max="6401" width="9.140625" style="932"/>
    <col min="6402" max="6402" width="4" style="932" customWidth="1"/>
    <col min="6403" max="6403" width="23.140625" style="932" bestFit="1" customWidth="1"/>
    <col min="6404" max="6404" width="17.140625" style="932" customWidth="1"/>
    <col min="6405" max="6405" width="24.140625" style="932" customWidth="1"/>
    <col min="6406" max="6406" width="14.85546875" style="932" customWidth="1"/>
    <col min="6407" max="6407" width="15.42578125" style="932" customWidth="1"/>
    <col min="6408" max="6408" width="14.42578125" style="932" customWidth="1"/>
    <col min="6409" max="6409" width="9" style="932" customWidth="1"/>
    <col min="6410" max="6410" width="29.7109375" style="932" customWidth="1"/>
    <col min="6411" max="6411" width="16.5703125" style="932" customWidth="1"/>
    <col min="6412" max="6412" width="29.42578125" style="932" customWidth="1"/>
    <col min="6413" max="6413" width="8.5703125" style="932" bestFit="1" customWidth="1"/>
    <col min="6414" max="6415" width="12.5703125" style="932" customWidth="1"/>
    <col min="6416" max="6416" width="16.42578125" style="932" customWidth="1"/>
    <col min="6417" max="6417" width="15.7109375" style="932" customWidth="1"/>
    <col min="6418" max="6418" width="0" style="932" hidden="1" customWidth="1"/>
    <col min="6419" max="6419" width="15.42578125" style="932" customWidth="1"/>
    <col min="6420" max="6420" width="16.85546875" style="932" customWidth="1"/>
    <col min="6421" max="6421" width="52.85546875" style="932" customWidth="1"/>
    <col min="6422" max="6422" width="17" style="932" bestFit="1" customWidth="1"/>
    <col min="6423" max="6423" width="10.140625" style="932" customWidth="1"/>
    <col min="6424" max="6657" width="9.140625" style="932"/>
    <col min="6658" max="6658" width="4" style="932" customWidth="1"/>
    <col min="6659" max="6659" width="23.140625" style="932" bestFit="1" customWidth="1"/>
    <col min="6660" max="6660" width="17.140625" style="932" customWidth="1"/>
    <col min="6661" max="6661" width="24.140625" style="932" customWidth="1"/>
    <col min="6662" max="6662" width="14.85546875" style="932" customWidth="1"/>
    <col min="6663" max="6663" width="15.42578125" style="932" customWidth="1"/>
    <col min="6664" max="6664" width="14.42578125" style="932" customWidth="1"/>
    <col min="6665" max="6665" width="9" style="932" customWidth="1"/>
    <col min="6666" max="6666" width="29.7109375" style="932" customWidth="1"/>
    <col min="6667" max="6667" width="16.5703125" style="932" customWidth="1"/>
    <col min="6668" max="6668" width="29.42578125" style="932" customWidth="1"/>
    <col min="6669" max="6669" width="8.5703125" style="932" bestFit="1" customWidth="1"/>
    <col min="6670" max="6671" width="12.5703125" style="932" customWidth="1"/>
    <col min="6672" max="6672" width="16.42578125" style="932" customWidth="1"/>
    <col min="6673" max="6673" width="15.7109375" style="932" customWidth="1"/>
    <col min="6674" max="6674" width="0" style="932" hidden="1" customWidth="1"/>
    <col min="6675" max="6675" width="15.42578125" style="932" customWidth="1"/>
    <col min="6676" max="6676" width="16.85546875" style="932" customWidth="1"/>
    <col min="6677" max="6677" width="52.85546875" style="932" customWidth="1"/>
    <col min="6678" max="6678" width="17" style="932" bestFit="1" customWidth="1"/>
    <col min="6679" max="6679" width="10.140625" style="932" customWidth="1"/>
    <col min="6680" max="6913" width="9.140625" style="932"/>
    <col min="6914" max="6914" width="4" style="932" customWidth="1"/>
    <col min="6915" max="6915" width="23.140625" style="932" bestFit="1" customWidth="1"/>
    <col min="6916" max="6916" width="17.140625" style="932" customWidth="1"/>
    <col min="6917" max="6917" width="24.140625" style="932" customWidth="1"/>
    <col min="6918" max="6918" width="14.85546875" style="932" customWidth="1"/>
    <col min="6919" max="6919" width="15.42578125" style="932" customWidth="1"/>
    <col min="6920" max="6920" width="14.42578125" style="932" customWidth="1"/>
    <col min="6921" max="6921" width="9" style="932" customWidth="1"/>
    <col min="6922" max="6922" width="29.7109375" style="932" customWidth="1"/>
    <col min="6923" max="6923" width="16.5703125" style="932" customWidth="1"/>
    <col min="6924" max="6924" width="29.42578125" style="932" customWidth="1"/>
    <col min="6925" max="6925" width="8.5703125" style="932" bestFit="1" customWidth="1"/>
    <col min="6926" max="6927" width="12.5703125" style="932" customWidth="1"/>
    <col min="6928" max="6928" width="16.42578125" style="932" customWidth="1"/>
    <col min="6929" max="6929" width="15.7109375" style="932" customWidth="1"/>
    <col min="6930" max="6930" width="0" style="932" hidden="1" customWidth="1"/>
    <col min="6931" max="6931" width="15.42578125" style="932" customWidth="1"/>
    <col min="6932" max="6932" width="16.85546875" style="932" customWidth="1"/>
    <col min="6933" max="6933" width="52.85546875" style="932" customWidth="1"/>
    <col min="6934" max="6934" width="17" style="932" bestFit="1" customWidth="1"/>
    <col min="6935" max="6935" width="10.140625" style="932" customWidth="1"/>
    <col min="6936" max="7169" width="9.140625" style="932"/>
    <col min="7170" max="7170" width="4" style="932" customWidth="1"/>
    <col min="7171" max="7171" width="23.140625" style="932" bestFit="1" customWidth="1"/>
    <col min="7172" max="7172" width="17.140625" style="932" customWidth="1"/>
    <col min="7173" max="7173" width="24.140625" style="932" customWidth="1"/>
    <col min="7174" max="7174" width="14.85546875" style="932" customWidth="1"/>
    <col min="7175" max="7175" width="15.42578125" style="932" customWidth="1"/>
    <col min="7176" max="7176" width="14.42578125" style="932" customWidth="1"/>
    <col min="7177" max="7177" width="9" style="932" customWidth="1"/>
    <col min="7178" max="7178" width="29.7109375" style="932" customWidth="1"/>
    <col min="7179" max="7179" width="16.5703125" style="932" customWidth="1"/>
    <col min="7180" max="7180" width="29.42578125" style="932" customWidth="1"/>
    <col min="7181" max="7181" width="8.5703125" style="932" bestFit="1" customWidth="1"/>
    <col min="7182" max="7183" width="12.5703125" style="932" customWidth="1"/>
    <col min="7184" max="7184" width="16.42578125" style="932" customWidth="1"/>
    <col min="7185" max="7185" width="15.7109375" style="932" customWidth="1"/>
    <col min="7186" max="7186" width="0" style="932" hidden="1" customWidth="1"/>
    <col min="7187" max="7187" width="15.42578125" style="932" customWidth="1"/>
    <col min="7188" max="7188" width="16.85546875" style="932" customWidth="1"/>
    <col min="7189" max="7189" width="52.85546875" style="932" customWidth="1"/>
    <col min="7190" max="7190" width="17" style="932" bestFit="1" customWidth="1"/>
    <col min="7191" max="7191" width="10.140625" style="932" customWidth="1"/>
    <col min="7192" max="7425" width="9.140625" style="932"/>
    <col min="7426" max="7426" width="4" style="932" customWidth="1"/>
    <col min="7427" max="7427" width="23.140625" style="932" bestFit="1" customWidth="1"/>
    <col min="7428" max="7428" width="17.140625" style="932" customWidth="1"/>
    <col min="7429" max="7429" width="24.140625" style="932" customWidth="1"/>
    <col min="7430" max="7430" width="14.85546875" style="932" customWidth="1"/>
    <col min="7431" max="7431" width="15.42578125" style="932" customWidth="1"/>
    <col min="7432" max="7432" width="14.42578125" style="932" customWidth="1"/>
    <col min="7433" max="7433" width="9" style="932" customWidth="1"/>
    <col min="7434" max="7434" width="29.7109375" style="932" customWidth="1"/>
    <col min="7435" max="7435" width="16.5703125" style="932" customWidth="1"/>
    <col min="7436" max="7436" width="29.42578125" style="932" customWidth="1"/>
    <col min="7437" max="7437" width="8.5703125" style="932" bestFit="1" customWidth="1"/>
    <col min="7438" max="7439" width="12.5703125" style="932" customWidth="1"/>
    <col min="7440" max="7440" width="16.42578125" style="932" customWidth="1"/>
    <col min="7441" max="7441" width="15.7109375" style="932" customWidth="1"/>
    <col min="7442" max="7442" width="0" style="932" hidden="1" customWidth="1"/>
    <col min="7443" max="7443" width="15.42578125" style="932" customWidth="1"/>
    <col min="7444" max="7444" width="16.85546875" style="932" customWidth="1"/>
    <col min="7445" max="7445" width="52.85546875" style="932" customWidth="1"/>
    <col min="7446" max="7446" width="17" style="932" bestFit="1" customWidth="1"/>
    <col min="7447" max="7447" width="10.140625" style="932" customWidth="1"/>
    <col min="7448" max="7681" width="9.140625" style="932"/>
    <col min="7682" max="7682" width="4" style="932" customWidth="1"/>
    <col min="7683" max="7683" width="23.140625" style="932" bestFit="1" customWidth="1"/>
    <col min="7684" max="7684" width="17.140625" style="932" customWidth="1"/>
    <col min="7685" max="7685" width="24.140625" style="932" customWidth="1"/>
    <col min="7686" max="7686" width="14.85546875" style="932" customWidth="1"/>
    <col min="7687" max="7687" width="15.42578125" style="932" customWidth="1"/>
    <col min="7688" max="7688" width="14.42578125" style="932" customWidth="1"/>
    <col min="7689" max="7689" width="9" style="932" customWidth="1"/>
    <col min="7690" max="7690" width="29.7109375" style="932" customWidth="1"/>
    <col min="7691" max="7691" width="16.5703125" style="932" customWidth="1"/>
    <col min="7692" max="7692" width="29.42578125" style="932" customWidth="1"/>
    <col min="7693" max="7693" width="8.5703125" style="932" bestFit="1" customWidth="1"/>
    <col min="7694" max="7695" width="12.5703125" style="932" customWidth="1"/>
    <col min="7696" max="7696" width="16.42578125" style="932" customWidth="1"/>
    <col min="7697" max="7697" width="15.7109375" style="932" customWidth="1"/>
    <col min="7698" max="7698" width="0" style="932" hidden="1" customWidth="1"/>
    <col min="7699" max="7699" width="15.42578125" style="932" customWidth="1"/>
    <col min="7700" max="7700" width="16.85546875" style="932" customWidth="1"/>
    <col min="7701" max="7701" width="52.85546875" style="932" customWidth="1"/>
    <col min="7702" max="7702" width="17" style="932" bestFit="1" customWidth="1"/>
    <col min="7703" max="7703" width="10.140625" style="932" customWidth="1"/>
    <col min="7704" max="7937" width="9.140625" style="932"/>
    <col min="7938" max="7938" width="4" style="932" customWidth="1"/>
    <col min="7939" max="7939" width="23.140625" style="932" bestFit="1" customWidth="1"/>
    <col min="7940" max="7940" width="17.140625" style="932" customWidth="1"/>
    <col min="7941" max="7941" width="24.140625" style="932" customWidth="1"/>
    <col min="7942" max="7942" width="14.85546875" style="932" customWidth="1"/>
    <col min="7943" max="7943" width="15.42578125" style="932" customWidth="1"/>
    <col min="7944" max="7944" width="14.42578125" style="932" customWidth="1"/>
    <col min="7945" max="7945" width="9" style="932" customWidth="1"/>
    <col min="7946" max="7946" width="29.7109375" style="932" customWidth="1"/>
    <col min="7947" max="7947" width="16.5703125" style="932" customWidth="1"/>
    <col min="7948" max="7948" width="29.42578125" style="932" customWidth="1"/>
    <col min="7949" max="7949" width="8.5703125" style="932" bestFit="1" customWidth="1"/>
    <col min="7950" max="7951" width="12.5703125" style="932" customWidth="1"/>
    <col min="7952" max="7952" width="16.42578125" style="932" customWidth="1"/>
    <col min="7953" max="7953" width="15.7109375" style="932" customWidth="1"/>
    <col min="7954" max="7954" width="0" style="932" hidden="1" customWidth="1"/>
    <col min="7955" max="7955" width="15.42578125" style="932" customWidth="1"/>
    <col min="7956" max="7956" width="16.85546875" style="932" customWidth="1"/>
    <col min="7957" max="7957" width="52.85546875" style="932" customWidth="1"/>
    <col min="7958" max="7958" width="17" style="932" bestFit="1" customWidth="1"/>
    <col min="7959" max="7959" width="10.140625" style="932" customWidth="1"/>
    <col min="7960" max="8193" width="9.140625" style="932"/>
    <col min="8194" max="8194" width="4" style="932" customWidth="1"/>
    <col min="8195" max="8195" width="23.140625" style="932" bestFit="1" customWidth="1"/>
    <col min="8196" max="8196" width="17.140625" style="932" customWidth="1"/>
    <col min="8197" max="8197" width="24.140625" style="932" customWidth="1"/>
    <col min="8198" max="8198" width="14.85546875" style="932" customWidth="1"/>
    <col min="8199" max="8199" width="15.42578125" style="932" customWidth="1"/>
    <col min="8200" max="8200" width="14.42578125" style="932" customWidth="1"/>
    <col min="8201" max="8201" width="9" style="932" customWidth="1"/>
    <col min="8202" max="8202" width="29.7109375" style="932" customWidth="1"/>
    <col min="8203" max="8203" width="16.5703125" style="932" customWidth="1"/>
    <col min="8204" max="8204" width="29.42578125" style="932" customWidth="1"/>
    <col min="8205" max="8205" width="8.5703125" style="932" bestFit="1" customWidth="1"/>
    <col min="8206" max="8207" width="12.5703125" style="932" customWidth="1"/>
    <col min="8208" max="8208" width="16.42578125" style="932" customWidth="1"/>
    <col min="8209" max="8209" width="15.7109375" style="932" customWidth="1"/>
    <col min="8210" max="8210" width="0" style="932" hidden="1" customWidth="1"/>
    <col min="8211" max="8211" width="15.42578125" style="932" customWidth="1"/>
    <col min="8212" max="8212" width="16.85546875" style="932" customWidth="1"/>
    <col min="8213" max="8213" width="52.85546875" style="932" customWidth="1"/>
    <col min="8214" max="8214" width="17" style="932" bestFit="1" customWidth="1"/>
    <col min="8215" max="8215" width="10.140625" style="932" customWidth="1"/>
    <col min="8216" max="8449" width="9.140625" style="932"/>
    <col min="8450" max="8450" width="4" style="932" customWidth="1"/>
    <col min="8451" max="8451" width="23.140625" style="932" bestFit="1" customWidth="1"/>
    <col min="8452" max="8452" width="17.140625" style="932" customWidth="1"/>
    <col min="8453" max="8453" width="24.140625" style="932" customWidth="1"/>
    <col min="8454" max="8454" width="14.85546875" style="932" customWidth="1"/>
    <col min="8455" max="8455" width="15.42578125" style="932" customWidth="1"/>
    <col min="8456" max="8456" width="14.42578125" style="932" customWidth="1"/>
    <col min="8457" max="8457" width="9" style="932" customWidth="1"/>
    <col min="8458" max="8458" width="29.7109375" style="932" customWidth="1"/>
    <col min="8459" max="8459" width="16.5703125" style="932" customWidth="1"/>
    <col min="8460" max="8460" width="29.42578125" style="932" customWidth="1"/>
    <col min="8461" max="8461" width="8.5703125" style="932" bestFit="1" customWidth="1"/>
    <col min="8462" max="8463" width="12.5703125" style="932" customWidth="1"/>
    <col min="8464" max="8464" width="16.42578125" style="932" customWidth="1"/>
    <col min="8465" max="8465" width="15.7109375" style="932" customWidth="1"/>
    <col min="8466" max="8466" width="0" style="932" hidden="1" customWidth="1"/>
    <col min="8467" max="8467" width="15.42578125" style="932" customWidth="1"/>
    <col min="8468" max="8468" width="16.85546875" style="932" customWidth="1"/>
    <col min="8469" max="8469" width="52.85546875" style="932" customWidth="1"/>
    <col min="8470" max="8470" width="17" style="932" bestFit="1" customWidth="1"/>
    <col min="8471" max="8471" width="10.140625" style="932" customWidth="1"/>
    <col min="8472" max="8705" width="9.140625" style="932"/>
    <col min="8706" max="8706" width="4" style="932" customWidth="1"/>
    <col min="8707" max="8707" width="23.140625" style="932" bestFit="1" customWidth="1"/>
    <col min="8708" max="8708" width="17.140625" style="932" customWidth="1"/>
    <col min="8709" max="8709" width="24.140625" style="932" customWidth="1"/>
    <col min="8710" max="8710" width="14.85546875" style="932" customWidth="1"/>
    <col min="8711" max="8711" width="15.42578125" style="932" customWidth="1"/>
    <col min="8712" max="8712" width="14.42578125" style="932" customWidth="1"/>
    <col min="8713" max="8713" width="9" style="932" customWidth="1"/>
    <col min="8714" max="8714" width="29.7109375" style="932" customWidth="1"/>
    <col min="8715" max="8715" width="16.5703125" style="932" customWidth="1"/>
    <col min="8716" max="8716" width="29.42578125" style="932" customWidth="1"/>
    <col min="8717" max="8717" width="8.5703125" style="932" bestFit="1" customWidth="1"/>
    <col min="8718" max="8719" width="12.5703125" style="932" customWidth="1"/>
    <col min="8720" max="8720" width="16.42578125" style="932" customWidth="1"/>
    <col min="8721" max="8721" width="15.7109375" style="932" customWidth="1"/>
    <col min="8722" max="8722" width="0" style="932" hidden="1" customWidth="1"/>
    <col min="8723" max="8723" width="15.42578125" style="932" customWidth="1"/>
    <col min="8724" max="8724" width="16.85546875" style="932" customWidth="1"/>
    <col min="8725" max="8725" width="52.85546875" style="932" customWidth="1"/>
    <col min="8726" max="8726" width="17" style="932" bestFit="1" customWidth="1"/>
    <col min="8727" max="8727" width="10.140625" style="932" customWidth="1"/>
    <col min="8728" max="8961" width="9.140625" style="932"/>
    <col min="8962" max="8962" width="4" style="932" customWidth="1"/>
    <col min="8963" max="8963" width="23.140625" style="932" bestFit="1" customWidth="1"/>
    <col min="8964" max="8964" width="17.140625" style="932" customWidth="1"/>
    <col min="8965" max="8965" width="24.140625" style="932" customWidth="1"/>
    <col min="8966" max="8966" width="14.85546875" style="932" customWidth="1"/>
    <col min="8967" max="8967" width="15.42578125" style="932" customWidth="1"/>
    <col min="8968" max="8968" width="14.42578125" style="932" customWidth="1"/>
    <col min="8969" max="8969" width="9" style="932" customWidth="1"/>
    <col min="8970" max="8970" width="29.7109375" style="932" customWidth="1"/>
    <col min="8971" max="8971" width="16.5703125" style="932" customWidth="1"/>
    <col min="8972" max="8972" width="29.42578125" style="932" customWidth="1"/>
    <col min="8973" max="8973" width="8.5703125" style="932" bestFit="1" customWidth="1"/>
    <col min="8974" max="8975" width="12.5703125" style="932" customWidth="1"/>
    <col min="8976" max="8976" width="16.42578125" style="932" customWidth="1"/>
    <col min="8977" max="8977" width="15.7109375" style="932" customWidth="1"/>
    <col min="8978" max="8978" width="0" style="932" hidden="1" customWidth="1"/>
    <col min="8979" max="8979" width="15.42578125" style="932" customWidth="1"/>
    <col min="8980" max="8980" width="16.85546875" style="932" customWidth="1"/>
    <col min="8981" max="8981" width="52.85546875" style="932" customWidth="1"/>
    <col min="8982" max="8982" width="17" style="932" bestFit="1" customWidth="1"/>
    <col min="8983" max="8983" width="10.140625" style="932" customWidth="1"/>
    <col min="8984" max="9217" width="9.140625" style="932"/>
    <col min="9218" max="9218" width="4" style="932" customWidth="1"/>
    <col min="9219" max="9219" width="23.140625" style="932" bestFit="1" customWidth="1"/>
    <col min="9220" max="9220" width="17.140625" style="932" customWidth="1"/>
    <col min="9221" max="9221" width="24.140625" style="932" customWidth="1"/>
    <col min="9222" max="9222" width="14.85546875" style="932" customWidth="1"/>
    <col min="9223" max="9223" width="15.42578125" style="932" customWidth="1"/>
    <col min="9224" max="9224" width="14.42578125" style="932" customWidth="1"/>
    <col min="9225" max="9225" width="9" style="932" customWidth="1"/>
    <col min="9226" max="9226" width="29.7109375" style="932" customWidth="1"/>
    <col min="9227" max="9227" width="16.5703125" style="932" customWidth="1"/>
    <col min="9228" max="9228" width="29.42578125" style="932" customWidth="1"/>
    <col min="9229" max="9229" width="8.5703125" style="932" bestFit="1" customWidth="1"/>
    <col min="9230" max="9231" width="12.5703125" style="932" customWidth="1"/>
    <col min="9232" max="9232" width="16.42578125" style="932" customWidth="1"/>
    <col min="9233" max="9233" width="15.7109375" style="932" customWidth="1"/>
    <col min="9234" max="9234" width="0" style="932" hidden="1" customWidth="1"/>
    <col min="9235" max="9235" width="15.42578125" style="932" customWidth="1"/>
    <col min="9236" max="9236" width="16.85546875" style="932" customWidth="1"/>
    <col min="9237" max="9237" width="52.85546875" style="932" customWidth="1"/>
    <col min="9238" max="9238" width="17" style="932" bestFit="1" customWidth="1"/>
    <col min="9239" max="9239" width="10.140625" style="932" customWidth="1"/>
    <col min="9240" max="9473" width="9.140625" style="932"/>
    <col min="9474" max="9474" width="4" style="932" customWidth="1"/>
    <col min="9475" max="9475" width="23.140625" style="932" bestFit="1" customWidth="1"/>
    <col min="9476" max="9476" width="17.140625" style="932" customWidth="1"/>
    <col min="9477" max="9477" width="24.140625" style="932" customWidth="1"/>
    <col min="9478" max="9478" width="14.85546875" style="932" customWidth="1"/>
    <col min="9479" max="9479" width="15.42578125" style="932" customWidth="1"/>
    <col min="9480" max="9480" width="14.42578125" style="932" customWidth="1"/>
    <col min="9481" max="9481" width="9" style="932" customWidth="1"/>
    <col min="9482" max="9482" width="29.7109375" style="932" customWidth="1"/>
    <col min="9483" max="9483" width="16.5703125" style="932" customWidth="1"/>
    <col min="9484" max="9484" width="29.42578125" style="932" customWidth="1"/>
    <col min="9485" max="9485" width="8.5703125" style="932" bestFit="1" customWidth="1"/>
    <col min="9486" max="9487" width="12.5703125" style="932" customWidth="1"/>
    <col min="9488" max="9488" width="16.42578125" style="932" customWidth="1"/>
    <col min="9489" max="9489" width="15.7109375" style="932" customWidth="1"/>
    <col min="9490" max="9490" width="0" style="932" hidden="1" customWidth="1"/>
    <col min="9491" max="9491" width="15.42578125" style="932" customWidth="1"/>
    <col min="9492" max="9492" width="16.85546875" style="932" customWidth="1"/>
    <col min="9493" max="9493" width="52.85546875" style="932" customWidth="1"/>
    <col min="9494" max="9494" width="17" style="932" bestFit="1" customWidth="1"/>
    <col min="9495" max="9495" width="10.140625" style="932" customWidth="1"/>
    <col min="9496" max="9729" width="9.140625" style="932"/>
    <col min="9730" max="9730" width="4" style="932" customWidth="1"/>
    <col min="9731" max="9731" width="23.140625" style="932" bestFit="1" customWidth="1"/>
    <col min="9732" max="9732" width="17.140625" style="932" customWidth="1"/>
    <col min="9733" max="9733" width="24.140625" style="932" customWidth="1"/>
    <col min="9734" max="9734" width="14.85546875" style="932" customWidth="1"/>
    <col min="9735" max="9735" width="15.42578125" style="932" customWidth="1"/>
    <col min="9736" max="9736" width="14.42578125" style="932" customWidth="1"/>
    <col min="9737" max="9737" width="9" style="932" customWidth="1"/>
    <col min="9738" max="9738" width="29.7109375" style="932" customWidth="1"/>
    <col min="9739" max="9739" width="16.5703125" style="932" customWidth="1"/>
    <col min="9740" max="9740" width="29.42578125" style="932" customWidth="1"/>
    <col min="9741" max="9741" width="8.5703125" style="932" bestFit="1" customWidth="1"/>
    <col min="9742" max="9743" width="12.5703125" style="932" customWidth="1"/>
    <col min="9744" max="9744" width="16.42578125" style="932" customWidth="1"/>
    <col min="9745" max="9745" width="15.7109375" style="932" customWidth="1"/>
    <col min="9746" max="9746" width="0" style="932" hidden="1" customWidth="1"/>
    <col min="9747" max="9747" width="15.42578125" style="932" customWidth="1"/>
    <col min="9748" max="9748" width="16.85546875" style="932" customWidth="1"/>
    <col min="9749" max="9749" width="52.85546875" style="932" customWidth="1"/>
    <col min="9750" max="9750" width="17" style="932" bestFit="1" customWidth="1"/>
    <col min="9751" max="9751" width="10.140625" style="932" customWidth="1"/>
    <col min="9752" max="9985" width="9.140625" style="932"/>
    <col min="9986" max="9986" width="4" style="932" customWidth="1"/>
    <col min="9987" max="9987" width="23.140625" style="932" bestFit="1" customWidth="1"/>
    <col min="9988" max="9988" width="17.140625" style="932" customWidth="1"/>
    <col min="9989" max="9989" width="24.140625" style="932" customWidth="1"/>
    <col min="9990" max="9990" width="14.85546875" style="932" customWidth="1"/>
    <col min="9991" max="9991" width="15.42578125" style="932" customWidth="1"/>
    <col min="9992" max="9992" width="14.42578125" style="932" customWidth="1"/>
    <col min="9993" max="9993" width="9" style="932" customWidth="1"/>
    <col min="9994" max="9994" width="29.7109375" style="932" customWidth="1"/>
    <col min="9995" max="9995" width="16.5703125" style="932" customWidth="1"/>
    <col min="9996" max="9996" width="29.42578125" style="932" customWidth="1"/>
    <col min="9997" max="9997" width="8.5703125" style="932" bestFit="1" customWidth="1"/>
    <col min="9998" max="9999" width="12.5703125" style="932" customWidth="1"/>
    <col min="10000" max="10000" width="16.42578125" style="932" customWidth="1"/>
    <col min="10001" max="10001" width="15.7109375" style="932" customWidth="1"/>
    <col min="10002" max="10002" width="0" style="932" hidden="1" customWidth="1"/>
    <col min="10003" max="10003" width="15.42578125" style="932" customWidth="1"/>
    <col min="10004" max="10004" width="16.85546875" style="932" customWidth="1"/>
    <col min="10005" max="10005" width="52.85546875" style="932" customWidth="1"/>
    <col min="10006" max="10006" width="17" style="932" bestFit="1" customWidth="1"/>
    <col min="10007" max="10007" width="10.140625" style="932" customWidth="1"/>
    <col min="10008" max="10241" width="9.140625" style="932"/>
    <col min="10242" max="10242" width="4" style="932" customWidth="1"/>
    <col min="10243" max="10243" width="23.140625" style="932" bestFit="1" customWidth="1"/>
    <col min="10244" max="10244" width="17.140625" style="932" customWidth="1"/>
    <col min="10245" max="10245" width="24.140625" style="932" customWidth="1"/>
    <col min="10246" max="10246" width="14.85546875" style="932" customWidth="1"/>
    <col min="10247" max="10247" width="15.42578125" style="932" customWidth="1"/>
    <col min="10248" max="10248" width="14.42578125" style="932" customWidth="1"/>
    <col min="10249" max="10249" width="9" style="932" customWidth="1"/>
    <col min="10250" max="10250" width="29.7109375" style="932" customWidth="1"/>
    <col min="10251" max="10251" width="16.5703125" style="932" customWidth="1"/>
    <col min="10252" max="10252" width="29.42578125" style="932" customWidth="1"/>
    <col min="10253" max="10253" width="8.5703125" style="932" bestFit="1" customWidth="1"/>
    <col min="10254" max="10255" width="12.5703125" style="932" customWidth="1"/>
    <col min="10256" max="10256" width="16.42578125" style="932" customWidth="1"/>
    <col min="10257" max="10257" width="15.7109375" style="932" customWidth="1"/>
    <col min="10258" max="10258" width="0" style="932" hidden="1" customWidth="1"/>
    <col min="10259" max="10259" width="15.42578125" style="932" customWidth="1"/>
    <col min="10260" max="10260" width="16.85546875" style="932" customWidth="1"/>
    <col min="10261" max="10261" width="52.85546875" style="932" customWidth="1"/>
    <col min="10262" max="10262" width="17" style="932" bestFit="1" customWidth="1"/>
    <col min="10263" max="10263" width="10.140625" style="932" customWidth="1"/>
    <col min="10264" max="10497" width="9.140625" style="932"/>
    <col min="10498" max="10498" width="4" style="932" customWidth="1"/>
    <col min="10499" max="10499" width="23.140625" style="932" bestFit="1" customWidth="1"/>
    <col min="10500" max="10500" width="17.140625" style="932" customWidth="1"/>
    <col min="10501" max="10501" width="24.140625" style="932" customWidth="1"/>
    <col min="10502" max="10502" width="14.85546875" style="932" customWidth="1"/>
    <col min="10503" max="10503" width="15.42578125" style="932" customWidth="1"/>
    <col min="10504" max="10504" width="14.42578125" style="932" customWidth="1"/>
    <col min="10505" max="10505" width="9" style="932" customWidth="1"/>
    <col min="10506" max="10506" width="29.7109375" style="932" customWidth="1"/>
    <col min="10507" max="10507" width="16.5703125" style="932" customWidth="1"/>
    <col min="10508" max="10508" width="29.42578125" style="932" customWidth="1"/>
    <col min="10509" max="10509" width="8.5703125" style="932" bestFit="1" customWidth="1"/>
    <col min="10510" max="10511" width="12.5703125" style="932" customWidth="1"/>
    <col min="10512" max="10512" width="16.42578125" style="932" customWidth="1"/>
    <col min="10513" max="10513" width="15.7109375" style="932" customWidth="1"/>
    <col min="10514" max="10514" width="0" style="932" hidden="1" customWidth="1"/>
    <col min="10515" max="10515" width="15.42578125" style="932" customWidth="1"/>
    <col min="10516" max="10516" width="16.85546875" style="932" customWidth="1"/>
    <col min="10517" max="10517" width="52.85546875" style="932" customWidth="1"/>
    <col min="10518" max="10518" width="17" style="932" bestFit="1" customWidth="1"/>
    <col min="10519" max="10519" width="10.140625" style="932" customWidth="1"/>
    <col min="10520" max="10753" width="9.140625" style="932"/>
    <col min="10754" max="10754" width="4" style="932" customWidth="1"/>
    <col min="10755" max="10755" width="23.140625" style="932" bestFit="1" customWidth="1"/>
    <col min="10756" max="10756" width="17.140625" style="932" customWidth="1"/>
    <col min="10757" max="10757" width="24.140625" style="932" customWidth="1"/>
    <col min="10758" max="10758" width="14.85546875" style="932" customWidth="1"/>
    <col min="10759" max="10759" width="15.42578125" style="932" customWidth="1"/>
    <col min="10760" max="10760" width="14.42578125" style="932" customWidth="1"/>
    <col min="10761" max="10761" width="9" style="932" customWidth="1"/>
    <col min="10762" max="10762" width="29.7109375" style="932" customWidth="1"/>
    <col min="10763" max="10763" width="16.5703125" style="932" customWidth="1"/>
    <col min="10764" max="10764" width="29.42578125" style="932" customWidth="1"/>
    <col min="10765" max="10765" width="8.5703125" style="932" bestFit="1" customWidth="1"/>
    <col min="10766" max="10767" width="12.5703125" style="932" customWidth="1"/>
    <col min="10768" max="10768" width="16.42578125" style="932" customWidth="1"/>
    <col min="10769" max="10769" width="15.7109375" style="932" customWidth="1"/>
    <col min="10770" max="10770" width="0" style="932" hidden="1" customWidth="1"/>
    <col min="10771" max="10771" width="15.42578125" style="932" customWidth="1"/>
    <col min="10772" max="10772" width="16.85546875" style="932" customWidth="1"/>
    <col min="10773" max="10773" width="52.85546875" style="932" customWidth="1"/>
    <col min="10774" max="10774" width="17" style="932" bestFit="1" customWidth="1"/>
    <col min="10775" max="10775" width="10.140625" style="932" customWidth="1"/>
    <col min="10776" max="11009" width="9.140625" style="932"/>
    <col min="11010" max="11010" width="4" style="932" customWidth="1"/>
    <col min="11011" max="11011" width="23.140625" style="932" bestFit="1" customWidth="1"/>
    <col min="11012" max="11012" width="17.140625" style="932" customWidth="1"/>
    <col min="11013" max="11013" width="24.140625" style="932" customWidth="1"/>
    <col min="11014" max="11014" width="14.85546875" style="932" customWidth="1"/>
    <col min="11015" max="11015" width="15.42578125" style="932" customWidth="1"/>
    <col min="11016" max="11016" width="14.42578125" style="932" customWidth="1"/>
    <col min="11017" max="11017" width="9" style="932" customWidth="1"/>
    <col min="11018" max="11018" width="29.7109375" style="932" customWidth="1"/>
    <col min="11019" max="11019" width="16.5703125" style="932" customWidth="1"/>
    <col min="11020" max="11020" width="29.42578125" style="932" customWidth="1"/>
    <col min="11021" max="11021" width="8.5703125" style="932" bestFit="1" customWidth="1"/>
    <col min="11022" max="11023" width="12.5703125" style="932" customWidth="1"/>
    <col min="11024" max="11024" width="16.42578125" style="932" customWidth="1"/>
    <col min="11025" max="11025" width="15.7109375" style="932" customWidth="1"/>
    <col min="11026" max="11026" width="0" style="932" hidden="1" customWidth="1"/>
    <col min="11027" max="11027" width="15.42578125" style="932" customWidth="1"/>
    <col min="11028" max="11028" width="16.85546875" style="932" customWidth="1"/>
    <col min="11029" max="11029" width="52.85546875" style="932" customWidth="1"/>
    <col min="11030" max="11030" width="17" style="932" bestFit="1" customWidth="1"/>
    <col min="11031" max="11031" width="10.140625" style="932" customWidth="1"/>
    <col min="11032" max="11265" width="9.140625" style="932"/>
    <col min="11266" max="11266" width="4" style="932" customWidth="1"/>
    <col min="11267" max="11267" width="23.140625" style="932" bestFit="1" customWidth="1"/>
    <col min="11268" max="11268" width="17.140625" style="932" customWidth="1"/>
    <col min="11269" max="11269" width="24.140625" style="932" customWidth="1"/>
    <col min="11270" max="11270" width="14.85546875" style="932" customWidth="1"/>
    <col min="11271" max="11271" width="15.42578125" style="932" customWidth="1"/>
    <col min="11272" max="11272" width="14.42578125" style="932" customWidth="1"/>
    <col min="11273" max="11273" width="9" style="932" customWidth="1"/>
    <col min="11274" max="11274" width="29.7109375" style="932" customWidth="1"/>
    <col min="11275" max="11275" width="16.5703125" style="932" customWidth="1"/>
    <col min="11276" max="11276" width="29.42578125" style="932" customWidth="1"/>
    <col min="11277" max="11277" width="8.5703125" style="932" bestFit="1" customWidth="1"/>
    <col min="11278" max="11279" width="12.5703125" style="932" customWidth="1"/>
    <col min="11280" max="11280" width="16.42578125" style="932" customWidth="1"/>
    <col min="11281" max="11281" width="15.7109375" style="932" customWidth="1"/>
    <col min="11282" max="11282" width="0" style="932" hidden="1" customWidth="1"/>
    <col min="11283" max="11283" width="15.42578125" style="932" customWidth="1"/>
    <col min="11284" max="11284" width="16.85546875" style="932" customWidth="1"/>
    <col min="11285" max="11285" width="52.85546875" style="932" customWidth="1"/>
    <col min="11286" max="11286" width="17" style="932" bestFit="1" customWidth="1"/>
    <col min="11287" max="11287" width="10.140625" style="932" customWidth="1"/>
    <col min="11288" max="11521" width="9.140625" style="932"/>
    <col min="11522" max="11522" width="4" style="932" customWidth="1"/>
    <col min="11523" max="11523" width="23.140625" style="932" bestFit="1" customWidth="1"/>
    <col min="11524" max="11524" width="17.140625" style="932" customWidth="1"/>
    <col min="11525" max="11525" width="24.140625" style="932" customWidth="1"/>
    <col min="11526" max="11526" width="14.85546875" style="932" customWidth="1"/>
    <col min="11527" max="11527" width="15.42578125" style="932" customWidth="1"/>
    <col min="11528" max="11528" width="14.42578125" style="932" customWidth="1"/>
    <col min="11529" max="11529" width="9" style="932" customWidth="1"/>
    <col min="11530" max="11530" width="29.7109375" style="932" customWidth="1"/>
    <col min="11531" max="11531" width="16.5703125" style="932" customWidth="1"/>
    <col min="11532" max="11532" width="29.42578125" style="932" customWidth="1"/>
    <col min="11533" max="11533" width="8.5703125" style="932" bestFit="1" customWidth="1"/>
    <col min="11534" max="11535" width="12.5703125" style="932" customWidth="1"/>
    <col min="11536" max="11536" width="16.42578125" style="932" customWidth="1"/>
    <col min="11537" max="11537" width="15.7109375" style="932" customWidth="1"/>
    <col min="11538" max="11538" width="0" style="932" hidden="1" customWidth="1"/>
    <col min="11539" max="11539" width="15.42578125" style="932" customWidth="1"/>
    <col min="11540" max="11540" width="16.85546875" style="932" customWidth="1"/>
    <col min="11541" max="11541" width="52.85546875" style="932" customWidth="1"/>
    <col min="11542" max="11542" width="17" style="932" bestFit="1" customWidth="1"/>
    <col min="11543" max="11543" width="10.140625" style="932" customWidth="1"/>
    <col min="11544" max="11777" width="9.140625" style="932"/>
    <col min="11778" max="11778" width="4" style="932" customWidth="1"/>
    <col min="11779" max="11779" width="23.140625" style="932" bestFit="1" customWidth="1"/>
    <col min="11780" max="11780" width="17.140625" style="932" customWidth="1"/>
    <col min="11781" max="11781" width="24.140625" style="932" customWidth="1"/>
    <col min="11782" max="11782" width="14.85546875" style="932" customWidth="1"/>
    <col min="11783" max="11783" width="15.42578125" style="932" customWidth="1"/>
    <col min="11784" max="11784" width="14.42578125" style="932" customWidth="1"/>
    <col min="11785" max="11785" width="9" style="932" customWidth="1"/>
    <col min="11786" max="11786" width="29.7109375" style="932" customWidth="1"/>
    <col min="11787" max="11787" width="16.5703125" style="932" customWidth="1"/>
    <col min="11788" max="11788" width="29.42578125" style="932" customWidth="1"/>
    <col min="11789" max="11789" width="8.5703125" style="932" bestFit="1" customWidth="1"/>
    <col min="11790" max="11791" width="12.5703125" style="932" customWidth="1"/>
    <col min="11792" max="11792" width="16.42578125" style="932" customWidth="1"/>
    <col min="11793" max="11793" width="15.7109375" style="932" customWidth="1"/>
    <col min="11794" max="11794" width="0" style="932" hidden="1" customWidth="1"/>
    <col min="11795" max="11795" width="15.42578125" style="932" customWidth="1"/>
    <col min="11796" max="11796" width="16.85546875" style="932" customWidth="1"/>
    <col min="11797" max="11797" width="52.85546875" style="932" customWidth="1"/>
    <col min="11798" max="11798" width="17" style="932" bestFit="1" customWidth="1"/>
    <col min="11799" max="11799" width="10.140625" style="932" customWidth="1"/>
    <col min="11800" max="12033" width="9.140625" style="932"/>
    <col min="12034" max="12034" width="4" style="932" customWidth="1"/>
    <col min="12035" max="12035" width="23.140625" style="932" bestFit="1" customWidth="1"/>
    <col min="12036" max="12036" width="17.140625" style="932" customWidth="1"/>
    <col min="12037" max="12037" width="24.140625" style="932" customWidth="1"/>
    <col min="12038" max="12038" width="14.85546875" style="932" customWidth="1"/>
    <col min="12039" max="12039" width="15.42578125" style="932" customWidth="1"/>
    <col min="12040" max="12040" width="14.42578125" style="932" customWidth="1"/>
    <col min="12041" max="12041" width="9" style="932" customWidth="1"/>
    <col min="12042" max="12042" width="29.7109375" style="932" customWidth="1"/>
    <col min="12043" max="12043" width="16.5703125" style="932" customWidth="1"/>
    <col min="12044" max="12044" width="29.42578125" style="932" customWidth="1"/>
    <col min="12045" max="12045" width="8.5703125" style="932" bestFit="1" customWidth="1"/>
    <col min="12046" max="12047" width="12.5703125" style="932" customWidth="1"/>
    <col min="12048" max="12048" width="16.42578125" style="932" customWidth="1"/>
    <col min="12049" max="12049" width="15.7109375" style="932" customWidth="1"/>
    <col min="12050" max="12050" width="0" style="932" hidden="1" customWidth="1"/>
    <col min="12051" max="12051" width="15.42578125" style="932" customWidth="1"/>
    <col min="12052" max="12052" width="16.85546875" style="932" customWidth="1"/>
    <col min="12053" max="12053" width="52.85546875" style="932" customWidth="1"/>
    <col min="12054" max="12054" width="17" style="932" bestFit="1" customWidth="1"/>
    <col min="12055" max="12055" width="10.140625" style="932" customWidth="1"/>
    <col min="12056" max="12289" width="9.140625" style="932"/>
    <col min="12290" max="12290" width="4" style="932" customWidth="1"/>
    <col min="12291" max="12291" width="23.140625" style="932" bestFit="1" customWidth="1"/>
    <col min="12292" max="12292" width="17.140625" style="932" customWidth="1"/>
    <col min="12293" max="12293" width="24.140625" style="932" customWidth="1"/>
    <col min="12294" max="12294" width="14.85546875" style="932" customWidth="1"/>
    <col min="12295" max="12295" width="15.42578125" style="932" customWidth="1"/>
    <col min="12296" max="12296" width="14.42578125" style="932" customWidth="1"/>
    <col min="12297" max="12297" width="9" style="932" customWidth="1"/>
    <col min="12298" max="12298" width="29.7109375" style="932" customWidth="1"/>
    <col min="12299" max="12299" width="16.5703125" style="932" customWidth="1"/>
    <col min="12300" max="12300" width="29.42578125" style="932" customWidth="1"/>
    <col min="12301" max="12301" width="8.5703125" style="932" bestFit="1" customWidth="1"/>
    <col min="12302" max="12303" width="12.5703125" style="932" customWidth="1"/>
    <col min="12304" max="12304" width="16.42578125" style="932" customWidth="1"/>
    <col min="12305" max="12305" width="15.7109375" style="932" customWidth="1"/>
    <col min="12306" max="12306" width="0" style="932" hidden="1" customWidth="1"/>
    <col min="12307" max="12307" width="15.42578125" style="932" customWidth="1"/>
    <col min="12308" max="12308" width="16.85546875" style="932" customWidth="1"/>
    <col min="12309" max="12309" width="52.85546875" style="932" customWidth="1"/>
    <col min="12310" max="12310" width="17" style="932" bestFit="1" customWidth="1"/>
    <col min="12311" max="12311" width="10.140625" style="932" customWidth="1"/>
    <col min="12312" max="12545" width="9.140625" style="932"/>
    <col min="12546" max="12546" width="4" style="932" customWidth="1"/>
    <col min="12547" max="12547" width="23.140625" style="932" bestFit="1" customWidth="1"/>
    <col min="12548" max="12548" width="17.140625" style="932" customWidth="1"/>
    <col min="12549" max="12549" width="24.140625" style="932" customWidth="1"/>
    <col min="12550" max="12550" width="14.85546875" style="932" customWidth="1"/>
    <col min="12551" max="12551" width="15.42578125" style="932" customWidth="1"/>
    <col min="12552" max="12552" width="14.42578125" style="932" customWidth="1"/>
    <col min="12553" max="12553" width="9" style="932" customWidth="1"/>
    <col min="12554" max="12554" width="29.7109375" style="932" customWidth="1"/>
    <col min="12555" max="12555" width="16.5703125" style="932" customWidth="1"/>
    <col min="12556" max="12556" width="29.42578125" style="932" customWidth="1"/>
    <col min="12557" max="12557" width="8.5703125" style="932" bestFit="1" customWidth="1"/>
    <col min="12558" max="12559" width="12.5703125" style="932" customWidth="1"/>
    <col min="12560" max="12560" width="16.42578125" style="932" customWidth="1"/>
    <col min="12561" max="12561" width="15.7109375" style="932" customWidth="1"/>
    <col min="12562" max="12562" width="0" style="932" hidden="1" customWidth="1"/>
    <col min="12563" max="12563" width="15.42578125" style="932" customWidth="1"/>
    <col min="12564" max="12564" width="16.85546875" style="932" customWidth="1"/>
    <col min="12565" max="12565" width="52.85546875" style="932" customWidth="1"/>
    <col min="12566" max="12566" width="17" style="932" bestFit="1" customWidth="1"/>
    <col min="12567" max="12567" width="10.140625" style="932" customWidth="1"/>
    <col min="12568" max="12801" width="9.140625" style="932"/>
    <col min="12802" max="12802" width="4" style="932" customWidth="1"/>
    <col min="12803" max="12803" width="23.140625" style="932" bestFit="1" customWidth="1"/>
    <col min="12804" max="12804" width="17.140625" style="932" customWidth="1"/>
    <col min="12805" max="12805" width="24.140625" style="932" customWidth="1"/>
    <col min="12806" max="12806" width="14.85546875" style="932" customWidth="1"/>
    <col min="12807" max="12807" width="15.42578125" style="932" customWidth="1"/>
    <col min="12808" max="12808" width="14.42578125" style="932" customWidth="1"/>
    <col min="12809" max="12809" width="9" style="932" customWidth="1"/>
    <col min="12810" max="12810" width="29.7109375" style="932" customWidth="1"/>
    <col min="12811" max="12811" width="16.5703125" style="932" customWidth="1"/>
    <col min="12812" max="12812" width="29.42578125" style="932" customWidth="1"/>
    <col min="12813" max="12813" width="8.5703125" style="932" bestFit="1" customWidth="1"/>
    <col min="12814" max="12815" width="12.5703125" style="932" customWidth="1"/>
    <col min="12816" max="12816" width="16.42578125" style="932" customWidth="1"/>
    <col min="12817" max="12817" width="15.7109375" style="932" customWidth="1"/>
    <col min="12818" max="12818" width="0" style="932" hidden="1" customWidth="1"/>
    <col min="12819" max="12819" width="15.42578125" style="932" customWidth="1"/>
    <col min="12820" max="12820" width="16.85546875" style="932" customWidth="1"/>
    <col min="12821" max="12821" width="52.85546875" style="932" customWidth="1"/>
    <col min="12822" max="12822" width="17" style="932" bestFit="1" customWidth="1"/>
    <col min="12823" max="12823" width="10.140625" style="932" customWidth="1"/>
    <col min="12824" max="13057" width="9.140625" style="932"/>
    <col min="13058" max="13058" width="4" style="932" customWidth="1"/>
    <col min="13059" max="13059" width="23.140625" style="932" bestFit="1" customWidth="1"/>
    <col min="13060" max="13060" width="17.140625" style="932" customWidth="1"/>
    <col min="13061" max="13061" width="24.140625" style="932" customWidth="1"/>
    <col min="13062" max="13062" width="14.85546875" style="932" customWidth="1"/>
    <col min="13063" max="13063" width="15.42578125" style="932" customWidth="1"/>
    <col min="13064" max="13064" width="14.42578125" style="932" customWidth="1"/>
    <col min="13065" max="13065" width="9" style="932" customWidth="1"/>
    <col min="13066" max="13066" width="29.7109375" style="932" customWidth="1"/>
    <col min="13067" max="13067" width="16.5703125" style="932" customWidth="1"/>
    <col min="13068" max="13068" width="29.42578125" style="932" customWidth="1"/>
    <col min="13069" max="13069" width="8.5703125" style="932" bestFit="1" customWidth="1"/>
    <col min="13070" max="13071" width="12.5703125" style="932" customWidth="1"/>
    <col min="13072" max="13072" width="16.42578125" style="932" customWidth="1"/>
    <col min="13073" max="13073" width="15.7109375" style="932" customWidth="1"/>
    <col min="13074" max="13074" width="0" style="932" hidden="1" customWidth="1"/>
    <col min="13075" max="13075" width="15.42578125" style="932" customWidth="1"/>
    <col min="13076" max="13076" width="16.85546875" style="932" customWidth="1"/>
    <col min="13077" max="13077" width="52.85546875" style="932" customWidth="1"/>
    <col min="13078" max="13078" width="17" style="932" bestFit="1" customWidth="1"/>
    <col min="13079" max="13079" width="10.140625" style="932" customWidth="1"/>
    <col min="13080" max="13313" width="9.140625" style="932"/>
    <col min="13314" max="13314" width="4" style="932" customWidth="1"/>
    <col min="13315" max="13315" width="23.140625" style="932" bestFit="1" customWidth="1"/>
    <col min="13316" max="13316" width="17.140625" style="932" customWidth="1"/>
    <col min="13317" max="13317" width="24.140625" style="932" customWidth="1"/>
    <col min="13318" max="13318" width="14.85546875" style="932" customWidth="1"/>
    <col min="13319" max="13319" width="15.42578125" style="932" customWidth="1"/>
    <col min="13320" max="13320" width="14.42578125" style="932" customWidth="1"/>
    <col min="13321" max="13321" width="9" style="932" customWidth="1"/>
    <col min="13322" max="13322" width="29.7109375" style="932" customWidth="1"/>
    <col min="13323" max="13323" width="16.5703125" style="932" customWidth="1"/>
    <col min="13324" max="13324" width="29.42578125" style="932" customWidth="1"/>
    <col min="13325" max="13325" width="8.5703125" style="932" bestFit="1" customWidth="1"/>
    <col min="13326" max="13327" width="12.5703125" style="932" customWidth="1"/>
    <col min="13328" max="13328" width="16.42578125" style="932" customWidth="1"/>
    <col min="13329" max="13329" width="15.7109375" style="932" customWidth="1"/>
    <col min="13330" max="13330" width="0" style="932" hidden="1" customWidth="1"/>
    <col min="13331" max="13331" width="15.42578125" style="932" customWidth="1"/>
    <col min="13332" max="13332" width="16.85546875" style="932" customWidth="1"/>
    <col min="13333" max="13333" width="52.85546875" style="932" customWidth="1"/>
    <col min="13334" max="13334" width="17" style="932" bestFit="1" customWidth="1"/>
    <col min="13335" max="13335" width="10.140625" style="932" customWidth="1"/>
    <col min="13336" max="13569" width="9.140625" style="932"/>
    <col min="13570" max="13570" width="4" style="932" customWidth="1"/>
    <col min="13571" max="13571" width="23.140625" style="932" bestFit="1" customWidth="1"/>
    <col min="13572" max="13572" width="17.140625" style="932" customWidth="1"/>
    <col min="13573" max="13573" width="24.140625" style="932" customWidth="1"/>
    <col min="13574" max="13574" width="14.85546875" style="932" customWidth="1"/>
    <col min="13575" max="13575" width="15.42578125" style="932" customWidth="1"/>
    <col min="13576" max="13576" width="14.42578125" style="932" customWidth="1"/>
    <col min="13577" max="13577" width="9" style="932" customWidth="1"/>
    <col min="13578" max="13578" width="29.7109375" style="932" customWidth="1"/>
    <col min="13579" max="13579" width="16.5703125" style="932" customWidth="1"/>
    <col min="13580" max="13580" width="29.42578125" style="932" customWidth="1"/>
    <col min="13581" max="13581" width="8.5703125" style="932" bestFit="1" customWidth="1"/>
    <col min="13582" max="13583" width="12.5703125" style="932" customWidth="1"/>
    <col min="13584" max="13584" width="16.42578125" style="932" customWidth="1"/>
    <col min="13585" max="13585" width="15.7109375" style="932" customWidth="1"/>
    <col min="13586" max="13586" width="0" style="932" hidden="1" customWidth="1"/>
    <col min="13587" max="13587" width="15.42578125" style="932" customWidth="1"/>
    <col min="13588" max="13588" width="16.85546875" style="932" customWidth="1"/>
    <col min="13589" max="13589" width="52.85546875" style="932" customWidth="1"/>
    <col min="13590" max="13590" width="17" style="932" bestFit="1" customWidth="1"/>
    <col min="13591" max="13591" width="10.140625" style="932" customWidth="1"/>
    <col min="13592" max="13825" width="9.140625" style="932"/>
    <col min="13826" max="13826" width="4" style="932" customWidth="1"/>
    <col min="13827" max="13827" width="23.140625" style="932" bestFit="1" customWidth="1"/>
    <col min="13828" max="13828" width="17.140625" style="932" customWidth="1"/>
    <col min="13829" max="13829" width="24.140625" style="932" customWidth="1"/>
    <col min="13830" max="13830" width="14.85546875" style="932" customWidth="1"/>
    <col min="13831" max="13831" width="15.42578125" style="932" customWidth="1"/>
    <col min="13832" max="13832" width="14.42578125" style="932" customWidth="1"/>
    <col min="13833" max="13833" width="9" style="932" customWidth="1"/>
    <col min="13834" max="13834" width="29.7109375" style="932" customWidth="1"/>
    <col min="13835" max="13835" width="16.5703125" style="932" customWidth="1"/>
    <col min="13836" max="13836" width="29.42578125" style="932" customWidth="1"/>
    <col min="13837" max="13837" width="8.5703125" style="932" bestFit="1" customWidth="1"/>
    <col min="13838" max="13839" width="12.5703125" style="932" customWidth="1"/>
    <col min="13840" max="13840" width="16.42578125" style="932" customWidth="1"/>
    <col min="13841" max="13841" width="15.7109375" style="932" customWidth="1"/>
    <col min="13842" max="13842" width="0" style="932" hidden="1" customWidth="1"/>
    <col min="13843" max="13843" width="15.42578125" style="932" customWidth="1"/>
    <col min="13844" max="13844" width="16.85546875" style="932" customWidth="1"/>
    <col min="13845" max="13845" width="52.85546875" style="932" customWidth="1"/>
    <col min="13846" max="13846" width="17" style="932" bestFit="1" customWidth="1"/>
    <col min="13847" max="13847" width="10.140625" style="932" customWidth="1"/>
    <col min="13848" max="14081" width="9.140625" style="932"/>
    <col min="14082" max="14082" width="4" style="932" customWidth="1"/>
    <col min="14083" max="14083" width="23.140625" style="932" bestFit="1" customWidth="1"/>
    <col min="14084" max="14084" width="17.140625" style="932" customWidth="1"/>
    <col min="14085" max="14085" width="24.140625" style="932" customWidth="1"/>
    <col min="14086" max="14086" width="14.85546875" style="932" customWidth="1"/>
    <col min="14087" max="14087" width="15.42578125" style="932" customWidth="1"/>
    <col min="14088" max="14088" width="14.42578125" style="932" customWidth="1"/>
    <col min="14089" max="14089" width="9" style="932" customWidth="1"/>
    <col min="14090" max="14090" width="29.7109375" style="932" customWidth="1"/>
    <col min="14091" max="14091" width="16.5703125" style="932" customWidth="1"/>
    <col min="14092" max="14092" width="29.42578125" style="932" customWidth="1"/>
    <col min="14093" max="14093" width="8.5703125" style="932" bestFit="1" customWidth="1"/>
    <col min="14094" max="14095" width="12.5703125" style="932" customWidth="1"/>
    <col min="14096" max="14096" width="16.42578125" style="932" customWidth="1"/>
    <col min="14097" max="14097" width="15.7109375" style="932" customWidth="1"/>
    <col min="14098" max="14098" width="0" style="932" hidden="1" customWidth="1"/>
    <col min="14099" max="14099" width="15.42578125" style="932" customWidth="1"/>
    <col min="14100" max="14100" width="16.85546875" style="932" customWidth="1"/>
    <col min="14101" max="14101" width="52.85546875" style="932" customWidth="1"/>
    <col min="14102" max="14102" width="17" style="932" bestFit="1" customWidth="1"/>
    <col min="14103" max="14103" width="10.140625" style="932" customWidth="1"/>
    <col min="14104" max="14337" width="9.140625" style="932"/>
    <col min="14338" max="14338" width="4" style="932" customWidth="1"/>
    <col min="14339" max="14339" width="23.140625" style="932" bestFit="1" customWidth="1"/>
    <col min="14340" max="14340" width="17.140625" style="932" customWidth="1"/>
    <col min="14341" max="14341" width="24.140625" style="932" customWidth="1"/>
    <col min="14342" max="14342" width="14.85546875" style="932" customWidth="1"/>
    <col min="14343" max="14343" width="15.42578125" style="932" customWidth="1"/>
    <col min="14344" max="14344" width="14.42578125" style="932" customWidth="1"/>
    <col min="14345" max="14345" width="9" style="932" customWidth="1"/>
    <col min="14346" max="14346" width="29.7109375" style="932" customWidth="1"/>
    <col min="14347" max="14347" width="16.5703125" style="932" customWidth="1"/>
    <col min="14348" max="14348" width="29.42578125" style="932" customWidth="1"/>
    <col min="14349" max="14349" width="8.5703125" style="932" bestFit="1" customWidth="1"/>
    <col min="14350" max="14351" width="12.5703125" style="932" customWidth="1"/>
    <col min="14352" max="14352" width="16.42578125" style="932" customWidth="1"/>
    <col min="14353" max="14353" width="15.7109375" style="932" customWidth="1"/>
    <col min="14354" max="14354" width="0" style="932" hidden="1" customWidth="1"/>
    <col min="14355" max="14355" width="15.42578125" style="932" customWidth="1"/>
    <col min="14356" max="14356" width="16.85546875" style="932" customWidth="1"/>
    <col min="14357" max="14357" width="52.85546875" style="932" customWidth="1"/>
    <col min="14358" max="14358" width="17" style="932" bestFit="1" customWidth="1"/>
    <col min="14359" max="14359" width="10.140625" style="932" customWidth="1"/>
    <col min="14360" max="14593" width="9.140625" style="932"/>
    <col min="14594" max="14594" width="4" style="932" customWidth="1"/>
    <col min="14595" max="14595" width="23.140625" style="932" bestFit="1" customWidth="1"/>
    <col min="14596" max="14596" width="17.140625" style="932" customWidth="1"/>
    <col min="14597" max="14597" width="24.140625" style="932" customWidth="1"/>
    <col min="14598" max="14598" width="14.85546875" style="932" customWidth="1"/>
    <col min="14599" max="14599" width="15.42578125" style="932" customWidth="1"/>
    <col min="14600" max="14600" width="14.42578125" style="932" customWidth="1"/>
    <col min="14601" max="14601" width="9" style="932" customWidth="1"/>
    <col min="14602" max="14602" width="29.7109375" style="932" customWidth="1"/>
    <col min="14603" max="14603" width="16.5703125" style="932" customWidth="1"/>
    <col min="14604" max="14604" width="29.42578125" style="932" customWidth="1"/>
    <col min="14605" max="14605" width="8.5703125" style="932" bestFit="1" customWidth="1"/>
    <col min="14606" max="14607" width="12.5703125" style="932" customWidth="1"/>
    <col min="14608" max="14608" width="16.42578125" style="932" customWidth="1"/>
    <col min="14609" max="14609" width="15.7109375" style="932" customWidth="1"/>
    <col min="14610" max="14610" width="0" style="932" hidden="1" customWidth="1"/>
    <col min="14611" max="14611" width="15.42578125" style="932" customWidth="1"/>
    <col min="14612" max="14612" width="16.85546875" style="932" customWidth="1"/>
    <col min="14613" max="14613" width="52.85546875" style="932" customWidth="1"/>
    <col min="14614" max="14614" width="17" style="932" bestFit="1" customWidth="1"/>
    <col min="14615" max="14615" width="10.140625" style="932" customWidth="1"/>
    <col min="14616" max="14849" width="9.140625" style="932"/>
    <col min="14850" max="14850" width="4" style="932" customWidth="1"/>
    <col min="14851" max="14851" width="23.140625" style="932" bestFit="1" customWidth="1"/>
    <col min="14852" max="14852" width="17.140625" style="932" customWidth="1"/>
    <col min="14853" max="14853" width="24.140625" style="932" customWidth="1"/>
    <col min="14854" max="14854" width="14.85546875" style="932" customWidth="1"/>
    <col min="14855" max="14855" width="15.42578125" style="932" customWidth="1"/>
    <col min="14856" max="14856" width="14.42578125" style="932" customWidth="1"/>
    <col min="14857" max="14857" width="9" style="932" customWidth="1"/>
    <col min="14858" max="14858" width="29.7109375" style="932" customWidth="1"/>
    <col min="14859" max="14859" width="16.5703125" style="932" customWidth="1"/>
    <col min="14860" max="14860" width="29.42578125" style="932" customWidth="1"/>
    <col min="14861" max="14861" width="8.5703125" style="932" bestFit="1" customWidth="1"/>
    <col min="14862" max="14863" width="12.5703125" style="932" customWidth="1"/>
    <col min="14864" max="14864" width="16.42578125" style="932" customWidth="1"/>
    <col min="14865" max="14865" width="15.7109375" style="932" customWidth="1"/>
    <col min="14866" max="14866" width="0" style="932" hidden="1" customWidth="1"/>
    <col min="14867" max="14867" width="15.42578125" style="932" customWidth="1"/>
    <col min="14868" max="14868" width="16.85546875" style="932" customWidth="1"/>
    <col min="14869" max="14869" width="52.85546875" style="932" customWidth="1"/>
    <col min="14870" max="14870" width="17" style="932" bestFit="1" customWidth="1"/>
    <col min="14871" max="14871" width="10.140625" style="932" customWidth="1"/>
    <col min="14872" max="15105" width="9.140625" style="932"/>
    <col min="15106" max="15106" width="4" style="932" customWidth="1"/>
    <col min="15107" max="15107" width="23.140625" style="932" bestFit="1" customWidth="1"/>
    <col min="15108" max="15108" width="17.140625" style="932" customWidth="1"/>
    <col min="15109" max="15109" width="24.140625" style="932" customWidth="1"/>
    <col min="15110" max="15110" width="14.85546875" style="932" customWidth="1"/>
    <col min="15111" max="15111" width="15.42578125" style="932" customWidth="1"/>
    <col min="15112" max="15112" width="14.42578125" style="932" customWidth="1"/>
    <col min="15113" max="15113" width="9" style="932" customWidth="1"/>
    <col min="15114" max="15114" width="29.7109375" style="932" customWidth="1"/>
    <col min="15115" max="15115" width="16.5703125" style="932" customWidth="1"/>
    <col min="15116" max="15116" width="29.42578125" style="932" customWidth="1"/>
    <col min="15117" max="15117" width="8.5703125" style="932" bestFit="1" customWidth="1"/>
    <col min="15118" max="15119" width="12.5703125" style="932" customWidth="1"/>
    <col min="15120" max="15120" width="16.42578125" style="932" customWidth="1"/>
    <col min="15121" max="15121" width="15.7109375" style="932" customWidth="1"/>
    <col min="15122" max="15122" width="0" style="932" hidden="1" customWidth="1"/>
    <col min="15123" max="15123" width="15.42578125" style="932" customWidth="1"/>
    <col min="15124" max="15124" width="16.85546875" style="932" customWidth="1"/>
    <col min="15125" max="15125" width="52.85546875" style="932" customWidth="1"/>
    <col min="15126" max="15126" width="17" style="932" bestFit="1" customWidth="1"/>
    <col min="15127" max="15127" width="10.140625" style="932" customWidth="1"/>
    <col min="15128" max="15361" width="9.140625" style="932"/>
    <col min="15362" max="15362" width="4" style="932" customWidth="1"/>
    <col min="15363" max="15363" width="23.140625" style="932" bestFit="1" customWidth="1"/>
    <col min="15364" max="15364" width="17.140625" style="932" customWidth="1"/>
    <col min="15365" max="15365" width="24.140625" style="932" customWidth="1"/>
    <col min="15366" max="15366" width="14.85546875" style="932" customWidth="1"/>
    <col min="15367" max="15367" width="15.42578125" style="932" customWidth="1"/>
    <col min="15368" max="15368" width="14.42578125" style="932" customWidth="1"/>
    <col min="15369" max="15369" width="9" style="932" customWidth="1"/>
    <col min="15370" max="15370" width="29.7109375" style="932" customWidth="1"/>
    <col min="15371" max="15371" width="16.5703125" style="932" customWidth="1"/>
    <col min="15372" max="15372" width="29.42578125" style="932" customWidth="1"/>
    <col min="15373" max="15373" width="8.5703125" style="932" bestFit="1" customWidth="1"/>
    <col min="15374" max="15375" width="12.5703125" style="932" customWidth="1"/>
    <col min="15376" max="15376" width="16.42578125" style="932" customWidth="1"/>
    <col min="15377" max="15377" width="15.7109375" style="932" customWidth="1"/>
    <col min="15378" max="15378" width="0" style="932" hidden="1" customWidth="1"/>
    <col min="15379" max="15379" width="15.42578125" style="932" customWidth="1"/>
    <col min="15380" max="15380" width="16.85546875" style="932" customWidth="1"/>
    <col min="15381" max="15381" width="52.85546875" style="932" customWidth="1"/>
    <col min="15382" max="15382" width="17" style="932" bestFit="1" customWidth="1"/>
    <col min="15383" max="15383" width="10.140625" style="932" customWidth="1"/>
    <col min="15384" max="15617" width="9.140625" style="932"/>
    <col min="15618" max="15618" width="4" style="932" customWidth="1"/>
    <col min="15619" max="15619" width="23.140625" style="932" bestFit="1" customWidth="1"/>
    <col min="15620" max="15620" width="17.140625" style="932" customWidth="1"/>
    <col min="15621" max="15621" width="24.140625" style="932" customWidth="1"/>
    <col min="15622" max="15622" width="14.85546875" style="932" customWidth="1"/>
    <col min="15623" max="15623" width="15.42578125" style="932" customWidth="1"/>
    <col min="15624" max="15624" width="14.42578125" style="932" customWidth="1"/>
    <col min="15625" max="15625" width="9" style="932" customWidth="1"/>
    <col min="15626" max="15626" width="29.7109375" style="932" customWidth="1"/>
    <col min="15627" max="15627" width="16.5703125" style="932" customWidth="1"/>
    <col min="15628" max="15628" width="29.42578125" style="932" customWidth="1"/>
    <col min="15629" max="15629" width="8.5703125" style="932" bestFit="1" customWidth="1"/>
    <col min="15630" max="15631" width="12.5703125" style="932" customWidth="1"/>
    <col min="15632" max="15632" width="16.42578125" style="932" customWidth="1"/>
    <col min="15633" max="15633" width="15.7109375" style="932" customWidth="1"/>
    <col min="15634" max="15634" width="0" style="932" hidden="1" customWidth="1"/>
    <col min="15635" max="15635" width="15.42578125" style="932" customWidth="1"/>
    <col min="15636" max="15636" width="16.85546875" style="932" customWidth="1"/>
    <col min="15637" max="15637" width="52.85546875" style="932" customWidth="1"/>
    <col min="15638" max="15638" width="17" style="932" bestFit="1" customWidth="1"/>
    <col min="15639" max="15639" width="10.140625" style="932" customWidth="1"/>
    <col min="15640" max="15873" width="9.140625" style="932"/>
    <col min="15874" max="15874" width="4" style="932" customWidth="1"/>
    <col min="15875" max="15875" width="23.140625" style="932" bestFit="1" customWidth="1"/>
    <col min="15876" max="15876" width="17.140625" style="932" customWidth="1"/>
    <col min="15877" max="15877" width="24.140625" style="932" customWidth="1"/>
    <col min="15878" max="15878" width="14.85546875" style="932" customWidth="1"/>
    <col min="15879" max="15879" width="15.42578125" style="932" customWidth="1"/>
    <col min="15880" max="15880" width="14.42578125" style="932" customWidth="1"/>
    <col min="15881" max="15881" width="9" style="932" customWidth="1"/>
    <col min="15882" max="15882" width="29.7109375" style="932" customWidth="1"/>
    <col min="15883" max="15883" width="16.5703125" style="932" customWidth="1"/>
    <col min="15884" max="15884" width="29.42578125" style="932" customWidth="1"/>
    <col min="15885" max="15885" width="8.5703125" style="932" bestFit="1" customWidth="1"/>
    <col min="15886" max="15887" width="12.5703125" style="932" customWidth="1"/>
    <col min="15888" max="15888" width="16.42578125" style="932" customWidth="1"/>
    <col min="15889" max="15889" width="15.7109375" style="932" customWidth="1"/>
    <col min="15890" max="15890" width="0" style="932" hidden="1" customWidth="1"/>
    <col min="15891" max="15891" width="15.42578125" style="932" customWidth="1"/>
    <col min="15892" max="15892" width="16.85546875" style="932" customWidth="1"/>
    <col min="15893" max="15893" width="52.85546875" style="932" customWidth="1"/>
    <col min="15894" max="15894" width="17" style="932" bestFit="1" customWidth="1"/>
    <col min="15895" max="15895" width="10.140625" style="932" customWidth="1"/>
    <col min="15896" max="16129" width="9.140625" style="932"/>
    <col min="16130" max="16130" width="4" style="932" customWidth="1"/>
    <col min="16131" max="16131" width="23.140625" style="932" bestFit="1" customWidth="1"/>
    <col min="16132" max="16132" width="17.140625" style="932" customWidth="1"/>
    <col min="16133" max="16133" width="24.140625" style="932" customWidth="1"/>
    <col min="16134" max="16134" width="14.85546875" style="932" customWidth="1"/>
    <col min="16135" max="16135" width="15.42578125" style="932" customWidth="1"/>
    <col min="16136" max="16136" width="14.42578125" style="932" customWidth="1"/>
    <col min="16137" max="16137" width="9" style="932" customWidth="1"/>
    <col min="16138" max="16138" width="29.7109375" style="932" customWidth="1"/>
    <col min="16139" max="16139" width="16.5703125" style="932" customWidth="1"/>
    <col min="16140" max="16140" width="29.42578125" style="932" customWidth="1"/>
    <col min="16141" max="16141" width="8.5703125" style="932" bestFit="1" customWidth="1"/>
    <col min="16142" max="16143" width="12.5703125" style="932" customWidth="1"/>
    <col min="16144" max="16144" width="16.42578125" style="932" customWidth="1"/>
    <col min="16145" max="16145" width="15.7109375" style="932" customWidth="1"/>
    <col min="16146" max="16146" width="0" style="932" hidden="1" customWidth="1"/>
    <col min="16147" max="16147" width="15.42578125" style="932" customWidth="1"/>
    <col min="16148" max="16148" width="16.85546875" style="932" customWidth="1"/>
    <col min="16149" max="16149" width="52.85546875" style="932" customWidth="1"/>
    <col min="16150" max="16150" width="17" style="932" bestFit="1" customWidth="1"/>
    <col min="16151" max="16151" width="10.140625" style="932" customWidth="1"/>
    <col min="16152" max="16384" width="9.140625" style="932"/>
  </cols>
  <sheetData>
    <row r="1" spans="1:25" ht="12.75" thickBot="1">
      <c r="U1" s="932">
        <v>1000</v>
      </c>
    </row>
    <row r="2" spans="1:25" s="976" customFormat="1" ht="36.75" thickBot="1">
      <c r="A2" s="973" t="s">
        <v>673</v>
      </c>
      <c r="B2" s="974" t="s">
        <v>674</v>
      </c>
      <c r="C2" s="974" t="s">
        <v>675</v>
      </c>
      <c r="D2" s="974" t="s">
        <v>676</v>
      </c>
      <c r="E2" s="974" t="s">
        <v>677</v>
      </c>
      <c r="F2" s="974" t="s">
        <v>678</v>
      </c>
      <c r="G2" s="974" t="s">
        <v>679</v>
      </c>
      <c r="H2" s="974" t="s">
        <v>680</v>
      </c>
      <c r="I2" s="974" t="s">
        <v>681</v>
      </c>
      <c r="J2" s="974" t="s">
        <v>682</v>
      </c>
      <c r="K2" s="974" t="s">
        <v>683</v>
      </c>
      <c r="L2" s="974" t="s">
        <v>684</v>
      </c>
      <c r="M2" s="974" t="s">
        <v>685</v>
      </c>
      <c r="N2" s="974"/>
      <c r="O2" s="974" t="s">
        <v>686</v>
      </c>
      <c r="P2" s="974" t="s">
        <v>1451</v>
      </c>
      <c r="Q2" s="974" t="s">
        <v>688</v>
      </c>
      <c r="R2" s="974" t="s">
        <v>689</v>
      </c>
      <c r="S2" s="974" t="s">
        <v>690</v>
      </c>
      <c r="T2" s="975" t="s">
        <v>691</v>
      </c>
      <c r="U2" s="974" t="s">
        <v>692</v>
      </c>
      <c r="V2" s="974" t="s">
        <v>693</v>
      </c>
      <c r="W2" s="974" t="s">
        <v>694</v>
      </c>
    </row>
    <row r="3" spans="1:25">
      <c r="A3" s="934">
        <v>1</v>
      </c>
      <c r="B3" s="932" t="s">
        <v>666</v>
      </c>
      <c r="C3" s="932" t="s">
        <v>703</v>
      </c>
      <c r="D3" s="932" t="s">
        <v>696</v>
      </c>
      <c r="F3" s="936"/>
      <c r="G3" s="936"/>
      <c r="I3" s="932" t="s">
        <v>704</v>
      </c>
      <c r="J3" s="936"/>
      <c r="K3" s="932" t="s">
        <v>705</v>
      </c>
      <c r="L3" s="937">
        <v>1</v>
      </c>
      <c r="M3" s="938" t="e">
        <f>#REF!</f>
        <v>#REF!</v>
      </c>
      <c r="N3" s="938" t="e">
        <f t="shared" ref="N3:N8" si="0">M3*L3</f>
        <v>#REF!</v>
      </c>
      <c r="O3" s="938" t="e">
        <f>#REF!</f>
        <v>#REF!</v>
      </c>
      <c r="P3" s="939" t="e">
        <f>8358/M3</f>
        <v>#REF!</v>
      </c>
      <c r="Q3" s="940" t="e">
        <f>M3*P3</f>
        <v>#REF!</v>
      </c>
      <c r="R3" s="932" t="s">
        <v>706</v>
      </c>
      <c r="S3" s="939" t="s">
        <v>698</v>
      </c>
      <c r="T3" s="1381" t="e">
        <f>(#REF!)/1000</f>
        <v>#REF!</v>
      </c>
      <c r="U3" s="932" t="s">
        <v>707</v>
      </c>
      <c r="V3" s="941" t="s">
        <v>708</v>
      </c>
      <c r="Y3" s="1380"/>
    </row>
    <row r="4" spans="1:25" ht="12.75" thickBot="1">
      <c r="A4" s="934">
        <v>2</v>
      </c>
      <c r="B4" s="932" t="s">
        <v>667</v>
      </c>
      <c r="C4" s="932" t="s">
        <v>703</v>
      </c>
      <c r="D4" s="945"/>
      <c r="E4" s="945"/>
      <c r="F4" s="945">
        <v>90000</v>
      </c>
      <c r="G4" s="945">
        <v>200000</v>
      </c>
      <c r="H4" s="945"/>
      <c r="I4" s="945"/>
      <c r="J4" s="945"/>
      <c r="K4" s="932" t="s">
        <v>715</v>
      </c>
      <c r="L4" s="937">
        <v>1</v>
      </c>
      <c r="M4" s="940">
        <v>20096.5</v>
      </c>
      <c r="N4" s="938">
        <f t="shared" si="0"/>
        <v>20096.5</v>
      </c>
      <c r="O4" s="943"/>
      <c r="P4" s="942"/>
      <c r="Q4" s="943"/>
      <c r="S4" s="944" t="s">
        <v>698</v>
      </c>
      <c r="T4" s="1381" t="e">
        <f>(#REF!)/1000</f>
        <v>#REF!</v>
      </c>
      <c r="U4" s="946"/>
      <c r="V4" s="941" t="s">
        <v>700</v>
      </c>
      <c r="Y4" s="1380"/>
    </row>
    <row r="5" spans="1:25">
      <c r="A5" s="934">
        <v>3</v>
      </c>
      <c r="B5" s="935" t="s">
        <v>664</v>
      </c>
      <c r="C5" s="932" t="s">
        <v>695</v>
      </c>
      <c r="D5" s="932" t="s">
        <v>696</v>
      </c>
      <c r="J5" s="936"/>
      <c r="K5" s="932" t="s">
        <v>697</v>
      </c>
      <c r="L5" s="937" t="e">
        <f>#REF!</f>
        <v>#REF!</v>
      </c>
      <c r="M5" s="938">
        <v>271000</v>
      </c>
      <c r="N5" s="938" t="e">
        <f t="shared" si="0"/>
        <v>#REF!</v>
      </c>
      <c r="O5" s="938" t="e">
        <f>#REF!</f>
        <v>#REF!</v>
      </c>
      <c r="P5" s="939" t="e">
        <f>#REF!</f>
        <v>#REF!</v>
      </c>
      <c r="Q5" s="940" t="e">
        <f>#REF!</f>
        <v>#REF!</v>
      </c>
      <c r="S5" s="939" t="s">
        <v>698</v>
      </c>
      <c r="T5" s="1382" t="e">
        <f>(#REF!)/1000</f>
        <v>#REF!</v>
      </c>
      <c r="U5" s="932" t="s">
        <v>699</v>
      </c>
      <c r="V5" s="941" t="s">
        <v>700</v>
      </c>
      <c r="Y5" s="1380"/>
    </row>
    <row r="6" spans="1:25">
      <c r="A6" s="934">
        <v>4</v>
      </c>
      <c r="B6" s="932" t="s">
        <v>668</v>
      </c>
      <c r="C6" s="932" t="s">
        <v>1505</v>
      </c>
      <c r="D6" s="945"/>
      <c r="E6" s="945"/>
      <c r="F6" s="945"/>
      <c r="G6" s="945"/>
      <c r="H6" s="945"/>
      <c r="I6" s="945"/>
      <c r="J6" s="945"/>
      <c r="K6" s="932" t="s">
        <v>715</v>
      </c>
      <c r="L6" s="937">
        <v>1</v>
      </c>
      <c r="M6" s="940">
        <v>74000</v>
      </c>
      <c r="N6" s="938">
        <f t="shared" si="0"/>
        <v>74000</v>
      </c>
      <c r="O6" s="943"/>
      <c r="P6" s="942"/>
      <c r="Q6" s="947"/>
      <c r="S6" s="944" t="s">
        <v>698</v>
      </c>
      <c r="T6" s="1381" t="e">
        <f>(#REF!)/1000</f>
        <v>#REF!</v>
      </c>
      <c r="U6" s="935"/>
      <c r="V6" s="941" t="s">
        <v>700</v>
      </c>
      <c r="Y6" s="1380"/>
    </row>
    <row r="7" spans="1:25">
      <c r="A7" s="934">
        <v>5</v>
      </c>
      <c r="B7" s="932" t="s">
        <v>665</v>
      </c>
      <c r="C7" s="932" t="s">
        <v>695</v>
      </c>
      <c r="D7" s="932" t="s">
        <v>696</v>
      </c>
      <c r="F7" s="936"/>
      <c r="G7" s="936"/>
      <c r="I7" s="936"/>
      <c r="J7" s="936"/>
      <c r="K7" s="932" t="s">
        <v>697</v>
      </c>
      <c r="L7" s="937">
        <f>'Viva City'!C9</f>
        <v>0.41499999999999998</v>
      </c>
      <c r="M7" s="938">
        <f>'Viva City'!D26</f>
        <v>1170900</v>
      </c>
      <c r="N7" s="938">
        <f t="shared" si="0"/>
        <v>485923.5</v>
      </c>
      <c r="O7" s="938">
        <f>'Viva City'!D39</f>
        <v>1170900</v>
      </c>
      <c r="P7" s="939">
        <f>'Viva City'!D40</f>
        <v>0.47861559484157484</v>
      </c>
      <c r="Q7" s="940">
        <f>'Viva City'!D41</f>
        <v>560411</v>
      </c>
      <c r="R7" s="932" t="s">
        <v>701</v>
      </c>
      <c r="S7" s="939" t="s">
        <v>698</v>
      </c>
      <c r="T7" s="1381">
        <f>('Viva City'!C200)/1000</f>
        <v>144.00780700848523</v>
      </c>
      <c r="U7" s="932" t="s">
        <v>702</v>
      </c>
      <c r="V7" s="941" t="s">
        <v>700</v>
      </c>
      <c r="Y7" s="1380"/>
    </row>
    <row r="8" spans="1:25" ht="12.75" thickBot="1">
      <c r="A8" s="1368">
        <v>6</v>
      </c>
      <c r="B8" s="1369" t="s">
        <v>709</v>
      </c>
      <c r="C8" s="1369" t="s">
        <v>695</v>
      </c>
      <c r="D8" s="1370" t="s">
        <v>710</v>
      </c>
      <c r="E8" s="1371"/>
      <c r="F8" s="1372"/>
      <c r="G8" s="1372"/>
      <c r="H8" s="1372"/>
      <c r="I8" s="1372"/>
      <c r="J8" s="1372"/>
      <c r="K8" s="1369" t="s">
        <v>709</v>
      </c>
      <c r="L8" s="1373">
        <v>0.44500000000000001</v>
      </c>
      <c r="M8" s="1374">
        <v>700000</v>
      </c>
      <c r="N8" s="1374">
        <f t="shared" si="0"/>
        <v>311500</v>
      </c>
      <c r="O8" s="1375" t="s">
        <v>711</v>
      </c>
      <c r="P8" s="1376" t="s">
        <v>711</v>
      </c>
      <c r="Q8" s="1377" t="s">
        <v>711</v>
      </c>
      <c r="R8" s="1369" t="s">
        <v>712</v>
      </c>
      <c r="S8" s="1378" t="s">
        <v>1506</v>
      </c>
      <c r="T8" s="1383">
        <f>(70000/49*44.5)/1000</f>
        <v>63.571428571428569</v>
      </c>
      <c r="U8" s="1369" t="s">
        <v>1181</v>
      </c>
      <c r="V8" s="1379" t="s">
        <v>700</v>
      </c>
      <c r="Y8" s="1380"/>
    </row>
    <row r="9" spans="1:25">
      <c r="A9" s="934">
        <v>7</v>
      </c>
      <c r="B9" s="932" t="s">
        <v>1312</v>
      </c>
      <c r="C9" s="932" t="s">
        <v>703</v>
      </c>
      <c r="D9" s="945"/>
      <c r="E9" s="945"/>
      <c r="F9" s="945"/>
      <c r="G9" s="945"/>
      <c r="H9" s="945"/>
      <c r="I9" s="945"/>
      <c r="J9" s="945"/>
      <c r="L9" s="937">
        <v>1</v>
      </c>
      <c r="M9" s="940">
        <v>8250</v>
      </c>
      <c r="N9" s="938"/>
      <c r="O9" s="943"/>
      <c r="P9" s="942"/>
      <c r="Q9" s="947"/>
      <c r="S9" s="944" t="s">
        <v>698</v>
      </c>
      <c r="T9" s="1381" t="e">
        <f>(#REF!)/1000</f>
        <v>#REF!</v>
      </c>
      <c r="U9" s="935"/>
      <c r="V9" s="941"/>
      <c r="Y9" s="1380"/>
    </row>
    <row r="10" spans="1:25">
      <c r="A10" s="934">
        <v>8</v>
      </c>
      <c r="B10" s="932" t="s">
        <v>1314</v>
      </c>
      <c r="C10" s="932" t="s">
        <v>703</v>
      </c>
      <c r="D10" s="945"/>
      <c r="E10" s="945"/>
      <c r="F10" s="945"/>
      <c r="G10" s="945"/>
      <c r="H10" s="945"/>
      <c r="I10" s="945"/>
      <c r="J10" s="945"/>
      <c r="L10" s="937">
        <v>1</v>
      </c>
      <c r="M10" s="940">
        <v>12678</v>
      </c>
      <c r="N10" s="938"/>
      <c r="O10" s="943"/>
      <c r="P10" s="942"/>
      <c r="Q10" s="947"/>
      <c r="S10" s="944" t="s">
        <v>698</v>
      </c>
      <c r="T10" s="1381" t="e">
        <f>(#REF!)/1000</f>
        <v>#REF!</v>
      </c>
      <c r="U10" s="935"/>
      <c r="V10" s="941"/>
      <c r="Y10" s="1380"/>
    </row>
    <row r="11" spans="1:25">
      <c r="A11" s="934">
        <v>9</v>
      </c>
      <c r="B11" s="932" t="s">
        <v>1315</v>
      </c>
      <c r="C11" s="932" t="s">
        <v>703</v>
      </c>
      <c r="D11" s="945"/>
      <c r="E11" s="945"/>
      <c r="F11" s="945"/>
      <c r="G11" s="945"/>
      <c r="H11" s="945"/>
      <c r="I11" s="945"/>
      <c r="J11" s="945"/>
      <c r="L11" s="937">
        <v>1</v>
      </c>
      <c r="M11" s="940">
        <v>15996</v>
      </c>
      <c r="N11" s="938"/>
      <c r="O11" s="943"/>
      <c r="P11" s="942"/>
      <c r="Q11" s="947"/>
      <c r="S11" s="944" t="s">
        <v>698</v>
      </c>
      <c r="T11" s="1381">
        <f>('CT15'!C194)/1000</f>
        <v>23.615295344724071</v>
      </c>
      <c r="U11" s="935"/>
      <c r="V11" s="941"/>
      <c r="Y11" s="1380"/>
    </row>
    <row r="12" spans="1:25">
      <c r="A12" s="934">
        <v>10</v>
      </c>
      <c r="B12" s="932" t="s">
        <v>1317</v>
      </c>
      <c r="C12" s="932" t="s">
        <v>703</v>
      </c>
      <c r="D12" s="945"/>
      <c r="E12" s="945"/>
      <c r="F12" s="945"/>
      <c r="G12" s="945"/>
      <c r="H12" s="945"/>
      <c r="I12" s="945"/>
      <c r="J12" s="945"/>
      <c r="L12" s="937">
        <v>1</v>
      </c>
      <c r="M12" s="940">
        <v>7481</v>
      </c>
      <c r="N12" s="938"/>
      <c r="O12" s="943"/>
      <c r="P12" s="942"/>
      <c r="Q12" s="947"/>
      <c r="S12" s="944" t="s">
        <v>698</v>
      </c>
      <c r="T12" s="1381" t="e">
        <f>(#REF!)/1000</f>
        <v>#REF!</v>
      </c>
      <c r="U12" s="935"/>
      <c r="V12" s="941"/>
      <c r="Y12" s="1380"/>
    </row>
    <row r="13" spans="1:25">
      <c r="A13" s="934">
        <v>11</v>
      </c>
      <c r="B13" s="932" t="s">
        <v>1494</v>
      </c>
      <c r="C13" s="932" t="s">
        <v>703</v>
      </c>
      <c r="D13" s="945"/>
      <c r="E13" s="945"/>
      <c r="F13" s="945"/>
      <c r="G13" s="945"/>
      <c r="H13" s="945"/>
      <c r="I13" s="945"/>
      <c r="J13" s="945"/>
      <c r="L13" s="937">
        <v>1</v>
      </c>
      <c r="M13" s="940">
        <v>12318</v>
      </c>
      <c r="N13" s="938"/>
      <c r="O13" s="943"/>
      <c r="P13" s="942"/>
      <c r="Q13" s="947"/>
      <c r="S13" s="944" t="s">
        <v>698</v>
      </c>
      <c r="T13" s="1381" t="e">
        <f>(#REF!)/1000</f>
        <v>#REF!</v>
      </c>
      <c r="U13" s="935"/>
      <c r="V13" s="941"/>
      <c r="Y13" s="1380"/>
    </row>
    <row r="14" spans="1:25">
      <c r="A14" s="934">
        <v>12</v>
      </c>
      <c r="B14" s="932" t="s">
        <v>1447</v>
      </c>
      <c r="C14" s="932" t="s">
        <v>703</v>
      </c>
      <c r="D14" s="945"/>
      <c r="E14" s="945"/>
      <c r="F14" s="945"/>
      <c r="G14" s="945"/>
      <c r="H14" s="945"/>
      <c r="I14" s="945"/>
      <c r="J14" s="945"/>
      <c r="L14" s="937">
        <v>1</v>
      </c>
      <c r="M14" s="940">
        <v>8526</v>
      </c>
      <c r="N14" s="938"/>
      <c r="O14" s="943"/>
      <c r="P14" s="942"/>
      <c r="Q14" s="947"/>
      <c r="S14" s="944" t="s">
        <v>698</v>
      </c>
      <c r="T14" s="1381" t="e">
        <f>(#REF!)/1000</f>
        <v>#REF!</v>
      </c>
      <c r="U14" s="935"/>
      <c r="V14" s="941"/>
      <c r="Y14" s="1380"/>
    </row>
    <row r="15" spans="1:25" s="948" customFormat="1">
      <c r="A15" s="934"/>
      <c r="D15" s="948" t="s">
        <v>721</v>
      </c>
      <c r="E15" s="949">
        <v>0.4</v>
      </c>
      <c r="H15" s="948">
        <f>'[13]Villa DN'!D26</f>
        <v>20</v>
      </c>
      <c r="I15" s="948" t="s">
        <v>722</v>
      </c>
      <c r="J15" s="948" t="s">
        <v>711</v>
      </c>
      <c r="K15" s="948" t="s">
        <v>723</v>
      </c>
      <c r="L15" s="949"/>
      <c r="M15" s="950"/>
      <c r="N15" s="950"/>
      <c r="O15" s="950"/>
      <c r="P15" s="951"/>
      <c r="Q15" s="950"/>
      <c r="S15" s="952"/>
      <c r="T15" s="1384"/>
      <c r="V15" s="953"/>
      <c r="W15" s="954"/>
    </row>
    <row r="16" spans="1:25" s="955" customFormat="1" ht="13.5" customHeight="1">
      <c r="B16" s="955" t="s">
        <v>724</v>
      </c>
      <c r="K16" s="956"/>
      <c r="M16" s="957">
        <f>SUM(M4:M15)</f>
        <v>2301245.5</v>
      </c>
      <c r="N16" s="957" t="e">
        <f>SUM(N4:N15)/1000</f>
        <v>#REF!</v>
      </c>
      <c r="O16" s="957"/>
      <c r="P16" s="957"/>
      <c r="Q16" s="957"/>
      <c r="S16" s="957"/>
      <c r="T16" s="1385" t="e">
        <f>SUM(T3:T15)</f>
        <v>#REF!</v>
      </c>
      <c r="U16" s="957"/>
    </row>
    <row r="17" spans="2:27" s="955" customFormat="1" ht="13.5" customHeight="1">
      <c r="B17" s="955" t="s">
        <v>725</v>
      </c>
      <c r="K17" s="956"/>
      <c r="M17" s="957"/>
      <c r="N17" s="957"/>
      <c r="O17" s="957"/>
      <c r="P17" s="957"/>
      <c r="Q17" s="957"/>
      <c r="S17" s="958"/>
      <c r="T17" s="1385" t="e">
        <f>'Rev_NPAT (new)'!J37/1000+'Rev_NPAT (new)'!J49/1000</f>
        <v>#REF!</v>
      </c>
      <c r="U17" s="957"/>
    </row>
    <row r="18" spans="2:27" s="955" customFormat="1" ht="13.5" customHeight="1">
      <c r="B18" s="955" t="s">
        <v>1507</v>
      </c>
      <c r="K18" s="956"/>
      <c r="M18" s="957"/>
      <c r="N18" s="957"/>
      <c r="O18" s="957"/>
      <c r="P18" s="957"/>
      <c r="Q18" s="957"/>
      <c r="S18" s="957"/>
      <c r="T18" s="1386" t="e">
        <f>'Rev_NPAT (new)'!J58/1000</f>
        <v>#REF!</v>
      </c>
      <c r="U18" s="957"/>
    </row>
    <row r="19" spans="2:27" ht="36">
      <c r="B19" s="935" t="s">
        <v>726</v>
      </c>
      <c r="M19" s="933">
        <f>M16/10000</f>
        <v>230.12455</v>
      </c>
      <c r="T19" s="1015">
        <v>662.46199999999999</v>
      </c>
      <c r="U19" s="933"/>
    </row>
    <row r="20" spans="2:27">
      <c r="B20" s="932" t="s">
        <v>727</v>
      </c>
      <c r="T20" s="1015">
        <f>(-14181-230805)/1000</f>
        <v>-244.98599999999999</v>
      </c>
      <c r="U20" s="933" t="s">
        <v>739</v>
      </c>
      <c r="V20" s="959" t="e">
        <f>V22*T26*10^-6</f>
        <v>#REF!</v>
      </c>
    </row>
    <row r="21" spans="2:27">
      <c r="B21" s="932" t="s">
        <v>740</v>
      </c>
      <c r="T21" s="1015">
        <v>0</v>
      </c>
      <c r="U21" s="933" t="s">
        <v>741</v>
      </c>
      <c r="V21" s="959" t="e">
        <f>V20+T31</f>
        <v>#REF!</v>
      </c>
    </row>
    <row r="22" spans="2:27">
      <c r="B22" s="955" t="s">
        <v>728</v>
      </c>
      <c r="T22" s="1015" t="e">
        <f>SUM(T16:T21)</f>
        <v>#REF!</v>
      </c>
      <c r="U22" s="933" t="s">
        <v>742</v>
      </c>
      <c r="V22" s="933">
        <v>75000000</v>
      </c>
    </row>
    <row r="23" spans="2:27">
      <c r="B23" s="932" t="s">
        <v>729</v>
      </c>
      <c r="T23" s="933">
        <v>116805570</v>
      </c>
      <c r="U23" s="960" t="s">
        <v>743</v>
      </c>
      <c r="V23" s="959">
        <v>125000000</v>
      </c>
    </row>
    <row r="24" spans="2:27" s="955" customFormat="1">
      <c r="B24" s="955" t="s">
        <v>730</v>
      </c>
      <c r="M24" s="957"/>
      <c r="N24" s="957"/>
      <c r="O24" s="957"/>
      <c r="P24" s="957"/>
      <c r="Q24" s="957"/>
      <c r="S24" s="957"/>
      <c r="T24" s="957" t="e">
        <f>T22*10^9/T23</f>
        <v>#REF!</v>
      </c>
      <c r="U24" s="957"/>
      <c r="W24" s="964"/>
      <c r="X24" s="964"/>
      <c r="Y24" s="964"/>
      <c r="Z24" s="964"/>
      <c r="AA24" s="964"/>
    </row>
    <row r="25" spans="2:27" s="955" customFormat="1">
      <c r="B25" s="955" t="s">
        <v>1204</v>
      </c>
      <c r="M25" s="957"/>
      <c r="N25" s="957"/>
      <c r="O25" s="957"/>
      <c r="P25" s="957"/>
      <c r="Q25" s="957"/>
      <c r="S25" s="957"/>
      <c r="T25" s="957" t="e">
        <f>T24*0.9</f>
        <v>#REF!</v>
      </c>
      <c r="U25" s="957"/>
      <c r="W25" s="964"/>
      <c r="X25" s="964"/>
      <c r="Y25" s="964"/>
      <c r="Z25" s="964"/>
      <c r="AA25" s="964"/>
    </row>
    <row r="26" spans="2:27">
      <c r="B26" s="932" t="s">
        <v>731</v>
      </c>
      <c r="T26" s="933" t="e">
        <f>First_page!#REF!</f>
        <v>#REF!</v>
      </c>
      <c r="U26" s="933" t="e">
        <f>V21/(T23*10^-6)</f>
        <v>#REF!</v>
      </c>
      <c r="W26" s="937"/>
      <c r="X26" s="937"/>
      <c r="Y26" s="937"/>
      <c r="Z26" s="937"/>
      <c r="AA26" s="937"/>
    </row>
    <row r="27" spans="2:27">
      <c r="B27" s="932" t="s">
        <v>732</v>
      </c>
      <c r="T27" s="961" t="e">
        <f>T25/T26-1</f>
        <v>#REF!</v>
      </c>
      <c r="U27" s="961" t="e">
        <f>T24/U26-1</f>
        <v>#REF!</v>
      </c>
      <c r="W27" s="937"/>
      <c r="X27" s="937"/>
      <c r="Y27" s="937"/>
      <c r="Z27" s="937"/>
      <c r="AA27" s="937"/>
    </row>
    <row r="29" spans="2:27">
      <c r="Q29" s="933">
        <f>75000000*0.25</f>
        <v>18750000</v>
      </c>
      <c r="S29" s="933">
        <v>10000</v>
      </c>
      <c r="T29" s="933">
        <f>S29*Q29/10^6</f>
        <v>187500</v>
      </c>
      <c r="U29" s="933" t="e">
        <f>25%*#REF!</f>
        <v>#REF!</v>
      </c>
      <c r="V29" s="962"/>
      <c r="W29" s="963"/>
      <c r="X29" s="963"/>
      <c r="Y29" s="963"/>
      <c r="Z29" s="963"/>
      <c r="AA29" s="963"/>
    </row>
    <row r="30" spans="2:27">
      <c r="Q30" s="933">
        <v>25700000</v>
      </c>
      <c r="S30" s="933">
        <v>10000</v>
      </c>
      <c r="T30" s="933">
        <f>S30*Q30/10^6</f>
        <v>257000</v>
      </c>
      <c r="U30" s="933" t="e">
        <f>25%*#REF!</f>
        <v>#REF!</v>
      </c>
      <c r="V30" s="959" t="e">
        <f>T30-U29-U30</f>
        <v>#REF!</v>
      </c>
      <c r="W30" s="933"/>
      <c r="X30" s="933"/>
      <c r="Y30" s="933"/>
      <c r="Z30" s="933"/>
      <c r="AA30" s="933"/>
    </row>
    <row r="31" spans="2:27">
      <c r="S31" s="933">
        <f>AVERAGE(S29:S30)</f>
        <v>10000</v>
      </c>
      <c r="T31" s="933">
        <f>SUM(T29:T30)</f>
        <v>444500</v>
      </c>
      <c r="U31" s="959" t="e">
        <f>T31-SUM(U29:U30)</f>
        <v>#REF!</v>
      </c>
    </row>
    <row r="33" spans="13:22">
      <c r="M33" s="960"/>
      <c r="N33" s="960"/>
      <c r="O33" s="960"/>
      <c r="T33" s="933" t="e">
        <f>(T26+S31*(V23/V22))/(1+V23/V22)</f>
        <v>#REF!</v>
      </c>
    </row>
    <row r="34" spans="13:22">
      <c r="T34" s="961" t="e">
        <f>T24/T33-1</f>
        <v>#REF!</v>
      </c>
    </row>
    <row r="35" spans="13:22" ht="12.75" thickBot="1"/>
    <row r="36" spans="13:22">
      <c r="O36" s="965"/>
      <c r="P36" s="966">
        <v>10000</v>
      </c>
      <c r="Q36" s="932"/>
      <c r="R36" s="933"/>
      <c r="T36" s="932"/>
    </row>
    <row r="37" spans="13:22">
      <c r="O37" s="967" t="s">
        <v>737</v>
      </c>
      <c r="P37" s="968" t="e">
        <f>'Valuation summary'!T24</f>
        <v>#REF!</v>
      </c>
      <c r="Q37" s="932"/>
      <c r="R37" s="933"/>
      <c r="T37" s="932"/>
    </row>
    <row r="38" spans="13:22">
      <c r="O38" s="967" t="s">
        <v>1010</v>
      </c>
      <c r="P38" s="968" t="e">
        <f>P37*0.9</f>
        <v>#REF!</v>
      </c>
      <c r="Q38" s="932"/>
      <c r="R38" s="933"/>
      <c r="T38" s="932"/>
    </row>
    <row r="39" spans="13:22">
      <c r="O39" s="967" t="s">
        <v>738</v>
      </c>
      <c r="P39" s="968">
        <f>$P$47</f>
        <v>14309.04</v>
      </c>
      <c r="Q39" s="932"/>
      <c r="R39" s="933"/>
      <c r="T39" s="932"/>
      <c r="U39" s="932">
        <v>307225</v>
      </c>
      <c r="V39" s="932">
        <v>178150</v>
      </c>
    </row>
    <row r="40" spans="13:22" ht="12.75" thickBot="1">
      <c r="O40" s="969" t="s">
        <v>732</v>
      </c>
      <c r="P40" s="970" t="e">
        <f>(P38-P39)/P39</f>
        <v>#REF!</v>
      </c>
      <c r="Q40" s="932"/>
      <c r="R40" s="933"/>
      <c r="T40" s="932"/>
      <c r="U40" s="932">
        <v>73885</v>
      </c>
      <c r="V40" s="932">
        <v>46431</v>
      </c>
    </row>
    <row r="41" spans="13:22">
      <c r="O41" s="932"/>
      <c r="P41" s="971" t="e">
        <f>(P37-P39)/P39</f>
        <v>#REF!</v>
      </c>
      <c r="U41" s="932">
        <f>U39-U40</f>
        <v>233340</v>
      </c>
      <c r="V41" s="932">
        <f>V39-V40</f>
        <v>131719</v>
      </c>
    </row>
    <row r="42" spans="13:22">
      <c r="O42" s="932"/>
      <c r="P42" s="932"/>
      <c r="Q42" s="932"/>
      <c r="V42" s="932">
        <f>U41-V41</f>
        <v>101621</v>
      </c>
    </row>
    <row r="43" spans="13:22">
      <c r="O43" s="932" t="s">
        <v>731</v>
      </c>
      <c r="P43" s="972">
        <v>15900</v>
      </c>
      <c r="Q43" s="932"/>
      <c r="V43" s="932">
        <f>V42/V41</f>
        <v>0.77149841708485489</v>
      </c>
    </row>
    <row r="44" spans="13:22">
      <c r="O44" s="932" t="s">
        <v>1008</v>
      </c>
      <c r="P44" s="972">
        <v>100700000</v>
      </c>
      <c r="Q44" s="972">
        <f>75000000+18750000+5250000</f>
        <v>99000000</v>
      </c>
      <c r="T44" s="933">
        <f>125000-P44/1000</f>
        <v>24300</v>
      </c>
    </row>
    <row r="45" spans="13:22">
      <c r="O45" s="932" t="s">
        <v>1006</v>
      </c>
      <c r="P45" s="937">
        <v>0.25</v>
      </c>
      <c r="Q45" s="972">
        <v>25700000</v>
      </c>
    </row>
    <row r="46" spans="13:22">
      <c r="O46" s="932" t="s">
        <v>1007</v>
      </c>
      <c r="P46" s="937">
        <v>7.0000000000000007E-2</v>
      </c>
      <c r="Q46" s="972">
        <v>300000</v>
      </c>
    </row>
    <row r="47" spans="13:22">
      <c r="O47" s="932" t="s">
        <v>1009</v>
      </c>
      <c r="P47" s="972">
        <f>(P43*P44+10000*18750000)/SUM(Q44:Q46)</f>
        <v>14309.04</v>
      </c>
      <c r="Q47" s="932"/>
    </row>
    <row r="49" spans="13:21">
      <c r="O49" s="933">
        <v>0.42</v>
      </c>
    </row>
    <row r="51" spans="13:21">
      <c r="M51" s="957" t="s">
        <v>1231</v>
      </c>
      <c r="N51" s="957" t="s">
        <v>1230</v>
      </c>
      <c r="O51" s="1016">
        <v>2014</v>
      </c>
      <c r="P51" s="1016">
        <v>2015</v>
      </c>
      <c r="Q51" s="1016">
        <v>2016</v>
      </c>
      <c r="R51" s="1016">
        <v>2017</v>
      </c>
      <c r="S51" s="1016">
        <v>2018</v>
      </c>
    </row>
    <row r="52" spans="13:21">
      <c r="N52" s="933" t="s">
        <v>966</v>
      </c>
      <c r="O52" s="933" t="e">
        <f>#REF!-#REF!-O62</f>
        <v>#REF!</v>
      </c>
      <c r="P52" s="933" t="e">
        <f>O52+#REF!-P62</f>
        <v>#REF!</v>
      </c>
      <c r="Q52" s="933" t="e">
        <f>P52+#REF!-Q62</f>
        <v>#REF!</v>
      </c>
      <c r="R52" s="933" t="e">
        <f>Q52+#REF!-R62</f>
        <v>#REF!</v>
      </c>
      <c r="S52" s="933" t="e">
        <f>R52+#REF!-S62</f>
        <v>#REF!</v>
      </c>
    </row>
    <row r="53" spans="13:21">
      <c r="N53" s="933" t="s">
        <v>1227</v>
      </c>
      <c r="O53" s="933">
        <f>('Viva City'!D52+'Viva City'!F52-'Viva City'!D56-'Viva City'!F56)*0.42</f>
        <v>50365.342650000166</v>
      </c>
      <c r="P53" s="933">
        <f>O53+'Viva City'!G52-P63</f>
        <v>92642.748490000173</v>
      </c>
      <c r="Q53" s="933">
        <f>P53+'Viva City'!H52-Q63</f>
        <v>206843.30207000018</v>
      </c>
      <c r="R53" s="933">
        <f>Q53+'Viva City'!I52-R63</f>
        <v>321043.85565000016</v>
      </c>
      <c r="S53" s="933">
        <f>R53+'Viva City'!J52-S63</f>
        <v>440657.97949000017</v>
      </c>
    </row>
    <row r="54" spans="13:21">
      <c r="N54" s="933" t="s">
        <v>1228</v>
      </c>
      <c r="O54" s="933" t="e">
        <f>#REF!+#REF!</f>
        <v>#REF!</v>
      </c>
      <c r="P54" s="933" t="e">
        <f>O54+#REF!-P64</f>
        <v>#REF!</v>
      </c>
      <c r="Q54" s="933" t="e">
        <f>P54+#REF!-Q64</f>
        <v>#REF!</v>
      </c>
      <c r="R54" s="933" t="e">
        <f>Q54+#REF!-R64</f>
        <v>#REF!</v>
      </c>
      <c r="S54" s="933" t="e">
        <f>R54+#REF!-S64</f>
        <v>#REF!</v>
      </c>
    </row>
    <row r="55" spans="13:21">
      <c r="N55" s="933" t="s">
        <v>667</v>
      </c>
      <c r="O55" s="933" t="e">
        <f>#REF!</f>
        <v>#REF!</v>
      </c>
      <c r="P55" s="933" t="e">
        <f>#REF!</f>
        <v>#REF!</v>
      </c>
      <c r="Q55" s="933" t="e">
        <f>P55+#REF!</f>
        <v>#REF!</v>
      </c>
      <c r="R55" s="933" t="e">
        <f>Q55-R65</f>
        <v>#REF!</v>
      </c>
      <c r="S55" s="933" t="e">
        <f>R55-S65</f>
        <v>#REF!</v>
      </c>
    </row>
    <row r="56" spans="13:21">
      <c r="N56" s="933" t="s">
        <v>668</v>
      </c>
      <c r="O56" s="933" t="e">
        <f>#REF!+#REF!</f>
        <v>#REF!</v>
      </c>
      <c r="P56" s="933" t="e">
        <f>#REF!+#REF!-P66</f>
        <v>#REF!</v>
      </c>
      <c r="Q56" s="933" t="e">
        <f>#REF!+#REF!+P56-Q66</f>
        <v>#REF!</v>
      </c>
      <c r="R56" s="933" t="e">
        <f>#REF!+#REF!+Q56-R66</f>
        <v>#REF!</v>
      </c>
      <c r="S56" s="933" t="e">
        <f>#REF!+#REF!+R56-S66</f>
        <v>#REF!</v>
      </c>
    </row>
    <row r="57" spans="13:21">
      <c r="N57" s="933" t="s">
        <v>1180</v>
      </c>
      <c r="O57" s="933">
        <f>'Viet Hung'!E55</f>
        <v>0</v>
      </c>
      <c r="P57" s="933">
        <f>'Viet Hung'!F55</f>
        <v>564480</v>
      </c>
      <c r="Q57" s="933">
        <f>'Viet Hung'!G55+P57-Q67</f>
        <v>161280</v>
      </c>
      <c r="R57" s="933">
        <f>Q57-R67</f>
        <v>0</v>
      </c>
      <c r="S57" s="933">
        <f>R57-S67</f>
        <v>0</v>
      </c>
    </row>
    <row r="58" spans="13:21">
      <c r="O58" s="957" t="e">
        <f>SUM(O52:O57)</f>
        <v>#REF!</v>
      </c>
      <c r="P58" s="957" t="e">
        <f>SUM(P52:P57)</f>
        <v>#REF!</v>
      </c>
      <c r="Q58" s="957" t="e">
        <f>SUM(Q52:Q57)</f>
        <v>#REF!</v>
      </c>
      <c r="R58" s="957" t="e">
        <f>SUM(R52:R57)</f>
        <v>#REF!</v>
      </c>
      <c r="S58" s="957" t="e">
        <f>SUM(S52:S57)</f>
        <v>#REF!</v>
      </c>
    </row>
    <row r="59" spans="13:21">
      <c r="O59" s="1015" t="e">
        <f>O58/21800</f>
        <v>#REF!</v>
      </c>
      <c r="P59" s="1015" t="e">
        <f>P58/21800</f>
        <v>#REF!</v>
      </c>
      <c r="Q59" s="1015" t="e">
        <f>Q58/21800</f>
        <v>#REF!</v>
      </c>
      <c r="R59" s="1015" t="e">
        <f>R58/21800</f>
        <v>#REF!</v>
      </c>
      <c r="S59" s="1015" t="e">
        <f>S58/21800</f>
        <v>#REF!</v>
      </c>
    </row>
    <row r="61" spans="13:21">
      <c r="N61" s="957" t="s">
        <v>1229</v>
      </c>
      <c r="O61" s="1016">
        <v>2014</v>
      </c>
      <c r="P61" s="1016">
        <v>2015</v>
      </c>
      <c r="Q61" s="1016">
        <v>2016</v>
      </c>
      <c r="R61" s="1016">
        <v>2017</v>
      </c>
      <c r="S61" s="1016">
        <v>2018</v>
      </c>
    </row>
    <row r="62" spans="13:21">
      <c r="N62" s="933" t="s">
        <v>966</v>
      </c>
      <c r="O62" s="933" t="e">
        <f>#REF!</f>
        <v>#REF!</v>
      </c>
      <c r="P62" s="933" t="e">
        <f>#REF!</f>
        <v>#REF!</v>
      </c>
      <c r="Q62" s="933" t="e">
        <f>#REF!</f>
        <v>#REF!</v>
      </c>
      <c r="R62" s="933" t="e">
        <f>#REF!</f>
        <v>#REF!</v>
      </c>
      <c r="S62" s="933" t="e">
        <f>#REF!</f>
        <v>#REF!</v>
      </c>
    </row>
    <row r="63" spans="13:21">
      <c r="N63" s="933" t="s">
        <v>1227</v>
      </c>
      <c r="O63" s="933">
        <f>('Viva City'!F56)*0.42</f>
        <v>31163.579999999998</v>
      </c>
      <c r="P63" s="933">
        <f>('Viva City'!G56)*0.42</f>
        <v>86617.124159999978</v>
      </c>
      <c r="Q63" s="933">
        <f>('Viva City'!H56)*0.42</f>
        <v>92030.694419999985</v>
      </c>
      <c r="R63" s="933">
        <f>('Viva City'!I56)*0.42</f>
        <v>92030.694419999985</v>
      </c>
      <c r="S63" s="933">
        <f>('Viva City'!J56)*0.42</f>
        <v>86617.124159999978</v>
      </c>
      <c r="U63" s="932">
        <v>0.42</v>
      </c>
    </row>
    <row r="64" spans="13:21">
      <c r="N64" s="933" t="s">
        <v>1228</v>
      </c>
      <c r="O64" s="933" t="e">
        <f>#REF!</f>
        <v>#REF!</v>
      </c>
      <c r="P64" s="933" t="e">
        <f>#REF!</f>
        <v>#REF!</v>
      </c>
      <c r="Q64" s="933" t="e">
        <f>#REF!</f>
        <v>#REF!</v>
      </c>
      <c r="R64" s="933" t="e">
        <f>#REF!</f>
        <v>#REF!</v>
      </c>
      <c r="S64" s="933" t="e">
        <f>#REF!</f>
        <v>#REF!</v>
      </c>
    </row>
    <row r="65" spans="14:19">
      <c r="N65" s="933" t="s">
        <v>667</v>
      </c>
      <c r="O65" s="933" t="e">
        <f>#REF!</f>
        <v>#REF!</v>
      </c>
      <c r="P65" s="933" t="e">
        <f>#REF!</f>
        <v>#REF!</v>
      </c>
      <c r="Q65" s="933">
        <v>0</v>
      </c>
      <c r="R65" s="933" t="e">
        <f>#REF!</f>
        <v>#REF!</v>
      </c>
      <c r="S65" s="933" t="e">
        <f>#REF!</f>
        <v>#REF!</v>
      </c>
    </row>
    <row r="66" spans="14:19">
      <c r="N66" s="933" t="s">
        <v>668</v>
      </c>
      <c r="O66" s="933" t="e">
        <f>#REF!+#REF!</f>
        <v>#REF!</v>
      </c>
      <c r="P66" s="933" t="e">
        <f>#REF!+#REF!</f>
        <v>#REF!</v>
      </c>
      <c r="Q66" s="933" t="e">
        <f>#REF!+#REF!</f>
        <v>#REF!</v>
      </c>
      <c r="R66" s="933" t="e">
        <f>#REF!+#REF!</f>
        <v>#REF!</v>
      </c>
      <c r="S66" s="933" t="e">
        <f>#REF!+#REF!</f>
        <v>#REF!</v>
      </c>
    </row>
    <row r="67" spans="14:19">
      <c r="N67" s="933" t="s">
        <v>1180</v>
      </c>
      <c r="O67" s="933">
        <f>'Viet Hung'!E59</f>
        <v>0</v>
      </c>
      <c r="P67" s="933">
        <f>'Viet Hung'!F59</f>
        <v>0</v>
      </c>
      <c r="Q67" s="933">
        <f>'Viet Hung'!G59</f>
        <v>645120</v>
      </c>
      <c r="R67" s="933">
        <f>'Viet Hung'!H59</f>
        <v>161280</v>
      </c>
      <c r="S67" s="933">
        <f>'Viet Hung'!I59</f>
        <v>0</v>
      </c>
    </row>
    <row r="68" spans="14:19">
      <c r="O68" s="957" t="e">
        <f>SUM(O62:O67)</f>
        <v>#REF!</v>
      </c>
      <c r="P68" s="957" t="e">
        <f>SUM(P62:P67)</f>
        <v>#REF!</v>
      </c>
      <c r="Q68" s="957" t="e">
        <f>SUM(Q62:Q67)</f>
        <v>#REF!</v>
      </c>
      <c r="R68" s="957" t="e">
        <f>SUM(R62:R67)</f>
        <v>#REF!</v>
      </c>
      <c r="S68" s="957" t="e">
        <f>SUM(S62:S67)</f>
        <v>#REF!</v>
      </c>
    </row>
    <row r="70" spans="14:19">
      <c r="N70" s="957"/>
      <c r="O70" s="957"/>
      <c r="P70" s="957"/>
      <c r="Q70" s="957"/>
      <c r="R70" s="957"/>
      <c r="S70" s="957"/>
    </row>
  </sheetData>
  <pageMargins left="0.7" right="0.7" top="0.75" bottom="0.75" header="0.3" footer="0.3"/>
  <pageSetup paperSize="9" orientation="portrait" r:id="rId1"/>
  <legacy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1" tint="4.9989318521683403E-2"/>
  </sheetPr>
  <dimension ref="A1:WVZ247"/>
  <sheetViews>
    <sheetView showGridLines="0" topLeftCell="A177" zoomScale="125" zoomScaleNormal="125" workbookViewId="0">
      <selection activeCell="C190" sqref="C190"/>
    </sheetView>
  </sheetViews>
  <sheetFormatPr defaultColWidth="0" defaultRowHeight="11.25" outlineLevelRow="1"/>
  <cols>
    <col min="1" max="1" width="5.140625" style="634" customWidth="1"/>
    <col min="2" max="2" width="32.140625" style="634" bestFit="1" customWidth="1"/>
    <col min="3" max="3" width="12.85546875" style="634" bestFit="1" customWidth="1"/>
    <col min="4" max="4" width="12.140625" style="635" customWidth="1"/>
    <col min="5" max="18" width="11.140625" style="634" bestFit="1" customWidth="1"/>
    <col min="19" max="19" width="9.140625" style="634" customWidth="1"/>
    <col min="20" max="257" width="9.140625" style="634" hidden="1"/>
    <col min="258" max="258" width="32.140625" style="634" hidden="1"/>
    <col min="259" max="259" width="12.85546875" style="634" hidden="1"/>
    <col min="260" max="261" width="12.140625" style="634" hidden="1"/>
    <col min="262" max="262" width="11.140625" style="634" hidden="1"/>
    <col min="263" max="263" width="14.42578125" style="634" hidden="1"/>
    <col min="264" max="264" width="10.5703125" style="634" hidden="1"/>
    <col min="265" max="265" width="12" style="634" hidden="1"/>
    <col min="266" max="266" width="12.85546875" style="634" hidden="1"/>
    <col min="267" max="271" width="10.85546875" style="634" hidden="1"/>
    <col min="272" max="273" width="9.5703125" style="634" hidden="1"/>
    <col min="274" max="274" width="9.85546875" style="634" hidden="1"/>
    <col min="275" max="513" width="9.140625" style="634" hidden="1"/>
    <col min="514" max="514" width="32.140625" style="634" hidden="1"/>
    <col min="515" max="515" width="12.85546875" style="634" hidden="1"/>
    <col min="516" max="517" width="12.140625" style="634" hidden="1"/>
    <col min="518" max="518" width="11.140625" style="634" hidden="1"/>
    <col min="519" max="519" width="14.42578125" style="634" hidden="1"/>
    <col min="520" max="520" width="10.5703125" style="634" hidden="1"/>
    <col min="521" max="521" width="12" style="634" hidden="1"/>
    <col min="522" max="522" width="12.85546875" style="634" hidden="1"/>
    <col min="523" max="527" width="10.85546875" style="634" hidden="1"/>
    <col min="528" max="529" width="9.5703125" style="634" hidden="1"/>
    <col min="530" max="530" width="9.85546875" style="634" hidden="1"/>
    <col min="531" max="769" width="9.140625" style="634" hidden="1"/>
    <col min="770" max="770" width="32.140625" style="634" hidden="1"/>
    <col min="771" max="771" width="12.85546875" style="634" hidden="1"/>
    <col min="772" max="773" width="12.140625" style="634" hidden="1"/>
    <col min="774" max="774" width="11.140625" style="634" hidden="1"/>
    <col min="775" max="775" width="14.42578125" style="634" hidden="1"/>
    <col min="776" max="776" width="10.5703125" style="634" hidden="1"/>
    <col min="777" max="777" width="12" style="634" hidden="1"/>
    <col min="778" max="778" width="12.85546875" style="634" hidden="1"/>
    <col min="779" max="783" width="10.85546875" style="634" hidden="1"/>
    <col min="784" max="785" width="9.5703125" style="634" hidden="1"/>
    <col min="786" max="786" width="9.85546875" style="634" hidden="1"/>
    <col min="787" max="1025" width="9.140625" style="634" hidden="1"/>
    <col min="1026" max="1026" width="32.140625" style="634" hidden="1"/>
    <col min="1027" max="1027" width="12.85546875" style="634" hidden="1"/>
    <col min="1028" max="1029" width="12.140625" style="634" hidden="1"/>
    <col min="1030" max="1030" width="11.140625" style="634" hidden="1"/>
    <col min="1031" max="1031" width="14.42578125" style="634" hidden="1"/>
    <col min="1032" max="1032" width="10.5703125" style="634" hidden="1"/>
    <col min="1033" max="1033" width="12" style="634" hidden="1"/>
    <col min="1034" max="1034" width="12.85546875" style="634" hidden="1"/>
    <col min="1035" max="1039" width="10.85546875" style="634" hidden="1"/>
    <col min="1040" max="1041" width="9.5703125" style="634" hidden="1"/>
    <col min="1042" max="1042" width="9.85546875" style="634" hidden="1"/>
    <col min="1043" max="1281" width="9.140625" style="634" hidden="1"/>
    <col min="1282" max="1282" width="32.140625" style="634" hidden="1"/>
    <col min="1283" max="1283" width="12.85546875" style="634" hidden="1"/>
    <col min="1284" max="1285" width="12.140625" style="634" hidden="1"/>
    <col min="1286" max="1286" width="11.140625" style="634" hidden="1"/>
    <col min="1287" max="1287" width="14.42578125" style="634" hidden="1"/>
    <col min="1288" max="1288" width="10.5703125" style="634" hidden="1"/>
    <col min="1289" max="1289" width="12" style="634" hidden="1"/>
    <col min="1290" max="1290" width="12.85546875" style="634" hidden="1"/>
    <col min="1291" max="1295" width="10.85546875" style="634" hidden="1"/>
    <col min="1296" max="1297" width="9.5703125" style="634" hidden="1"/>
    <col min="1298" max="1298" width="9.85546875" style="634" hidden="1"/>
    <col min="1299" max="1537" width="9.140625" style="634" hidden="1"/>
    <col min="1538" max="1538" width="32.140625" style="634" hidden="1"/>
    <col min="1539" max="1539" width="12.85546875" style="634" hidden="1"/>
    <col min="1540" max="1541" width="12.140625" style="634" hidden="1"/>
    <col min="1542" max="1542" width="11.140625" style="634" hidden="1"/>
    <col min="1543" max="1543" width="14.42578125" style="634" hidden="1"/>
    <col min="1544" max="1544" width="10.5703125" style="634" hidden="1"/>
    <col min="1545" max="1545" width="12" style="634" hidden="1"/>
    <col min="1546" max="1546" width="12.85546875" style="634" hidden="1"/>
    <col min="1547" max="1551" width="10.85546875" style="634" hidden="1"/>
    <col min="1552" max="1553" width="9.5703125" style="634" hidden="1"/>
    <col min="1554" max="1554" width="9.85546875" style="634" hidden="1"/>
    <col min="1555" max="1793" width="9.140625" style="634" hidden="1"/>
    <col min="1794" max="1794" width="32.140625" style="634" hidden="1"/>
    <col min="1795" max="1795" width="12.85546875" style="634" hidden="1"/>
    <col min="1796" max="1797" width="12.140625" style="634" hidden="1"/>
    <col min="1798" max="1798" width="11.140625" style="634" hidden="1"/>
    <col min="1799" max="1799" width="14.42578125" style="634" hidden="1"/>
    <col min="1800" max="1800" width="10.5703125" style="634" hidden="1"/>
    <col min="1801" max="1801" width="12" style="634" hidden="1"/>
    <col min="1802" max="1802" width="12.85546875" style="634" hidden="1"/>
    <col min="1803" max="1807" width="10.85546875" style="634" hidden="1"/>
    <col min="1808" max="1809" width="9.5703125" style="634" hidden="1"/>
    <col min="1810" max="1810" width="9.85546875" style="634" hidden="1"/>
    <col min="1811" max="2049" width="9.140625" style="634" hidden="1"/>
    <col min="2050" max="2050" width="32.140625" style="634" hidden="1"/>
    <col min="2051" max="2051" width="12.85546875" style="634" hidden="1"/>
    <col min="2052" max="2053" width="12.140625" style="634" hidden="1"/>
    <col min="2054" max="2054" width="11.140625" style="634" hidden="1"/>
    <col min="2055" max="2055" width="14.42578125" style="634" hidden="1"/>
    <col min="2056" max="2056" width="10.5703125" style="634" hidden="1"/>
    <col min="2057" max="2057" width="12" style="634" hidden="1"/>
    <col min="2058" max="2058" width="12.85546875" style="634" hidden="1"/>
    <col min="2059" max="2063" width="10.85546875" style="634" hidden="1"/>
    <col min="2064" max="2065" width="9.5703125" style="634" hidden="1"/>
    <col min="2066" max="2066" width="9.85546875" style="634" hidden="1"/>
    <col min="2067" max="2305" width="9.140625" style="634" hidden="1"/>
    <col min="2306" max="2306" width="32.140625" style="634" hidden="1"/>
    <col min="2307" max="2307" width="12.85546875" style="634" hidden="1"/>
    <col min="2308" max="2309" width="12.140625" style="634" hidden="1"/>
    <col min="2310" max="2310" width="11.140625" style="634" hidden="1"/>
    <col min="2311" max="2311" width="14.42578125" style="634" hidden="1"/>
    <col min="2312" max="2312" width="10.5703125" style="634" hidden="1"/>
    <col min="2313" max="2313" width="12" style="634" hidden="1"/>
    <col min="2314" max="2314" width="12.85546875" style="634" hidden="1"/>
    <col min="2315" max="2319" width="10.85546875" style="634" hidden="1"/>
    <col min="2320" max="2321" width="9.5703125" style="634" hidden="1"/>
    <col min="2322" max="2322" width="9.85546875" style="634" hidden="1"/>
    <col min="2323" max="2561" width="9.140625" style="634" hidden="1"/>
    <col min="2562" max="2562" width="32.140625" style="634" hidden="1"/>
    <col min="2563" max="2563" width="12.85546875" style="634" hidden="1"/>
    <col min="2564" max="2565" width="12.140625" style="634" hidden="1"/>
    <col min="2566" max="2566" width="11.140625" style="634" hidden="1"/>
    <col min="2567" max="2567" width="14.42578125" style="634" hidden="1"/>
    <col min="2568" max="2568" width="10.5703125" style="634" hidden="1"/>
    <col min="2569" max="2569" width="12" style="634" hidden="1"/>
    <col min="2570" max="2570" width="12.85546875" style="634" hidden="1"/>
    <col min="2571" max="2575" width="10.85546875" style="634" hidden="1"/>
    <col min="2576" max="2577" width="9.5703125" style="634" hidden="1"/>
    <col min="2578" max="2578" width="9.85546875" style="634" hidden="1"/>
    <col min="2579" max="2817" width="9.140625" style="634" hidden="1"/>
    <col min="2818" max="2818" width="32.140625" style="634" hidden="1"/>
    <col min="2819" max="2819" width="12.85546875" style="634" hidden="1"/>
    <col min="2820" max="2821" width="12.140625" style="634" hidden="1"/>
    <col min="2822" max="2822" width="11.140625" style="634" hidden="1"/>
    <col min="2823" max="2823" width="14.42578125" style="634" hidden="1"/>
    <col min="2824" max="2824" width="10.5703125" style="634" hidden="1"/>
    <col min="2825" max="2825" width="12" style="634" hidden="1"/>
    <col min="2826" max="2826" width="12.85546875" style="634" hidden="1"/>
    <col min="2827" max="2831" width="10.85546875" style="634" hidden="1"/>
    <col min="2832" max="2833" width="9.5703125" style="634" hidden="1"/>
    <col min="2834" max="2834" width="9.85546875" style="634" hidden="1"/>
    <col min="2835" max="3073" width="9.140625" style="634" hidden="1"/>
    <col min="3074" max="3074" width="32.140625" style="634" hidden="1"/>
    <col min="3075" max="3075" width="12.85546875" style="634" hidden="1"/>
    <col min="3076" max="3077" width="12.140625" style="634" hidden="1"/>
    <col min="3078" max="3078" width="11.140625" style="634" hidden="1"/>
    <col min="3079" max="3079" width="14.42578125" style="634" hidden="1"/>
    <col min="3080" max="3080" width="10.5703125" style="634" hidden="1"/>
    <col min="3081" max="3081" width="12" style="634" hidden="1"/>
    <col min="3082" max="3082" width="12.85546875" style="634" hidden="1"/>
    <col min="3083" max="3087" width="10.85546875" style="634" hidden="1"/>
    <col min="3088" max="3089" width="9.5703125" style="634" hidden="1"/>
    <col min="3090" max="3090" width="9.85546875" style="634" hidden="1"/>
    <col min="3091" max="3329" width="9.140625" style="634" hidden="1"/>
    <col min="3330" max="3330" width="32.140625" style="634" hidden="1"/>
    <col min="3331" max="3331" width="12.85546875" style="634" hidden="1"/>
    <col min="3332" max="3333" width="12.140625" style="634" hidden="1"/>
    <col min="3334" max="3334" width="11.140625" style="634" hidden="1"/>
    <col min="3335" max="3335" width="14.42578125" style="634" hidden="1"/>
    <col min="3336" max="3336" width="10.5703125" style="634" hidden="1"/>
    <col min="3337" max="3337" width="12" style="634" hidden="1"/>
    <col min="3338" max="3338" width="12.85546875" style="634" hidden="1"/>
    <col min="3339" max="3343" width="10.85546875" style="634" hidden="1"/>
    <col min="3344" max="3345" width="9.5703125" style="634" hidden="1"/>
    <col min="3346" max="3346" width="9.85546875" style="634" hidden="1"/>
    <col min="3347" max="3585" width="9.140625" style="634" hidden="1"/>
    <col min="3586" max="3586" width="32.140625" style="634" hidden="1"/>
    <col min="3587" max="3587" width="12.85546875" style="634" hidden="1"/>
    <col min="3588" max="3589" width="12.140625" style="634" hidden="1"/>
    <col min="3590" max="3590" width="11.140625" style="634" hidden="1"/>
    <col min="3591" max="3591" width="14.42578125" style="634" hidden="1"/>
    <col min="3592" max="3592" width="10.5703125" style="634" hidden="1"/>
    <col min="3593" max="3593" width="12" style="634" hidden="1"/>
    <col min="3594" max="3594" width="12.85546875" style="634" hidden="1"/>
    <col min="3595" max="3599" width="10.85546875" style="634" hidden="1"/>
    <col min="3600" max="3601" width="9.5703125" style="634" hidden="1"/>
    <col min="3602" max="3602" width="9.85546875" style="634" hidden="1"/>
    <col min="3603" max="3841" width="9.140625" style="634" hidden="1"/>
    <col min="3842" max="3842" width="32.140625" style="634" hidden="1"/>
    <col min="3843" max="3843" width="12.85546875" style="634" hidden="1"/>
    <col min="3844" max="3845" width="12.140625" style="634" hidden="1"/>
    <col min="3846" max="3846" width="11.140625" style="634" hidden="1"/>
    <col min="3847" max="3847" width="14.42578125" style="634" hidden="1"/>
    <col min="3848" max="3848" width="10.5703125" style="634" hidden="1"/>
    <col min="3849" max="3849" width="12" style="634" hidden="1"/>
    <col min="3850" max="3850" width="12.85546875" style="634" hidden="1"/>
    <col min="3851" max="3855" width="10.85546875" style="634" hidden="1"/>
    <col min="3856" max="3857" width="9.5703125" style="634" hidden="1"/>
    <col min="3858" max="3858" width="9.85546875" style="634" hidden="1"/>
    <col min="3859" max="4097" width="9.140625" style="634" hidden="1"/>
    <col min="4098" max="4098" width="32.140625" style="634" hidden="1"/>
    <col min="4099" max="4099" width="12.85546875" style="634" hidden="1"/>
    <col min="4100" max="4101" width="12.140625" style="634" hidden="1"/>
    <col min="4102" max="4102" width="11.140625" style="634" hidden="1"/>
    <col min="4103" max="4103" width="14.42578125" style="634" hidden="1"/>
    <col min="4104" max="4104" width="10.5703125" style="634" hidden="1"/>
    <col min="4105" max="4105" width="12" style="634" hidden="1"/>
    <col min="4106" max="4106" width="12.85546875" style="634" hidden="1"/>
    <col min="4107" max="4111" width="10.85546875" style="634" hidden="1"/>
    <col min="4112" max="4113" width="9.5703125" style="634" hidden="1"/>
    <col min="4114" max="4114" width="9.85546875" style="634" hidden="1"/>
    <col min="4115" max="4353" width="9.140625" style="634" hidden="1"/>
    <col min="4354" max="4354" width="32.140625" style="634" hidden="1"/>
    <col min="4355" max="4355" width="12.85546875" style="634" hidden="1"/>
    <col min="4356" max="4357" width="12.140625" style="634" hidden="1"/>
    <col min="4358" max="4358" width="11.140625" style="634" hidden="1"/>
    <col min="4359" max="4359" width="14.42578125" style="634" hidden="1"/>
    <col min="4360" max="4360" width="10.5703125" style="634" hidden="1"/>
    <col min="4361" max="4361" width="12" style="634" hidden="1"/>
    <col min="4362" max="4362" width="12.85546875" style="634" hidden="1"/>
    <col min="4363" max="4367" width="10.85546875" style="634" hidden="1"/>
    <col min="4368" max="4369" width="9.5703125" style="634" hidden="1"/>
    <col min="4370" max="4370" width="9.85546875" style="634" hidden="1"/>
    <col min="4371" max="4609" width="9.140625" style="634" hidden="1"/>
    <col min="4610" max="4610" width="32.140625" style="634" hidden="1"/>
    <col min="4611" max="4611" width="12.85546875" style="634" hidden="1"/>
    <col min="4612" max="4613" width="12.140625" style="634" hidden="1"/>
    <col min="4614" max="4614" width="11.140625" style="634" hidden="1"/>
    <col min="4615" max="4615" width="14.42578125" style="634" hidden="1"/>
    <col min="4616" max="4616" width="10.5703125" style="634" hidden="1"/>
    <col min="4617" max="4617" width="12" style="634" hidden="1"/>
    <col min="4618" max="4618" width="12.85546875" style="634" hidden="1"/>
    <col min="4619" max="4623" width="10.85546875" style="634" hidden="1"/>
    <col min="4624" max="4625" width="9.5703125" style="634" hidden="1"/>
    <col min="4626" max="4626" width="9.85546875" style="634" hidden="1"/>
    <col min="4627" max="4865" width="9.140625" style="634" hidden="1"/>
    <col min="4866" max="4866" width="32.140625" style="634" hidden="1"/>
    <col min="4867" max="4867" width="12.85546875" style="634" hidden="1"/>
    <col min="4868" max="4869" width="12.140625" style="634" hidden="1"/>
    <col min="4870" max="4870" width="11.140625" style="634" hidden="1"/>
    <col min="4871" max="4871" width="14.42578125" style="634" hidden="1"/>
    <col min="4872" max="4872" width="10.5703125" style="634" hidden="1"/>
    <col min="4873" max="4873" width="12" style="634" hidden="1"/>
    <col min="4874" max="4874" width="12.85546875" style="634" hidden="1"/>
    <col min="4875" max="4879" width="10.85546875" style="634" hidden="1"/>
    <col min="4880" max="4881" width="9.5703125" style="634" hidden="1"/>
    <col min="4882" max="4882" width="9.85546875" style="634" hidden="1"/>
    <col min="4883" max="5121" width="9.140625" style="634" hidden="1"/>
    <col min="5122" max="5122" width="32.140625" style="634" hidden="1"/>
    <col min="5123" max="5123" width="12.85546875" style="634" hidden="1"/>
    <col min="5124" max="5125" width="12.140625" style="634" hidden="1"/>
    <col min="5126" max="5126" width="11.140625" style="634" hidden="1"/>
    <col min="5127" max="5127" width="14.42578125" style="634" hidden="1"/>
    <col min="5128" max="5128" width="10.5703125" style="634" hidden="1"/>
    <col min="5129" max="5129" width="12" style="634" hidden="1"/>
    <col min="5130" max="5130" width="12.85546875" style="634" hidden="1"/>
    <col min="5131" max="5135" width="10.85546875" style="634" hidden="1"/>
    <col min="5136" max="5137" width="9.5703125" style="634" hidden="1"/>
    <col min="5138" max="5138" width="9.85546875" style="634" hidden="1"/>
    <col min="5139" max="5377" width="9.140625" style="634" hidden="1"/>
    <col min="5378" max="5378" width="32.140625" style="634" hidden="1"/>
    <col min="5379" max="5379" width="12.85546875" style="634" hidden="1"/>
    <col min="5380" max="5381" width="12.140625" style="634" hidden="1"/>
    <col min="5382" max="5382" width="11.140625" style="634" hidden="1"/>
    <col min="5383" max="5383" width="14.42578125" style="634" hidden="1"/>
    <col min="5384" max="5384" width="10.5703125" style="634" hidden="1"/>
    <col min="5385" max="5385" width="12" style="634" hidden="1"/>
    <col min="5386" max="5386" width="12.85546875" style="634" hidden="1"/>
    <col min="5387" max="5391" width="10.85546875" style="634" hidden="1"/>
    <col min="5392" max="5393" width="9.5703125" style="634" hidden="1"/>
    <col min="5394" max="5394" width="9.85546875" style="634" hidden="1"/>
    <col min="5395" max="5633" width="9.140625" style="634" hidden="1"/>
    <col min="5634" max="5634" width="32.140625" style="634" hidden="1"/>
    <col min="5635" max="5635" width="12.85546875" style="634" hidden="1"/>
    <col min="5636" max="5637" width="12.140625" style="634" hidden="1"/>
    <col min="5638" max="5638" width="11.140625" style="634" hidden="1"/>
    <col min="5639" max="5639" width="14.42578125" style="634" hidden="1"/>
    <col min="5640" max="5640" width="10.5703125" style="634" hidden="1"/>
    <col min="5641" max="5641" width="12" style="634" hidden="1"/>
    <col min="5642" max="5642" width="12.85546875" style="634" hidden="1"/>
    <col min="5643" max="5647" width="10.85546875" style="634" hidden="1"/>
    <col min="5648" max="5649" width="9.5703125" style="634" hidden="1"/>
    <col min="5650" max="5650" width="9.85546875" style="634" hidden="1"/>
    <col min="5651" max="5889" width="9.140625" style="634" hidden="1"/>
    <col min="5890" max="5890" width="32.140625" style="634" hidden="1"/>
    <col min="5891" max="5891" width="12.85546875" style="634" hidden="1"/>
    <col min="5892" max="5893" width="12.140625" style="634" hidden="1"/>
    <col min="5894" max="5894" width="11.140625" style="634" hidden="1"/>
    <col min="5895" max="5895" width="14.42578125" style="634" hidden="1"/>
    <col min="5896" max="5896" width="10.5703125" style="634" hidden="1"/>
    <col min="5897" max="5897" width="12" style="634" hidden="1"/>
    <col min="5898" max="5898" width="12.85546875" style="634" hidden="1"/>
    <col min="5899" max="5903" width="10.85546875" style="634" hidden="1"/>
    <col min="5904" max="5905" width="9.5703125" style="634" hidden="1"/>
    <col min="5906" max="5906" width="9.85546875" style="634" hidden="1"/>
    <col min="5907" max="6145" width="9.140625" style="634" hidden="1"/>
    <col min="6146" max="6146" width="32.140625" style="634" hidden="1"/>
    <col min="6147" max="6147" width="12.85546875" style="634" hidden="1"/>
    <col min="6148" max="6149" width="12.140625" style="634" hidden="1"/>
    <col min="6150" max="6150" width="11.140625" style="634" hidden="1"/>
    <col min="6151" max="6151" width="14.42578125" style="634" hidden="1"/>
    <col min="6152" max="6152" width="10.5703125" style="634" hidden="1"/>
    <col min="6153" max="6153" width="12" style="634" hidden="1"/>
    <col min="6154" max="6154" width="12.85546875" style="634" hidden="1"/>
    <col min="6155" max="6159" width="10.85546875" style="634" hidden="1"/>
    <col min="6160" max="6161" width="9.5703125" style="634" hidden="1"/>
    <col min="6162" max="6162" width="9.85546875" style="634" hidden="1"/>
    <col min="6163" max="6401" width="9.140625" style="634" hidden="1"/>
    <col min="6402" max="6402" width="32.140625" style="634" hidden="1"/>
    <col min="6403" max="6403" width="12.85546875" style="634" hidden="1"/>
    <col min="6404" max="6405" width="12.140625" style="634" hidden="1"/>
    <col min="6406" max="6406" width="11.140625" style="634" hidden="1"/>
    <col min="6407" max="6407" width="14.42578125" style="634" hidden="1"/>
    <col min="6408" max="6408" width="10.5703125" style="634" hidden="1"/>
    <col min="6409" max="6409" width="12" style="634" hidden="1"/>
    <col min="6410" max="6410" width="12.85546875" style="634" hidden="1"/>
    <col min="6411" max="6415" width="10.85546875" style="634" hidden="1"/>
    <col min="6416" max="6417" width="9.5703125" style="634" hidden="1"/>
    <col min="6418" max="6418" width="9.85546875" style="634" hidden="1"/>
    <col min="6419" max="6657" width="9.140625" style="634" hidden="1"/>
    <col min="6658" max="6658" width="32.140625" style="634" hidden="1"/>
    <col min="6659" max="6659" width="12.85546875" style="634" hidden="1"/>
    <col min="6660" max="6661" width="12.140625" style="634" hidden="1"/>
    <col min="6662" max="6662" width="11.140625" style="634" hidden="1"/>
    <col min="6663" max="6663" width="14.42578125" style="634" hidden="1"/>
    <col min="6664" max="6664" width="10.5703125" style="634" hidden="1"/>
    <col min="6665" max="6665" width="12" style="634" hidden="1"/>
    <col min="6666" max="6666" width="12.85546875" style="634" hidden="1"/>
    <col min="6667" max="6671" width="10.85546875" style="634" hidden="1"/>
    <col min="6672" max="6673" width="9.5703125" style="634" hidden="1"/>
    <col min="6674" max="6674" width="9.85546875" style="634" hidden="1"/>
    <col min="6675" max="6913" width="9.140625" style="634" hidden="1"/>
    <col min="6914" max="6914" width="32.140625" style="634" hidden="1"/>
    <col min="6915" max="6915" width="12.85546875" style="634" hidden="1"/>
    <col min="6916" max="6917" width="12.140625" style="634" hidden="1"/>
    <col min="6918" max="6918" width="11.140625" style="634" hidden="1"/>
    <col min="6919" max="6919" width="14.42578125" style="634" hidden="1"/>
    <col min="6920" max="6920" width="10.5703125" style="634" hidden="1"/>
    <col min="6921" max="6921" width="12" style="634" hidden="1"/>
    <col min="6922" max="6922" width="12.85546875" style="634" hidden="1"/>
    <col min="6923" max="6927" width="10.85546875" style="634" hidden="1"/>
    <col min="6928" max="6929" width="9.5703125" style="634" hidden="1"/>
    <col min="6930" max="6930" width="9.85546875" style="634" hidden="1"/>
    <col min="6931" max="7169" width="9.140625" style="634" hidden="1"/>
    <col min="7170" max="7170" width="32.140625" style="634" hidden="1"/>
    <col min="7171" max="7171" width="12.85546875" style="634" hidden="1"/>
    <col min="7172" max="7173" width="12.140625" style="634" hidden="1"/>
    <col min="7174" max="7174" width="11.140625" style="634" hidden="1"/>
    <col min="7175" max="7175" width="14.42578125" style="634" hidden="1"/>
    <col min="7176" max="7176" width="10.5703125" style="634" hidden="1"/>
    <col min="7177" max="7177" width="12" style="634" hidden="1"/>
    <col min="7178" max="7178" width="12.85546875" style="634" hidden="1"/>
    <col min="7179" max="7183" width="10.85546875" style="634" hidden="1"/>
    <col min="7184" max="7185" width="9.5703125" style="634" hidden="1"/>
    <col min="7186" max="7186" width="9.85546875" style="634" hidden="1"/>
    <col min="7187" max="7425" width="9.140625" style="634" hidden="1"/>
    <col min="7426" max="7426" width="32.140625" style="634" hidden="1"/>
    <col min="7427" max="7427" width="12.85546875" style="634" hidden="1"/>
    <col min="7428" max="7429" width="12.140625" style="634" hidden="1"/>
    <col min="7430" max="7430" width="11.140625" style="634" hidden="1"/>
    <col min="7431" max="7431" width="14.42578125" style="634" hidden="1"/>
    <col min="7432" max="7432" width="10.5703125" style="634" hidden="1"/>
    <col min="7433" max="7433" width="12" style="634" hidden="1"/>
    <col min="7434" max="7434" width="12.85546875" style="634" hidden="1"/>
    <col min="7435" max="7439" width="10.85546875" style="634" hidden="1"/>
    <col min="7440" max="7441" width="9.5703125" style="634" hidden="1"/>
    <col min="7442" max="7442" width="9.85546875" style="634" hidden="1"/>
    <col min="7443" max="7681" width="9.140625" style="634" hidden="1"/>
    <col min="7682" max="7682" width="32.140625" style="634" hidden="1"/>
    <col min="7683" max="7683" width="12.85546875" style="634" hidden="1"/>
    <col min="7684" max="7685" width="12.140625" style="634" hidden="1"/>
    <col min="7686" max="7686" width="11.140625" style="634" hidden="1"/>
    <col min="7687" max="7687" width="14.42578125" style="634" hidden="1"/>
    <col min="7688" max="7688" width="10.5703125" style="634" hidden="1"/>
    <col min="7689" max="7689" width="12" style="634" hidden="1"/>
    <col min="7690" max="7690" width="12.85546875" style="634" hidden="1"/>
    <col min="7691" max="7695" width="10.85546875" style="634" hidden="1"/>
    <col min="7696" max="7697" width="9.5703125" style="634" hidden="1"/>
    <col min="7698" max="7698" width="9.85546875" style="634" hidden="1"/>
    <col min="7699" max="7937" width="9.140625" style="634" hidden="1"/>
    <col min="7938" max="7938" width="32.140625" style="634" hidden="1"/>
    <col min="7939" max="7939" width="12.85546875" style="634" hidden="1"/>
    <col min="7940" max="7941" width="12.140625" style="634" hidden="1"/>
    <col min="7942" max="7942" width="11.140625" style="634" hidden="1"/>
    <col min="7943" max="7943" width="14.42578125" style="634" hidden="1"/>
    <col min="7944" max="7944" width="10.5703125" style="634" hidden="1"/>
    <col min="7945" max="7945" width="12" style="634" hidden="1"/>
    <col min="7946" max="7946" width="12.85546875" style="634" hidden="1"/>
    <col min="7947" max="7951" width="10.85546875" style="634" hidden="1"/>
    <col min="7952" max="7953" width="9.5703125" style="634" hidden="1"/>
    <col min="7954" max="7954" width="9.85546875" style="634" hidden="1"/>
    <col min="7955" max="8193" width="9.140625" style="634" hidden="1"/>
    <col min="8194" max="8194" width="32.140625" style="634" hidden="1"/>
    <col min="8195" max="8195" width="12.85546875" style="634" hidden="1"/>
    <col min="8196" max="8197" width="12.140625" style="634" hidden="1"/>
    <col min="8198" max="8198" width="11.140625" style="634" hidden="1"/>
    <col min="8199" max="8199" width="14.42578125" style="634" hidden="1"/>
    <col min="8200" max="8200" width="10.5703125" style="634" hidden="1"/>
    <col min="8201" max="8201" width="12" style="634" hidden="1"/>
    <col min="8202" max="8202" width="12.85546875" style="634" hidden="1"/>
    <col min="8203" max="8207" width="10.85546875" style="634" hidden="1"/>
    <col min="8208" max="8209" width="9.5703125" style="634" hidden="1"/>
    <col min="8210" max="8210" width="9.85546875" style="634" hidden="1"/>
    <col min="8211" max="8449" width="9.140625" style="634" hidden="1"/>
    <col min="8450" max="8450" width="32.140625" style="634" hidden="1"/>
    <col min="8451" max="8451" width="12.85546875" style="634" hidden="1"/>
    <col min="8452" max="8453" width="12.140625" style="634" hidden="1"/>
    <col min="8454" max="8454" width="11.140625" style="634" hidden="1"/>
    <col min="8455" max="8455" width="14.42578125" style="634" hidden="1"/>
    <col min="8456" max="8456" width="10.5703125" style="634" hidden="1"/>
    <col min="8457" max="8457" width="12" style="634" hidden="1"/>
    <col min="8458" max="8458" width="12.85546875" style="634" hidden="1"/>
    <col min="8459" max="8463" width="10.85546875" style="634" hidden="1"/>
    <col min="8464" max="8465" width="9.5703125" style="634" hidden="1"/>
    <col min="8466" max="8466" width="9.85546875" style="634" hidden="1"/>
    <col min="8467" max="8705" width="9.140625" style="634" hidden="1"/>
    <col min="8706" max="8706" width="32.140625" style="634" hidden="1"/>
    <col min="8707" max="8707" width="12.85546875" style="634" hidden="1"/>
    <col min="8708" max="8709" width="12.140625" style="634" hidden="1"/>
    <col min="8710" max="8710" width="11.140625" style="634" hidden="1"/>
    <col min="8711" max="8711" width="14.42578125" style="634" hidden="1"/>
    <col min="8712" max="8712" width="10.5703125" style="634" hidden="1"/>
    <col min="8713" max="8713" width="12" style="634" hidden="1"/>
    <col min="8714" max="8714" width="12.85546875" style="634" hidden="1"/>
    <col min="8715" max="8719" width="10.85546875" style="634" hidden="1"/>
    <col min="8720" max="8721" width="9.5703125" style="634" hidden="1"/>
    <col min="8722" max="8722" width="9.85546875" style="634" hidden="1"/>
    <col min="8723" max="8961" width="9.140625" style="634" hidden="1"/>
    <col min="8962" max="8962" width="32.140625" style="634" hidden="1"/>
    <col min="8963" max="8963" width="12.85546875" style="634" hidden="1"/>
    <col min="8964" max="8965" width="12.140625" style="634" hidden="1"/>
    <col min="8966" max="8966" width="11.140625" style="634" hidden="1"/>
    <col min="8967" max="8967" width="14.42578125" style="634" hidden="1"/>
    <col min="8968" max="8968" width="10.5703125" style="634" hidden="1"/>
    <col min="8969" max="8969" width="12" style="634" hidden="1"/>
    <col min="8970" max="8970" width="12.85546875" style="634" hidden="1"/>
    <col min="8971" max="8975" width="10.85546875" style="634" hidden="1"/>
    <col min="8976" max="8977" width="9.5703125" style="634" hidden="1"/>
    <col min="8978" max="8978" width="9.85546875" style="634" hidden="1"/>
    <col min="8979" max="9217" width="9.140625" style="634" hidden="1"/>
    <col min="9218" max="9218" width="32.140625" style="634" hidden="1"/>
    <col min="9219" max="9219" width="12.85546875" style="634" hidden="1"/>
    <col min="9220" max="9221" width="12.140625" style="634" hidden="1"/>
    <col min="9222" max="9222" width="11.140625" style="634" hidden="1"/>
    <col min="9223" max="9223" width="14.42578125" style="634" hidden="1"/>
    <col min="9224" max="9224" width="10.5703125" style="634" hidden="1"/>
    <col min="9225" max="9225" width="12" style="634" hidden="1"/>
    <col min="9226" max="9226" width="12.85546875" style="634" hidden="1"/>
    <col min="9227" max="9231" width="10.85546875" style="634" hidden="1"/>
    <col min="9232" max="9233" width="9.5703125" style="634" hidden="1"/>
    <col min="9234" max="9234" width="9.85546875" style="634" hidden="1"/>
    <col min="9235" max="9473" width="9.140625" style="634" hidden="1"/>
    <col min="9474" max="9474" width="32.140625" style="634" hidden="1"/>
    <col min="9475" max="9475" width="12.85546875" style="634" hidden="1"/>
    <col min="9476" max="9477" width="12.140625" style="634" hidden="1"/>
    <col min="9478" max="9478" width="11.140625" style="634" hidden="1"/>
    <col min="9479" max="9479" width="14.42578125" style="634" hidden="1"/>
    <col min="9480" max="9480" width="10.5703125" style="634" hidden="1"/>
    <col min="9481" max="9481" width="12" style="634" hidden="1"/>
    <col min="9482" max="9482" width="12.85546875" style="634" hidden="1"/>
    <col min="9483" max="9487" width="10.85546875" style="634" hidden="1"/>
    <col min="9488" max="9489" width="9.5703125" style="634" hidden="1"/>
    <col min="9490" max="9490" width="9.85546875" style="634" hidden="1"/>
    <col min="9491" max="9729" width="9.140625" style="634" hidden="1"/>
    <col min="9730" max="9730" width="32.140625" style="634" hidden="1"/>
    <col min="9731" max="9731" width="12.85546875" style="634" hidden="1"/>
    <col min="9732" max="9733" width="12.140625" style="634" hidden="1"/>
    <col min="9734" max="9734" width="11.140625" style="634" hidden="1"/>
    <col min="9735" max="9735" width="14.42578125" style="634" hidden="1"/>
    <col min="9736" max="9736" width="10.5703125" style="634" hidden="1"/>
    <col min="9737" max="9737" width="12" style="634" hidden="1"/>
    <col min="9738" max="9738" width="12.85546875" style="634" hidden="1"/>
    <col min="9739" max="9743" width="10.85546875" style="634" hidden="1"/>
    <col min="9744" max="9745" width="9.5703125" style="634" hidden="1"/>
    <col min="9746" max="9746" width="9.85546875" style="634" hidden="1"/>
    <col min="9747" max="9985" width="9.140625" style="634" hidden="1"/>
    <col min="9986" max="9986" width="32.140625" style="634" hidden="1"/>
    <col min="9987" max="9987" width="12.85546875" style="634" hidden="1"/>
    <col min="9988" max="9989" width="12.140625" style="634" hidden="1"/>
    <col min="9990" max="9990" width="11.140625" style="634" hidden="1"/>
    <col min="9991" max="9991" width="14.42578125" style="634" hidden="1"/>
    <col min="9992" max="9992" width="10.5703125" style="634" hidden="1"/>
    <col min="9993" max="9993" width="12" style="634" hidden="1"/>
    <col min="9994" max="9994" width="12.85546875" style="634" hidden="1"/>
    <col min="9995" max="9999" width="10.85546875" style="634" hidden="1"/>
    <col min="10000" max="10001" width="9.5703125" style="634" hidden="1"/>
    <col min="10002" max="10002" width="9.85546875" style="634" hidden="1"/>
    <col min="10003" max="10241" width="9.140625" style="634" hidden="1"/>
    <col min="10242" max="10242" width="32.140625" style="634" hidden="1"/>
    <col min="10243" max="10243" width="12.85546875" style="634" hidden="1"/>
    <col min="10244" max="10245" width="12.140625" style="634" hidden="1"/>
    <col min="10246" max="10246" width="11.140625" style="634" hidden="1"/>
    <col min="10247" max="10247" width="14.42578125" style="634" hidden="1"/>
    <col min="10248" max="10248" width="10.5703125" style="634" hidden="1"/>
    <col min="10249" max="10249" width="12" style="634" hidden="1"/>
    <col min="10250" max="10250" width="12.85546875" style="634" hidden="1"/>
    <col min="10251" max="10255" width="10.85546875" style="634" hidden="1"/>
    <col min="10256" max="10257" width="9.5703125" style="634" hidden="1"/>
    <col min="10258" max="10258" width="9.85546875" style="634" hidden="1"/>
    <col min="10259" max="10497" width="9.140625" style="634" hidden="1"/>
    <col min="10498" max="10498" width="32.140625" style="634" hidden="1"/>
    <col min="10499" max="10499" width="12.85546875" style="634" hidden="1"/>
    <col min="10500" max="10501" width="12.140625" style="634" hidden="1"/>
    <col min="10502" max="10502" width="11.140625" style="634" hidden="1"/>
    <col min="10503" max="10503" width="14.42578125" style="634" hidden="1"/>
    <col min="10504" max="10504" width="10.5703125" style="634" hidden="1"/>
    <col min="10505" max="10505" width="12" style="634" hidden="1"/>
    <col min="10506" max="10506" width="12.85546875" style="634" hidden="1"/>
    <col min="10507" max="10511" width="10.85546875" style="634" hidden="1"/>
    <col min="10512" max="10513" width="9.5703125" style="634" hidden="1"/>
    <col min="10514" max="10514" width="9.85546875" style="634" hidden="1"/>
    <col min="10515" max="10753" width="9.140625" style="634" hidden="1"/>
    <col min="10754" max="10754" width="32.140625" style="634" hidden="1"/>
    <col min="10755" max="10755" width="12.85546875" style="634" hidden="1"/>
    <col min="10756" max="10757" width="12.140625" style="634" hidden="1"/>
    <col min="10758" max="10758" width="11.140625" style="634" hidden="1"/>
    <col min="10759" max="10759" width="14.42578125" style="634" hidden="1"/>
    <col min="10760" max="10760" width="10.5703125" style="634" hidden="1"/>
    <col min="10761" max="10761" width="12" style="634" hidden="1"/>
    <col min="10762" max="10762" width="12.85546875" style="634" hidden="1"/>
    <col min="10763" max="10767" width="10.85546875" style="634" hidden="1"/>
    <col min="10768" max="10769" width="9.5703125" style="634" hidden="1"/>
    <col min="10770" max="10770" width="9.85546875" style="634" hidden="1"/>
    <col min="10771" max="11009" width="9.140625" style="634" hidden="1"/>
    <col min="11010" max="11010" width="32.140625" style="634" hidden="1"/>
    <col min="11011" max="11011" width="12.85546875" style="634" hidden="1"/>
    <col min="11012" max="11013" width="12.140625" style="634" hidden="1"/>
    <col min="11014" max="11014" width="11.140625" style="634" hidden="1"/>
    <col min="11015" max="11015" width="14.42578125" style="634" hidden="1"/>
    <col min="11016" max="11016" width="10.5703125" style="634" hidden="1"/>
    <col min="11017" max="11017" width="12" style="634" hidden="1"/>
    <col min="11018" max="11018" width="12.85546875" style="634" hidden="1"/>
    <col min="11019" max="11023" width="10.85546875" style="634" hidden="1"/>
    <col min="11024" max="11025" width="9.5703125" style="634" hidden="1"/>
    <col min="11026" max="11026" width="9.85546875" style="634" hidden="1"/>
    <col min="11027" max="11265" width="9.140625" style="634" hidden="1"/>
    <col min="11266" max="11266" width="32.140625" style="634" hidden="1"/>
    <col min="11267" max="11267" width="12.85546875" style="634" hidden="1"/>
    <col min="11268" max="11269" width="12.140625" style="634" hidden="1"/>
    <col min="11270" max="11270" width="11.140625" style="634" hidden="1"/>
    <col min="11271" max="11271" width="14.42578125" style="634" hidden="1"/>
    <col min="11272" max="11272" width="10.5703125" style="634" hidden="1"/>
    <col min="11273" max="11273" width="12" style="634" hidden="1"/>
    <col min="11274" max="11274" width="12.85546875" style="634" hidden="1"/>
    <col min="11275" max="11279" width="10.85546875" style="634" hidden="1"/>
    <col min="11280" max="11281" width="9.5703125" style="634" hidden="1"/>
    <col min="11282" max="11282" width="9.85546875" style="634" hidden="1"/>
    <col min="11283" max="11521" width="9.140625" style="634" hidden="1"/>
    <col min="11522" max="11522" width="32.140625" style="634" hidden="1"/>
    <col min="11523" max="11523" width="12.85546875" style="634" hidden="1"/>
    <col min="11524" max="11525" width="12.140625" style="634" hidden="1"/>
    <col min="11526" max="11526" width="11.140625" style="634" hidden="1"/>
    <col min="11527" max="11527" width="14.42578125" style="634" hidden="1"/>
    <col min="11528" max="11528" width="10.5703125" style="634" hidden="1"/>
    <col min="11529" max="11529" width="12" style="634" hidden="1"/>
    <col min="11530" max="11530" width="12.85546875" style="634" hidden="1"/>
    <col min="11531" max="11535" width="10.85546875" style="634" hidden="1"/>
    <col min="11536" max="11537" width="9.5703125" style="634" hidden="1"/>
    <col min="11538" max="11538" width="9.85546875" style="634" hidden="1"/>
    <col min="11539" max="11777" width="9.140625" style="634" hidden="1"/>
    <col min="11778" max="11778" width="32.140625" style="634" hidden="1"/>
    <col min="11779" max="11779" width="12.85546875" style="634" hidden="1"/>
    <col min="11780" max="11781" width="12.140625" style="634" hidden="1"/>
    <col min="11782" max="11782" width="11.140625" style="634" hidden="1"/>
    <col min="11783" max="11783" width="14.42578125" style="634" hidden="1"/>
    <col min="11784" max="11784" width="10.5703125" style="634" hidden="1"/>
    <col min="11785" max="11785" width="12" style="634" hidden="1"/>
    <col min="11786" max="11786" width="12.85546875" style="634" hidden="1"/>
    <col min="11787" max="11791" width="10.85546875" style="634" hidden="1"/>
    <col min="11792" max="11793" width="9.5703125" style="634" hidden="1"/>
    <col min="11794" max="11794" width="9.85546875" style="634" hidden="1"/>
    <col min="11795" max="12033" width="9.140625" style="634" hidden="1"/>
    <col min="12034" max="12034" width="32.140625" style="634" hidden="1"/>
    <col min="12035" max="12035" width="12.85546875" style="634" hidden="1"/>
    <col min="12036" max="12037" width="12.140625" style="634" hidden="1"/>
    <col min="12038" max="12038" width="11.140625" style="634" hidden="1"/>
    <col min="12039" max="12039" width="14.42578125" style="634" hidden="1"/>
    <col min="12040" max="12040" width="10.5703125" style="634" hidden="1"/>
    <col min="12041" max="12041" width="12" style="634" hidden="1"/>
    <col min="12042" max="12042" width="12.85546875" style="634" hidden="1"/>
    <col min="12043" max="12047" width="10.85546875" style="634" hidden="1"/>
    <col min="12048" max="12049" width="9.5703125" style="634" hidden="1"/>
    <col min="12050" max="12050" width="9.85546875" style="634" hidden="1"/>
    <col min="12051" max="12289" width="9.140625" style="634" hidden="1"/>
    <col min="12290" max="12290" width="32.140625" style="634" hidden="1"/>
    <col min="12291" max="12291" width="12.85546875" style="634" hidden="1"/>
    <col min="12292" max="12293" width="12.140625" style="634" hidden="1"/>
    <col min="12294" max="12294" width="11.140625" style="634" hidden="1"/>
    <col min="12295" max="12295" width="14.42578125" style="634" hidden="1"/>
    <col min="12296" max="12296" width="10.5703125" style="634" hidden="1"/>
    <col min="12297" max="12297" width="12" style="634" hidden="1"/>
    <col min="12298" max="12298" width="12.85546875" style="634" hidden="1"/>
    <col min="12299" max="12303" width="10.85546875" style="634" hidden="1"/>
    <col min="12304" max="12305" width="9.5703125" style="634" hidden="1"/>
    <col min="12306" max="12306" width="9.85546875" style="634" hidden="1"/>
    <col min="12307" max="12545" width="9.140625" style="634" hidden="1"/>
    <col min="12546" max="12546" width="32.140625" style="634" hidden="1"/>
    <col min="12547" max="12547" width="12.85546875" style="634" hidden="1"/>
    <col min="12548" max="12549" width="12.140625" style="634" hidden="1"/>
    <col min="12550" max="12550" width="11.140625" style="634" hidden="1"/>
    <col min="12551" max="12551" width="14.42578125" style="634" hidden="1"/>
    <col min="12552" max="12552" width="10.5703125" style="634" hidden="1"/>
    <col min="12553" max="12553" width="12" style="634" hidden="1"/>
    <col min="12554" max="12554" width="12.85546875" style="634" hidden="1"/>
    <col min="12555" max="12559" width="10.85546875" style="634" hidden="1"/>
    <col min="12560" max="12561" width="9.5703125" style="634" hidden="1"/>
    <col min="12562" max="12562" width="9.85546875" style="634" hidden="1"/>
    <col min="12563" max="12801" width="9.140625" style="634" hidden="1"/>
    <col min="12802" max="12802" width="32.140625" style="634" hidden="1"/>
    <col min="12803" max="12803" width="12.85546875" style="634" hidden="1"/>
    <col min="12804" max="12805" width="12.140625" style="634" hidden="1"/>
    <col min="12806" max="12806" width="11.140625" style="634" hidden="1"/>
    <col min="12807" max="12807" width="14.42578125" style="634" hidden="1"/>
    <col min="12808" max="12808" width="10.5703125" style="634" hidden="1"/>
    <col min="12809" max="12809" width="12" style="634" hidden="1"/>
    <col min="12810" max="12810" width="12.85546875" style="634" hidden="1"/>
    <col min="12811" max="12815" width="10.85546875" style="634" hidden="1"/>
    <col min="12816" max="12817" width="9.5703125" style="634" hidden="1"/>
    <col min="12818" max="12818" width="9.85546875" style="634" hidden="1"/>
    <col min="12819" max="13057" width="9.140625" style="634" hidden="1"/>
    <col min="13058" max="13058" width="32.140625" style="634" hidden="1"/>
    <col min="13059" max="13059" width="12.85546875" style="634" hidden="1"/>
    <col min="13060" max="13061" width="12.140625" style="634" hidden="1"/>
    <col min="13062" max="13062" width="11.140625" style="634" hidden="1"/>
    <col min="13063" max="13063" width="14.42578125" style="634" hidden="1"/>
    <col min="13064" max="13064" width="10.5703125" style="634" hidden="1"/>
    <col min="13065" max="13065" width="12" style="634" hidden="1"/>
    <col min="13066" max="13066" width="12.85546875" style="634" hidden="1"/>
    <col min="13067" max="13071" width="10.85546875" style="634" hidden="1"/>
    <col min="13072" max="13073" width="9.5703125" style="634" hidden="1"/>
    <col min="13074" max="13074" width="9.85546875" style="634" hidden="1"/>
    <col min="13075" max="13313" width="9.140625" style="634" hidden="1"/>
    <col min="13314" max="13314" width="32.140625" style="634" hidden="1"/>
    <col min="13315" max="13315" width="12.85546875" style="634" hidden="1"/>
    <col min="13316" max="13317" width="12.140625" style="634" hidden="1"/>
    <col min="13318" max="13318" width="11.140625" style="634" hidden="1"/>
    <col min="13319" max="13319" width="14.42578125" style="634" hidden="1"/>
    <col min="13320" max="13320" width="10.5703125" style="634" hidden="1"/>
    <col min="13321" max="13321" width="12" style="634" hidden="1"/>
    <col min="13322" max="13322" width="12.85546875" style="634" hidden="1"/>
    <col min="13323" max="13327" width="10.85546875" style="634" hidden="1"/>
    <col min="13328" max="13329" width="9.5703125" style="634" hidden="1"/>
    <col min="13330" max="13330" width="9.85546875" style="634" hidden="1"/>
    <col min="13331" max="13569" width="9.140625" style="634" hidden="1"/>
    <col min="13570" max="13570" width="32.140625" style="634" hidden="1"/>
    <col min="13571" max="13571" width="12.85546875" style="634" hidden="1"/>
    <col min="13572" max="13573" width="12.140625" style="634" hidden="1"/>
    <col min="13574" max="13574" width="11.140625" style="634" hidden="1"/>
    <col min="13575" max="13575" width="14.42578125" style="634" hidden="1"/>
    <col min="13576" max="13576" width="10.5703125" style="634" hidden="1"/>
    <col min="13577" max="13577" width="12" style="634" hidden="1"/>
    <col min="13578" max="13578" width="12.85546875" style="634" hidden="1"/>
    <col min="13579" max="13583" width="10.85546875" style="634" hidden="1"/>
    <col min="13584" max="13585" width="9.5703125" style="634" hidden="1"/>
    <col min="13586" max="13586" width="9.85546875" style="634" hidden="1"/>
    <col min="13587" max="13825" width="9.140625" style="634" hidden="1"/>
    <col min="13826" max="13826" width="32.140625" style="634" hidden="1"/>
    <col min="13827" max="13827" width="12.85546875" style="634" hidden="1"/>
    <col min="13828" max="13829" width="12.140625" style="634" hidden="1"/>
    <col min="13830" max="13830" width="11.140625" style="634" hidden="1"/>
    <col min="13831" max="13831" width="14.42578125" style="634" hidden="1"/>
    <col min="13832" max="13832" width="10.5703125" style="634" hidden="1"/>
    <col min="13833" max="13833" width="12" style="634" hidden="1"/>
    <col min="13834" max="13834" width="12.85546875" style="634" hidden="1"/>
    <col min="13835" max="13839" width="10.85546875" style="634" hidden="1"/>
    <col min="13840" max="13841" width="9.5703125" style="634" hidden="1"/>
    <col min="13842" max="13842" width="9.85546875" style="634" hidden="1"/>
    <col min="13843" max="14081" width="9.140625" style="634" hidden="1"/>
    <col min="14082" max="14082" width="32.140625" style="634" hidden="1"/>
    <col min="14083" max="14083" width="12.85546875" style="634" hidden="1"/>
    <col min="14084" max="14085" width="12.140625" style="634" hidden="1"/>
    <col min="14086" max="14086" width="11.140625" style="634" hidden="1"/>
    <col min="14087" max="14087" width="14.42578125" style="634" hidden="1"/>
    <col min="14088" max="14088" width="10.5703125" style="634" hidden="1"/>
    <col min="14089" max="14089" width="12" style="634" hidden="1"/>
    <col min="14090" max="14090" width="12.85546875" style="634" hidden="1"/>
    <col min="14091" max="14095" width="10.85546875" style="634" hidden="1"/>
    <col min="14096" max="14097" width="9.5703125" style="634" hidden="1"/>
    <col min="14098" max="14098" width="9.85546875" style="634" hidden="1"/>
    <col min="14099" max="14337" width="9.140625" style="634" hidden="1"/>
    <col min="14338" max="14338" width="32.140625" style="634" hidden="1"/>
    <col min="14339" max="14339" width="12.85546875" style="634" hidden="1"/>
    <col min="14340" max="14341" width="12.140625" style="634" hidden="1"/>
    <col min="14342" max="14342" width="11.140625" style="634" hidden="1"/>
    <col min="14343" max="14343" width="14.42578125" style="634" hidden="1"/>
    <col min="14344" max="14344" width="10.5703125" style="634" hidden="1"/>
    <col min="14345" max="14345" width="12" style="634" hidden="1"/>
    <col min="14346" max="14346" width="12.85546875" style="634" hidden="1"/>
    <col min="14347" max="14351" width="10.85546875" style="634" hidden="1"/>
    <col min="14352" max="14353" width="9.5703125" style="634" hidden="1"/>
    <col min="14354" max="14354" width="9.85546875" style="634" hidden="1"/>
    <col min="14355" max="14593" width="9.140625" style="634" hidden="1"/>
    <col min="14594" max="14594" width="32.140625" style="634" hidden="1"/>
    <col min="14595" max="14595" width="12.85546875" style="634" hidden="1"/>
    <col min="14596" max="14597" width="12.140625" style="634" hidden="1"/>
    <col min="14598" max="14598" width="11.140625" style="634" hidden="1"/>
    <col min="14599" max="14599" width="14.42578125" style="634" hidden="1"/>
    <col min="14600" max="14600" width="10.5703125" style="634" hidden="1"/>
    <col min="14601" max="14601" width="12" style="634" hidden="1"/>
    <col min="14602" max="14602" width="12.85546875" style="634" hidden="1"/>
    <col min="14603" max="14607" width="10.85546875" style="634" hidden="1"/>
    <col min="14608" max="14609" width="9.5703125" style="634" hidden="1"/>
    <col min="14610" max="14610" width="9.85546875" style="634" hidden="1"/>
    <col min="14611" max="14849" width="9.140625" style="634" hidden="1"/>
    <col min="14850" max="14850" width="32.140625" style="634" hidden="1"/>
    <col min="14851" max="14851" width="12.85546875" style="634" hidden="1"/>
    <col min="14852" max="14853" width="12.140625" style="634" hidden="1"/>
    <col min="14854" max="14854" width="11.140625" style="634" hidden="1"/>
    <col min="14855" max="14855" width="14.42578125" style="634" hidden="1"/>
    <col min="14856" max="14856" width="10.5703125" style="634" hidden="1"/>
    <col min="14857" max="14857" width="12" style="634" hidden="1"/>
    <col min="14858" max="14858" width="12.85546875" style="634" hidden="1"/>
    <col min="14859" max="14863" width="10.85546875" style="634" hidden="1"/>
    <col min="14864" max="14865" width="9.5703125" style="634" hidden="1"/>
    <col min="14866" max="14866" width="9.85546875" style="634" hidden="1"/>
    <col min="14867" max="15105" width="9.140625" style="634" hidden="1"/>
    <col min="15106" max="15106" width="32.140625" style="634" hidden="1"/>
    <col min="15107" max="15107" width="12.85546875" style="634" hidden="1"/>
    <col min="15108" max="15109" width="12.140625" style="634" hidden="1"/>
    <col min="15110" max="15110" width="11.140625" style="634" hidden="1"/>
    <col min="15111" max="15111" width="14.42578125" style="634" hidden="1"/>
    <col min="15112" max="15112" width="10.5703125" style="634" hidden="1"/>
    <col min="15113" max="15113" width="12" style="634" hidden="1"/>
    <col min="15114" max="15114" width="12.85546875" style="634" hidden="1"/>
    <col min="15115" max="15119" width="10.85546875" style="634" hidden="1"/>
    <col min="15120" max="15121" width="9.5703125" style="634" hidden="1"/>
    <col min="15122" max="15122" width="9.85546875" style="634" hidden="1"/>
    <col min="15123" max="15361" width="9.140625" style="634" hidden="1"/>
    <col min="15362" max="15362" width="32.140625" style="634" hidden="1"/>
    <col min="15363" max="15363" width="12.85546875" style="634" hidden="1"/>
    <col min="15364" max="15365" width="12.140625" style="634" hidden="1"/>
    <col min="15366" max="15366" width="11.140625" style="634" hidden="1"/>
    <col min="15367" max="15367" width="14.42578125" style="634" hidden="1"/>
    <col min="15368" max="15368" width="10.5703125" style="634" hidden="1"/>
    <col min="15369" max="15369" width="12" style="634" hidden="1"/>
    <col min="15370" max="15370" width="12.85546875" style="634" hidden="1"/>
    <col min="15371" max="15375" width="10.85546875" style="634" hidden="1"/>
    <col min="15376" max="15377" width="9.5703125" style="634" hidden="1"/>
    <col min="15378" max="15378" width="9.85546875" style="634" hidden="1"/>
    <col min="15379" max="15617" width="9.140625" style="634" hidden="1"/>
    <col min="15618" max="15618" width="32.140625" style="634" hidden="1"/>
    <col min="15619" max="15619" width="12.85546875" style="634" hidden="1"/>
    <col min="15620" max="15621" width="12.140625" style="634" hidden="1"/>
    <col min="15622" max="15622" width="11.140625" style="634" hidden="1"/>
    <col min="15623" max="15623" width="14.42578125" style="634" hidden="1"/>
    <col min="15624" max="15624" width="10.5703125" style="634" hidden="1"/>
    <col min="15625" max="15625" width="12" style="634" hidden="1"/>
    <col min="15626" max="15626" width="12.85546875" style="634" hidden="1"/>
    <col min="15627" max="15631" width="10.85546875" style="634" hidden="1"/>
    <col min="15632" max="15633" width="9.5703125" style="634" hidden="1"/>
    <col min="15634" max="15634" width="9.85546875" style="634" hidden="1"/>
    <col min="15635" max="15873" width="9.140625" style="634" hidden="1"/>
    <col min="15874" max="15874" width="32.140625" style="634" hidden="1"/>
    <col min="15875" max="15875" width="12.85546875" style="634" hidden="1"/>
    <col min="15876" max="15877" width="12.140625" style="634" hidden="1"/>
    <col min="15878" max="15878" width="11.140625" style="634" hidden="1"/>
    <col min="15879" max="15879" width="14.42578125" style="634" hidden="1"/>
    <col min="15880" max="15880" width="10.5703125" style="634" hidden="1"/>
    <col min="15881" max="15881" width="12" style="634" hidden="1"/>
    <col min="15882" max="15882" width="12.85546875" style="634" hidden="1"/>
    <col min="15883" max="15887" width="10.85546875" style="634" hidden="1"/>
    <col min="15888" max="15889" width="9.5703125" style="634" hidden="1"/>
    <col min="15890" max="15890" width="9.85546875" style="634" hidden="1"/>
    <col min="15891" max="16129" width="9.140625" style="634" hidden="1"/>
    <col min="16130" max="16130" width="32.140625" style="634" hidden="1"/>
    <col min="16131" max="16131" width="12.85546875" style="634" hidden="1"/>
    <col min="16132" max="16133" width="12.140625" style="634" hidden="1"/>
    <col min="16134" max="16134" width="11.140625" style="634" hidden="1"/>
    <col min="16135" max="16135" width="14.42578125" style="634" hidden="1"/>
    <col min="16136" max="16136" width="10.5703125" style="634" hidden="1"/>
    <col min="16137" max="16137" width="12" style="634" hidden="1"/>
    <col min="16138" max="16138" width="12.85546875" style="634" hidden="1"/>
    <col min="16139" max="16143" width="10.85546875" style="634" hidden="1"/>
    <col min="16144" max="16145" width="9.5703125" style="634" hidden="1"/>
    <col min="16146" max="16146" width="9.85546875" style="634" hidden="1"/>
    <col min="16147" max="16384" width="9.140625" style="634" hidden="1"/>
  </cols>
  <sheetData>
    <row r="1" spans="1:18" ht="34.5" thickBot="1">
      <c r="A1" s="633"/>
      <c r="B1" s="633" t="s">
        <v>746</v>
      </c>
      <c r="E1" s="1094" t="s">
        <v>1455</v>
      </c>
      <c r="F1" s="636">
        <v>0.1</v>
      </c>
      <c r="G1" s="633"/>
    </row>
    <row r="2" spans="1:18" ht="12" thickBot="1">
      <c r="A2" s="633"/>
      <c r="B2" s="1091" t="s">
        <v>748</v>
      </c>
      <c r="C2" s="1092"/>
      <c r="D2" s="1092"/>
      <c r="E2" s="1093">
        <v>646000</v>
      </c>
    </row>
    <row r="3" spans="1:18">
      <c r="A3" s="633"/>
      <c r="B3" s="641" t="s">
        <v>678</v>
      </c>
      <c r="C3" s="642"/>
      <c r="D3" s="642"/>
      <c r="E3" s="643">
        <f>SUM(E29:E30)</f>
        <v>103974</v>
      </c>
      <c r="G3" s="633"/>
    </row>
    <row r="4" spans="1:18">
      <c r="A4" s="633"/>
      <c r="B4" s="641" t="s">
        <v>749</v>
      </c>
      <c r="C4" s="642"/>
      <c r="D4" s="642"/>
      <c r="E4" s="643">
        <f>E31+E32</f>
        <v>23994</v>
      </c>
      <c r="G4" s="633"/>
    </row>
    <row r="5" spans="1:18" ht="12" thickBot="1">
      <c r="A5" s="633"/>
      <c r="B5" s="644" t="s">
        <v>750</v>
      </c>
      <c r="C5" s="646"/>
      <c r="D5" s="646"/>
      <c r="E5" s="1116">
        <f>D43*D49+D85*D91++D111*D117+D140*D149</f>
        <v>518032.00000000006</v>
      </c>
      <c r="G5" s="633"/>
    </row>
    <row r="6" spans="1:18" ht="12" thickBot="1">
      <c r="A6" s="633"/>
      <c r="B6" s="1115" t="s">
        <v>751</v>
      </c>
      <c r="C6" s="1107"/>
      <c r="D6" s="1108"/>
      <c r="E6" s="1117">
        <v>2018</v>
      </c>
      <c r="G6" s="633"/>
    </row>
    <row r="7" spans="1:18">
      <c r="A7" s="633"/>
      <c r="G7" s="633"/>
    </row>
    <row r="8" spans="1:18" ht="12" thickBot="1">
      <c r="A8" s="633"/>
      <c r="B8" s="633" t="s">
        <v>752</v>
      </c>
      <c r="G8" s="633"/>
    </row>
    <row r="9" spans="1:18" ht="12" thickBot="1">
      <c r="A9" s="633"/>
      <c r="B9" s="633" t="s">
        <v>636</v>
      </c>
      <c r="C9" s="648">
        <v>1</v>
      </c>
      <c r="G9" s="633"/>
    </row>
    <row r="10" spans="1:18" ht="12" thickBot="1">
      <c r="A10" s="633"/>
      <c r="B10" s="649" t="s">
        <v>753</v>
      </c>
      <c r="C10" s="650">
        <v>0.02</v>
      </c>
      <c r="D10" s="633"/>
      <c r="E10" s="651"/>
    </row>
    <row r="11" spans="1:18" ht="12" thickBot="1">
      <c r="A11" s="633"/>
      <c r="B11" s="652" t="s">
        <v>754</v>
      </c>
      <c r="D11" s="634"/>
      <c r="E11" s="636"/>
    </row>
    <row r="12" spans="1:18" ht="12" thickBot="1">
      <c r="A12" s="633"/>
      <c r="B12" s="633" t="s">
        <v>755</v>
      </c>
      <c r="C12" s="653">
        <v>2027</v>
      </c>
      <c r="D12" s="634"/>
      <c r="E12" s="651"/>
    </row>
    <row r="13" spans="1:18" ht="12" thickBot="1">
      <c r="A13" s="633"/>
      <c r="C13" s="654"/>
      <c r="D13" s="634"/>
      <c r="E13" s="655">
        <f>E35</f>
        <v>2014</v>
      </c>
      <c r="F13" s="655">
        <f t="shared" ref="F13:R13" si="0">F35</f>
        <v>2015</v>
      </c>
      <c r="G13" s="655">
        <f t="shared" si="0"/>
        <v>2016</v>
      </c>
      <c r="H13" s="655">
        <f t="shared" si="0"/>
        <v>2017</v>
      </c>
      <c r="I13" s="655">
        <f t="shared" si="0"/>
        <v>2018</v>
      </c>
      <c r="J13" s="655">
        <f t="shared" si="0"/>
        <v>2019</v>
      </c>
      <c r="K13" s="655">
        <f t="shared" si="0"/>
        <v>2020</v>
      </c>
      <c r="L13" s="655">
        <f t="shared" si="0"/>
        <v>2021</v>
      </c>
      <c r="M13" s="655">
        <f t="shared" si="0"/>
        <v>2022</v>
      </c>
      <c r="N13" s="655">
        <f t="shared" si="0"/>
        <v>2023</v>
      </c>
      <c r="O13" s="655">
        <f t="shared" si="0"/>
        <v>2024</v>
      </c>
      <c r="P13" s="655">
        <f t="shared" si="0"/>
        <v>2025</v>
      </c>
      <c r="Q13" s="655">
        <f t="shared" si="0"/>
        <v>2026</v>
      </c>
      <c r="R13" s="655">
        <f t="shared" si="0"/>
        <v>2027</v>
      </c>
    </row>
    <row r="14" spans="1:18">
      <c r="A14" s="633"/>
      <c r="C14" s="654"/>
      <c r="D14" s="1085" t="s">
        <v>756</v>
      </c>
      <c r="E14" s="1076">
        <v>0.9</v>
      </c>
      <c r="F14" s="1076">
        <v>0.9</v>
      </c>
      <c r="G14" s="1076">
        <f t="shared" ref="G14:R15" si="1">F14</f>
        <v>0.9</v>
      </c>
      <c r="H14" s="1076">
        <f t="shared" si="1"/>
        <v>0.9</v>
      </c>
      <c r="I14" s="1076">
        <f t="shared" si="1"/>
        <v>0.9</v>
      </c>
      <c r="J14" s="1076">
        <f t="shared" si="1"/>
        <v>0.9</v>
      </c>
      <c r="K14" s="1076">
        <f t="shared" si="1"/>
        <v>0.9</v>
      </c>
      <c r="L14" s="1076">
        <f t="shared" si="1"/>
        <v>0.9</v>
      </c>
      <c r="M14" s="1076">
        <f t="shared" si="1"/>
        <v>0.9</v>
      </c>
      <c r="N14" s="1076">
        <f t="shared" si="1"/>
        <v>0.9</v>
      </c>
      <c r="O14" s="1076">
        <f t="shared" si="1"/>
        <v>0.9</v>
      </c>
      <c r="P14" s="1076">
        <f t="shared" si="1"/>
        <v>0.9</v>
      </c>
      <c r="Q14" s="1076">
        <f t="shared" si="1"/>
        <v>0.9</v>
      </c>
      <c r="R14" s="1077">
        <f t="shared" si="1"/>
        <v>0.9</v>
      </c>
    </row>
    <row r="15" spans="1:18">
      <c r="A15" s="633"/>
      <c r="C15" s="654"/>
      <c r="D15" s="1086" t="s">
        <v>610</v>
      </c>
      <c r="E15" s="1078">
        <v>1.3</v>
      </c>
      <c r="F15" s="1078">
        <f>E15</f>
        <v>1.3</v>
      </c>
      <c r="G15" s="1078">
        <f t="shared" si="1"/>
        <v>1.3</v>
      </c>
      <c r="H15" s="1078">
        <f t="shared" si="1"/>
        <v>1.3</v>
      </c>
      <c r="I15" s="1078">
        <f t="shared" si="1"/>
        <v>1.3</v>
      </c>
      <c r="J15" s="1078">
        <f t="shared" si="1"/>
        <v>1.3</v>
      </c>
      <c r="K15" s="1078">
        <f t="shared" si="1"/>
        <v>1.3</v>
      </c>
      <c r="L15" s="1078">
        <f t="shared" si="1"/>
        <v>1.3</v>
      </c>
      <c r="M15" s="1078">
        <f t="shared" si="1"/>
        <v>1.3</v>
      </c>
      <c r="N15" s="1078">
        <f t="shared" si="1"/>
        <v>1.3</v>
      </c>
      <c r="O15" s="1078">
        <f t="shared" si="1"/>
        <v>1.3</v>
      </c>
      <c r="P15" s="1078">
        <f t="shared" si="1"/>
        <v>1.3</v>
      </c>
      <c r="Q15" s="1078">
        <f t="shared" si="1"/>
        <v>1.3</v>
      </c>
      <c r="R15" s="1079">
        <f t="shared" si="1"/>
        <v>1.3</v>
      </c>
    </row>
    <row r="16" spans="1:18">
      <c r="A16" s="633"/>
      <c r="C16" s="654" t="s">
        <v>1456</v>
      </c>
      <c r="D16" s="1086" t="s">
        <v>757</v>
      </c>
      <c r="E16" s="1080">
        <v>5.5E-2</v>
      </c>
      <c r="F16" s="1080">
        <v>5.5E-2</v>
      </c>
      <c r="G16" s="1080">
        <v>5.5E-2</v>
      </c>
      <c r="H16" s="1080">
        <v>5.5E-2</v>
      </c>
      <c r="I16" s="1080">
        <v>5.5E-2</v>
      </c>
      <c r="J16" s="1080">
        <v>5.5E-2</v>
      </c>
      <c r="K16" s="1080">
        <v>5.5E-2</v>
      </c>
      <c r="L16" s="1080">
        <v>5.5E-2</v>
      </c>
      <c r="M16" s="1080">
        <v>5.5E-2</v>
      </c>
      <c r="N16" s="1080">
        <v>5.5E-2</v>
      </c>
      <c r="O16" s="1080">
        <v>5.5E-2</v>
      </c>
      <c r="P16" s="1080">
        <v>5.5E-2</v>
      </c>
      <c r="Q16" s="1080">
        <v>5.5E-2</v>
      </c>
      <c r="R16" s="1081">
        <v>5.5E-2</v>
      </c>
    </row>
    <row r="17" spans="1:28">
      <c r="A17" s="633"/>
      <c r="C17" s="654" t="s">
        <v>1456</v>
      </c>
      <c r="D17" s="1086" t="s">
        <v>609</v>
      </c>
      <c r="E17" s="1082">
        <v>7.0000000000000007E-2</v>
      </c>
      <c r="F17" s="1083">
        <v>7.0000000000000007E-2</v>
      </c>
      <c r="G17" s="1083">
        <v>7.0000000000000007E-2</v>
      </c>
      <c r="H17" s="1083">
        <v>7.0000000000000007E-2</v>
      </c>
      <c r="I17" s="1083">
        <v>7.0000000000000007E-2</v>
      </c>
      <c r="J17" s="1083">
        <v>7.0000000000000007E-2</v>
      </c>
      <c r="K17" s="1083">
        <v>7.0000000000000007E-2</v>
      </c>
      <c r="L17" s="1083">
        <v>7.0000000000000007E-2</v>
      </c>
      <c r="M17" s="1083">
        <v>7.0000000000000007E-2</v>
      </c>
      <c r="N17" s="1083">
        <v>7.0000000000000007E-2</v>
      </c>
      <c r="O17" s="1083">
        <v>7.0000000000000007E-2</v>
      </c>
      <c r="P17" s="1083">
        <v>7.0000000000000007E-2</v>
      </c>
      <c r="Q17" s="1083">
        <v>7.0000000000000007E-2</v>
      </c>
      <c r="R17" s="1084">
        <v>7.0000000000000007E-2</v>
      </c>
    </row>
    <row r="18" spans="1:28" ht="12" thickBot="1">
      <c r="A18" s="633"/>
      <c r="C18" s="654"/>
      <c r="D18" s="1087" t="s">
        <v>758</v>
      </c>
      <c r="E18" s="1100">
        <v>0.17950000000000002</v>
      </c>
      <c r="F18" s="1100">
        <f t="shared" ref="F18:R18" si="2">F15*F17+F16</f>
        <v>0.14600000000000002</v>
      </c>
      <c r="G18" s="1100">
        <f t="shared" si="2"/>
        <v>0.14600000000000002</v>
      </c>
      <c r="H18" s="1100">
        <f t="shared" si="2"/>
        <v>0.14600000000000002</v>
      </c>
      <c r="I18" s="1100">
        <f t="shared" si="2"/>
        <v>0.14600000000000002</v>
      </c>
      <c r="J18" s="1100">
        <f t="shared" si="2"/>
        <v>0.14600000000000002</v>
      </c>
      <c r="K18" s="1100">
        <f t="shared" si="2"/>
        <v>0.14600000000000002</v>
      </c>
      <c r="L18" s="1100">
        <f t="shared" si="2"/>
        <v>0.14600000000000002</v>
      </c>
      <c r="M18" s="1100">
        <f t="shared" si="2"/>
        <v>0.14600000000000002</v>
      </c>
      <c r="N18" s="1100">
        <f t="shared" si="2"/>
        <v>0.14600000000000002</v>
      </c>
      <c r="O18" s="1100">
        <f t="shared" si="2"/>
        <v>0.14600000000000002</v>
      </c>
      <c r="P18" s="1100">
        <f t="shared" si="2"/>
        <v>0.14600000000000002</v>
      </c>
      <c r="Q18" s="1100">
        <f t="shared" si="2"/>
        <v>0.14600000000000002</v>
      </c>
      <c r="R18" s="1101">
        <f t="shared" si="2"/>
        <v>0.14600000000000002</v>
      </c>
    </row>
    <row r="19" spans="1:28">
      <c r="A19" s="633"/>
      <c r="C19" s="654"/>
      <c r="D19" s="1097" t="s">
        <v>759</v>
      </c>
      <c r="E19" s="1098">
        <f>1-E14</f>
        <v>9.9999999999999978E-2</v>
      </c>
      <c r="F19" s="1098">
        <f t="shared" ref="F19:R19" si="3">1-F14</f>
        <v>9.9999999999999978E-2</v>
      </c>
      <c r="G19" s="1098">
        <f t="shared" si="3"/>
        <v>9.9999999999999978E-2</v>
      </c>
      <c r="H19" s="1098">
        <f t="shared" si="3"/>
        <v>9.9999999999999978E-2</v>
      </c>
      <c r="I19" s="1098">
        <f t="shared" si="3"/>
        <v>9.9999999999999978E-2</v>
      </c>
      <c r="J19" s="1098">
        <f t="shared" si="3"/>
        <v>9.9999999999999978E-2</v>
      </c>
      <c r="K19" s="1098">
        <f t="shared" si="3"/>
        <v>9.9999999999999978E-2</v>
      </c>
      <c r="L19" s="1098">
        <f t="shared" si="3"/>
        <v>9.9999999999999978E-2</v>
      </c>
      <c r="M19" s="1098">
        <f t="shared" si="3"/>
        <v>9.9999999999999978E-2</v>
      </c>
      <c r="N19" s="1098">
        <f t="shared" si="3"/>
        <v>9.9999999999999978E-2</v>
      </c>
      <c r="O19" s="1098">
        <f t="shared" si="3"/>
        <v>9.9999999999999978E-2</v>
      </c>
      <c r="P19" s="1098">
        <f t="shared" si="3"/>
        <v>9.9999999999999978E-2</v>
      </c>
      <c r="Q19" s="1098">
        <f t="shared" si="3"/>
        <v>9.9999999999999978E-2</v>
      </c>
      <c r="R19" s="1099">
        <f t="shared" si="3"/>
        <v>9.9999999999999978E-2</v>
      </c>
    </row>
    <row r="20" spans="1:28">
      <c r="A20" s="633"/>
      <c r="C20" s="654"/>
      <c r="D20" s="1088" t="s">
        <v>1454</v>
      </c>
      <c r="E20" s="1089">
        <v>0.13</v>
      </c>
      <c r="F20" s="1089">
        <f>E20-1%</f>
        <v>0.12000000000000001</v>
      </c>
      <c r="G20" s="1089">
        <f>F20-1%</f>
        <v>0.11000000000000001</v>
      </c>
      <c r="H20" s="1089">
        <f>G20-1%</f>
        <v>0.10000000000000002</v>
      </c>
      <c r="I20" s="1089">
        <f>H20-1%</f>
        <v>9.0000000000000024E-2</v>
      </c>
      <c r="J20" s="1089">
        <f>I20</f>
        <v>9.0000000000000024E-2</v>
      </c>
      <c r="K20" s="1089">
        <f t="shared" ref="K20:R20" si="4">J20</f>
        <v>9.0000000000000024E-2</v>
      </c>
      <c r="L20" s="1089">
        <f t="shared" si="4"/>
        <v>9.0000000000000024E-2</v>
      </c>
      <c r="M20" s="1089">
        <f t="shared" si="4"/>
        <v>9.0000000000000024E-2</v>
      </c>
      <c r="N20" s="1089">
        <f t="shared" si="4"/>
        <v>9.0000000000000024E-2</v>
      </c>
      <c r="O20" s="1089">
        <f t="shared" si="4"/>
        <v>9.0000000000000024E-2</v>
      </c>
      <c r="P20" s="1089">
        <f t="shared" si="4"/>
        <v>9.0000000000000024E-2</v>
      </c>
      <c r="Q20" s="1089">
        <f t="shared" si="4"/>
        <v>9.0000000000000024E-2</v>
      </c>
      <c r="R20" s="1090">
        <f t="shared" si="4"/>
        <v>9.0000000000000024E-2</v>
      </c>
    </row>
    <row r="21" spans="1:28">
      <c r="A21" s="633"/>
      <c r="C21" s="654"/>
      <c r="D21" s="1088" t="s">
        <v>1453</v>
      </c>
      <c r="E21" s="1089">
        <v>0.22</v>
      </c>
      <c r="F21" s="1089">
        <v>0.22</v>
      </c>
      <c r="G21" s="1089">
        <v>0.2</v>
      </c>
      <c r="H21" s="1089">
        <v>0.2</v>
      </c>
      <c r="I21" s="1089">
        <v>0.2</v>
      </c>
      <c r="J21" s="1089">
        <v>0.2</v>
      </c>
      <c r="K21" s="1089">
        <v>0.2</v>
      </c>
      <c r="L21" s="1089">
        <v>0.2</v>
      </c>
      <c r="M21" s="1089">
        <v>0.2</v>
      </c>
      <c r="N21" s="1089">
        <v>0.2</v>
      </c>
      <c r="O21" s="1089">
        <v>0.2</v>
      </c>
      <c r="P21" s="1089">
        <v>0.2</v>
      </c>
      <c r="Q21" s="1089">
        <v>0.2</v>
      </c>
      <c r="R21" s="1090">
        <v>0.2</v>
      </c>
    </row>
    <row r="22" spans="1:28" ht="12" thickBot="1">
      <c r="A22" s="633"/>
      <c r="C22" s="654"/>
      <c r="D22" s="1087" t="s">
        <v>760</v>
      </c>
      <c r="E22" s="1095">
        <f>E20*(1-E21)</f>
        <v>0.1014</v>
      </c>
      <c r="F22" s="1095">
        <f t="shared" ref="F22:R22" si="5">F20*(1-F21)</f>
        <v>9.3600000000000017E-2</v>
      </c>
      <c r="G22" s="1095">
        <f t="shared" si="5"/>
        <v>8.8000000000000023E-2</v>
      </c>
      <c r="H22" s="1095">
        <f t="shared" si="5"/>
        <v>8.0000000000000016E-2</v>
      </c>
      <c r="I22" s="1095">
        <f t="shared" si="5"/>
        <v>7.2000000000000022E-2</v>
      </c>
      <c r="J22" s="1095">
        <f t="shared" si="5"/>
        <v>7.2000000000000022E-2</v>
      </c>
      <c r="K22" s="1095">
        <f t="shared" si="5"/>
        <v>7.2000000000000022E-2</v>
      </c>
      <c r="L22" s="1095">
        <f t="shared" si="5"/>
        <v>7.2000000000000022E-2</v>
      </c>
      <c r="M22" s="1095">
        <f t="shared" si="5"/>
        <v>7.2000000000000022E-2</v>
      </c>
      <c r="N22" s="1095">
        <f t="shared" si="5"/>
        <v>7.2000000000000022E-2</v>
      </c>
      <c r="O22" s="1095">
        <f t="shared" si="5"/>
        <v>7.2000000000000022E-2</v>
      </c>
      <c r="P22" s="1095">
        <f t="shared" si="5"/>
        <v>7.2000000000000022E-2</v>
      </c>
      <c r="Q22" s="1095">
        <f t="shared" si="5"/>
        <v>7.2000000000000022E-2</v>
      </c>
      <c r="R22" s="1096">
        <f t="shared" si="5"/>
        <v>7.2000000000000022E-2</v>
      </c>
    </row>
    <row r="23" spans="1:28" ht="12" thickBot="1">
      <c r="A23" s="633"/>
      <c r="C23" s="654"/>
      <c r="D23" s="1102" t="s">
        <v>14</v>
      </c>
      <c r="E23" s="1103">
        <f>E14*E18+E19*E22</f>
        <v>0.17169000000000004</v>
      </c>
      <c r="F23" s="1103">
        <f t="shared" ref="F23:R23" si="6">F14*F18+F19*F22</f>
        <v>0.14076000000000002</v>
      </c>
      <c r="G23" s="1103">
        <f t="shared" si="6"/>
        <v>0.14020000000000002</v>
      </c>
      <c r="H23" s="1103">
        <f t="shared" si="6"/>
        <v>0.13940000000000002</v>
      </c>
      <c r="I23" s="1103">
        <f t="shared" si="6"/>
        <v>0.13860000000000003</v>
      </c>
      <c r="J23" s="1103">
        <f t="shared" si="6"/>
        <v>0.13860000000000003</v>
      </c>
      <c r="K23" s="1103">
        <f t="shared" si="6"/>
        <v>0.13860000000000003</v>
      </c>
      <c r="L23" s="1103">
        <f t="shared" si="6"/>
        <v>0.13860000000000003</v>
      </c>
      <c r="M23" s="1103">
        <f t="shared" si="6"/>
        <v>0.13860000000000003</v>
      </c>
      <c r="N23" s="1103">
        <f t="shared" si="6"/>
        <v>0.13860000000000003</v>
      </c>
      <c r="O23" s="1103">
        <f t="shared" si="6"/>
        <v>0.13860000000000003</v>
      </c>
      <c r="P23" s="1103">
        <f t="shared" si="6"/>
        <v>0.13860000000000003</v>
      </c>
      <c r="Q23" s="1103">
        <f t="shared" si="6"/>
        <v>0.13860000000000003</v>
      </c>
      <c r="R23" s="1104">
        <f t="shared" si="6"/>
        <v>0.13860000000000003</v>
      </c>
    </row>
    <row r="24" spans="1:28">
      <c r="A24" s="633"/>
      <c r="G24" s="633"/>
    </row>
    <row r="25" spans="1:28" s="633" customFormat="1">
      <c r="B25" s="633" t="s">
        <v>761</v>
      </c>
      <c r="D25" s="665"/>
    </row>
    <row r="26" spans="1:28" s="666" customFormat="1">
      <c r="A26" s="666" t="s">
        <v>762</v>
      </c>
      <c r="B26" s="666" t="s">
        <v>763</v>
      </c>
      <c r="AB26" s="667"/>
    </row>
    <row r="27" spans="1:28" s="633" customFormat="1">
      <c r="C27" s="668" t="s">
        <v>764</v>
      </c>
      <c r="D27" s="669"/>
      <c r="E27" s="668" t="s">
        <v>765</v>
      </c>
      <c r="AB27" s="670"/>
    </row>
    <row r="28" spans="1:28" ht="12" thickBot="1">
      <c r="B28" s="1108" t="s">
        <v>766</v>
      </c>
      <c r="C28" s="1108" t="s">
        <v>767</v>
      </c>
      <c r="D28" s="1128">
        <v>15996</v>
      </c>
      <c r="E28" s="1129"/>
      <c r="K28" s="672"/>
      <c r="AB28" s="673"/>
    </row>
    <row r="29" spans="1:28">
      <c r="B29" s="634" t="s">
        <v>768</v>
      </c>
      <c r="C29" s="634" t="s">
        <v>769</v>
      </c>
      <c r="D29" s="1126"/>
      <c r="E29" s="1127">
        <f>$D$28*D29</f>
        <v>0</v>
      </c>
      <c r="F29" s="676"/>
      <c r="G29" s="676"/>
      <c r="AB29" s="673"/>
    </row>
    <row r="30" spans="1:28">
      <c r="B30" s="634" t="s">
        <v>770</v>
      </c>
      <c r="C30" s="634" t="s">
        <v>769</v>
      </c>
      <c r="D30" s="1105">
        <v>6.5</v>
      </c>
      <c r="E30" s="1127">
        <f>$D$28*D30</f>
        <v>103974</v>
      </c>
      <c r="F30" s="723"/>
      <c r="AB30" s="673"/>
    </row>
    <row r="31" spans="1:28">
      <c r="B31" s="634" t="s">
        <v>771</v>
      </c>
      <c r="C31" s="634" t="s">
        <v>769</v>
      </c>
      <c r="D31" s="1105">
        <v>0.6</v>
      </c>
      <c r="E31" s="1127">
        <f>$D$28*D31</f>
        <v>9597.6</v>
      </c>
      <c r="AB31" s="673"/>
    </row>
    <row r="32" spans="1:28" ht="12" thickBot="1">
      <c r="B32" s="1108" t="s">
        <v>1457</v>
      </c>
      <c r="C32" s="1108" t="s">
        <v>769</v>
      </c>
      <c r="D32" s="1110">
        <v>0.9</v>
      </c>
      <c r="E32" s="1127">
        <f>$D$28*D32</f>
        <v>14396.4</v>
      </c>
      <c r="AB32" s="673"/>
    </row>
    <row r="33" spans="1:28">
      <c r="D33" s="634"/>
      <c r="E33" s="1106">
        <f>SUM(E29:E32)</f>
        <v>127968</v>
      </c>
      <c r="AB33" s="673"/>
    </row>
    <row r="34" spans="1:28">
      <c r="D34" s="634"/>
      <c r="H34" s="654"/>
      <c r="AB34" s="673"/>
    </row>
    <row r="35" spans="1:28">
      <c r="B35" s="677" t="s">
        <v>1458</v>
      </c>
      <c r="C35" s="678" t="s">
        <v>642</v>
      </c>
      <c r="D35" s="678" t="s">
        <v>774</v>
      </c>
      <c r="E35" s="677">
        <v>2014</v>
      </c>
      <c r="F35" s="677">
        <f>E35+1</f>
        <v>2015</v>
      </c>
      <c r="G35" s="677">
        <f t="shared" ref="G35:R35" si="7">F35+1</f>
        <v>2016</v>
      </c>
      <c r="H35" s="677">
        <f t="shared" si="7"/>
        <v>2017</v>
      </c>
      <c r="I35" s="677">
        <f t="shared" si="7"/>
        <v>2018</v>
      </c>
      <c r="J35" s="677">
        <f t="shared" si="7"/>
        <v>2019</v>
      </c>
      <c r="K35" s="677">
        <f t="shared" si="7"/>
        <v>2020</v>
      </c>
      <c r="L35" s="677">
        <f t="shared" si="7"/>
        <v>2021</v>
      </c>
      <c r="M35" s="677">
        <f t="shared" si="7"/>
        <v>2022</v>
      </c>
      <c r="N35" s="677">
        <f t="shared" si="7"/>
        <v>2023</v>
      </c>
      <c r="O35" s="677">
        <f t="shared" si="7"/>
        <v>2024</v>
      </c>
      <c r="P35" s="677">
        <f t="shared" si="7"/>
        <v>2025</v>
      </c>
      <c r="Q35" s="677">
        <f t="shared" si="7"/>
        <v>2026</v>
      </c>
      <c r="R35" s="677">
        <f t="shared" si="7"/>
        <v>2027</v>
      </c>
      <c r="AB35" s="673"/>
    </row>
    <row r="36" spans="1:28">
      <c r="B36" s="634" t="s">
        <v>1459</v>
      </c>
      <c r="C36" s="680">
        <f>SUM(D36:R36)</f>
        <v>103974</v>
      </c>
      <c r="D36" s="672">
        <v>20000</v>
      </c>
      <c r="E36" s="672"/>
      <c r="F36" s="679">
        <f>E30-D36</f>
        <v>83974</v>
      </c>
      <c r="G36" s="679"/>
      <c r="H36" s="672"/>
      <c r="I36" s="672"/>
      <c r="AB36" s="673"/>
    </row>
    <row r="37" spans="1:28">
      <c r="B37" s="634" t="s">
        <v>1460</v>
      </c>
      <c r="C37" s="680">
        <f>SUM(D37:R37)</f>
        <v>23994</v>
      </c>
      <c r="D37" s="672"/>
      <c r="E37" s="672"/>
      <c r="F37" s="672">
        <f>SUM(E31:E32)/2</f>
        <v>11997</v>
      </c>
      <c r="G37" s="672">
        <f>F37</f>
        <v>11997</v>
      </c>
      <c r="H37" s="672"/>
      <c r="AB37" s="673"/>
    </row>
    <row r="38" spans="1:28" ht="12" thickBot="1">
      <c r="B38" s="1107" t="s">
        <v>776</v>
      </c>
      <c r="C38" s="1108"/>
      <c r="D38" s="1109"/>
      <c r="E38" s="1109"/>
      <c r="F38" s="1109">
        <f>F37/SUM($E$31:$E$32)</f>
        <v>0.5</v>
      </c>
      <c r="G38" s="1109">
        <f>G37/SUM($E$31:$E$32)</f>
        <v>0.5</v>
      </c>
      <c r="H38" s="1109"/>
      <c r="I38" s="1108"/>
      <c r="J38" s="1108"/>
      <c r="K38" s="1108"/>
      <c r="L38" s="1108"/>
      <c r="M38" s="1108"/>
      <c r="N38" s="1108"/>
      <c r="O38" s="1108"/>
      <c r="P38" s="1108"/>
      <c r="Q38" s="1108"/>
      <c r="R38" s="1108"/>
      <c r="AB38" s="673"/>
    </row>
    <row r="39" spans="1:28">
      <c r="B39" s="654"/>
      <c r="C39" s="1106">
        <f>SUM(C36:C38)</f>
        <v>127968</v>
      </c>
      <c r="D39" s="1106">
        <f>SUM(D36:D38)</f>
        <v>20000</v>
      </c>
      <c r="E39" s="640"/>
      <c r="F39" s="1106">
        <f>SUM(F36:F38)</f>
        <v>95971.5</v>
      </c>
      <c r="G39" s="1106">
        <f>SUM(G36:G38)</f>
        <v>11997.5</v>
      </c>
      <c r="H39" s="640"/>
      <c r="AB39" s="673"/>
    </row>
    <row r="40" spans="1:28">
      <c r="C40" s="654" t="str">
        <f>IF(C39=E33,"ok","check again, not tie")</f>
        <v>ok</v>
      </c>
      <c r="H40" s="654"/>
    </row>
    <row r="41" spans="1:28" s="666" customFormat="1">
      <c r="A41" s="666" t="s">
        <v>777</v>
      </c>
      <c r="B41" s="666" t="s">
        <v>875</v>
      </c>
      <c r="AB41" s="667"/>
    </row>
    <row r="42" spans="1:28" s="633" customFormat="1">
      <c r="C42" s="633" t="s">
        <v>764</v>
      </c>
      <c r="D42" s="665"/>
      <c r="H42" s="681"/>
      <c r="I42" s="681"/>
      <c r="Y42" s="679"/>
      <c r="Z42" s="679"/>
      <c r="AA42" s="679"/>
      <c r="AB42" s="682"/>
    </row>
    <row r="43" spans="1:28">
      <c r="B43" s="634" t="s">
        <v>686</v>
      </c>
      <c r="C43" s="634" t="s">
        <v>767</v>
      </c>
      <c r="D43" s="1111">
        <v>64000</v>
      </c>
      <c r="G43" s="633"/>
      <c r="H43" s="684"/>
      <c r="I43" s="681"/>
      <c r="J43" s="633"/>
      <c r="K43" s="633"/>
      <c r="L43" s="633"/>
      <c r="M43" s="633"/>
      <c r="N43" s="633"/>
      <c r="O43" s="633"/>
      <c r="P43" s="633"/>
      <c r="Q43" s="633"/>
      <c r="R43" s="633"/>
      <c r="S43" s="633"/>
      <c r="T43" s="633"/>
      <c r="U43" s="633"/>
      <c r="V43" s="633"/>
      <c r="W43" s="633"/>
      <c r="AB43" s="636"/>
    </row>
    <row r="44" spans="1:28">
      <c r="B44" s="634" t="s">
        <v>779</v>
      </c>
      <c r="C44" s="634" t="s">
        <v>780</v>
      </c>
      <c r="D44" s="1112">
        <f>D45/D43</f>
        <v>0.84759375000000003</v>
      </c>
      <c r="G44" s="654"/>
      <c r="H44" s="654"/>
      <c r="I44" s="686"/>
      <c r="AB44" s="682"/>
    </row>
    <row r="45" spans="1:28">
      <c r="B45" s="634" t="s">
        <v>781</v>
      </c>
      <c r="C45" s="634" t="s">
        <v>767</v>
      </c>
      <c r="D45" s="1113">
        <v>54246</v>
      </c>
      <c r="F45" s="634">
        <f>F46/D45</f>
        <v>14.471113077461933</v>
      </c>
      <c r="G45" s="687"/>
      <c r="H45" s="654"/>
      <c r="I45" s="688"/>
      <c r="K45" s="689"/>
      <c r="L45" s="689"/>
      <c r="M45" s="689"/>
      <c r="N45" s="689"/>
      <c r="O45" s="689"/>
      <c r="P45" s="689"/>
      <c r="Q45" s="689"/>
      <c r="R45" s="689"/>
      <c r="S45" s="689"/>
      <c r="T45" s="689"/>
      <c r="U45" s="689"/>
      <c r="V45" s="689"/>
      <c r="W45" s="689"/>
      <c r="AB45" s="682"/>
    </row>
    <row r="46" spans="1:28">
      <c r="B46" s="634" t="s">
        <v>876</v>
      </c>
      <c r="C46" s="634" t="s">
        <v>769</v>
      </c>
      <c r="D46" s="1114">
        <f>F46/D45</f>
        <v>14.471113077461933</v>
      </c>
      <c r="E46" s="1118" t="s">
        <v>1461</v>
      </c>
      <c r="F46" s="816">
        <v>785000</v>
      </c>
      <c r="G46" s="724"/>
      <c r="H46" s="633"/>
      <c r="I46" s="636"/>
      <c r="J46" s="636"/>
      <c r="K46" s="636"/>
      <c r="L46" s="636"/>
      <c r="M46" s="636"/>
      <c r="N46" s="636"/>
      <c r="O46" s="636"/>
      <c r="P46" s="636"/>
      <c r="Q46" s="636"/>
      <c r="R46" s="636"/>
      <c r="S46" s="636"/>
      <c r="T46" s="636"/>
      <c r="U46" s="636"/>
      <c r="V46" s="636"/>
      <c r="W46" s="636"/>
      <c r="AB46" s="690"/>
    </row>
    <row r="47" spans="1:28">
      <c r="B47" s="634" t="s">
        <v>786</v>
      </c>
      <c r="C47" s="634" t="s">
        <v>780</v>
      </c>
      <c r="D47" s="1112">
        <v>0</v>
      </c>
      <c r="F47" s="634" t="s">
        <v>1504</v>
      </c>
      <c r="G47" s="911"/>
      <c r="H47" s="684"/>
      <c r="I47" s="691"/>
      <c r="AB47" s="690"/>
    </row>
    <row r="48" spans="1:28">
      <c r="B48" s="634" t="s">
        <v>787</v>
      </c>
      <c r="C48" s="634" t="s">
        <v>780</v>
      </c>
      <c r="D48" s="1112">
        <v>0</v>
      </c>
      <c r="G48" s="654"/>
      <c r="H48" s="654"/>
      <c r="I48" s="686"/>
    </row>
    <row r="49" spans="2:18">
      <c r="B49" s="634" t="s">
        <v>788</v>
      </c>
      <c r="C49" s="634" t="s">
        <v>769</v>
      </c>
      <c r="D49" s="1114">
        <f>F49/D43</f>
        <v>8.0942500000000006</v>
      </c>
      <c r="E49" s="1118" t="s">
        <v>1502</v>
      </c>
      <c r="F49" s="672">
        <f>E2-E33</f>
        <v>518032</v>
      </c>
    </row>
    <row r="50" spans="2:18">
      <c r="B50" s="634" t="s">
        <v>789</v>
      </c>
      <c r="C50" s="634" t="s">
        <v>780</v>
      </c>
      <c r="D50" s="1112">
        <v>0.05</v>
      </c>
    </row>
    <row r="51" spans="2:18">
      <c r="D51" s="634"/>
      <c r="G51" s="633"/>
      <c r="H51" s="692"/>
      <c r="I51" s="672"/>
    </row>
    <row r="52" spans="2:18">
      <c r="B52" s="677" t="s">
        <v>681</v>
      </c>
      <c r="C52" s="678" t="s">
        <v>642</v>
      </c>
      <c r="D52" s="678" t="s">
        <v>774</v>
      </c>
      <c r="E52" s="677">
        <f>E35</f>
        <v>2014</v>
      </c>
      <c r="F52" s="677">
        <f t="shared" ref="F52:R52" si="8">F35</f>
        <v>2015</v>
      </c>
      <c r="G52" s="677">
        <f t="shared" si="8"/>
        <v>2016</v>
      </c>
      <c r="H52" s="677">
        <f t="shared" si="8"/>
        <v>2017</v>
      </c>
      <c r="I52" s="677">
        <f t="shared" si="8"/>
        <v>2018</v>
      </c>
      <c r="J52" s="677">
        <f t="shared" si="8"/>
        <v>2019</v>
      </c>
      <c r="K52" s="677">
        <f t="shared" si="8"/>
        <v>2020</v>
      </c>
      <c r="L52" s="677">
        <f t="shared" si="8"/>
        <v>2021</v>
      </c>
      <c r="M52" s="677">
        <f t="shared" si="8"/>
        <v>2022</v>
      </c>
      <c r="N52" s="677">
        <f t="shared" si="8"/>
        <v>2023</v>
      </c>
      <c r="O52" s="677">
        <f t="shared" si="8"/>
        <v>2024</v>
      </c>
      <c r="P52" s="677">
        <f t="shared" si="8"/>
        <v>2025</v>
      </c>
      <c r="Q52" s="677">
        <f t="shared" si="8"/>
        <v>2026</v>
      </c>
      <c r="R52" s="677">
        <f t="shared" si="8"/>
        <v>2027</v>
      </c>
    </row>
    <row r="53" spans="2:18">
      <c r="B53" s="633" t="s">
        <v>791</v>
      </c>
      <c r="C53" s="684">
        <f>SUM(D53:R53)</f>
        <v>785000</v>
      </c>
      <c r="D53" s="670">
        <f>D54*$D$45*D55</f>
        <v>0</v>
      </c>
      <c r="E53" s="670">
        <f>E54*$D$45*E55</f>
        <v>0</v>
      </c>
      <c r="F53" s="670">
        <f>F54*$D$45*F55</f>
        <v>0</v>
      </c>
      <c r="G53" s="670">
        <f>G54*$D$45*G55</f>
        <v>392500</v>
      </c>
      <c r="H53" s="670">
        <f>H54*$D$45*H55</f>
        <v>392500</v>
      </c>
      <c r="I53" s="670"/>
      <c r="J53" s="670"/>
      <c r="K53" s="670"/>
      <c r="L53" s="633"/>
      <c r="M53" s="633"/>
      <c r="N53" s="633"/>
      <c r="O53" s="633"/>
      <c r="P53" s="633"/>
      <c r="Q53" s="633"/>
      <c r="R53" s="633"/>
    </row>
    <row r="54" spans="2:18">
      <c r="B54" s="654" t="s">
        <v>792</v>
      </c>
      <c r="C54" s="823">
        <f>SUM(D54:R54)</f>
        <v>1</v>
      </c>
      <c r="D54" s="640"/>
      <c r="E54" s="636"/>
      <c r="F54" s="640"/>
      <c r="G54" s="640">
        <v>0.5</v>
      </c>
      <c r="H54" s="640">
        <v>0.5</v>
      </c>
      <c r="I54" s="636"/>
      <c r="J54" s="636"/>
      <c r="K54" s="636"/>
    </row>
    <row r="55" spans="2:18" s="679" customFormat="1">
      <c r="B55" s="633" t="s">
        <v>793</v>
      </c>
      <c r="C55" s="698"/>
      <c r="D55" s="811">
        <f>D46*(1-D48)</f>
        <v>14.471113077461933</v>
      </c>
      <c r="E55" s="811">
        <f>D55</f>
        <v>14.471113077461933</v>
      </c>
      <c r="F55" s="811">
        <f>E55*(1+F56)</f>
        <v>14.471113077461933</v>
      </c>
      <c r="G55" s="811">
        <f>F55*(1+G56)</f>
        <v>14.471113077461933</v>
      </c>
      <c r="H55" s="811">
        <f>G55*(1+H56)</f>
        <v>14.471113077461933</v>
      </c>
      <c r="I55" s="811"/>
      <c r="J55" s="811"/>
      <c r="K55" s="811"/>
      <c r="L55" s="811"/>
    </row>
    <row r="56" spans="2:18">
      <c r="B56" s="654" t="s">
        <v>780</v>
      </c>
      <c r="C56" s="633"/>
      <c r="D56" s="636"/>
      <c r="E56" s="636">
        <v>0</v>
      </c>
      <c r="F56" s="636">
        <f>E56</f>
        <v>0</v>
      </c>
      <c r="G56" s="636">
        <f>F56</f>
        <v>0</v>
      </c>
      <c r="H56" s="636">
        <f>G56</f>
        <v>0</v>
      </c>
      <c r="I56" s="636"/>
      <c r="J56" s="636"/>
      <c r="K56" s="636"/>
      <c r="L56" s="636"/>
      <c r="M56" s="636"/>
      <c r="N56" s="636"/>
      <c r="O56" s="636"/>
      <c r="P56" s="636"/>
      <c r="Q56" s="636"/>
      <c r="R56" s="636"/>
    </row>
    <row r="57" spans="2:18" ht="12" thickBot="1">
      <c r="B57" s="1107"/>
      <c r="C57" s="1119"/>
      <c r="D57" s="1120"/>
      <c r="E57" s="1120"/>
      <c r="F57" s="1120"/>
      <c r="G57" s="1120"/>
      <c r="H57" s="1120"/>
      <c r="I57" s="1120"/>
      <c r="J57" s="1120"/>
      <c r="K57" s="1120"/>
      <c r="L57" s="1120"/>
      <c r="M57" s="1120"/>
      <c r="N57" s="1120"/>
      <c r="O57" s="1120"/>
      <c r="P57" s="1120"/>
      <c r="Q57" s="1120"/>
      <c r="R57" s="1120"/>
    </row>
    <row r="58" spans="2:18">
      <c r="B58" s="687" t="s">
        <v>794</v>
      </c>
      <c r="C58" s="670">
        <f>C53</f>
        <v>785000</v>
      </c>
      <c r="D58" s="679"/>
      <c r="E58" s="679"/>
      <c r="F58" s="691"/>
      <c r="G58" s="691"/>
      <c r="H58" s="691">
        <f>$C$58*H59</f>
        <v>235500</v>
      </c>
      <c r="I58" s="691">
        <f>$C$58*I59</f>
        <v>549500</v>
      </c>
      <c r="J58" s="691"/>
      <c r="K58" s="691"/>
      <c r="L58" s="691"/>
      <c r="M58" s="691"/>
      <c r="N58" s="691"/>
      <c r="O58" s="691"/>
      <c r="P58" s="691"/>
      <c r="Q58" s="691"/>
      <c r="R58" s="691"/>
    </row>
    <row r="59" spans="2:18">
      <c r="B59" s="687"/>
      <c r="C59" s="823">
        <f>SUM(D59:R59)</f>
        <v>1</v>
      </c>
      <c r="D59" s="679"/>
      <c r="E59" s="686"/>
      <c r="F59" s="686"/>
      <c r="G59" s="686"/>
      <c r="H59" s="686">
        <v>0.3</v>
      </c>
      <c r="I59" s="686">
        <v>0.7</v>
      </c>
      <c r="J59" s="686"/>
      <c r="K59" s="686"/>
      <c r="L59" s="686"/>
      <c r="M59" s="686"/>
      <c r="N59" s="686"/>
      <c r="O59" s="686"/>
      <c r="P59" s="686"/>
      <c r="Q59" s="686"/>
      <c r="R59" s="686"/>
    </row>
    <row r="60" spans="2:18" ht="12" thickBot="1">
      <c r="B60" s="1121"/>
      <c r="C60" s="1122"/>
      <c r="D60" s="1123"/>
      <c r="E60" s="1124"/>
      <c r="F60" s="1124"/>
      <c r="G60" s="1124"/>
      <c r="H60" s="1124"/>
      <c r="I60" s="1124"/>
      <c r="J60" s="1124"/>
      <c r="K60" s="1124"/>
      <c r="L60" s="1124"/>
      <c r="M60" s="1124"/>
      <c r="N60" s="1124"/>
      <c r="O60" s="1124"/>
      <c r="P60" s="1124"/>
      <c r="Q60" s="1124"/>
      <c r="R60" s="1124"/>
    </row>
    <row r="61" spans="2:18">
      <c r="B61" s="633" t="s">
        <v>795</v>
      </c>
      <c r="C61" s="684">
        <f>SUM(D61:R61)</f>
        <v>785000</v>
      </c>
      <c r="D61" s="679"/>
      <c r="E61" s="688"/>
      <c r="F61" s="688">
        <f>(E53+D53-D61-E61)*$C$66+F53*$C$65</f>
        <v>0</v>
      </c>
      <c r="G61" s="688">
        <f>G65</f>
        <v>157000</v>
      </c>
      <c r="H61" s="688">
        <f>G66+H65</f>
        <v>392500</v>
      </c>
      <c r="I61" s="688">
        <f>G67+H66</f>
        <v>235500</v>
      </c>
      <c r="J61" s="688">
        <f>H67</f>
        <v>0</v>
      </c>
      <c r="K61" s="688"/>
      <c r="L61" s="688"/>
      <c r="M61" s="688"/>
      <c r="N61" s="688"/>
      <c r="O61" s="688"/>
      <c r="P61" s="688"/>
      <c r="Q61" s="688"/>
      <c r="R61" s="688"/>
    </row>
    <row r="62" spans="2:18">
      <c r="B62" s="654" t="s">
        <v>796</v>
      </c>
      <c r="C62" s="693">
        <f>SUM(D62:N62)</f>
        <v>1</v>
      </c>
      <c r="D62" s="695"/>
      <c r="E62" s="695"/>
      <c r="F62" s="695"/>
      <c r="G62" s="1268">
        <f>G61/$C$53</f>
        <v>0.2</v>
      </c>
      <c r="H62" s="1268">
        <f>H61/$C$53</f>
        <v>0.5</v>
      </c>
      <c r="I62" s="1268">
        <f>I61/$C$53</f>
        <v>0.3</v>
      </c>
      <c r="J62" s="1268">
        <f>J61/$C$53</f>
        <v>0</v>
      </c>
      <c r="K62" s="695"/>
      <c r="L62" s="695"/>
      <c r="M62" s="695"/>
      <c r="N62" s="695"/>
      <c r="O62" s="695"/>
      <c r="P62" s="695"/>
      <c r="Q62" s="695"/>
      <c r="R62" s="695"/>
    </row>
    <row r="63" spans="2:18">
      <c r="B63" s="654"/>
      <c r="C63" s="693"/>
      <c r="D63" s="695"/>
      <c r="E63" s="695"/>
      <c r="F63" s="695"/>
      <c r="G63" s="695"/>
      <c r="H63" s="695"/>
      <c r="I63" s="695"/>
      <c r="J63" s="695"/>
      <c r="K63" s="695"/>
      <c r="L63" s="695"/>
      <c r="M63" s="695"/>
      <c r="N63" s="695"/>
      <c r="O63" s="695"/>
      <c r="P63" s="695"/>
      <c r="Q63" s="695"/>
      <c r="R63" s="695"/>
    </row>
    <row r="64" spans="2:18">
      <c r="B64" s="681" t="s">
        <v>797</v>
      </c>
      <c r="D64" s="634"/>
      <c r="G64" s="633"/>
      <c r="H64" s="692"/>
      <c r="I64" s="672"/>
      <c r="J64" s="672"/>
      <c r="K64" s="672"/>
    </row>
    <row r="65" spans="1:256">
      <c r="B65" s="654" t="s">
        <v>798</v>
      </c>
      <c r="C65" s="636">
        <v>0.4</v>
      </c>
      <c r="D65" s="688"/>
      <c r="E65" s="688"/>
      <c r="F65" s="810"/>
      <c r="G65" s="679">
        <f t="shared" ref="G65:H67" si="9">G$53*$C65</f>
        <v>157000</v>
      </c>
      <c r="H65" s="679">
        <f t="shared" si="9"/>
        <v>157000</v>
      </c>
      <c r="I65" s="679"/>
      <c r="J65" s="679"/>
      <c r="K65" s="679"/>
      <c r="L65" s="679">
        <f t="shared" ref="L65:R65" si="10">J53*$C$67+K53*$C$66+L53*$C$65</f>
        <v>0</v>
      </c>
      <c r="M65" s="679">
        <f t="shared" si="10"/>
        <v>0</v>
      </c>
      <c r="N65" s="679">
        <f t="shared" si="10"/>
        <v>0</v>
      </c>
      <c r="O65" s="679">
        <f t="shared" si="10"/>
        <v>0</v>
      </c>
      <c r="P65" s="679">
        <f t="shared" si="10"/>
        <v>0</v>
      </c>
      <c r="Q65" s="679">
        <f t="shared" si="10"/>
        <v>0</v>
      </c>
      <c r="R65" s="679">
        <f t="shared" si="10"/>
        <v>0</v>
      </c>
    </row>
    <row r="66" spans="1:256">
      <c r="B66" s="654" t="s">
        <v>799</v>
      </c>
      <c r="C66" s="636">
        <v>0.6</v>
      </c>
      <c r="D66" s="676"/>
      <c r="E66" s="688"/>
      <c r="F66" s="679"/>
      <c r="G66" s="679">
        <f t="shared" si="9"/>
        <v>235500</v>
      </c>
      <c r="H66" s="679">
        <f t="shared" si="9"/>
        <v>235500</v>
      </c>
      <c r="I66" s="679"/>
      <c r="J66" s="672"/>
      <c r="K66" s="672"/>
    </row>
    <row r="67" spans="1:256">
      <c r="B67" s="654" t="s">
        <v>800</v>
      </c>
      <c r="C67" s="640">
        <v>0</v>
      </c>
      <c r="D67" s="634"/>
      <c r="F67" s="679"/>
      <c r="G67" s="679">
        <f t="shared" si="9"/>
        <v>0</v>
      </c>
      <c r="H67" s="679">
        <f t="shared" si="9"/>
        <v>0</v>
      </c>
      <c r="I67" s="679"/>
      <c r="J67" s="672"/>
      <c r="K67" s="672"/>
    </row>
    <row r="68" spans="1:256" ht="12" thickBot="1">
      <c r="B68" s="1107"/>
      <c r="C68" s="1109"/>
      <c r="D68" s="1108"/>
      <c r="E68" s="1108"/>
      <c r="F68" s="1123"/>
      <c r="G68" s="1123"/>
      <c r="H68" s="1123"/>
      <c r="I68" s="1123"/>
      <c r="J68" s="1125"/>
      <c r="K68" s="1125"/>
      <c r="L68" s="1108"/>
      <c r="M68" s="1108"/>
      <c r="N68" s="1108"/>
      <c r="O68" s="1108"/>
      <c r="P68" s="1108"/>
      <c r="Q68" s="1108"/>
      <c r="R68" s="1108"/>
    </row>
    <row r="69" spans="1:256">
      <c r="B69" s="633" t="s">
        <v>1463</v>
      </c>
      <c r="C69" s="682"/>
      <c r="D69" s="634"/>
      <c r="F69" s="635"/>
      <c r="G69" s="635"/>
      <c r="H69" s="635"/>
      <c r="I69" s="635"/>
      <c r="J69" s="672"/>
      <c r="K69" s="672"/>
    </row>
    <row r="70" spans="1:256">
      <c r="B70" s="634" t="s">
        <v>1462</v>
      </c>
      <c r="C70" s="692">
        <f>D43*D49</f>
        <v>518032.00000000006</v>
      </c>
      <c r="D70" s="672"/>
      <c r="E70" s="672"/>
      <c r="F70" s="817">
        <f>$C$70*F71</f>
        <v>0</v>
      </c>
      <c r="G70" s="817">
        <f>$C$70*G71</f>
        <v>259016.00000000003</v>
      </c>
      <c r="H70" s="817">
        <f>$C$70*H71</f>
        <v>259016.00000000003</v>
      </c>
      <c r="I70" s="817">
        <f>$C$70*I71</f>
        <v>0</v>
      </c>
      <c r="J70" s="672"/>
      <c r="K70" s="672"/>
      <c r="IV70" s="672"/>
    </row>
    <row r="71" spans="1:256">
      <c r="B71" s="654" t="s">
        <v>796</v>
      </c>
      <c r="C71" s="654"/>
      <c r="D71" s="806"/>
      <c r="E71" s="806"/>
      <c r="F71" s="640"/>
      <c r="G71" s="640">
        <v>0.5</v>
      </c>
      <c r="H71" s="640">
        <v>0.5</v>
      </c>
      <c r="I71" s="640"/>
      <c r="J71" s="672"/>
      <c r="K71" s="672"/>
    </row>
    <row r="72" spans="1:256">
      <c r="B72" s="1130" t="s">
        <v>1459</v>
      </c>
      <c r="C72" s="1132">
        <f>C36</f>
        <v>103974</v>
      </c>
      <c r="D72" s="851">
        <f t="shared" ref="D72:H73" si="11">D36</f>
        <v>20000</v>
      </c>
      <c r="E72" s="851">
        <f t="shared" si="11"/>
        <v>0</v>
      </c>
      <c r="F72" s="851">
        <f t="shared" si="11"/>
        <v>83974</v>
      </c>
      <c r="G72" s="851">
        <f t="shared" si="11"/>
        <v>0</v>
      </c>
      <c r="H72" s="851">
        <f t="shared" si="11"/>
        <v>0</v>
      </c>
      <c r="I72" s="640"/>
      <c r="J72" s="672"/>
      <c r="K72" s="672"/>
    </row>
    <row r="73" spans="1:256">
      <c r="B73" s="1130" t="s">
        <v>1460</v>
      </c>
      <c r="C73" s="1132">
        <f>C37</f>
        <v>23994</v>
      </c>
      <c r="D73" s="851">
        <f>D37</f>
        <v>0</v>
      </c>
      <c r="E73" s="851">
        <f t="shared" si="11"/>
        <v>0</v>
      </c>
      <c r="F73" s="851">
        <f t="shared" si="11"/>
        <v>11997</v>
      </c>
      <c r="G73" s="851">
        <f t="shared" si="11"/>
        <v>11997</v>
      </c>
      <c r="H73" s="851">
        <f t="shared" si="11"/>
        <v>0</v>
      </c>
      <c r="I73" s="640"/>
      <c r="J73" s="672"/>
      <c r="K73" s="672"/>
    </row>
    <row r="74" spans="1:256">
      <c r="B74" s="1130"/>
      <c r="C74" s="1132">
        <f>SUM(D74:H74)</f>
        <v>646000</v>
      </c>
      <c r="D74" s="1132">
        <f>D70+SUM(D72:D73)</f>
        <v>20000</v>
      </c>
      <c r="E74" s="1132">
        <f>E70+SUM(E72:E73)</f>
        <v>0</v>
      </c>
      <c r="F74" s="1132">
        <f>F70+SUM(F72:F73)</f>
        <v>95971</v>
      </c>
      <c r="G74" s="1132">
        <f>G70+SUM(G72:G73)</f>
        <v>271013</v>
      </c>
      <c r="H74" s="1132">
        <f>H70+SUM(H72:H73)</f>
        <v>259016.00000000003</v>
      </c>
      <c r="I74" s="640"/>
      <c r="J74" s="672"/>
      <c r="K74" s="672"/>
    </row>
    <row r="75" spans="1:256" ht="12" thickBot="1">
      <c r="B75" s="1107"/>
      <c r="C75" s="1107"/>
      <c r="D75" s="1131"/>
      <c r="E75" s="1131"/>
      <c r="F75" s="1131"/>
      <c r="G75" s="1131"/>
      <c r="H75" s="1131"/>
      <c r="I75" s="1109"/>
      <c r="J75" s="1125"/>
      <c r="K75" s="1125"/>
      <c r="L75" s="1108"/>
      <c r="M75" s="1108"/>
      <c r="N75" s="1108"/>
      <c r="O75" s="1108"/>
      <c r="P75" s="1108"/>
      <c r="Q75" s="1108"/>
      <c r="R75" s="1108"/>
    </row>
    <row r="76" spans="1:256">
      <c r="B76" s="687" t="s">
        <v>1466</v>
      </c>
      <c r="C76" s="654"/>
      <c r="D76" s="1133"/>
      <c r="E76" s="1133"/>
      <c r="F76" s="1133"/>
      <c r="G76" s="1133"/>
      <c r="H76" s="1133"/>
      <c r="I76" s="682"/>
      <c r="J76" s="672"/>
      <c r="K76" s="672"/>
    </row>
    <row r="77" spans="1:256">
      <c r="B77" s="1130" t="s">
        <v>1464</v>
      </c>
      <c r="C77" s="724">
        <f>C70</f>
        <v>518032.00000000006</v>
      </c>
      <c r="D77" s="640"/>
      <c r="F77" s="688">
        <f>F59*($C$77+$E$4)</f>
        <v>0</v>
      </c>
      <c r="G77" s="688">
        <f>G59*($C$77+$E$4)</f>
        <v>0</v>
      </c>
      <c r="H77" s="688">
        <f t="shared" ref="H77:R77" si="12">H59*($C$70+$E$4)</f>
        <v>162607.79999999999</v>
      </c>
      <c r="I77" s="688">
        <f t="shared" si="12"/>
        <v>379418.19999999995</v>
      </c>
      <c r="J77" s="688">
        <f t="shared" si="12"/>
        <v>0</v>
      </c>
      <c r="K77" s="688">
        <f t="shared" si="12"/>
        <v>0</v>
      </c>
      <c r="L77" s="688">
        <f t="shared" si="12"/>
        <v>0</v>
      </c>
      <c r="M77" s="688">
        <f t="shared" si="12"/>
        <v>0</v>
      </c>
      <c r="N77" s="688">
        <f t="shared" si="12"/>
        <v>0</v>
      </c>
      <c r="O77" s="688">
        <f t="shared" si="12"/>
        <v>0</v>
      </c>
      <c r="P77" s="688">
        <f t="shared" si="12"/>
        <v>0</v>
      </c>
      <c r="Q77" s="688">
        <f t="shared" si="12"/>
        <v>0</v>
      </c>
      <c r="R77" s="688">
        <f t="shared" si="12"/>
        <v>0</v>
      </c>
    </row>
    <row r="78" spans="1:256">
      <c r="A78" s="676"/>
      <c r="B78" s="1130" t="s">
        <v>1465</v>
      </c>
      <c r="C78" s="698">
        <f>C72+C73</f>
        <v>127968</v>
      </c>
      <c r="D78" s="640"/>
      <c r="F78" s="688">
        <f>F59*$C$78</f>
        <v>0</v>
      </c>
      <c r="G78" s="688">
        <f>G59*$C$78</f>
        <v>0</v>
      </c>
      <c r="H78" s="688">
        <f>H59*$C$78</f>
        <v>38390.400000000001</v>
      </c>
      <c r="I78" s="688">
        <f t="shared" ref="I78:R78" si="13">I59*$C$78</f>
        <v>89577.599999999991</v>
      </c>
      <c r="J78" s="688">
        <f t="shared" si="13"/>
        <v>0</v>
      </c>
      <c r="K78" s="688">
        <f t="shared" si="13"/>
        <v>0</v>
      </c>
      <c r="L78" s="688">
        <f t="shared" si="13"/>
        <v>0</v>
      </c>
      <c r="M78" s="688">
        <f t="shared" si="13"/>
        <v>0</v>
      </c>
      <c r="N78" s="688">
        <f t="shared" si="13"/>
        <v>0</v>
      </c>
      <c r="O78" s="688">
        <f t="shared" si="13"/>
        <v>0</v>
      </c>
      <c r="P78" s="688">
        <f t="shared" si="13"/>
        <v>0</v>
      </c>
      <c r="Q78" s="688">
        <f t="shared" si="13"/>
        <v>0</v>
      </c>
      <c r="R78" s="688">
        <f t="shared" si="13"/>
        <v>0</v>
      </c>
    </row>
    <row r="79" spans="1:256">
      <c r="B79" s="1130" t="s">
        <v>804</v>
      </c>
      <c r="C79" s="698">
        <f>$D$43/SUM($D$43,$D$85,$D$111,$D$140)*SUMIF($D$220:$R$220,"&lt;=" &amp; $E$6,$D$226:$R$226)</f>
        <v>17635.800000000003</v>
      </c>
      <c r="D79" s="640"/>
      <c r="F79" s="688">
        <f>F59*$C$79</f>
        <v>0</v>
      </c>
      <c r="G79" s="688">
        <f>G59*$C$79</f>
        <v>0</v>
      </c>
      <c r="H79" s="688">
        <f t="shared" ref="H79:R79" si="14">H59*$C$79</f>
        <v>5290.7400000000007</v>
      </c>
      <c r="I79" s="688">
        <f t="shared" si="14"/>
        <v>12345.060000000001</v>
      </c>
      <c r="J79" s="688">
        <f t="shared" si="14"/>
        <v>0</v>
      </c>
      <c r="K79" s="688">
        <f t="shared" si="14"/>
        <v>0</v>
      </c>
      <c r="L79" s="688">
        <f t="shared" si="14"/>
        <v>0</v>
      </c>
      <c r="M79" s="688">
        <f t="shared" si="14"/>
        <v>0</v>
      </c>
      <c r="N79" s="688">
        <f t="shared" si="14"/>
        <v>0</v>
      </c>
      <c r="O79" s="688">
        <f t="shared" si="14"/>
        <v>0</v>
      </c>
      <c r="P79" s="688">
        <f t="shared" si="14"/>
        <v>0</v>
      </c>
      <c r="Q79" s="688">
        <f t="shared" si="14"/>
        <v>0</v>
      </c>
      <c r="R79" s="688">
        <f t="shared" si="14"/>
        <v>0</v>
      </c>
    </row>
    <row r="80" spans="1:256">
      <c r="B80" s="1130" t="s">
        <v>805</v>
      </c>
      <c r="C80" s="698">
        <f>SUM(D80:R80)</f>
        <v>11628.000000000002</v>
      </c>
      <c r="D80" s="640"/>
      <c r="F80" s="688"/>
      <c r="G80" s="688"/>
      <c r="H80" s="688"/>
      <c r="I80" s="688"/>
      <c r="J80" s="688">
        <f t="shared" ref="J80:P80" si="15">L226*$D$43/SUM($D$43,$D$85,$D$111,$D$140)</f>
        <v>5232.6000000000013</v>
      </c>
      <c r="K80" s="688">
        <f t="shared" si="15"/>
        <v>3876.0000000000009</v>
      </c>
      <c r="L80" s="688">
        <f t="shared" si="15"/>
        <v>1938</v>
      </c>
      <c r="M80" s="688">
        <f t="shared" si="15"/>
        <v>581.39999999999964</v>
      </c>
      <c r="N80" s="688">
        <f t="shared" si="15"/>
        <v>0</v>
      </c>
      <c r="O80" s="688">
        <f t="shared" si="15"/>
        <v>0</v>
      </c>
      <c r="P80" s="688">
        <f t="shared" si="15"/>
        <v>0</v>
      </c>
      <c r="Q80" s="688">
        <f>S226*$D$43/SUM($D$43,$D$85,$D$111,$D$140)</f>
        <v>0</v>
      </c>
      <c r="R80" s="688">
        <f>T226*$D$43/SUM($D$43,$D$85,$D$111,$D$140)</f>
        <v>0</v>
      </c>
    </row>
    <row r="81" spans="1:28">
      <c r="B81" s="634" t="s">
        <v>656</v>
      </c>
      <c r="D81" s="688">
        <f>$D$50*D61</f>
        <v>0</v>
      </c>
      <c r="E81" s="688">
        <f>$D$50*E61</f>
        <v>0</v>
      </c>
      <c r="F81" s="688">
        <f>$D$50*F61</f>
        <v>0</v>
      </c>
      <c r="G81" s="688">
        <f>$D$50*G61</f>
        <v>7850</v>
      </c>
      <c r="H81" s="688">
        <f t="shared" ref="H81:R81" si="16">$D$50*H61</f>
        <v>19625</v>
      </c>
      <c r="I81" s="688">
        <f t="shared" si="16"/>
        <v>11775</v>
      </c>
      <c r="J81" s="688">
        <f t="shared" si="16"/>
        <v>0</v>
      </c>
      <c r="K81" s="688">
        <f t="shared" si="16"/>
        <v>0</v>
      </c>
      <c r="L81" s="688">
        <f t="shared" si="16"/>
        <v>0</v>
      </c>
      <c r="M81" s="688">
        <f t="shared" si="16"/>
        <v>0</v>
      </c>
      <c r="N81" s="688">
        <f t="shared" si="16"/>
        <v>0</v>
      </c>
      <c r="O81" s="688">
        <f t="shared" si="16"/>
        <v>0</v>
      </c>
      <c r="P81" s="688">
        <f t="shared" si="16"/>
        <v>0</v>
      </c>
      <c r="Q81" s="688">
        <f t="shared" si="16"/>
        <v>0</v>
      </c>
      <c r="R81" s="688">
        <f t="shared" si="16"/>
        <v>0</v>
      </c>
    </row>
    <row r="83" spans="1:28" s="666" customFormat="1" hidden="1" outlineLevel="1">
      <c r="A83" s="666" t="s">
        <v>806</v>
      </c>
      <c r="B83" s="666" t="s">
        <v>807</v>
      </c>
      <c r="AB83" s="667"/>
    </row>
    <row r="84" spans="1:28" s="633" customFormat="1" hidden="1" outlineLevel="1">
      <c r="C84" s="633" t="s">
        <v>764</v>
      </c>
      <c r="AB84" s="670"/>
    </row>
    <row r="85" spans="1:28" ht="12" hidden="1" outlineLevel="1" thickBot="1">
      <c r="B85" s="634" t="s">
        <v>686</v>
      </c>
      <c r="C85" s="634" t="s">
        <v>767</v>
      </c>
      <c r="D85" s="683">
        <v>0</v>
      </c>
      <c r="E85" s="633"/>
    </row>
    <row r="86" spans="1:28" ht="12" hidden="1" outlineLevel="1" thickBot="1">
      <c r="B86" s="634" t="s">
        <v>779</v>
      </c>
      <c r="C86" s="634" t="s">
        <v>780</v>
      </c>
      <c r="D86" s="685">
        <v>0.75</v>
      </c>
      <c r="G86" s="633"/>
      <c r="H86" s="633"/>
      <c r="I86" s="633"/>
      <c r="J86" s="633"/>
      <c r="K86" s="633"/>
      <c r="L86" s="633"/>
      <c r="M86" s="633"/>
      <c r="N86" s="633"/>
      <c r="O86" s="633"/>
      <c r="P86" s="633"/>
      <c r="Q86" s="633"/>
      <c r="R86" s="633"/>
      <c r="S86" s="633"/>
      <c r="T86" s="633"/>
      <c r="U86" s="633"/>
      <c r="V86" s="633"/>
      <c r="W86" s="633"/>
    </row>
    <row r="87" spans="1:28" ht="12" hidden="1" outlineLevel="1" thickBot="1">
      <c r="B87" s="634" t="s">
        <v>808</v>
      </c>
      <c r="C87" s="634" t="s">
        <v>767</v>
      </c>
      <c r="D87" s="671">
        <f>D85*D86</f>
        <v>0</v>
      </c>
    </row>
    <row r="88" spans="1:28" ht="12" hidden="1" outlineLevel="1" thickBot="1">
      <c r="B88" s="634" t="s">
        <v>809</v>
      </c>
      <c r="C88" s="634" t="s">
        <v>769</v>
      </c>
      <c r="D88" s="683">
        <f>35*21000*12/10^6</f>
        <v>8.82</v>
      </c>
    </row>
    <row r="89" spans="1:28" ht="12" hidden="1" outlineLevel="1" thickBot="1">
      <c r="B89" s="634" t="s">
        <v>810</v>
      </c>
      <c r="C89" s="634" t="s">
        <v>780</v>
      </c>
      <c r="D89" s="685">
        <v>0.05</v>
      </c>
      <c r="G89" s="633"/>
    </row>
    <row r="90" spans="1:28" ht="12" hidden="1" outlineLevel="1" thickBot="1">
      <c r="B90" s="634" t="s">
        <v>811</v>
      </c>
      <c r="C90" s="634" t="s">
        <v>780</v>
      </c>
      <c r="D90" s="685">
        <v>0.8</v>
      </c>
    </row>
    <row r="91" spans="1:28" ht="12" hidden="1" outlineLevel="1" thickBot="1">
      <c r="B91" s="634" t="s">
        <v>750</v>
      </c>
      <c r="C91" s="634" t="s">
        <v>769</v>
      </c>
      <c r="D91" s="674">
        <v>11</v>
      </c>
      <c r="G91" s="633"/>
    </row>
    <row r="92" spans="1:28" ht="12" hidden="1" outlineLevel="1" thickBot="1">
      <c r="B92" s="634" t="s">
        <v>812</v>
      </c>
      <c r="C92" s="634" t="s">
        <v>780</v>
      </c>
      <c r="D92" s="685">
        <v>0.05</v>
      </c>
      <c r="G92" s="633"/>
    </row>
    <row r="93" spans="1:28" ht="12" hidden="1" outlineLevel="1" thickBot="1">
      <c r="B93" s="634" t="s">
        <v>243</v>
      </c>
      <c r="C93" s="634" t="s">
        <v>813</v>
      </c>
      <c r="D93" s="683">
        <v>45</v>
      </c>
      <c r="G93" s="633"/>
    </row>
    <row r="94" spans="1:28" ht="12" hidden="1" outlineLevel="1" thickBot="1">
      <c r="B94" s="634" t="s">
        <v>814</v>
      </c>
      <c r="C94" s="634" t="s">
        <v>780</v>
      </c>
      <c r="D94" s="685">
        <v>0.1</v>
      </c>
      <c r="G94" s="633"/>
    </row>
    <row r="95" spans="1:28" hidden="1" outlineLevel="1">
      <c r="D95" s="634"/>
      <c r="G95" s="633"/>
    </row>
    <row r="96" spans="1:28" hidden="1" outlineLevel="1">
      <c r="B96" s="700"/>
      <c r="C96" s="677" t="s">
        <v>642</v>
      </c>
      <c r="D96" s="677" t="str">
        <f>D52</f>
        <v>Past</v>
      </c>
      <c r="E96" s="677">
        <f t="shared" ref="E96:R96" si="17">E52</f>
        <v>2014</v>
      </c>
      <c r="F96" s="677">
        <f t="shared" si="17"/>
        <v>2015</v>
      </c>
      <c r="G96" s="677">
        <f t="shared" si="17"/>
        <v>2016</v>
      </c>
      <c r="H96" s="677">
        <f t="shared" si="17"/>
        <v>2017</v>
      </c>
      <c r="I96" s="677">
        <f t="shared" si="17"/>
        <v>2018</v>
      </c>
      <c r="J96" s="677">
        <f t="shared" si="17"/>
        <v>2019</v>
      </c>
      <c r="K96" s="677">
        <f t="shared" si="17"/>
        <v>2020</v>
      </c>
      <c r="L96" s="677">
        <f t="shared" si="17"/>
        <v>2021</v>
      </c>
      <c r="M96" s="677">
        <f t="shared" si="17"/>
        <v>2022</v>
      </c>
      <c r="N96" s="677">
        <f t="shared" si="17"/>
        <v>2023</v>
      </c>
      <c r="O96" s="677">
        <f t="shared" si="17"/>
        <v>2024</v>
      </c>
      <c r="P96" s="677">
        <f t="shared" si="17"/>
        <v>2025</v>
      </c>
      <c r="Q96" s="677">
        <f t="shared" si="17"/>
        <v>2026</v>
      </c>
      <c r="R96" s="677">
        <f t="shared" si="17"/>
        <v>2027</v>
      </c>
    </row>
    <row r="97" spans="1:20" hidden="1" outlineLevel="1">
      <c r="B97" s="633" t="s">
        <v>815</v>
      </c>
      <c r="D97" s="634"/>
      <c r="F97" s="688">
        <f>D88</f>
        <v>8.82</v>
      </c>
      <c r="G97" s="689">
        <f>F97*(1+G98)</f>
        <v>9.261000000000001</v>
      </c>
      <c r="H97" s="689">
        <f t="shared" ref="H97:R97" si="18">G97*(1+H98)</f>
        <v>9.7240500000000019</v>
      </c>
      <c r="I97" s="689">
        <f t="shared" si="18"/>
        <v>10.210252500000003</v>
      </c>
      <c r="J97" s="689">
        <f t="shared" si="18"/>
        <v>10.720765125000003</v>
      </c>
      <c r="K97" s="689">
        <f t="shared" si="18"/>
        <v>11.256803381250004</v>
      </c>
      <c r="L97" s="689">
        <f t="shared" si="18"/>
        <v>11.819643550312504</v>
      </c>
      <c r="M97" s="689">
        <f t="shared" si="18"/>
        <v>12.41062572782813</v>
      </c>
      <c r="N97" s="689">
        <f t="shared" si="18"/>
        <v>13.031157014219536</v>
      </c>
      <c r="O97" s="689">
        <f t="shared" si="18"/>
        <v>13.682714864930514</v>
      </c>
      <c r="P97" s="689">
        <f t="shared" si="18"/>
        <v>14.366850608177041</v>
      </c>
      <c r="Q97" s="689">
        <f t="shared" si="18"/>
        <v>15.085193138585893</v>
      </c>
      <c r="R97" s="689">
        <f t="shared" si="18"/>
        <v>15.839452795515189</v>
      </c>
    </row>
    <row r="98" spans="1:20" hidden="1" outlineLevel="1">
      <c r="B98" s="654" t="s">
        <v>816</v>
      </c>
      <c r="D98" s="634"/>
      <c r="E98" s="726"/>
      <c r="F98" s="696">
        <f t="shared" ref="F98:R98" si="19">$D$89</f>
        <v>0.05</v>
      </c>
      <c r="G98" s="696">
        <f t="shared" si="19"/>
        <v>0.05</v>
      </c>
      <c r="H98" s="696">
        <f t="shared" si="19"/>
        <v>0.05</v>
      </c>
      <c r="I98" s="696">
        <f t="shared" si="19"/>
        <v>0.05</v>
      </c>
      <c r="J98" s="696">
        <f t="shared" si="19"/>
        <v>0.05</v>
      </c>
      <c r="K98" s="696">
        <f t="shared" si="19"/>
        <v>0.05</v>
      </c>
      <c r="L98" s="696">
        <f t="shared" si="19"/>
        <v>0.05</v>
      </c>
      <c r="M98" s="696">
        <f t="shared" si="19"/>
        <v>0.05</v>
      </c>
      <c r="N98" s="696">
        <f t="shared" si="19"/>
        <v>0.05</v>
      </c>
      <c r="O98" s="696">
        <f t="shared" si="19"/>
        <v>0.05</v>
      </c>
      <c r="P98" s="696">
        <f t="shared" si="19"/>
        <v>0.05</v>
      </c>
      <c r="Q98" s="696">
        <f t="shared" si="19"/>
        <v>0.05</v>
      </c>
      <c r="R98" s="696">
        <f t="shared" si="19"/>
        <v>0.05</v>
      </c>
    </row>
    <row r="99" spans="1:20" hidden="1" outlineLevel="1">
      <c r="B99" s="633" t="s">
        <v>817</v>
      </c>
      <c r="D99" s="634"/>
      <c r="E99" s="727"/>
      <c r="F99" s="696"/>
      <c r="G99" s="696">
        <v>0</v>
      </c>
      <c r="H99" s="696">
        <v>0.8</v>
      </c>
      <c r="I99" s="696">
        <v>0.9</v>
      </c>
      <c r="J99" s="696">
        <v>0.95</v>
      </c>
      <c r="K99" s="696">
        <f t="shared" ref="K99:R99" si="20">J99</f>
        <v>0.95</v>
      </c>
      <c r="L99" s="696">
        <f t="shared" si="20"/>
        <v>0.95</v>
      </c>
      <c r="M99" s="696">
        <f t="shared" si="20"/>
        <v>0.95</v>
      </c>
      <c r="N99" s="696">
        <f t="shared" si="20"/>
        <v>0.95</v>
      </c>
      <c r="O99" s="696">
        <f t="shared" si="20"/>
        <v>0.95</v>
      </c>
      <c r="P99" s="696">
        <f t="shared" si="20"/>
        <v>0.95</v>
      </c>
      <c r="Q99" s="696">
        <f t="shared" si="20"/>
        <v>0.95</v>
      </c>
      <c r="R99" s="696">
        <f t="shared" si="20"/>
        <v>0.95</v>
      </c>
    </row>
    <row r="100" spans="1:20" hidden="1" outlineLevel="1">
      <c r="B100" s="633" t="s">
        <v>818</v>
      </c>
      <c r="D100" s="634"/>
      <c r="E100" s="688"/>
      <c r="F100" s="688">
        <v>0</v>
      </c>
      <c r="G100" s="688">
        <f>G97*$D$87*G99</f>
        <v>0</v>
      </c>
      <c r="H100" s="688">
        <f>H97*$D$87*H99</f>
        <v>0</v>
      </c>
      <c r="I100" s="688">
        <f t="shared" ref="I100:R100" si="21">I97*$D$87*I99</f>
        <v>0</v>
      </c>
      <c r="J100" s="688">
        <f t="shared" si="21"/>
        <v>0</v>
      </c>
      <c r="K100" s="688">
        <f t="shared" si="21"/>
        <v>0</v>
      </c>
      <c r="L100" s="688">
        <f t="shared" si="21"/>
        <v>0</v>
      </c>
      <c r="M100" s="688">
        <f t="shared" si="21"/>
        <v>0</v>
      </c>
      <c r="N100" s="688">
        <f t="shared" si="21"/>
        <v>0</v>
      </c>
      <c r="O100" s="688">
        <f t="shared" si="21"/>
        <v>0</v>
      </c>
      <c r="P100" s="688">
        <f t="shared" si="21"/>
        <v>0</v>
      </c>
      <c r="Q100" s="688">
        <f t="shared" si="21"/>
        <v>0</v>
      </c>
      <c r="R100" s="688">
        <f t="shared" si="21"/>
        <v>0</v>
      </c>
    </row>
    <row r="101" spans="1:20" hidden="1" outlineLevel="1">
      <c r="B101" s="633" t="s">
        <v>819</v>
      </c>
      <c r="C101" s="679">
        <f>$D85*$D91+($E$3+$E$4+SUMIF($D$220:$R$220,"&lt;="&amp;$E$6,$D$226:$R$226))*$D85/SUM($D$85,$D$140,$D$43,$D$111)</f>
        <v>0</v>
      </c>
      <c r="D101" s="634"/>
      <c r="E101" s="688"/>
      <c r="F101" s="688">
        <v>0</v>
      </c>
      <c r="G101" s="688">
        <v>0</v>
      </c>
      <c r="H101" s="688">
        <f>-$C$101/$D$93</f>
        <v>0</v>
      </c>
      <c r="I101" s="688">
        <f t="shared" ref="I101:R101" si="22">-$C$101/$D$93</f>
        <v>0</v>
      </c>
      <c r="J101" s="688">
        <f t="shared" si="22"/>
        <v>0</v>
      </c>
      <c r="K101" s="688">
        <f t="shared" si="22"/>
        <v>0</v>
      </c>
      <c r="L101" s="688">
        <f t="shared" si="22"/>
        <v>0</v>
      </c>
      <c r="M101" s="688">
        <f t="shared" si="22"/>
        <v>0</v>
      </c>
      <c r="N101" s="688">
        <f t="shared" si="22"/>
        <v>0</v>
      </c>
      <c r="O101" s="688">
        <f t="shared" si="22"/>
        <v>0</v>
      </c>
      <c r="P101" s="688">
        <f t="shared" si="22"/>
        <v>0</v>
      </c>
      <c r="Q101" s="688">
        <f t="shared" si="22"/>
        <v>0</v>
      </c>
      <c r="R101" s="688">
        <f t="shared" si="22"/>
        <v>0</v>
      </c>
    </row>
    <row r="102" spans="1:20" hidden="1" outlineLevel="1">
      <c r="B102" s="633" t="s">
        <v>805</v>
      </c>
      <c r="C102" s="679"/>
      <c r="D102" s="634"/>
      <c r="E102" s="688"/>
      <c r="F102" s="688"/>
      <c r="G102" s="688">
        <v>0</v>
      </c>
      <c r="H102" s="688">
        <f t="shared" ref="H102:P102" si="23">-J226*$D$85/SUM($D$85,$D$140,$D$43,$D$111)</f>
        <v>0</v>
      </c>
      <c r="I102" s="688">
        <f t="shared" si="23"/>
        <v>0</v>
      </c>
      <c r="J102" s="688">
        <f t="shared" si="23"/>
        <v>0</v>
      </c>
      <c r="K102" s="688">
        <f t="shared" si="23"/>
        <v>0</v>
      </c>
      <c r="L102" s="688">
        <f t="shared" si="23"/>
        <v>0</v>
      </c>
      <c r="M102" s="688">
        <f t="shared" si="23"/>
        <v>0</v>
      </c>
      <c r="N102" s="688">
        <f t="shared" si="23"/>
        <v>0</v>
      </c>
      <c r="O102" s="688">
        <f t="shared" si="23"/>
        <v>0</v>
      </c>
      <c r="P102" s="688">
        <f t="shared" si="23"/>
        <v>0</v>
      </c>
      <c r="Q102" s="688">
        <f>-S226*$D$85/SUM($D$85,$D$140,$D$43,$D$111)</f>
        <v>0</v>
      </c>
      <c r="R102" s="688">
        <f>-T226*$D$85/SUM($D$85,$D$140,$D$43,$D$111)</f>
        <v>0</v>
      </c>
    </row>
    <row r="103" spans="1:20" hidden="1" outlineLevel="1">
      <c r="B103" s="633" t="s">
        <v>820</v>
      </c>
      <c r="C103" s="636"/>
      <c r="D103" s="634"/>
      <c r="E103" s="679"/>
      <c r="F103" s="679">
        <f>-$D$92*F100</f>
        <v>0</v>
      </c>
      <c r="G103" s="679">
        <f>-$D$92*G100</f>
        <v>0</v>
      </c>
      <c r="H103" s="679">
        <f t="shared" ref="H103:R103" si="24">-$D$92*H100</f>
        <v>0</v>
      </c>
      <c r="I103" s="679">
        <f t="shared" si="24"/>
        <v>0</v>
      </c>
      <c r="J103" s="679">
        <f t="shared" si="24"/>
        <v>0</v>
      </c>
      <c r="K103" s="679">
        <f t="shared" si="24"/>
        <v>0</v>
      </c>
      <c r="L103" s="679">
        <f t="shared" si="24"/>
        <v>0</v>
      </c>
      <c r="M103" s="679">
        <f t="shared" si="24"/>
        <v>0</v>
      </c>
      <c r="N103" s="679">
        <f t="shared" si="24"/>
        <v>0</v>
      </c>
      <c r="O103" s="679">
        <f t="shared" si="24"/>
        <v>0</v>
      </c>
      <c r="P103" s="679">
        <f t="shared" si="24"/>
        <v>0</v>
      </c>
      <c r="Q103" s="679">
        <f t="shared" si="24"/>
        <v>0</v>
      </c>
      <c r="R103" s="679">
        <f t="shared" si="24"/>
        <v>0</v>
      </c>
    </row>
    <row r="104" spans="1:20" hidden="1" outlineLevel="1">
      <c r="B104" s="633" t="s">
        <v>821</v>
      </c>
      <c r="C104" s="636"/>
      <c r="D104" s="634"/>
      <c r="E104" s="679"/>
      <c r="F104" s="679">
        <f>-$D$94*F100</f>
        <v>0</v>
      </c>
      <c r="G104" s="679">
        <f>-$D$94*G100</f>
        <v>0</v>
      </c>
      <c r="H104" s="679">
        <f t="shared" ref="H104:R104" si="25">-$D$94*H100</f>
        <v>0</v>
      </c>
      <c r="I104" s="679">
        <f t="shared" si="25"/>
        <v>0</v>
      </c>
      <c r="J104" s="679">
        <f t="shared" si="25"/>
        <v>0</v>
      </c>
      <c r="K104" s="679">
        <f t="shared" si="25"/>
        <v>0</v>
      </c>
      <c r="L104" s="679">
        <f t="shared" si="25"/>
        <v>0</v>
      </c>
      <c r="M104" s="679">
        <f t="shared" si="25"/>
        <v>0</v>
      </c>
      <c r="N104" s="679">
        <f t="shared" si="25"/>
        <v>0</v>
      </c>
      <c r="O104" s="679">
        <f t="shared" si="25"/>
        <v>0</v>
      </c>
      <c r="P104" s="679">
        <f t="shared" si="25"/>
        <v>0</v>
      </c>
      <c r="Q104" s="679">
        <f t="shared" si="25"/>
        <v>0</v>
      </c>
      <c r="R104" s="679">
        <f t="shared" si="25"/>
        <v>0</v>
      </c>
    </row>
    <row r="105" spans="1:20" hidden="1" outlineLevel="1">
      <c r="B105" s="633" t="s">
        <v>822</v>
      </c>
      <c r="C105" s="636"/>
      <c r="D105" s="634"/>
      <c r="E105" s="679"/>
      <c r="F105" s="679">
        <f>SUM(F100:F104)</f>
        <v>0</v>
      </c>
      <c r="G105" s="679">
        <f>SUM(G100:G104)</f>
        <v>0</v>
      </c>
      <c r="H105" s="679">
        <f t="shared" ref="H105:R105" si="26">SUM(H100:H104)</f>
        <v>0</v>
      </c>
      <c r="I105" s="679">
        <f t="shared" si="26"/>
        <v>0</v>
      </c>
      <c r="J105" s="679">
        <f t="shared" si="26"/>
        <v>0</v>
      </c>
      <c r="K105" s="679">
        <f t="shared" si="26"/>
        <v>0</v>
      </c>
      <c r="L105" s="679">
        <f t="shared" si="26"/>
        <v>0</v>
      </c>
      <c r="M105" s="679">
        <f t="shared" si="26"/>
        <v>0</v>
      </c>
      <c r="N105" s="679">
        <f t="shared" si="26"/>
        <v>0</v>
      </c>
      <c r="O105" s="679">
        <f t="shared" si="26"/>
        <v>0</v>
      </c>
      <c r="P105" s="679">
        <f t="shared" si="26"/>
        <v>0</v>
      </c>
      <c r="Q105" s="679">
        <f t="shared" si="26"/>
        <v>0</v>
      </c>
      <c r="R105" s="679">
        <f t="shared" si="26"/>
        <v>0</v>
      </c>
    </row>
    <row r="106" spans="1:20" s="640" customFormat="1" hidden="1" outlineLevel="1">
      <c r="B106" s="728" t="s">
        <v>846</v>
      </c>
      <c r="F106" s="640">
        <v>0.22</v>
      </c>
      <c r="G106" s="640">
        <v>0.2</v>
      </c>
      <c r="H106" s="640">
        <f>G106</f>
        <v>0.2</v>
      </c>
      <c r="I106" s="640">
        <f t="shared" ref="I106:R106" si="27">H106</f>
        <v>0.2</v>
      </c>
      <c r="J106" s="640">
        <f t="shared" si="27"/>
        <v>0.2</v>
      </c>
      <c r="K106" s="640">
        <f t="shared" si="27"/>
        <v>0.2</v>
      </c>
      <c r="L106" s="640">
        <f t="shared" si="27"/>
        <v>0.2</v>
      </c>
      <c r="M106" s="640">
        <f t="shared" si="27"/>
        <v>0.2</v>
      </c>
      <c r="N106" s="640">
        <f t="shared" si="27"/>
        <v>0.2</v>
      </c>
      <c r="O106" s="640">
        <f t="shared" si="27"/>
        <v>0.2</v>
      </c>
      <c r="P106" s="640">
        <f t="shared" si="27"/>
        <v>0.2</v>
      </c>
      <c r="Q106" s="640">
        <f t="shared" si="27"/>
        <v>0.2</v>
      </c>
      <c r="R106" s="640">
        <f t="shared" si="27"/>
        <v>0.2</v>
      </c>
    </row>
    <row r="107" spans="1:20" hidden="1" outlineLevel="1">
      <c r="B107" s="633" t="s">
        <v>661</v>
      </c>
      <c r="C107" s="636"/>
      <c r="D107" s="634"/>
      <c r="E107" s="679"/>
      <c r="F107" s="679">
        <f>IF(F105&lt;0,F105,F105*(1-F106))</f>
        <v>0</v>
      </c>
      <c r="G107" s="679">
        <f>IF(G105&lt;0,G105,G105*(1-G106))</f>
        <v>0</v>
      </c>
      <c r="H107" s="679">
        <f t="shared" ref="H107:R107" si="28">IF(H105&lt;0,H105,H105*(1-H106))</f>
        <v>0</v>
      </c>
      <c r="I107" s="679">
        <f t="shared" si="28"/>
        <v>0</v>
      </c>
      <c r="J107" s="679">
        <f t="shared" si="28"/>
        <v>0</v>
      </c>
      <c r="K107" s="679">
        <f t="shared" si="28"/>
        <v>0</v>
      </c>
      <c r="L107" s="679">
        <f t="shared" si="28"/>
        <v>0</v>
      </c>
      <c r="M107" s="679">
        <f t="shared" si="28"/>
        <v>0</v>
      </c>
      <c r="N107" s="679">
        <f t="shared" si="28"/>
        <v>0</v>
      </c>
      <c r="O107" s="679">
        <f t="shared" si="28"/>
        <v>0</v>
      </c>
      <c r="P107" s="679">
        <f t="shared" si="28"/>
        <v>0</v>
      </c>
      <c r="Q107" s="679">
        <f t="shared" si="28"/>
        <v>0</v>
      </c>
      <c r="R107" s="679">
        <f t="shared" si="28"/>
        <v>0</v>
      </c>
    </row>
    <row r="108" spans="1:20" hidden="1" outlineLevel="1">
      <c r="B108" s="633"/>
      <c r="C108" s="636"/>
      <c r="D108" s="634"/>
      <c r="E108" s="679"/>
      <c r="F108" s="679"/>
      <c r="G108" s="679"/>
      <c r="H108" s="679"/>
      <c r="I108" s="679"/>
      <c r="J108" s="679"/>
      <c r="K108" s="679"/>
      <c r="L108" s="679"/>
      <c r="M108" s="679"/>
      <c r="N108" s="679"/>
      <c r="O108" s="679"/>
      <c r="P108" s="679"/>
      <c r="Q108" s="679"/>
      <c r="R108" s="679"/>
    </row>
    <row r="109" spans="1:20" hidden="1" outlineLevel="1">
      <c r="A109" s="666" t="s">
        <v>823</v>
      </c>
      <c r="B109" s="666" t="s">
        <v>877</v>
      </c>
      <c r="C109" s="666"/>
      <c r="D109" s="666"/>
      <c r="E109" s="666"/>
      <c r="F109" s="666"/>
      <c r="G109" s="666"/>
      <c r="H109" s="666"/>
      <c r="I109" s="666"/>
      <c r="J109" s="666"/>
      <c r="K109" s="666"/>
      <c r="L109" s="666"/>
      <c r="M109" s="666"/>
      <c r="N109" s="666"/>
      <c r="O109" s="666"/>
      <c r="P109" s="666"/>
      <c r="Q109" s="666"/>
      <c r="R109" s="666"/>
      <c r="S109" s="666"/>
      <c r="T109" s="666"/>
    </row>
    <row r="110" spans="1:20" hidden="1" outlineLevel="1">
      <c r="A110" s="633"/>
      <c r="B110" s="633"/>
      <c r="C110" s="633" t="s">
        <v>764</v>
      </c>
      <c r="D110" s="633"/>
      <c r="E110" s="633"/>
      <c r="F110" s="633"/>
      <c r="G110" s="633"/>
      <c r="H110" s="633"/>
      <c r="I110" s="633"/>
      <c r="J110" s="633"/>
      <c r="K110" s="633"/>
      <c r="L110" s="633"/>
      <c r="M110" s="633"/>
      <c r="N110" s="633"/>
      <c r="O110" s="633"/>
      <c r="P110" s="633"/>
      <c r="Q110" s="633"/>
      <c r="R110" s="633"/>
      <c r="S110" s="633"/>
      <c r="T110" s="633"/>
    </row>
    <row r="111" spans="1:20" ht="12" hidden="1" outlineLevel="1" thickBot="1">
      <c r="B111" s="634" t="s">
        <v>686</v>
      </c>
      <c r="C111" s="634" t="s">
        <v>767</v>
      </c>
      <c r="D111" s="683">
        <v>0</v>
      </c>
      <c r="E111" s="633"/>
    </row>
    <row r="112" spans="1:20" ht="12" hidden="1" outlineLevel="1" thickBot="1">
      <c r="B112" s="634" t="s">
        <v>779</v>
      </c>
      <c r="C112" s="634" t="s">
        <v>780</v>
      </c>
      <c r="D112" s="685">
        <v>0.75</v>
      </c>
      <c r="G112" s="633"/>
      <c r="H112" s="633"/>
      <c r="I112" s="633"/>
      <c r="J112" s="633"/>
      <c r="K112" s="633"/>
      <c r="L112" s="633"/>
      <c r="M112" s="633"/>
      <c r="N112" s="633"/>
      <c r="O112" s="633"/>
      <c r="P112" s="633"/>
      <c r="Q112" s="633"/>
      <c r="R112" s="633"/>
      <c r="S112" s="633"/>
      <c r="T112" s="633"/>
    </row>
    <row r="113" spans="2:18" ht="12" hidden="1" outlineLevel="1" thickBot="1">
      <c r="B113" s="634" t="s">
        <v>808</v>
      </c>
      <c r="C113" s="634" t="s">
        <v>767</v>
      </c>
      <c r="D113" s="683">
        <f>D111*D112</f>
        <v>0</v>
      </c>
      <c r="H113" s="729"/>
    </row>
    <row r="114" spans="2:18" ht="12" hidden="1" outlineLevel="1" thickBot="1">
      <c r="B114" s="634" t="s">
        <v>809</v>
      </c>
      <c r="C114" s="634" t="s">
        <v>769</v>
      </c>
      <c r="D114" s="730">
        <f>(30+5)*21000*12/10^6</f>
        <v>8.82</v>
      </c>
      <c r="J114" s="688"/>
    </row>
    <row r="115" spans="2:18" ht="12" hidden="1" outlineLevel="1" thickBot="1">
      <c r="B115" s="634" t="s">
        <v>810</v>
      </c>
      <c r="C115" s="634" t="s">
        <v>780</v>
      </c>
      <c r="D115" s="685">
        <v>0.05</v>
      </c>
      <c r="G115" s="633"/>
    </row>
    <row r="116" spans="2:18" ht="12" hidden="1" outlineLevel="1" thickBot="1">
      <c r="B116" s="634" t="s">
        <v>811</v>
      </c>
      <c r="C116" s="634" t="s">
        <v>780</v>
      </c>
      <c r="D116" s="685">
        <v>0.8</v>
      </c>
    </row>
    <row r="117" spans="2:18" ht="12" hidden="1" outlineLevel="1" thickBot="1">
      <c r="B117" s="634" t="s">
        <v>750</v>
      </c>
      <c r="C117" s="634" t="s">
        <v>769</v>
      </c>
      <c r="D117" s="674">
        <v>11</v>
      </c>
      <c r="G117" s="633"/>
    </row>
    <row r="118" spans="2:18" ht="12" hidden="1" outlineLevel="1" thickBot="1">
      <c r="B118" s="634" t="s">
        <v>812</v>
      </c>
      <c r="C118" s="634" t="s">
        <v>780</v>
      </c>
      <c r="D118" s="685">
        <v>0.05</v>
      </c>
      <c r="G118" s="633"/>
    </row>
    <row r="119" spans="2:18" ht="12" hidden="1" outlineLevel="1" thickBot="1">
      <c r="B119" s="634" t="s">
        <v>243</v>
      </c>
      <c r="C119" s="634" t="s">
        <v>813</v>
      </c>
      <c r="D119" s="683">
        <v>45</v>
      </c>
      <c r="G119" s="633"/>
    </row>
    <row r="120" spans="2:18" ht="12" hidden="1" outlineLevel="1" thickBot="1">
      <c r="B120" s="634" t="s">
        <v>814</v>
      </c>
      <c r="C120" s="634" t="s">
        <v>780</v>
      </c>
      <c r="D120" s="685">
        <v>0.1</v>
      </c>
      <c r="G120" s="633"/>
    </row>
    <row r="121" spans="2:18" hidden="1" outlineLevel="1">
      <c r="D121" s="634"/>
      <c r="G121" s="633"/>
    </row>
    <row r="122" spans="2:18" hidden="1" outlineLevel="1">
      <c r="D122" s="634"/>
      <c r="G122" s="633"/>
    </row>
    <row r="123" spans="2:18" hidden="1" outlineLevel="1">
      <c r="B123" s="706" t="s">
        <v>878</v>
      </c>
      <c r="C123" s="707"/>
      <c r="D123" s="707"/>
      <c r="E123" s="707"/>
      <c r="F123" s="707"/>
      <c r="G123" s="707"/>
      <c r="H123" s="707"/>
      <c r="I123" s="707"/>
      <c r="J123" s="707"/>
      <c r="K123" s="707"/>
      <c r="L123" s="707"/>
      <c r="M123" s="707"/>
      <c r="N123" s="707"/>
      <c r="O123" s="707"/>
      <c r="P123" s="707"/>
      <c r="Q123" s="707"/>
      <c r="R123" s="707"/>
    </row>
    <row r="124" spans="2:18" hidden="1" outlineLevel="1">
      <c r="B124" s="700"/>
      <c r="C124" s="677"/>
      <c r="D124" s="677" t="str">
        <f>D35</f>
        <v>Past</v>
      </c>
      <c r="E124" s="677">
        <f>E35</f>
        <v>2014</v>
      </c>
      <c r="F124" s="677">
        <f t="shared" ref="F124:R124" si="29">F35</f>
        <v>2015</v>
      </c>
      <c r="G124" s="677">
        <f t="shared" si="29"/>
        <v>2016</v>
      </c>
      <c r="H124" s="677">
        <f t="shared" si="29"/>
        <v>2017</v>
      </c>
      <c r="I124" s="677">
        <f t="shared" si="29"/>
        <v>2018</v>
      </c>
      <c r="J124" s="677">
        <f t="shared" si="29"/>
        <v>2019</v>
      </c>
      <c r="K124" s="677">
        <f t="shared" si="29"/>
        <v>2020</v>
      </c>
      <c r="L124" s="677">
        <f t="shared" si="29"/>
        <v>2021</v>
      </c>
      <c r="M124" s="677">
        <f t="shared" si="29"/>
        <v>2022</v>
      </c>
      <c r="N124" s="677">
        <f t="shared" si="29"/>
        <v>2023</v>
      </c>
      <c r="O124" s="677">
        <f t="shared" si="29"/>
        <v>2024</v>
      </c>
      <c r="P124" s="677">
        <f t="shared" si="29"/>
        <v>2025</v>
      </c>
      <c r="Q124" s="677">
        <f t="shared" si="29"/>
        <v>2026</v>
      </c>
      <c r="R124" s="677">
        <f t="shared" si="29"/>
        <v>2027</v>
      </c>
    </row>
    <row r="125" spans="2:18" hidden="1" outlineLevel="1">
      <c r="B125" s="633" t="s">
        <v>815</v>
      </c>
      <c r="D125" s="634"/>
      <c r="E125" s="688"/>
      <c r="F125" s="701">
        <f>D114</f>
        <v>8.82</v>
      </c>
      <c r="G125" s="701">
        <f>F125*(1+G126)</f>
        <v>9.261000000000001</v>
      </c>
      <c r="H125" s="701">
        <f t="shared" ref="H125:R125" si="30">G125*(1+H126)</f>
        <v>9.7240500000000019</v>
      </c>
      <c r="I125" s="701">
        <f t="shared" si="30"/>
        <v>10.210252500000003</v>
      </c>
      <c r="J125" s="701">
        <f t="shared" si="30"/>
        <v>10.720765125000003</v>
      </c>
      <c r="K125" s="701">
        <f t="shared" si="30"/>
        <v>11.256803381250004</v>
      </c>
      <c r="L125" s="701">
        <f t="shared" si="30"/>
        <v>11.819643550312504</v>
      </c>
      <c r="M125" s="701">
        <f t="shared" si="30"/>
        <v>12.41062572782813</v>
      </c>
      <c r="N125" s="701">
        <f t="shared" si="30"/>
        <v>13.031157014219536</v>
      </c>
      <c r="O125" s="701">
        <f t="shared" si="30"/>
        <v>13.682714864930514</v>
      </c>
      <c r="P125" s="701">
        <f t="shared" si="30"/>
        <v>14.366850608177041</v>
      </c>
      <c r="Q125" s="701">
        <f t="shared" si="30"/>
        <v>15.085193138585893</v>
      </c>
      <c r="R125" s="701">
        <f t="shared" si="30"/>
        <v>15.839452795515189</v>
      </c>
    </row>
    <row r="126" spans="2:18" hidden="1" outlineLevel="1">
      <c r="B126" s="654" t="s">
        <v>816</v>
      </c>
      <c r="D126" s="634"/>
      <c r="F126" s="696"/>
      <c r="G126" s="696">
        <v>0.05</v>
      </c>
      <c r="H126" s="696">
        <f t="shared" ref="H126:R127" si="31">G126</f>
        <v>0.05</v>
      </c>
      <c r="I126" s="696">
        <f t="shared" si="31"/>
        <v>0.05</v>
      </c>
      <c r="J126" s="696">
        <f t="shared" si="31"/>
        <v>0.05</v>
      </c>
      <c r="K126" s="696">
        <f t="shared" si="31"/>
        <v>0.05</v>
      </c>
      <c r="L126" s="696">
        <f t="shared" si="31"/>
        <v>0.05</v>
      </c>
      <c r="M126" s="696">
        <f t="shared" si="31"/>
        <v>0.05</v>
      </c>
      <c r="N126" s="696">
        <f t="shared" si="31"/>
        <v>0.05</v>
      </c>
      <c r="O126" s="696">
        <f t="shared" si="31"/>
        <v>0.05</v>
      </c>
      <c r="P126" s="696">
        <f t="shared" si="31"/>
        <v>0.05</v>
      </c>
      <c r="Q126" s="696">
        <f t="shared" si="31"/>
        <v>0.05</v>
      </c>
      <c r="R126" s="696">
        <f t="shared" si="31"/>
        <v>0.05</v>
      </c>
    </row>
    <row r="127" spans="2:18" hidden="1" outlineLevel="1">
      <c r="B127" s="633" t="s">
        <v>817</v>
      </c>
      <c r="D127" s="634"/>
      <c r="E127" s="636"/>
      <c r="F127" s="696"/>
      <c r="G127" s="696">
        <v>0</v>
      </c>
      <c r="H127" s="696">
        <v>0.9</v>
      </c>
      <c r="I127" s="696">
        <f>H127+5%</f>
        <v>0.95000000000000007</v>
      </c>
      <c r="J127" s="696">
        <f>I127</f>
        <v>0.95000000000000007</v>
      </c>
      <c r="K127" s="696">
        <f t="shared" si="31"/>
        <v>0.95000000000000007</v>
      </c>
      <c r="L127" s="696">
        <f t="shared" si="31"/>
        <v>0.95000000000000007</v>
      </c>
      <c r="M127" s="696">
        <f t="shared" si="31"/>
        <v>0.95000000000000007</v>
      </c>
      <c r="N127" s="696">
        <f t="shared" si="31"/>
        <v>0.95000000000000007</v>
      </c>
      <c r="O127" s="696">
        <f t="shared" si="31"/>
        <v>0.95000000000000007</v>
      </c>
      <c r="P127" s="696">
        <f t="shared" si="31"/>
        <v>0.95000000000000007</v>
      </c>
      <c r="Q127" s="696">
        <f t="shared" si="31"/>
        <v>0.95000000000000007</v>
      </c>
      <c r="R127" s="696">
        <f t="shared" si="31"/>
        <v>0.95000000000000007</v>
      </c>
    </row>
    <row r="128" spans="2:18" hidden="1" outlineLevel="1">
      <c r="B128" s="633" t="s">
        <v>818</v>
      </c>
      <c r="D128" s="634"/>
      <c r="E128" s="688"/>
      <c r="F128" s="688">
        <v>0</v>
      </c>
      <c r="G128" s="688">
        <f>G125*G127*$D$113</f>
        <v>0</v>
      </c>
      <c r="H128" s="688">
        <f t="shared" ref="H128:R128" si="32">H125*H127*$D$113</f>
        <v>0</v>
      </c>
      <c r="I128" s="688">
        <f t="shared" si="32"/>
        <v>0</v>
      </c>
      <c r="J128" s="688">
        <f t="shared" si="32"/>
        <v>0</v>
      </c>
      <c r="K128" s="688">
        <f t="shared" si="32"/>
        <v>0</v>
      </c>
      <c r="L128" s="688">
        <f t="shared" si="32"/>
        <v>0</v>
      </c>
      <c r="M128" s="688">
        <f t="shared" si="32"/>
        <v>0</v>
      </c>
      <c r="N128" s="688">
        <f t="shared" si="32"/>
        <v>0</v>
      </c>
      <c r="O128" s="688">
        <f t="shared" si="32"/>
        <v>0</v>
      </c>
      <c r="P128" s="688">
        <f t="shared" si="32"/>
        <v>0</v>
      </c>
      <c r="Q128" s="688">
        <f t="shared" si="32"/>
        <v>0</v>
      </c>
      <c r="R128" s="688">
        <f t="shared" si="32"/>
        <v>0</v>
      </c>
    </row>
    <row r="129" spans="1:28" hidden="1" outlineLevel="1">
      <c r="B129" s="633" t="s">
        <v>243</v>
      </c>
      <c r="C129" s="679">
        <f>$D$117*$D$111+($E$3+$E$4+SUMIF($D$220:$R$220,"&lt;="&amp;$E$6,$D$226:$R$226))*$D$111/SUM($D$85,$D$140,$D$43,$D$111)</f>
        <v>0</v>
      </c>
      <c r="D129" s="634"/>
      <c r="E129" s="688"/>
      <c r="F129" s="688">
        <v>0</v>
      </c>
      <c r="G129" s="688">
        <v>0</v>
      </c>
      <c r="H129" s="688">
        <f t="shared" ref="H129:R129" si="33">-$C$129/$D$119</f>
        <v>0</v>
      </c>
      <c r="I129" s="688">
        <f t="shared" si="33"/>
        <v>0</v>
      </c>
      <c r="J129" s="688">
        <f t="shared" si="33"/>
        <v>0</v>
      </c>
      <c r="K129" s="688">
        <f t="shared" si="33"/>
        <v>0</v>
      </c>
      <c r="L129" s="688">
        <f t="shared" si="33"/>
        <v>0</v>
      </c>
      <c r="M129" s="688">
        <f t="shared" si="33"/>
        <v>0</v>
      </c>
      <c r="N129" s="688">
        <f t="shared" si="33"/>
        <v>0</v>
      </c>
      <c r="O129" s="688">
        <f t="shared" si="33"/>
        <v>0</v>
      </c>
      <c r="P129" s="688">
        <f t="shared" si="33"/>
        <v>0</v>
      </c>
      <c r="Q129" s="688">
        <f t="shared" si="33"/>
        <v>0</v>
      </c>
      <c r="R129" s="688">
        <f t="shared" si="33"/>
        <v>0</v>
      </c>
    </row>
    <row r="130" spans="1:28" hidden="1" outlineLevel="1">
      <c r="B130" s="633" t="s">
        <v>879</v>
      </c>
      <c r="C130" s="636"/>
      <c r="D130" s="634"/>
      <c r="E130" s="679"/>
      <c r="F130" s="679">
        <f>-$D118*F128</f>
        <v>0</v>
      </c>
      <c r="G130" s="679">
        <f>-$D118*G128</f>
        <v>0</v>
      </c>
      <c r="H130" s="679">
        <f t="shared" ref="H130:R130" si="34">-$D118*H128</f>
        <v>0</v>
      </c>
      <c r="I130" s="679">
        <f t="shared" si="34"/>
        <v>0</v>
      </c>
      <c r="J130" s="679">
        <f t="shared" si="34"/>
        <v>0</v>
      </c>
      <c r="K130" s="679">
        <f t="shared" si="34"/>
        <v>0</v>
      </c>
      <c r="L130" s="679">
        <f t="shared" si="34"/>
        <v>0</v>
      </c>
      <c r="M130" s="679">
        <f t="shared" si="34"/>
        <v>0</v>
      </c>
      <c r="N130" s="679">
        <f t="shared" si="34"/>
        <v>0</v>
      </c>
      <c r="O130" s="679">
        <f t="shared" si="34"/>
        <v>0</v>
      </c>
      <c r="P130" s="679">
        <f t="shared" si="34"/>
        <v>0</v>
      </c>
      <c r="Q130" s="679">
        <f t="shared" si="34"/>
        <v>0</v>
      </c>
      <c r="R130" s="679">
        <f t="shared" si="34"/>
        <v>0</v>
      </c>
    </row>
    <row r="131" spans="1:28" hidden="1" outlineLevel="1">
      <c r="B131" s="633" t="s">
        <v>821</v>
      </c>
      <c r="C131" s="636"/>
      <c r="D131" s="634"/>
      <c r="E131" s="679"/>
      <c r="F131" s="679">
        <f>-$D120*F128</f>
        <v>0</v>
      </c>
      <c r="G131" s="679">
        <f>-$D120*G128</f>
        <v>0</v>
      </c>
      <c r="H131" s="679">
        <f t="shared" ref="H131:R131" si="35">-$D120*H128</f>
        <v>0</v>
      </c>
      <c r="I131" s="679">
        <f t="shared" si="35"/>
        <v>0</v>
      </c>
      <c r="J131" s="679">
        <f t="shared" si="35"/>
        <v>0</v>
      </c>
      <c r="K131" s="679">
        <f t="shared" si="35"/>
        <v>0</v>
      </c>
      <c r="L131" s="679">
        <f t="shared" si="35"/>
        <v>0</v>
      </c>
      <c r="M131" s="679">
        <f t="shared" si="35"/>
        <v>0</v>
      </c>
      <c r="N131" s="679">
        <f t="shared" si="35"/>
        <v>0</v>
      </c>
      <c r="O131" s="679">
        <f t="shared" si="35"/>
        <v>0</v>
      </c>
      <c r="P131" s="679">
        <f t="shared" si="35"/>
        <v>0</v>
      </c>
      <c r="Q131" s="679">
        <f t="shared" si="35"/>
        <v>0</v>
      </c>
      <c r="R131" s="679">
        <f t="shared" si="35"/>
        <v>0</v>
      </c>
    </row>
    <row r="132" spans="1:28" hidden="1" outlineLevel="1">
      <c r="B132" s="731" t="s">
        <v>805</v>
      </c>
      <c r="C132" s="636"/>
      <c r="D132" s="634"/>
      <c r="E132" s="679"/>
      <c r="F132" s="679"/>
      <c r="G132" s="679">
        <v>0</v>
      </c>
      <c r="H132" s="679">
        <f t="shared" ref="H132:P132" si="36">-J226*$D$111/SUM($D$85,$D$140,$D$43,$D$111)</f>
        <v>0</v>
      </c>
      <c r="I132" s="679">
        <f t="shared" si="36"/>
        <v>0</v>
      </c>
      <c r="J132" s="679">
        <f t="shared" si="36"/>
        <v>0</v>
      </c>
      <c r="K132" s="679">
        <f t="shared" si="36"/>
        <v>0</v>
      </c>
      <c r="L132" s="679">
        <f t="shared" si="36"/>
        <v>0</v>
      </c>
      <c r="M132" s="679">
        <f t="shared" si="36"/>
        <v>0</v>
      </c>
      <c r="N132" s="679">
        <f t="shared" si="36"/>
        <v>0</v>
      </c>
      <c r="O132" s="679">
        <f t="shared" si="36"/>
        <v>0</v>
      </c>
      <c r="P132" s="679">
        <f t="shared" si="36"/>
        <v>0</v>
      </c>
      <c r="Q132" s="679">
        <f>-S226*$D$111/SUM($D$85,$D$140,$D$43,$D$111)</f>
        <v>0</v>
      </c>
      <c r="R132" s="679">
        <f>-T226*$D$111/SUM($D$85,$D$140,$D$43,$D$111)</f>
        <v>0</v>
      </c>
      <c r="S132" s="679"/>
      <c r="T132" s="679"/>
    </row>
    <row r="133" spans="1:28" hidden="1" outlineLevel="1">
      <c r="B133" s="633" t="s">
        <v>845</v>
      </c>
      <c r="C133" s="636"/>
      <c r="D133" s="634"/>
      <c r="E133" s="679"/>
      <c r="F133" s="679">
        <f>F128+SUM(F129:F132)</f>
        <v>0</v>
      </c>
      <c r="G133" s="679">
        <f>G128+SUM(G129:G132)</f>
        <v>0</v>
      </c>
      <c r="H133" s="679">
        <f t="shared" ref="H133:R133" si="37">H128+SUM(H129:H132)</f>
        <v>0</v>
      </c>
      <c r="I133" s="679">
        <f t="shared" si="37"/>
        <v>0</v>
      </c>
      <c r="J133" s="679">
        <f t="shared" si="37"/>
        <v>0</v>
      </c>
      <c r="K133" s="679">
        <f t="shared" si="37"/>
        <v>0</v>
      </c>
      <c r="L133" s="679">
        <f t="shared" si="37"/>
        <v>0</v>
      </c>
      <c r="M133" s="679">
        <f t="shared" si="37"/>
        <v>0</v>
      </c>
      <c r="N133" s="679">
        <f t="shared" si="37"/>
        <v>0</v>
      </c>
      <c r="O133" s="679">
        <f t="shared" si="37"/>
        <v>0</v>
      </c>
      <c r="P133" s="679">
        <f t="shared" si="37"/>
        <v>0</v>
      </c>
      <c r="Q133" s="679">
        <f t="shared" si="37"/>
        <v>0</v>
      </c>
      <c r="R133" s="679">
        <f t="shared" si="37"/>
        <v>0</v>
      </c>
    </row>
    <row r="134" spans="1:28" hidden="1" outlineLevel="1">
      <c r="B134" s="634" t="s">
        <v>846</v>
      </c>
      <c r="C134" s="636"/>
      <c r="D134" s="636"/>
      <c r="E134" s="636"/>
      <c r="F134" s="636">
        <v>0.22</v>
      </c>
      <c r="G134" s="636">
        <v>0.2</v>
      </c>
      <c r="H134" s="636">
        <f>G134</f>
        <v>0.2</v>
      </c>
      <c r="I134" s="636">
        <f t="shared" ref="I134:R134" si="38">H134</f>
        <v>0.2</v>
      </c>
      <c r="J134" s="636">
        <f t="shared" si="38"/>
        <v>0.2</v>
      </c>
      <c r="K134" s="636">
        <f t="shared" si="38"/>
        <v>0.2</v>
      </c>
      <c r="L134" s="636">
        <f t="shared" si="38"/>
        <v>0.2</v>
      </c>
      <c r="M134" s="636">
        <f t="shared" si="38"/>
        <v>0.2</v>
      </c>
      <c r="N134" s="636">
        <f t="shared" si="38"/>
        <v>0.2</v>
      </c>
      <c r="O134" s="636">
        <f t="shared" si="38"/>
        <v>0.2</v>
      </c>
      <c r="P134" s="636">
        <f t="shared" si="38"/>
        <v>0.2</v>
      </c>
      <c r="Q134" s="636">
        <f t="shared" si="38"/>
        <v>0.2</v>
      </c>
      <c r="R134" s="636">
        <f t="shared" si="38"/>
        <v>0.2</v>
      </c>
      <c r="S134" s="636"/>
      <c r="T134" s="636"/>
    </row>
    <row r="135" spans="1:28" hidden="1" outlineLevel="1">
      <c r="B135" s="633" t="s">
        <v>661</v>
      </c>
      <c r="C135" s="692"/>
      <c r="D135" s="692"/>
      <c r="E135" s="692"/>
      <c r="F135" s="692">
        <f>IF(F133&lt;0,F133,F133*(1-F134))</f>
        <v>0</v>
      </c>
      <c r="G135" s="692">
        <f>IF(G133&lt;0,G133,G133*(1-G134))</f>
        <v>0</v>
      </c>
      <c r="H135" s="692">
        <f>IF(H133&lt;0,H133,H133*(1-H134))</f>
        <v>0</v>
      </c>
      <c r="I135" s="692">
        <f t="shared" ref="I135:R135" si="39">IF(I133&lt;0,I133,I133*(1-I134))</f>
        <v>0</v>
      </c>
      <c r="J135" s="692">
        <f t="shared" si="39"/>
        <v>0</v>
      </c>
      <c r="K135" s="692">
        <f t="shared" si="39"/>
        <v>0</v>
      </c>
      <c r="L135" s="692">
        <f t="shared" si="39"/>
        <v>0</v>
      </c>
      <c r="M135" s="692">
        <f t="shared" si="39"/>
        <v>0</v>
      </c>
      <c r="N135" s="692">
        <f t="shared" si="39"/>
        <v>0</v>
      </c>
      <c r="O135" s="692">
        <f t="shared" si="39"/>
        <v>0</v>
      </c>
      <c r="P135" s="692">
        <f t="shared" si="39"/>
        <v>0</v>
      </c>
      <c r="Q135" s="692">
        <f t="shared" si="39"/>
        <v>0</v>
      </c>
      <c r="R135" s="692">
        <f t="shared" si="39"/>
        <v>0</v>
      </c>
      <c r="S135" s="692"/>
      <c r="T135" s="692"/>
    </row>
    <row r="136" spans="1:28" ht="14.25" hidden="1" outlineLevel="1">
      <c r="A136" s="604"/>
      <c r="B136" s="604"/>
      <c r="C136" s="604"/>
      <c r="D136" s="604"/>
      <c r="E136" s="604"/>
      <c r="F136" s="604"/>
      <c r="G136" s="604"/>
      <c r="H136" s="604"/>
      <c r="I136" s="604"/>
      <c r="J136" s="604"/>
      <c r="K136" s="732"/>
      <c r="L136" s="604"/>
      <c r="M136" s="604"/>
      <c r="N136" s="604"/>
      <c r="O136" s="604"/>
      <c r="P136" s="604"/>
      <c r="Q136" s="604"/>
      <c r="R136" s="604"/>
      <c r="S136" s="604"/>
      <c r="T136" s="604"/>
    </row>
    <row r="137" spans="1:28" hidden="1" outlineLevel="1">
      <c r="B137" s="634" t="s">
        <v>630</v>
      </c>
      <c r="G137" s="640"/>
    </row>
    <row r="138" spans="1:28" s="666" customFormat="1" hidden="1" outlineLevel="1">
      <c r="A138" s="666" t="s">
        <v>828</v>
      </c>
      <c r="B138" s="666" t="s">
        <v>831</v>
      </c>
      <c r="AB138" s="667"/>
    </row>
    <row r="139" spans="1:28" hidden="1" outlineLevel="1">
      <c r="C139" s="634" t="s">
        <v>764</v>
      </c>
      <c r="D139" s="634"/>
      <c r="E139" s="633"/>
    </row>
    <row r="140" spans="1:28" ht="12" hidden="1" outlineLevel="1" thickBot="1">
      <c r="B140" s="634" t="s">
        <v>686</v>
      </c>
      <c r="C140" s="634" t="s">
        <v>767</v>
      </c>
      <c r="D140" s="683">
        <v>0</v>
      </c>
      <c r="E140" s="633"/>
    </row>
    <row r="141" spans="1:28" ht="12" hidden="1" outlineLevel="1" thickBot="1">
      <c r="B141" s="634" t="s">
        <v>779</v>
      </c>
      <c r="C141" s="634" t="s">
        <v>780</v>
      </c>
      <c r="D141" s="685">
        <v>0.7</v>
      </c>
      <c r="E141" s="633"/>
      <c r="G141" s="633"/>
      <c r="H141" s="633"/>
      <c r="I141" s="633"/>
      <c r="J141" s="633"/>
      <c r="K141" s="633"/>
      <c r="L141" s="633"/>
      <c r="M141" s="633"/>
      <c r="N141" s="633"/>
      <c r="O141" s="633"/>
      <c r="P141" s="633"/>
      <c r="Q141" s="633"/>
      <c r="R141" s="633"/>
      <c r="S141" s="633"/>
      <c r="T141" s="633"/>
      <c r="U141" s="633"/>
      <c r="V141" s="633"/>
      <c r="W141" s="633"/>
    </row>
    <row r="142" spans="1:28" ht="12" hidden="1" outlineLevel="1" thickBot="1">
      <c r="B142" s="634" t="s">
        <v>808</v>
      </c>
      <c r="C142" s="634" t="s">
        <v>767</v>
      </c>
      <c r="D142" s="671">
        <f>D140*D141</f>
        <v>0</v>
      </c>
    </row>
    <row r="143" spans="1:28" ht="12" hidden="1" outlineLevel="1" thickBot="1">
      <c r="B143" s="634" t="s">
        <v>832</v>
      </c>
      <c r="D143" s="671">
        <f>D142*50%/(4*2.4)</f>
        <v>0</v>
      </c>
    </row>
    <row r="144" spans="1:28" ht="12" hidden="1" outlineLevel="1" thickBot="1">
      <c r="B144" s="634" t="s">
        <v>833</v>
      </c>
      <c r="D144" s="671">
        <f>D142*50%/(1*2.4)</f>
        <v>0</v>
      </c>
      <c r="G144" s="633"/>
    </row>
    <row r="145" spans="2:18" ht="12" hidden="1" outlineLevel="1" thickBot="1">
      <c r="B145" s="634" t="s">
        <v>834</v>
      </c>
      <c r="C145" s="634" t="s">
        <v>578</v>
      </c>
      <c r="D145" s="683">
        <v>20000</v>
      </c>
    </row>
    <row r="146" spans="2:18" ht="12" hidden="1" outlineLevel="1" thickBot="1">
      <c r="B146" s="634" t="s">
        <v>835</v>
      </c>
      <c r="C146" s="634" t="s">
        <v>578</v>
      </c>
      <c r="D146" s="683">
        <v>5000</v>
      </c>
      <c r="G146" s="633"/>
    </row>
    <row r="147" spans="2:18" ht="12" hidden="1" outlineLevel="1" thickBot="1">
      <c r="B147" s="634" t="s">
        <v>836</v>
      </c>
      <c r="C147" s="634" t="s">
        <v>837</v>
      </c>
      <c r="D147" s="705">
        <v>2</v>
      </c>
    </row>
    <row r="148" spans="2:18" ht="12" hidden="1" outlineLevel="1" thickBot="1">
      <c r="B148" s="634" t="s">
        <v>838</v>
      </c>
      <c r="C148" s="634" t="s">
        <v>837</v>
      </c>
      <c r="D148" s="705">
        <v>2</v>
      </c>
    </row>
    <row r="149" spans="2:18" ht="12" hidden="1" outlineLevel="1" thickBot="1">
      <c r="B149" s="634" t="s">
        <v>750</v>
      </c>
      <c r="D149" s="674">
        <v>11</v>
      </c>
    </row>
    <row r="150" spans="2:18" ht="12" hidden="1" outlineLevel="1" thickBot="1">
      <c r="B150" s="634" t="s">
        <v>243</v>
      </c>
      <c r="C150" s="634" t="s">
        <v>813</v>
      </c>
      <c r="D150" s="683">
        <v>45</v>
      </c>
    </row>
    <row r="151" spans="2:18" ht="12" hidden="1" outlineLevel="1" thickBot="1">
      <c r="B151" s="634" t="s">
        <v>814</v>
      </c>
      <c r="C151" s="634" t="s">
        <v>780</v>
      </c>
      <c r="D151" s="685">
        <v>0.1</v>
      </c>
    </row>
    <row r="152" spans="2:18" hidden="1" outlineLevel="1"/>
    <row r="153" spans="2:18" hidden="1" outlineLevel="1">
      <c r="B153" s="700"/>
      <c r="C153" s="677" t="str">
        <f t="shared" ref="C153:R153" si="40">C96</f>
        <v>Total</v>
      </c>
      <c r="D153" s="677" t="str">
        <f t="shared" si="40"/>
        <v>Past</v>
      </c>
      <c r="E153" s="677">
        <f t="shared" si="40"/>
        <v>2014</v>
      </c>
      <c r="F153" s="677">
        <f t="shared" si="40"/>
        <v>2015</v>
      </c>
      <c r="G153" s="677">
        <f t="shared" si="40"/>
        <v>2016</v>
      </c>
      <c r="H153" s="677">
        <f t="shared" si="40"/>
        <v>2017</v>
      </c>
      <c r="I153" s="677">
        <f t="shared" si="40"/>
        <v>2018</v>
      </c>
      <c r="J153" s="677">
        <f t="shared" si="40"/>
        <v>2019</v>
      </c>
      <c r="K153" s="677">
        <f t="shared" si="40"/>
        <v>2020</v>
      </c>
      <c r="L153" s="677">
        <f t="shared" si="40"/>
        <v>2021</v>
      </c>
      <c r="M153" s="677">
        <f t="shared" si="40"/>
        <v>2022</v>
      </c>
      <c r="N153" s="677">
        <f t="shared" si="40"/>
        <v>2023</v>
      </c>
      <c r="O153" s="677">
        <f t="shared" si="40"/>
        <v>2024</v>
      </c>
      <c r="P153" s="677">
        <f t="shared" si="40"/>
        <v>2025</v>
      </c>
      <c r="Q153" s="677">
        <f t="shared" si="40"/>
        <v>2026</v>
      </c>
      <c r="R153" s="677">
        <f t="shared" si="40"/>
        <v>2027</v>
      </c>
    </row>
    <row r="154" spans="2:18" hidden="1" outlineLevel="1">
      <c r="B154" s="633" t="s">
        <v>839</v>
      </c>
      <c r="F154" s="679">
        <v>0</v>
      </c>
      <c r="G154" s="679">
        <v>0</v>
      </c>
      <c r="H154" s="679">
        <f t="shared" ref="H154:R154" si="41">$D$143*$D$145*$D$147*365/10^6</f>
        <v>0</v>
      </c>
      <c r="I154" s="679">
        <f t="shared" si="41"/>
        <v>0</v>
      </c>
      <c r="J154" s="679">
        <f t="shared" si="41"/>
        <v>0</v>
      </c>
      <c r="K154" s="679">
        <f t="shared" si="41"/>
        <v>0</v>
      </c>
      <c r="L154" s="679">
        <f t="shared" si="41"/>
        <v>0</v>
      </c>
      <c r="M154" s="679">
        <f t="shared" si="41"/>
        <v>0</v>
      </c>
      <c r="N154" s="679">
        <f t="shared" si="41"/>
        <v>0</v>
      </c>
      <c r="O154" s="679">
        <f t="shared" si="41"/>
        <v>0</v>
      </c>
      <c r="P154" s="679">
        <f t="shared" si="41"/>
        <v>0</v>
      </c>
      <c r="Q154" s="679">
        <f t="shared" si="41"/>
        <v>0</v>
      </c>
      <c r="R154" s="679">
        <f t="shared" si="41"/>
        <v>0</v>
      </c>
    </row>
    <row r="155" spans="2:18" hidden="1" outlineLevel="1">
      <c r="B155" s="633" t="s">
        <v>840</v>
      </c>
      <c r="F155" s="679">
        <v>0</v>
      </c>
      <c r="G155" s="679">
        <v>0</v>
      </c>
      <c r="H155" s="679">
        <f t="shared" ref="H155:R155" si="42">$D$144*$D$146*$D$148*365/10^6</f>
        <v>0</v>
      </c>
      <c r="I155" s="679">
        <f t="shared" si="42"/>
        <v>0</v>
      </c>
      <c r="J155" s="679">
        <f t="shared" si="42"/>
        <v>0</v>
      </c>
      <c r="K155" s="679">
        <f t="shared" si="42"/>
        <v>0</v>
      </c>
      <c r="L155" s="679">
        <f t="shared" si="42"/>
        <v>0</v>
      </c>
      <c r="M155" s="679">
        <f t="shared" si="42"/>
        <v>0</v>
      </c>
      <c r="N155" s="679">
        <f t="shared" si="42"/>
        <v>0</v>
      </c>
      <c r="O155" s="679">
        <f t="shared" si="42"/>
        <v>0</v>
      </c>
      <c r="P155" s="679">
        <f t="shared" si="42"/>
        <v>0</v>
      </c>
      <c r="Q155" s="679">
        <f t="shared" si="42"/>
        <v>0</v>
      </c>
      <c r="R155" s="679">
        <f t="shared" si="42"/>
        <v>0</v>
      </c>
    </row>
    <row r="156" spans="2:18" hidden="1" outlineLevel="1">
      <c r="B156" s="633" t="s">
        <v>819</v>
      </c>
      <c r="C156" s="679">
        <f>$D$149*$D$140+($E$3+$E$4+SUMIF($D$220:$R$220,"&lt;="&amp;$E$6,$D$226:$R$226))*$D$140/SUM($D$85,$D$140,$D$43,$D$111)</f>
        <v>0</v>
      </c>
      <c r="F156" s="679">
        <v>0</v>
      </c>
      <c r="G156" s="679">
        <v>0</v>
      </c>
      <c r="H156" s="679">
        <f t="shared" ref="H156:R156" si="43">-$C$156/$D$150</f>
        <v>0</v>
      </c>
      <c r="I156" s="679">
        <f t="shared" si="43"/>
        <v>0</v>
      </c>
      <c r="J156" s="679">
        <f t="shared" si="43"/>
        <v>0</v>
      </c>
      <c r="K156" s="679">
        <f t="shared" si="43"/>
        <v>0</v>
      </c>
      <c r="L156" s="679">
        <f t="shared" si="43"/>
        <v>0</v>
      </c>
      <c r="M156" s="679">
        <f t="shared" si="43"/>
        <v>0</v>
      </c>
      <c r="N156" s="679">
        <f t="shared" si="43"/>
        <v>0</v>
      </c>
      <c r="O156" s="679">
        <f t="shared" si="43"/>
        <v>0</v>
      </c>
      <c r="P156" s="679">
        <f t="shared" si="43"/>
        <v>0</v>
      </c>
      <c r="Q156" s="679">
        <f t="shared" si="43"/>
        <v>0</v>
      </c>
      <c r="R156" s="679">
        <f t="shared" si="43"/>
        <v>0</v>
      </c>
    </row>
    <row r="157" spans="2:18" hidden="1" outlineLevel="1">
      <c r="B157" s="633" t="s">
        <v>805</v>
      </c>
      <c r="C157" s="679"/>
      <c r="F157" s="679"/>
      <c r="G157" s="679">
        <v>0</v>
      </c>
      <c r="H157" s="679">
        <f t="shared" ref="H157:P157" si="44">-J226*$D$140/SUM($D$85,$D$140,$D$43,$D$111)</f>
        <v>0</v>
      </c>
      <c r="I157" s="679">
        <f t="shared" si="44"/>
        <v>0</v>
      </c>
      <c r="J157" s="679">
        <f t="shared" si="44"/>
        <v>0</v>
      </c>
      <c r="K157" s="679">
        <f t="shared" si="44"/>
        <v>0</v>
      </c>
      <c r="L157" s="679">
        <f t="shared" si="44"/>
        <v>0</v>
      </c>
      <c r="M157" s="679">
        <f t="shared" si="44"/>
        <v>0</v>
      </c>
      <c r="N157" s="679">
        <f t="shared" si="44"/>
        <v>0</v>
      </c>
      <c r="O157" s="679">
        <f t="shared" si="44"/>
        <v>0</v>
      </c>
      <c r="P157" s="679">
        <f t="shared" si="44"/>
        <v>0</v>
      </c>
      <c r="Q157" s="679">
        <f>-S226*$D$140/SUM($D$85,$D$140,$D$43,$D$111)</f>
        <v>0</v>
      </c>
      <c r="R157" s="679">
        <f>-T226*$D$140/SUM($D$85,$D$140,$D$43,$D$111)</f>
        <v>0</v>
      </c>
    </row>
    <row r="158" spans="2:18" hidden="1" outlineLevel="1">
      <c r="B158" s="633" t="s">
        <v>841</v>
      </c>
      <c r="F158" s="679">
        <f>-$D$151*SUM(F154:F155)</f>
        <v>0</v>
      </c>
      <c r="G158" s="679">
        <f>-$D$151*SUM(G154:G155)</f>
        <v>0</v>
      </c>
      <c r="H158" s="679">
        <f t="shared" ref="H158:R158" si="45">-$D$151*SUM(H154:H155)</f>
        <v>0</v>
      </c>
      <c r="I158" s="679">
        <f t="shared" si="45"/>
        <v>0</v>
      </c>
      <c r="J158" s="679">
        <f t="shared" si="45"/>
        <v>0</v>
      </c>
      <c r="K158" s="679">
        <f t="shared" si="45"/>
        <v>0</v>
      </c>
      <c r="L158" s="679">
        <f t="shared" si="45"/>
        <v>0</v>
      </c>
      <c r="M158" s="679">
        <f t="shared" si="45"/>
        <v>0</v>
      </c>
      <c r="N158" s="679">
        <f t="shared" si="45"/>
        <v>0</v>
      </c>
      <c r="O158" s="679">
        <f t="shared" si="45"/>
        <v>0</v>
      </c>
      <c r="P158" s="679">
        <f t="shared" si="45"/>
        <v>0</v>
      </c>
      <c r="Q158" s="679">
        <f t="shared" si="45"/>
        <v>0</v>
      </c>
      <c r="R158" s="679">
        <f t="shared" si="45"/>
        <v>0</v>
      </c>
    </row>
    <row r="159" spans="2:18" collapsed="1"/>
    <row r="160" spans="2:18" hidden="1" outlineLevel="1">
      <c r="B160" s="706" t="s">
        <v>880</v>
      </c>
      <c r="C160" s="707"/>
      <c r="D160" s="707"/>
      <c r="E160" s="707"/>
      <c r="F160" s="707"/>
      <c r="G160" s="707"/>
      <c r="H160" s="707"/>
      <c r="I160" s="707"/>
      <c r="J160" s="707"/>
      <c r="K160" s="707"/>
      <c r="L160" s="707"/>
      <c r="M160" s="707"/>
      <c r="N160" s="707"/>
      <c r="O160" s="707"/>
      <c r="P160" s="707"/>
      <c r="Q160" s="707"/>
      <c r="R160" s="707"/>
    </row>
    <row r="161" spans="2:20" hidden="1" outlineLevel="1">
      <c r="B161" s="708" t="s">
        <v>843</v>
      </c>
      <c r="C161" s="708" t="str">
        <f>C35</f>
        <v>Total</v>
      </c>
      <c r="D161" s="708" t="str">
        <f t="shared" ref="D161:R161" si="46">D35</f>
        <v>Past</v>
      </c>
      <c r="E161" s="708">
        <f t="shared" si="46"/>
        <v>2014</v>
      </c>
      <c r="F161" s="708">
        <f t="shared" si="46"/>
        <v>2015</v>
      </c>
      <c r="G161" s="708">
        <f t="shared" si="46"/>
        <v>2016</v>
      </c>
      <c r="H161" s="708">
        <f t="shared" si="46"/>
        <v>2017</v>
      </c>
      <c r="I161" s="708">
        <f t="shared" si="46"/>
        <v>2018</v>
      </c>
      <c r="J161" s="708">
        <f t="shared" si="46"/>
        <v>2019</v>
      </c>
      <c r="K161" s="708">
        <f t="shared" si="46"/>
        <v>2020</v>
      </c>
      <c r="L161" s="708">
        <f t="shared" si="46"/>
        <v>2021</v>
      </c>
      <c r="M161" s="708">
        <f t="shared" si="46"/>
        <v>2022</v>
      </c>
      <c r="N161" s="708">
        <f t="shared" si="46"/>
        <v>2023</v>
      </c>
      <c r="O161" s="708">
        <f t="shared" si="46"/>
        <v>2024</v>
      </c>
      <c r="P161" s="708">
        <f t="shared" si="46"/>
        <v>2025</v>
      </c>
      <c r="Q161" s="708">
        <f t="shared" si="46"/>
        <v>2026</v>
      </c>
      <c r="R161" s="708">
        <f t="shared" si="46"/>
        <v>2027</v>
      </c>
      <c r="S161" s="708"/>
      <c r="T161" s="708"/>
    </row>
    <row r="162" spans="2:20" hidden="1" outlineLevel="1">
      <c r="B162" s="708" t="s">
        <v>26</v>
      </c>
      <c r="C162" s="709">
        <f>SUM(D162:R162)</f>
        <v>785000</v>
      </c>
      <c r="D162" s="709">
        <v>0</v>
      </c>
      <c r="E162" s="709">
        <f>E58</f>
        <v>0</v>
      </c>
      <c r="F162" s="709">
        <f>F58</f>
        <v>0</v>
      </c>
      <c r="G162" s="709">
        <f>G58</f>
        <v>0</v>
      </c>
      <c r="H162" s="709">
        <f t="shared" ref="H162:R162" si="47">H58</f>
        <v>235500</v>
      </c>
      <c r="I162" s="709">
        <f t="shared" si="47"/>
        <v>549500</v>
      </c>
      <c r="J162" s="709">
        <f t="shared" si="47"/>
        <v>0</v>
      </c>
      <c r="K162" s="709">
        <f t="shared" si="47"/>
        <v>0</v>
      </c>
      <c r="L162" s="709">
        <f t="shared" si="47"/>
        <v>0</v>
      </c>
      <c r="M162" s="709">
        <f t="shared" si="47"/>
        <v>0</v>
      </c>
      <c r="N162" s="709">
        <f t="shared" si="47"/>
        <v>0</v>
      </c>
      <c r="O162" s="709">
        <f t="shared" si="47"/>
        <v>0</v>
      </c>
      <c r="P162" s="709">
        <f t="shared" si="47"/>
        <v>0</v>
      </c>
      <c r="Q162" s="709">
        <f t="shared" si="47"/>
        <v>0</v>
      </c>
      <c r="R162" s="709">
        <f t="shared" si="47"/>
        <v>0</v>
      </c>
      <c r="S162" s="709"/>
      <c r="T162" s="709"/>
    </row>
    <row r="163" spans="2:20" hidden="1" outlineLevel="1">
      <c r="B163" s="708" t="s">
        <v>432</v>
      </c>
      <c r="C163" s="709">
        <f t="shared" ref="C163:C168" si="48">SUM(D163:R163)</f>
        <v>-687629.79999999993</v>
      </c>
      <c r="D163" s="688">
        <v>0</v>
      </c>
      <c r="E163" s="688">
        <f>-SUM(E77:E79)</f>
        <v>0</v>
      </c>
      <c r="F163" s="688">
        <f>-SUM(F77:F79)</f>
        <v>0</v>
      </c>
      <c r="G163" s="688">
        <f>-SUM(G77:G79)</f>
        <v>0</v>
      </c>
      <c r="H163" s="688">
        <f t="shared" ref="H163:R163" si="49">-SUM(H77:H79)</f>
        <v>-206288.93999999997</v>
      </c>
      <c r="I163" s="688">
        <f>-SUM(I77:I79)</f>
        <v>-481340.85999999993</v>
      </c>
      <c r="J163" s="688">
        <f t="shared" si="49"/>
        <v>0</v>
      </c>
      <c r="K163" s="688">
        <f t="shared" si="49"/>
        <v>0</v>
      </c>
      <c r="L163" s="688">
        <f t="shared" si="49"/>
        <v>0</v>
      </c>
      <c r="M163" s="688">
        <f t="shared" si="49"/>
        <v>0</v>
      </c>
      <c r="N163" s="688">
        <f t="shared" si="49"/>
        <v>0</v>
      </c>
      <c r="O163" s="688">
        <f t="shared" si="49"/>
        <v>0</v>
      </c>
      <c r="P163" s="688">
        <f t="shared" si="49"/>
        <v>0</v>
      </c>
      <c r="Q163" s="688">
        <f t="shared" si="49"/>
        <v>0</v>
      </c>
      <c r="R163" s="688">
        <f t="shared" si="49"/>
        <v>0</v>
      </c>
      <c r="S163" s="688"/>
      <c r="T163" s="688"/>
    </row>
    <row r="164" spans="2:20" hidden="1" outlineLevel="1">
      <c r="B164" s="708" t="s">
        <v>844</v>
      </c>
      <c r="C164" s="709">
        <f t="shared" si="48"/>
        <v>-39250</v>
      </c>
      <c r="D164" s="688">
        <f>-D81</f>
        <v>0</v>
      </c>
      <c r="E164" s="688">
        <f>-E81</f>
        <v>0</v>
      </c>
      <c r="F164" s="688">
        <f>-F81</f>
        <v>0</v>
      </c>
      <c r="G164" s="688">
        <f>-G81</f>
        <v>-7850</v>
      </c>
      <c r="H164" s="688">
        <f>-H81</f>
        <v>-19625</v>
      </c>
      <c r="I164" s="688">
        <f t="shared" ref="I164:R164" si="50">-I81</f>
        <v>-11775</v>
      </c>
      <c r="J164" s="688">
        <f t="shared" si="50"/>
        <v>0</v>
      </c>
      <c r="K164" s="688">
        <f t="shared" si="50"/>
        <v>0</v>
      </c>
      <c r="L164" s="688">
        <f t="shared" si="50"/>
        <v>0</v>
      </c>
      <c r="M164" s="688">
        <f t="shared" si="50"/>
        <v>0</v>
      </c>
      <c r="N164" s="688">
        <f t="shared" si="50"/>
        <v>0</v>
      </c>
      <c r="O164" s="688">
        <f t="shared" si="50"/>
        <v>0</v>
      </c>
      <c r="P164" s="688">
        <f t="shared" si="50"/>
        <v>0</v>
      </c>
      <c r="Q164" s="688">
        <f t="shared" si="50"/>
        <v>0</v>
      </c>
      <c r="R164" s="688">
        <f t="shared" si="50"/>
        <v>0</v>
      </c>
      <c r="S164" s="688"/>
      <c r="T164" s="688"/>
    </row>
    <row r="165" spans="2:20" hidden="1" outlineLevel="1">
      <c r="B165" s="708" t="s">
        <v>805</v>
      </c>
      <c r="C165" s="709">
        <f t="shared" si="48"/>
        <v>-11628.000000000002</v>
      </c>
      <c r="D165" s="688"/>
      <c r="E165" s="688">
        <f>-E80</f>
        <v>0</v>
      </c>
      <c r="F165" s="688">
        <f>-F80</f>
        <v>0</v>
      </c>
      <c r="G165" s="688">
        <f>-G80</f>
        <v>0</v>
      </c>
      <c r="H165" s="688">
        <f t="shared" ref="H165:R165" si="51">-H80</f>
        <v>0</v>
      </c>
      <c r="I165" s="688">
        <f t="shared" si="51"/>
        <v>0</v>
      </c>
      <c r="J165" s="688">
        <f t="shared" si="51"/>
        <v>-5232.6000000000013</v>
      </c>
      <c r="K165" s="688">
        <f t="shared" si="51"/>
        <v>-3876.0000000000009</v>
      </c>
      <c r="L165" s="688">
        <f t="shared" si="51"/>
        <v>-1938</v>
      </c>
      <c r="M165" s="688">
        <f t="shared" si="51"/>
        <v>-581.39999999999964</v>
      </c>
      <c r="N165" s="688">
        <f t="shared" si="51"/>
        <v>0</v>
      </c>
      <c r="O165" s="688">
        <f t="shared" si="51"/>
        <v>0</v>
      </c>
      <c r="P165" s="688">
        <f t="shared" si="51"/>
        <v>0</v>
      </c>
      <c r="Q165" s="688">
        <f t="shared" si="51"/>
        <v>0</v>
      </c>
      <c r="R165" s="688">
        <f t="shared" si="51"/>
        <v>0</v>
      </c>
      <c r="S165" s="688"/>
      <c r="T165" s="688"/>
    </row>
    <row r="166" spans="2:20" hidden="1" outlineLevel="1">
      <c r="B166" s="634" t="s">
        <v>845</v>
      </c>
      <c r="C166" s="709">
        <f t="shared" si="48"/>
        <v>46492.200000000099</v>
      </c>
      <c r="D166" s="688">
        <f>SUM(D162:D165)</f>
        <v>0</v>
      </c>
      <c r="E166" s="688">
        <f>SUM(E162:E165)</f>
        <v>0</v>
      </c>
      <c r="F166" s="688">
        <f>SUM(F162:F165)</f>
        <v>0</v>
      </c>
      <c r="G166" s="688">
        <f>SUM(G162:G165)</f>
        <v>-7850</v>
      </c>
      <c r="H166" s="688">
        <f t="shared" ref="H166:R166" si="52">SUM(H162:H165)</f>
        <v>9586.0600000000268</v>
      </c>
      <c r="I166" s="688">
        <f t="shared" si="52"/>
        <v>56384.140000000072</v>
      </c>
      <c r="J166" s="688">
        <f t="shared" si="52"/>
        <v>-5232.6000000000013</v>
      </c>
      <c r="K166" s="688">
        <f t="shared" si="52"/>
        <v>-3876.0000000000009</v>
      </c>
      <c r="L166" s="688">
        <f t="shared" si="52"/>
        <v>-1938</v>
      </c>
      <c r="M166" s="688">
        <f t="shared" si="52"/>
        <v>-581.39999999999964</v>
      </c>
      <c r="N166" s="688">
        <f t="shared" si="52"/>
        <v>0</v>
      </c>
      <c r="O166" s="688">
        <f t="shared" si="52"/>
        <v>0</v>
      </c>
      <c r="P166" s="688">
        <f t="shared" si="52"/>
        <v>0</v>
      </c>
      <c r="Q166" s="688">
        <f t="shared" si="52"/>
        <v>0</v>
      </c>
      <c r="R166" s="688">
        <f t="shared" si="52"/>
        <v>0</v>
      </c>
      <c r="S166" s="688"/>
      <c r="T166" s="688"/>
    </row>
    <row r="167" spans="2:20" hidden="1" outlineLevel="1">
      <c r="B167" s="634" t="s">
        <v>846</v>
      </c>
      <c r="C167" s="636"/>
      <c r="D167" s="636"/>
      <c r="E167" s="636">
        <v>0.22</v>
      </c>
      <c r="F167" s="636">
        <v>0.22</v>
      </c>
      <c r="G167" s="636">
        <v>0.2</v>
      </c>
      <c r="H167" s="636">
        <f>'[10]Vin CenterB'!H46</f>
        <v>0.2</v>
      </c>
      <c r="I167" s="636">
        <f>'[10]Vin CenterB'!I46</f>
        <v>0.2</v>
      </c>
      <c r="J167" s="636">
        <f>'[10]Vin CenterB'!J46</f>
        <v>0.2</v>
      </c>
      <c r="K167" s="636">
        <f>'[10]Vin CenterB'!K46</f>
        <v>0.2</v>
      </c>
      <c r="L167" s="636">
        <f>'[10]Vin CenterB'!L46</f>
        <v>0.2</v>
      </c>
      <c r="M167" s="636">
        <f>'[10]Vin CenterB'!M46</f>
        <v>0.2</v>
      </c>
      <c r="N167" s="636">
        <f>'[10]Vin CenterB'!N46</f>
        <v>0.2</v>
      </c>
      <c r="O167" s="636">
        <f>'[10]Vin CenterB'!O46</f>
        <v>0.2</v>
      </c>
      <c r="P167" s="636">
        <f>'[10]Vin CenterB'!P46</f>
        <v>0.2</v>
      </c>
      <c r="Q167" s="636">
        <f>'[10]Vin CenterB'!Q46</f>
        <v>0.2</v>
      </c>
      <c r="R167" s="636">
        <f>'[10]Vin CenterB'!R46</f>
        <v>0.2</v>
      </c>
      <c r="S167" s="636"/>
      <c r="T167" s="636"/>
    </row>
    <row r="168" spans="2:20" hidden="1" outlineLevel="1">
      <c r="B168" s="633" t="s">
        <v>661</v>
      </c>
      <c r="C168" s="709">
        <f t="shared" si="48"/>
        <v>33298.160000000084</v>
      </c>
      <c r="D168" s="692">
        <f>IF(D166&lt;0,D166,D166*(1-D167))</f>
        <v>0</v>
      </c>
      <c r="E168" s="692">
        <f>IF(E166&lt;0,E166,E166*(1-E167))</f>
        <v>0</v>
      </c>
      <c r="F168" s="692">
        <f>IF(F166&lt;0,F166,F166*(1-F167))</f>
        <v>0</v>
      </c>
      <c r="G168" s="692">
        <f>IF(G166&lt;0,G166,G166*(1-G167))</f>
        <v>-7850</v>
      </c>
      <c r="H168" s="692">
        <f t="shared" ref="H168:R168" si="53">IF(H166&lt;0,H166,H166*(1-H167))</f>
        <v>7668.8480000000218</v>
      </c>
      <c r="I168" s="692">
        <f t="shared" si="53"/>
        <v>45107.312000000064</v>
      </c>
      <c r="J168" s="692">
        <f t="shared" si="53"/>
        <v>-5232.6000000000013</v>
      </c>
      <c r="K168" s="692">
        <f t="shared" si="53"/>
        <v>-3876.0000000000009</v>
      </c>
      <c r="L168" s="692">
        <f t="shared" si="53"/>
        <v>-1938</v>
      </c>
      <c r="M168" s="692">
        <f t="shared" si="53"/>
        <v>-581.39999999999964</v>
      </c>
      <c r="N168" s="692">
        <f t="shared" si="53"/>
        <v>0</v>
      </c>
      <c r="O168" s="692">
        <f t="shared" si="53"/>
        <v>0</v>
      </c>
      <c r="P168" s="692">
        <f t="shared" si="53"/>
        <v>0</v>
      </c>
      <c r="Q168" s="692">
        <f t="shared" si="53"/>
        <v>0</v>
      </c>
      <c r="R168" s="692">
        <f t="shared" si="53"/>
        <v>0</v>
      </c>
      <c r="S168" s="692"/>
      <c r="T168" s="692"/>
    </row>
    <row r="169" spans="2:20" hidden="1" outlineLevel="1">
      <c r="B169" s="654" t="s">
        <v>1469</v>
      </c>
      <c r="C169" s="640">
        <f t="shared" ref="C169:I169" si="54">IFERROR(SUM(C162:C163)/C162,"")</f>
        <v>0.12403847133757971</v>
      </c>
      <c r="D169" s="640" t="str">
        <f t="shared" si="54"/>
        <v/>
      </c>
      <c r="E169" s="640" t="str">
        <f t="shared" si="54"/>
        <v/>
      </c>
      <c r="F169" s="640" t="str">
        <f t="shared" si="54"/>
        <v/>
      </c>
      <c r="G169" s="640" t="str">
        <f t="shared" si="54"/>
        <v/>
      </c>
      <c r="H169" s="640">
        <f t="shared" si="54"/>
        <v>0.12403847133757973</v>
      </c>
      <c r="I169" s="640">
        <f t="shared" si="54"/>
        <v>0.12403847133757975</v>
      </c>
    </row>
    <row r="170" spans="2:20" hidden="1" outlineLevel="1">
      <c r="B170" s="654" t="s">
        <v>1470</v>
      </c>
      <c r="C170" s="640">
        <f t="shared" ref="C170:I170" si="55">IFERROR(C168/C162,"")</f>
        <v>4.2418038216560615E-2</v>
      </c>
      <c r="D170" s="640" t="str">
        <f t="shared" si="55"/>
        <v/>
      </c>
      <c r="E170" s="640" t="str">
        <f t="shared" si="55"/>
        <v/>
      </c>
      <c r="F170" s="640" t="str">
        <f t="shared" si="55"/>
        <v/>
      </c>
      <c r="G170" s="640" t="str">
        <f t="shared" si="55"/>
        <v/>
      </c>
      <c r="H170" s="640">
        <f t="shared" si="55"/>
        <v>3.2564110403397122E-2</v>
      </c>
      <c r="I170" s="640">
        <f t="shared" si="55"/>
        <v>8.2087919927206668E-2</v>
      </c>
      <c r="J170" s="640"/>
    </row>
    <row r="171" spans="2:20" collapsed="1">
      <c r="B171" s="706" t="s">
        <v>881</v>
      </c>
      <c r="C171" s="707"/>
      <c r="D171" s="707"/>
      <c r="E171" s="707"/>
      <c r="F171" s="707"/>
      <c r="G171" s="707"/>
      <c r="H171" s="707"/>
      <c r="I171" s="707"/>
      <c r="J171" s="707"/>
      <c r="K171" s="707"/>
      <c r="L171" s="707"/>
      <c r="M171" s="707"/>
      <c r="N171" s="707"/>
      <c r="O171" s="707"/>
      <c r="P171" s="707"/>
      <c r="Q171" s="707"/>
      <c r="R171" s="707"/>
    </row>
    <row r="172" spans="2:20">
      <c r="B172" s="708" t="s">
        <v>843</v>
      </c>
      <c r="C172" s="708" t="str">
        <f>C153</f>
        <v>Total</v>
      </c>
      <c r="D172" s="708" t="str">
        <f t="shared" ref="D172:R172" si="56">D153</f>
        <v>Past</v>
      </c>
      <c r="E172" s="708">
        <f t="shared" si="56"/>
        <v>2014</v>
      </c>
      <c r="F172" s="708">
        <f t="shared" si="56"/>
        <v>2015</v>
      </c>
      <c r="G172" s="708">
        <f t="shared" si="56"/>
        <v>2016</v>
      </c>
      <c r="H172" s="708">
        <f t="shared" si="56"/>
        <v>2017</v>
      </c>
      <c r="I172" s="708">
        <f t="shared" si="56"/>
        <v>2018</v>
      </c>
      <c r="J172" s="708">
        <f t="shared" si="56"/>
        <v>2019</v>
      </c>
      <c r="K172" s="708">
        <f t="shared" si="56"/>
        <v>2020</v>
      </c>
      <c r="L172" s="708">
        <f t="shared" si="56"/>
        <v>2021</v>
      </c>
      <c r="M172" s="708">
        <f t="shared" si="56"/>
        <v>2022</v>
      </c>
      <c r="N172" s="708">
        <f t="shared" si="56"/>
        <v>2023</v>
      </c>
      <c r="O172" s="708">
        <f t="shared" si="56"/>
        <v>2024</v>
      </c>
      <c r="P172" s="708">
        <f t="shared" si="56"/>
        <v>2025</v>
      </c>
      <c r="Q172" s="708">
        <f t="shared" si="56"/>
        <v>2026</v>
      </c>
      <c r="R172" s="708">
        <f t="shared" si="56"/>
        <v>2027</v>
      </c>
      <c r="S172" s="708"/>
      <c r="T172" s="708"/>
    </row>
    <row r="173" spans="2:20">
      <c r="B173" s="708" t="s">
        <v>26</v>
      </c>
      <c r="C173" s="709">
        <f>SUM(E173:R173)</f>
        <v>785000</v>
      </c>
      <c r="D173" s="709"/>
      <c r="E173" s="709">
        <f>SUM(E162,E154,E155,E128,E100)</f>
        <v>0</v>
      </c>
      <c r="F173" s="709">
        <f>SUM(F162,F154,F155,F128,F100)</f>
        <v>0</v>
      </c>
      <c r="G173" s="709">
        <f>SUM(G162,G154,G155,G128,G100)</f>
        <v>0</v>
      </c>
      <c r="H173" s="709">
        <f t="shared" ref="H173:R173" si="57">SUM(H162,H154,H155,H128,H100)</f>
        <v>235500</v>
      </c>
      <c r="I173" s="709">
        <f t="shared" si="57"/>
        <v>549500</v>
      </c>
      <c r="J173" s="709">
        <f t="shared" si="57"/>
        <v>0</v>
      </c>
      <c r="K173" s="709">
        <f t="shared" si="57"/>
        <v>0</v>
      </c>
      <c r="L173" s="709">
        <f t="shared" si="57"/>
        <v>0</v>
      </c>
      <c r="M173" s="709">
        <f t="shared" si="57"/>
        <v>0</v>
      </c>
      <c r="N173" s="709">
        <f t="shared" si="57"/>
        <v>0</v>
      </c>
      <c r="O173" s="709">
        <f t="shared" si="57"/>
        <v>0</v>
      </c>
      <c r="P173" s="709">
        <f t="shared" si="57"/>
        <v>0</v>
      </c>
      <c r="Q173" s="709">
        <f t="shared" si="57"/>
        <v>0</v>
      </c>
      <c r="R173" s="709">
        <f t="shared" si="57"/>
        <v>0</v>
      </c>
      <c r="S173" s="709"/>
      <c r="T173" s="709"/>
    </row>
    <row r="174" spans="2:20">
      <c r="B174" s="708" t="s">
        <v>432</v>
      </c>
      <c r="C174" s="709">
        <f t="shared" ref="C174:C179" si="58">SUM(E174:R174)</f>
        <v>-687629.79999999993</v>
      </c>
      <c r="D174" s="688"/>
      <c r="E174" s="688">
        <f>SUM(E163,E156,E158,E129,E131,E101,E104)</f>
        <v>0</v>
      </c>
      <c r="F174" s="688">
        <f>SUM(F163,F156,F158,F129,F131,F101,F104)</f>
        <v>0</v>
      </c>
      <c r="G174" s="688">
        <f>SUM(G163,G156,G158,G129,G131,G101,G104)</f>
        <v>0</v>
      </c>
      <c r="H174" s="688">
        <f t="shared" ref="H174:R174" si="59">SUM(H163,H156,H158,H129,H131,H101,H104)</f>
        <v>-206288.93999999997</v>
      </c>
      <c r="I174" s="688">
        <f t="shared" si="59"/>
        <v>-481340.85999999993</v>
      </c>
      <c r="J174" s="688">
        <f t="shared" si="59"/>
        <v>0</v>
      </c>
      <c r="K174" s="688">
        <f t="shared" si="59"/>
        <v>0</v>
      </c>
      <c r="L174" s="688">
        <f t="shared" si="59"/>
        <v>0</v>
      </c>
      <c r="M174" s="688">
        <f t="shared" si="59"/>
        <v>0</v>
      </c>
      <c r="N174" s="688">
        <f t="shared" si="59"/>
        <v>0</v>
      </c>
      <c r="O174" s="688">
        <f t="shared" si="59"/>
        <v>0</v>
      </c>
      <c r="P174" s="688">
        <f t="shared" si="59"/>
        <v>0</v>
      </c>
      <c r="Q174" s="688">
        <f t="shared" si="59"/>
        <v>0</v>
      </c>
      <c r="R174" s="688">
        <f t="shared" si="59"/>
        <v>0</v>
      </c>
      <c r="S174" s="688"/>
      <c r="T174" s="688"/>
    </row>
    <row r="175" spans="2:20">
      <c r="B175" s="708" t="s">
        <v>844</v>
      </c>
      <c r="C175" s="709">
        <f t="shared" si="58"/>
        <v>-39250</v>
      </c>
      <c r="D175" s="688"/>
      <c r="E175" s="688">
        <f>SUM(E164,E130,E103)</f>
        <v>0</v>
      </c>
      <c r="F175" s="688">
        <f>SUM(F164,F130,F103)</f>
        <v>0</v>
      </c>
      <c r="G175" s="688">
        <f>SUM(G164,G130,G103)</f>
        <v>-7850</v>
      </c>
      <c r="H175" s="688">
        <f t="shared" ref="H175:R175" si="60">SUM(H164,H130,H103)</f>
        <v>-19625</v>
      </c>
      <c r="I175" s="688">
        <f t="shared" si="60"/>
        <v>-11775</v>
      </c>
      <c r="J175" s="688">
        <f t="shared" si="60"/>
        <v>0</v>
      </c>
      <c r="K175" s="688">
        <f t="shared" si="60"/>
        <v>0</v>
      </c>
      <c r="L175" s="688">
        <f t="shared" si="60"/>
        <v>0</v>
      </c>
      <c r="M175" s="688">
        <f t="shared" si="60"/>
        <v>0</v>
      </c>
      <c r="N175" s="688">
        <f t="shared" si="60"/>
        <v>0</v>
      </c>
      <c r="O175" s="688">
        <f t="shared" si="60"/>
        <v>0</v>
      </c>
      <c r="P175" s="688">
        <f t="shared" si="60"/>
        <v>0</v>
      </c>
      <c r="Q175" s="688">
        <f t="shared" si="60"/>
        <v>0</v>
      </c>
      <c r="R175" s="688">
        <f t="shared" si="60"/>
        <v>0</v>
      </c>
      <c r="S175" s="688"/>
      <c r="T175" s="688"/>
    </row>
    <row r="176" spans="2:20">
      <c r="B176" s="708" t="s">
        <v>805</v>
      </c>
      <c r="C176" s="709">
        <f t="shared" si="58"/>
        <v>-11628.000000000002</v>
      </c>
      <c r="D176" s="688"/>
      <c r="E176" s="688">
        <f>SUM(E165,E157,E132,E102)</f>
        <v>0</v>
      </c>
      <c r="F176" s="688">
        <f>SUM(F165,F157,F132,F102)</f>
        <v>0</v>
      </c>
      <c r="G176" s="688">
        <f>SUM(G165,G157,G132,G102)</f>
        <v>0</v>
      </c>
      <c r="H176" s="688">
        <f t="shared" ref="H176:R176" si="61">SUM(H165,H157,H132,H102)</f>
        <v>0</v>
      </c>
      <c r="I176" s="688">
        <f t="shared" si="61"/>
        <v>0</v>
      </c>
      <c r="J176" s="688">
        <f t="shared" si="61"/>
        <v>-5232.6000000000013</v>
      </c>
      <c r="K176" s="688">
        <f t="shared" si="61"/>
        <v>-3876.0000000000009</v>
      </c>
      <c r="L176" s="688">
        <f t="shared" si="61"/>
        <v>-1938</v>
      </c>
      <c r="M176" s="688">
        <f t="shared" si="61"/>
        <v>-581.39999999999964</v>
      </c>
      <c r="N176" s="688">
        <f t="shared" si="61"/>
        <v>0</v>
      </c>
      <c r="O176" s="688">
        <f t="shared" si="61"/>
        <v>0</v>
      </c>
      <c r="P176" s="688">
        <f t="shared" si="61"/>
        <v>0</v>
      </c>
      <c r="Q176" s="688">
        <f t="shared" si="61"/>
        <v>0</v>
      </c>
      <c r="R176" s="688">
        <f t="shared" si="61"/>
        <v>0</v>
      </c>
      <c r="S176" s="688"/>
      <c r="T176" s="688"/>
    </row>
    <row r="177" spans="2:20">
      <c r="B177" s="634" t="s">
        <v>845</v>
      </c>
      <c r="C177" s="709">
        <f t="shared" si="58"/>
        <v>46492.200000000099</v>
      </c>
      <c r="D177" s="688"/>
      <c r="E177" s="688">
        <f>SUM(E173:E176)</f>
        <v>0</v>
      </c>
      <c r="F177" s="688">
        <f>SUM(F173:F176)</f>
        <v>0</v>
      </c>
      <c r="G177" s="688">
        <f>SUM(G173:G176)</f>
        <v>-7850</v>
      </c>
      <c r="H177" s="688">
        <f t="shared" ref="H177:R177" si="62">SUM(H173:H176)</f>
        <v>9586.0600000000268</v>
      </c>
      <c r="I177" s="688">
        <f t="shared" si="62"/>
        <v>56384.140000000072</v>
      </c>
      <c r="J177" s="688">
        <f t="shared" si="62"/>
        <v>-5232.6000000000013</v>
      </c>
      <c r="K177" s="688">
        <f t="shared" si="62"/>
        <v>-3876.0000000000009</v>
      </c>
      <c r="L177" s="688">
        <f t="shared" si="62"/>
        <v>-1938</v>
      </c>
      <c r="M177" s="688">
        <f t="shared" si="62"/>
        <v>-581.39999999999964</v>
      </c>
      <c r="N177" s="688">
        <f t="shared" si="62"/>
        <v>0</v>
      </c>
      <c r="O177" s="688">
        <f t="shared" si="62"/>
        <v>0</v>
      </c>
      <c r="P177" s="688">
        <f t="shared" si="62"/>
        <v>0</v>
      </c>
      <c r="Q177" s="688">
        <f t="shared" si="62"/>
        <v>0</v>
      </c>
      <c r="R177" s="688">
        <f t="shared" si="62"/>
        <v>0</v>
      </c>
      <c r="S177" s="688"/>
      <c r="T177" s="688"/>
    </row>
    <row r="178" spans="2:20">
      <c r="B178" s="634" t="s">
        <v>846</v>
      </c>
      <c r="C178" s="709"/>
      <c r="D178" s="636"/>
      <c r="E178" s="636">
        <v>0.22</v>
      </c>
      <c r="F178" s="636">
        <v>0.22</v>
      </c>
      <c r="G178" s="636">
        <v>0.2</v>
      </c>
      <c r="H178" s="636">
        <f>'[10]Vin CenterB'!H46</f>
        <v>0.2</v>
      </c>
      <c r="I178" s="636">
        <f>'[10]Vin CenterB'!I46</f>
        <v>0.2</v>
      </c>
      <c r="J178" s="636">
        <f>'[10]Vin CenterB'!J46</f>
        <v>0.2</v>
      </c>
      <c r="K178" s="636">
        <f>'[10]Vin CenterB'!K46</f>
        <v>0.2</v>
      </c>
      <c r="L178" s="636">
        <f>'[10]Vin CenterB'!L46</f>
        <v>0.2</v>
      </c>
      <c r="M178" s="636">
        <f>'[10]Vin CenterB'!M46</f>
        <v>0.2</v>
      </c>
      <c r="N178" s="636">
        <f>'[10]Vin CenterB'!N46</f>
        <v>0.2</v>
      </c>
      <c r="O178" s="636">
        <f>'[10]Vin CenterB'!O46</f>
        <v>0.2</v>
      </c>
      <c r="P178" s="636">
        <f>'[10]Vin CenterB'!P46</f>
        <v>0.2</v>
      </c>
      <c r="Q178" s="636">
        <f>'[10]Vin CenterB'!Q46</f>
        <v>0.2</v>
      </c>
      <c r="R178" s="636">
        <f>'[10]Vin CenterB'!R46</f>
        <v>0.2</v>
      </c>
      <c r="S178" s="636"/>
      <c r="T178" s="636"/>
    </row>
    <row r="179" spans="2:20">
      <c r="B179" s="633" t="s">
        <v>661</v>
      </c>
      <c r="C179" s="709">
        <f t="shared" si="58"/>
        <v>33298.160000000084</v>
      </c>
      <c r="D179" s="692"/>
      <c r="E179" s="692">
        <f>IF(E177&lt;0,E177,E177*(1-E178))</f>
        <v>0</v>
      </c>
      <c r="F179" s="692">
        <f>IF(F177&lt;0,F177,F177*(1-F178))</f>
        <v>0</v>
      </c>
      <c r="G179" s="692">
        <f>IF(G177&lt;0,G177,G177*(1-G178))</f>
        <v>-7850</v>
      </c>
      <c r="H179" s="692">
        <f>IF(H177&lt;0,H177,H177*(1-H178))</f>
        <v>7668.8480000000218</v>
      </c>
      <c r="I179" s="692">
        <f t="shared" ref="I179:R179" si="63">IF(I177&lt;0,I177,I177*(1-I178))</f>
        <v>45107.312000000064</v>
      </c>
      <c r="J179" s="692">
        <f t="shared" si="63"/>
        <v>-5232.6000000000013</v>
      </c>
      <c r="K179" s="692">
        <f t="shared" si="63"/>
        <v>-3876.0000000000009</v>
      </c>
      <c r="L179" s="692">
        <f t="shared" si="63"/>
        <v>-1938</v>
      </c>
      <c r="M179" s="692">
        <f t="shared" si="63"/>
        <v>-581.39999999999964</v>
      </c>
      <c r="N179" s="692">
        <f t="shared" si="63"/>
        <v>0</v>
      </c>
      <c r="O179" s="692">
        <f t="shared" si="63"/>
        <v>0</v>
      </c>
      <c r="P179" s="692">
        <f t="shared" si="63"/>
        <v>0</v>
      </c>
      <c r="Q179" s="692">
        <f t="shared" si="63"/>
        <v>0</v>
      </c>
      <c r="R179" s="692">
        <f t="shared" si="63"/>
        <v>0</v>
      </c>
      <c r="S179" s="692"/>
      <c r="T179" s="692"/>
    </row>
    <row r="180" spans="2:20">
      <c r="C180" s="810">
        <f>C179/C173</f>
        <v>4.2418038216560615E-2</v>
      </c>
      <c r="D180" s="810">
        <f>(C173+C174)/C173</f>
        <v>0.12403847133757971</v>
      </c>
    </row>
    <row r="181" spans="2:20">
      <c r="B181" s="706" t="s">
        <v>882</v>
      </c>
      <c r="C181" s="707"/>
      <c r="D181" s="707"/>
      <c r="E181" s="707"/>
      <c r="F181" s="707"/>
      <c r="G181" s="707"/>
      <c r="H181" s="707"/>
      <c r="I181" s="707"/>
      <c r="J181" s="707"/>
      <c r="K181" s="707"/>
      <c r="L181" s="707"/>
      <c r="M181" s="707"/>
      <c r="N181" s="707"/>
      <c r="O181" s="707"/>
      <c r="P181" s="707"/>
      <c r="Q181" s="707"/>
      <c r="R181" s="707"/>
    </row>
    <row r="182" spans="2:20">
      <c r="B182" s="708" t="s">
        <v>843</v>
      </c>
      <c r="C182" s="708" t="str">
        <f>C172</f>
        <v>Total</v>
      </c>
      <c r="D182" s="708" t="str">
        <f t="shared" ref="D182:R182" si="64">D172</f>
        <v>Past</v>
      </c>
      <c r="E182" s="708">
        <f t="shared" si="64"/>
        <v>2014</v>
      </c>
      <c r="F182" s="708">
        <f t="shared" si="64"/>
        <v>2015</v>
      </c>
      <c r="G182" s="708">
        <f t="shared" si="64"/>
        <v>2016</v>
      </c>
      <c r="H182" s="708">
        <f t="shared" si="64"/>
        <v>2017</v>
      </c>
      <c r="I182" s="708">
        <f t="shared" si="64"/>
        <v>2018</v>
      </c>
      <c r="J182" s="708">
        <f t="shared" si="64"/>
        <v>2019</v>
      </c>
      <c r="K182" s="708">
        <f t="shared" si="64"/>
        <v>2020</v>
      </c>
      <c r="L182" s="708">
        <f t="shared" si="64"/>
        <v>2021</v>
      </c>
      <c r="M182" s="708">
        <f t="shared" si="64"/>
        <v>2022</v>
      </c>
      <c r="N182" s="708">
        <f t="shared" si="64"/>
        <v>2023</v>
      </c>
      <c r="O182" s="708">
        <f t="shared" si="64"/>
        <v>2024</v>
      </c>
      <c r="P182" s="708">
        <f t="shared" si="64"/>
        <v>2025</v>
      </c>
      <c r="Q182" s="708">
        <f t="shared" si="64"/>
        <v>2026</v>
      </c>
      <c r="R182" s="708">
        <f t="shared" si="64"/>
        <v>2027</v>
      </c>
      <c r="S182" s="708"/>
      <c r="T182" s="708"/>
    </row>
    <row r="183" spans="2:20">
      <c r="B183" s="633" t="s">
        <v>850</v>
      </c>
      <c r="C183" s="709">
        <f>SUM(D183:R183)</f>
        <v>785000</v>
      </c>
      <c r="D183" s="670">
        <f>D61</f>
        <v>0</v>
      </c>
      <c r="E183" s="670">
        <f>E61</f>
        <v>0</v>
      </c>
      <c r="F183" s="670">
        <f>F61</f>
        <v>0</v>
      </c>
      <c r="G183" s="670">
        <f t="shared" ref="G183:R183" si="65">G61</f>
        <v>157000</v>
      </c>
      <c r="H183" s="670">
        <f>H61</f>
        <v>392500</v>
      </c>
      <c r="I183" s="670">
        <f t="shared" si="65"/>
        <v>235500</v>
      </c>
      <c r="J183" s="670">
        <f t="shared" si="65"/>
        <v>0</v>
      </c>
      <c r="K183" s="670">
        <f t="shared" si="65"/>
        <v>0</v>
      </c>
      <c r="L183" s="670">
        <f t="shared" si="65"/>
        <v>0</v>
      </c>
      <c r="M183" s="670">
        <f t="shared" si="65"/>
        <v>0</v>
      </c>
      <c r="N183" s="670">
        <f t="shared" si="65"/>
        <v>0</v>
      </c>
      <c r="O183" s="670">
        <f t="shared" si="65"/>
        <v>0</v>
      </c>
      <c r="P183" s="670">
        <f t="shared" si="65"/>
        <v>0</v>
      </c>
      <c r="Q183" s="670">
        <f t="shared" si="65"/>
        <v>0</v>
      </c>
      <c r="R183" s="670">
        <f t="shared" si="65"/>
        <v>0</v>
      </c>
      <c r="S183" s="670"/>
      <c r="T183" s="670"/>
    </row>
    <row r="184" spans="2:20">
      <c r="B184" s="633" t="s">
        <v>851</v>
      </c>
      <c r="C184" s="709">
        <f t="shared" ref="C184:C190" si="66">SUM(D184:R184)</f>
        <v>-698444.04</v>
      </c>
      <c r="D184" s="670">
        <f t="shared" ref="D184:R184" si="67">SUM(D185:D189)</f>
        <v>-20000</v>
      </c>
      <c r="E184" s="670">
        <f t="shared" si="67"/>
        <v>0</v>
      </c>
      <c r="F184" s="670">
        <f t="shared" si="67"/>
        <v>-95971</v>
      </c>
      <c r="G184" s="670">
        <f t="shared" si="67"/>
        <v>-278863</v>
      </c>
      <c r="H184" s="670">
        <f t="shared" si="67"/>
        <v>-280558.212</v>
      </c>
      <c r="I184" s="670">
        <f t="shared" si="67"/>
        <v>-23051.828000000016</v>
      </c>
      <c r="J184" s="670">
        <f t="shared" si="67"/>
        <v>0</v>
      </c>
      <c r="K184" s="670">
        <f t="shared" si="67"/>
        <v>0</v>
      </c>
      <c r="L184" s="670">
        <f t="shared" si="67"/>
        <v>0</v>
      </c>
      <c r="M184" s="670">
        <f t="shared" si="67"/>
        <v>0</v>
      </c>
      <c r="N184" s="670">
        <f t="shared" si="67"/>
        <v>0</v>
      </c>
      <c r="O184" s="670">
        <f t="shared" si="67"/>
        <v>0</v>
      </c>
      <c r="P184" s="670">
        <f t="shared" si="67"/>
        <v>0</v>
      </c>
      <c r="Q184" s="670">
        <f t="shared" si="67"/>
        <v>0</v>
      </c>
      <c r="R184" s="670">
        <f t="shared" si="67"/>
        <v>0</v>
      </c>
      <c r="S184" s="670"/>
      <c r="T184" s="670"/>
    </row>
    <row r="185" spans="2:20">
      <c r="B185" s="634" t="s">
        <v>852</v>
      </c>
      <c r="C185" s="709">
        <f t="shared" si="66"/>
        <v>-103974</v>
      </c>
      <c r="D185" s="817">
        <f>-D36</f>
        <v>-20000</v>
      </c>
      <c r="E185" s="817">
        <f t="shared" ref="E185:R186" si="68">-E36</f>
        <v>0</v>
      </c>
      <c r="F185" s="817">
        <f t="shared" si="68"/>
        <v>-83974</v>
      </c>
      <c r="G185" s="817">
        <f t="shared" si="68"/>
        <v>0</v>
      </c>
      <c r="H185" s="817">
        <f t="shared" si="68"/>
        <v>0</v>
      </c>
      <c r="I185" s="817">
        <f t="shared" si="68"/>
        <v>0</v>
      </c>
      <c r="J185" s="817">
        <f t="shared" si="68"/>
        <v>0</v>
      </c>
      <c r="K185" s="817">
        <f t="shared" si="68"/>
        <v>0</v>
      </c>
      <c r="L185" s="817">
        <f t="shared" si="68"/>
        <v>0</v>
      </c>
      <c r="M185" s="817">
        <f t="shared" si="68"/>
        <v>0</v>
      </c>
      <c r="N185" s="817">
        <f t="shared" si="68"/>
        <v>0</v>
      </c>
      <c r="O185" s="817">
        <f t="shared" si="68"/>
        <v>0</v>
      </c>
      <c r="P185" s="817">
        <f t="shared" si="68"/>
        <v>0</v>
      </c>
      <c r="Q185" s="817">
        <f t="shared" si="68"/>
        <v>0</v>
      </c>
      <c r="R185" s="817">
        <f t="shared" si="68"/>
        <v>0</v>
      </c>
    </row>
    <row r="186" spans="2:20">
      <c r="B186" s="634" t="s">
        <v>853</v>
      </c>
      <c r="C186" s="709">
        <f t="shared" si="66"/>
        <v>-23994</v>
      </c>
      <c r="D186" s="817">
        <f>-D37</f>
        <v>0</v>
      </c>
      <c r="E186" s="688">
        <f>-E37*D43/SUM($D$43,$D$85,$D$111,$D$140)</f>
        <v>0</v>
      </c>
      <c r="F186" s="688">
        <f t="shared" si="68"/>
        <v>-11997</v>
      </c>
      <c r="G186" s="688">
        <f t="shared" si="68"/>
        <v>-11997</v>
      </c>
      <c r="H186" s="688">
        <f t="shared" si="68"/>
        <v>0</v>
      </c>
      <c r="I186" s="688">
        <f t="shared" si="68"/>
        <v>0</v>
      </c>
      <c r="J186" s="688">
        <f t="shared" si="68"/>
        <v>0</v>
      </c>
      <c r="K186" s="688">
        <f t="shared" si="68"/>
        <v>0</v>
      </c>
      <c r="L186" s="688">
        <f t="shared" si="68"/>
        <v>0</v>
      </c>
      <c r="M186" s="688">
        <f t="shared" si="68"/>
        <v>0</v>
      </c>
      <c r="N186" s="688">
        <f t="shared" si="68"/>
        <v>0</v>
      </c>
      <c r="O186" s="688">
        <f t="shared" si="68"/>
        <v>0</v>
      </c>
      <c r="P186" s="688">
        <f t="shared" si="68"/>
        <v>0</v>
      </c>
      <c r="Q186" s="688">
        <f t="shared" si="68"/>
        <v>0</v>
      </c>
      <c r="R186" s="688">
        <f t="shared" si="68"/>
        <v>0</v>
      </c>
    </row>
    <row r="187" spans="2:20">
      <c r="B187" s="634" t="s">
        <v>788</v>
      </c>
      <c r="C187" s="709">
        <f t="shared" si="66"/>
        <v>-518032.00000000006</v>
      </c>
      <c r="D187" s="688">
        <f>-D70</f>
        <v>0</v>
      </c>
      <c r="E187" s="688">
        <f>-E70</f>
        <v>0</v>
      </c>
      <c r="F187" s="688">
        <f t="shared" ref="F187:R187" si="69">-F70</f>
        <v>0</v>
      </c>
      <c r="G187" s="688">
        <f t="shared" si="69"/>
        <v>-259016.00000000003</v>
      </c>
      <c r="H187" s="688">
        <f t="shared" si="69"/>
        <v>-259016.00000000003</v>
      </c>
      <c r="I187" s="688">
        <f t="shared" si="69"/>
        <v>0</v>
      </c>
      <c r="J187" s="688">
        <f t="shared" si="69"/>
        <v>0</v>
      </c>
      <c r="K187" s="688">
        <f t="shared" si="69"/>
        <v>0</v>
      </c>
      <c r="L187" s="688">
        <f t="shared" si="69"/>
        <v>0</v>
      </c>
      <c r="M187" s="688">
        <f t="shared" si="69"/>
        <v>0</v>
      </c>
      <c r="N187" s="688">
        <f t="shared" si="69"/>
        <v>0</v>
      </c>
      <c r="O187" s="688">
        <f t="shared" si="69"/>
        <v>0</v>
      </c>
      <c r="P187" s="688">
        <f t="shared" si="69"/>
        <v>0</v>
      </c>
      <c r="Q187" s="688">
        <f t="shared" si="69"/>
        <v>0</v>
      </c>
      <c r="R187" s="688">
        <f t="shared" si="69"/>
        <v>0</v>
      </c>
      <c r="S187" s="688"/>
      <c r="T187" s="688"/>
    </row>
    <row r="188" spans="2:20">
      <c r="B188" s="634" t="s">
        <v>656</v>
      </c>
      <c r="C188" s="709">
        <f t="shared" si="66"/>
        <v>-39250</v>
      </c>
      <c r="D188" s="688">
        <f>-D81</f>
        <v>0</v>
      </c>
      <c r="E188" s="688">
        <f>-E81</f>
        <v>0</v>
      </c>
      <c r="F188" s="688">
        <f>-F81</f>
        <v>0</v>
      </c>
      <c r="G188" s="688">
        <f t="shared" ref="G188:R188" si="70">-G81</f>
        <v>-7850</v>
      </c>
      <c r="H188" s="688">
        <f t="shared" si="70"/>
        <v>-19625</v>
      </c>
      <c r="I188" s="688">
        <f t="shared" si="70"/>
        <v>-11775</v>
      </c>
      <c r="J188" s="688">
        <f t="shared" si="70"/>
        <v>0</v>
      </c>
      <c r="K188" s="688">
        <f t="shared" si="70"/>
        <v>0</v>
      </c>
      <c r="L188" s="688">
        <f t="shared" si="70"/>
        <v>0</v>
      </c>
      <c r="M188" s="688">
        <f t="shared" si="70"/>
        <v>0</v>
      </c>
      <c r="N188" s="688">
        <f t="shared" si="70"/>
        <v>0</v>
      </c>
      <c r="O188" s="688">
        <f t="shared" si="70"/>
        <v>0</v>
      </c>
      <c r="P188" s="688">
        <f t="shared" si="70"/>
        <v>0</v>
      </c>
      <c r="Q188" s="688">
        <f t="shared" si="70"/>
        <v>0</v>
      </c>
      <c r="R188" s="688">
        <f t="shared" si="70"/>
        <v>0</v>
      </c>
      <c r="S188" s="688"/>
      <c r="T188" s="688"/>
    </row>
    <row r="189" spans="2:20">
      <c r="B189" s="634" t="s">
        <v>854</v>
      </c>
      <c r="C189" s="709">
        <f t="shared" si="66"/>
        <v>-13194.040000000021</v>
      </c>
      <c r="D189" s="679">
        <f>IF(D166&lt;0,0,-D166*D167)</f>
        <v>0</v>
      </c>
      <c r="E189" s="679">
        <f>IF(E166&lt;0,0,-E166*E167)</f>
        <v>0</v>
      </c>
      <c r="F189" s="679">
        <f>IF(F166&lt;0,0,-F166*F167)</f>
        <v>0</v>
      </c>
      <c r="G189" s="679">
        <f>IF(G166&lt;0,0,-G166*G167)</f>
        <v>0</v>
      </c>
      <c r="H189" s="679">
        <f>IF(H166&lt;0,0,-H166*H167)</f>
        <v>-1917.2120000000054</v>
      </c>
      <c r="I189" s="679">
        <f t="shared" ref="I189:R189" si="71">IF(I166&lt;0,0,-I166*I167)</f>
        <v>-11276.828000000016</v>
      </c>
      <c r="J189" s="679">
        <f t="shared" si="71"/>
        <v>0</v>
      </c>
      <c r="K189" s="679">
        <f t="shared" si="71"/>
        <v>0</v>
      </c>
      <c r="L189" s="679">
        <f t="shared" si="71"/>
        <v>0</v>
      </c>
      <c r="M189" s="679">
        <f t="shared" si="71"/>
        <v>0</v>
      </c>
      <c r="N189" s="679">
        <f t="shared" si="71"/>
        <v>0</v>
      </c>
      <c r="O189" s="679">
        <f t="shared" si="71"/>
        <v>0</v>
      </c>
      <c r="P189" s="679">
        <f t="shared" si="71"/>
        <v>0</v>
      </c>
      <c r="Q189" s="679">
        <f t="shared" si="71"/>
        <v>0</v>
      </c>
      <c r="R189" s="679">
        <f t="shared" si="71"/>
        <v>0</v>
      </c>
      <c r="S189" s="679"/>
      <c r="T189" s="679"/>
    </row>
    <row r="190" spans="2:20" s="633" customFormat="1">
      <c r="B190" s="633" t="s">
        <v>855</v>
      </c>
      <c r="C190" s="709">
        <f t="shared" si="66"/>
        <v>86555.959999999992</v>
      </c>
      <c r="D190" s="670">
        <f>D183+D184</f>
        <v>-20000</v>
      </c>
      <c r="E190" s="670">
        <f>E183+E184</f>
        <v>0</v>
      </c>
      <c r="F190" s="670">
        <f>F183+F184</f>
        <v>-95971</v>
      </c>
      <c r="G190" s="670">
        <f>G183+G184</f>
        <v>-121863</v>
      </c>
      <c r="H190" s="670">
        <f t="shared" ref="H190:R190" si="72">H183+H184</f>
        <v>111941.788</v>
      </c>
      <c r="I190" s="670">
        <f t="shared" si="72"/>
        <v>212448.17199999999</v>
      </c>
      <c r="J190" s="670">
        <f t="shared" si="72"/>
        <v>0</v>
      </c>
      <c r="K190" s="670">
        <f t="shared" si="72"/>
        <v>0</v>
      </c>
      <c r="L190" s="670">
        <f t="shared" si="72"/>
        <v>0</v>
      </c>
      <c r="M190" s="670">
        <f t="shared" si="72"/>
        <v>0</v>
      </c>
      <c r="N190" s="670">
        <f t="shared" si="72"/>
        <v>0</v>
      </c>
      <c r="O190" s="670">
        <f t="shared" si="72"/>
        <v>0</v>
      </c>
      <c r="P190" s="670">
        <f t="shared" si="72"/>
        <v>0</v>
      </c>
      <c r="Q190" s="670">
        <f t="shared" si="72"/>
        <v>0</v>
      </c>
      <c r="R190" s="670">
        <f t="shared" si="72"/>
        <v>0</v>
      </c>
      <c r="S190" s="670"/>
      <c r="T190" s="670"/>
    </row>
    <row r="191" spans="2:20" s="710" customFormat="1">
      <c r="B191" s="710" t="s">
        <v>856</v>
      </c>
      <c r="E191" s="710">
        <v>1</v>
      </c>
      <c r="F191" s="710">
        <f t="shared" ref="F191:R191" si="73">E191*((1+F23))</f>
        <v>1.14076</v>
      </c>
      <c r="G191" s="710">
        <f t="shared" si="73"/>
        <v>1.3006945520000002</v>
      </c>
      <c r="H191" s="710">
        <f t="shared" si="73"/>
        <v>1.4820113725488002</v>
      </c>
      <c r="I191" s="710">
        <f t="shared" si="73"/>
        <v>1.687418148784064</v>
      </c>
      <c r="J191" s="710">
        <f t="shared" si="73"/>
        <v>1.9212943042055355</v>
      </c>
      <c r="K191" s="710">
        <f t="shared" si="73"/>
        <v>2.1875856947684227</v>
      </c>
      <c r="L191" s="710">
        <f t="shared" si="73"/>
        <v>2.4907850720633262</v>
      </c>
      <c r="M191" s="710">
        <f t="shared" si="73"/>
        <v>2.8360078830513036</v>
      </c>
      <c r="N191" s="710">
        <f t="shared" si="73"/>
        <v>3.2290785756422142</v>
      </c>
      <c r="O191" s="710">
        <f t="shared" si="73"/>
        <v>3.6766288662262254</v>
      </c>
      <c r="P191" s="710">
        <f t="shared" si="73"/>
        <v>4.1862096270851801</v>
      </c>
      <c r="Q191" s="710">
        <f t="shared" si="73"/>
        <v>4.7664182813991864</v>
      </c>
      <c r="R191" s="710">
        <f t="shared" si="73"/>
        <v>5.4270438552011138</v>
      </c>
    </row>
    <row r="192" spans="2:20">
      <c r="B192" s="634" t="s">
        <v>857</v>
      </c>
      <c r="D192" s="634"/>
      <c r="E192" s="711">
        <f>E190/E191</f>
        <v>0</v>
      </c>
      <c r="F192" s="711">
        <f t="shared" ref="F192:R192" si="74">F190/F191</f>
        <v>-84129.001718152809</v>
      </c>
      <c r="G192" s="711">
        <f t="shared" si="74"/>
        <v>-93690.71302145347</v>
      </c>
      <c r="H192" s="711">
        <f t="shared" si="74"/>
        <v>75533.690276262671</v>
      </c>
      <c r="I192" s="711">
        <f t="shared" si="74"/>
        <v>125901.31980806768</v>
      </c>
      <c r="J192" s="711">
        <f t="shared" si="74"/>
        <v>0</v>
      </c>
      <c r="K192" s="711">
        <f t="shared" si="74"/>
        <v>0</v>
      </c>
      <c r="L192" s="711">
        <f t="shared" si="74"/>
        <v>0</v>
      </c>
      <c r="M192" s="711">
        <f t="shared" si="74"/>
        <v>0</v>
      </c>
      <c r="N192" s="711">
        <f t="shared" si="74"/>
        <v>0</v>
      </c>
      <c r="O192" s="711">
        <f t="shared" si="74"/>
        <v>0</v>
      </c>
      <c r="P192" s="711">
        <f t="shared" si="74"/>
        <v>0</v>
      </c>
      <c r="Q192" s="711">
        <f t="shared" si="74"/>
        <v>0</v>
      </c>
      <c r="R192" s="711">
        <f t="shared" si="74"/>
        <v>0</v>
      </c>
    </row>
    <row r="193" spans="2:20">
      <c r="B193" s="634" t="s">
        <v>858</v>
      </c>
      <c r="C193" s="688">
        <f>SUM(F192:R192)</f>
        <v>23615.295344724072</v>
      </c>
      <c r="D193" s="634"/>
    </row>
    <row r="194" spans="2:20">
      <c r="B194" s="712" t="s">
        <v>883</v>
      </c>
      <c r="C194" s="713">
        <f>C193*$C$9</f>
        <v>23615.295344724072</v>
      </c>
      <c r="D194" s="670"/>
      <c r="E194" s="670"/>
      <c r="F194" s="670"/>
      <c r="G194" s="670"/>
      <c r="H194" s="670"/>
      <c r="I194" s="670"/>
      <c r="J194" s="670"/>
      <c r="K194" s="670"/>
      <c r="L194" s="670"/>
      <c r="M194" s="670"/>
      <c r="N194" s="670"/>
      <c r="O194" s="670"/>
      <c r="P194" s="670"/>
      <c r="Q194" s="670"/>
      <c r="R194" s="670"/>
      <c r="S194" s="670"/>
      <c r="T194" s="670"/>
    </row>
    <row r="195" spans="2:20">
      <c r="B195" s="670"/>
      <c r="C195" s="670"/>
      <c r="D195" s="670"/>
      <c r="E195" s="670"/>
      <c r="F195" s="670"/>
      <c r="G195" s="670"/>
      <c r="H195" s="670"/>
      <c r="I195" s="670"/>
      <c r="J195" s="670"/>
      <c r="K195" s="670"/>
      <c r="L195" s="670"/>
      <c r="M195" s="670"/>
      <c r="N195" s="670"/>
      <c r="O195" s="670"/>
      <c r="P195" s="670"/>
      <c r="Q195" s="670"/>
      <c r="R195" s="670"/>
      <c r="S195" s="670"/>
      <c r="T195" s="670"/>
    </row>
    <row r="196" spans="2:20">
      <c r="C196" s="633" t="s">
        <v>1468</v>
      </c>
      <c r="D196" s="633" t="s">
        <v>884</v>
      </c>
      <c r="E196" s="633">
        <v>2014</v>
      </c>
      <c r="F196" s="633">
        <v>2015</v>
      </c>
      <c r="G196" s="633">
        <v>2016</v>
      </c>
      <c r="H196" s="633">
        <v>2017</v>
      </c>
      <c r="I196" s="633">
        <v>2018</v>
      </c>
      <c r="J196" s="633">
        <v>2019</v>
      </c>
      <c r="K196" s="633">
        <v>2020</v>
      </c>
      <c r="M196" s="670"/>
      <c r="N196" s="670"/>
      <c r="O196" s="670"/>
      <c r="P196" s="670"/>
      <c r="Q196" s="670"/>
      <c r="R196" s="670"/>
      <c r="S196" s="670"/>
      <c r="T196" s="670"/>
    </row>
    <row r="197" spans="2:20">
      <c r="B197" s="633"/>
      <c r="C197" s="721"/>
      <c r="D197" s="670">
        <f>D190</f>
        <v>-20000</v>
      </c>
      <c r="E197" s="670"/>
      <c r="F197" s="670">
        <f t="shared" ref="F197:K197" si="75">F190</f>
        <v>-95971</v>
      </c>
      <c r="G197" s="670">
        <f t="shared" si="75"/>
        <v>-121863</v>
      </c>
      <c r="H197" s="670">
        <f t="shared" si="75"/>
        <v>111941.788</v>
      </c>
      <c r="I197" s="670">
        <f t="shared" si="75"/>
        <v>212448.17199999999</v>
      </c>
      <c r="J197" s="670">
        <f t="shared" si="75"/>
        <v>0</v>
      </c>
      <c r="K197" s="670">
        <f t="shared" si="75"/>
        <v>0</v>
      </c>
      <c r="M197" s="670"/>
      <c r="N197" s="670"/>
      <c r="O197" s="670"/>
      <c r="P197" s="670"/>
      <c r="Q197" s="670"/>
      <c r="R197" s="670"/>
      <c r="S197" s="670"/>
      <c r="T197" s="670"/>
    </row>
    <row r="198" spans="2:20">
      <c r="B198" s="633"/>
      <c r="C198" s="721"/>
      <c r="D198" s="722">
        <f>IRR(D197:R197)</f>
        <v>0.1486228403138885</v>
      </c>
      <c r="E198" s="670"/>
      <c r="F198" s="670"/>
      <c r="G198" s="670"/>
      <c r="H198" s="670"/>
      <c r="I198" s="670"/>
      <c r="J198" s="670"/>
      <c r="K198" s="670"/>
      <c r="L198" s="670"/>
      <c r="M198" s="670"/>
      <c r="N198" s="670"/>
      <c r="O198" s="670"/>
      <c r="P198" s="670"/>
      <c r="Q198" s="670"/>
      <c r="R198" s="670"/>
      <c r="S198" s="670"/>
      <c r="T198" s="670"/>
    </row>
    <row r="199" spans="2:20">
      <c r="B199" s="633"/>
      <c r="C199" s="721"/>
      <c r="D199" s="670"/>
      <c r="E199" s="670"/>
      <c r="F199" s="670"/>
      <c r="G199" s="670"/>
      <c r="H199" s="670"/>
      <c r="I199" s="670"/>
      <c r="J199" s="670"/>
      <c r="K199" s="670"/>
      <c r="L199" s="670"/>
      <c r="M199" s="670"/>
      <c r="N199" s="670"/>
      <c r="O199" s="670"/>
      <c r="P199" s="670"/>
      <c r="Q199" s="670"/>
      <c r="R199" s="670"/>
      <c r="S199" s="670"/>
      <c r="T199" s="670"/>
    </row>
    <row r="200" spans="2:20">
      <c r="C200" s="670"/>
      <c r="D200" s="670"/>
      <c r="E200" s="670"/>
      <c r="F200" s="670"/>
      <c r="G200" s="670"/>
      <c r="H200" s="670"/>
      <c r="I200" s="670"/>
      <c r="J200" s="670"/>
      <c r="K200" s="670"/>
      <c r="L200" s="670"/>
      <c r="M200" s="670"/>
      <c r="N200" s="670"/>
      <c r="O200" s="670"/>
      <c r="P200" s="670"/>
      <c r="Q200" s="670"/>
      <c r="R200" s="670"/>
      <c r="S200" s="670"/>
      <c r="T200" s="670"/>
    </row>
    <row r="201" spans="2:20" hidden="1" outlineLevel="1">
      <c r="B201" s="706" t="s">
        <v>860</v>
      </c>
      <c r="C201" s="707"/>
      <c r="D201" s="707"/>
      <c r="E201" s="707"/>
      <c r="F201" s="707"/>
      <c r="G201" s="707"/>
      <c r="H201" s="707"/>
      <c r="I201" s="707"/>
      <c r="J201" s="707"/>
      <c r="K201" s="707"/>
      <c r="L201" s="707"/>
      <c r="M201" s="707"/>
      <c r="N201" s="707"/>
      <c r="O201" s="707"/>
      <c r="P201" s="707"/>
      <c r="Q201" s="707"/>
      <c r="R201" s="707"/>
    </row>
    <row r="202" spans="2:20" hidden="1" outlineLevel="1">
      <c r="B202" s="708" t="s">
        <v>843</v>
      </c>
      <c r="C202" s="708" t="str">
        <f>C182</f>
        <v>Total</v>
      </c>
      <c r="D202" s="708" t="str">
        <f t="shared" ref="D202:R202" si="76">D182</f>
        <v>Past</v>
      </c>
      <c r="E202" s="708">
        <f t="shared" si="76"/>
        <v>2014</v>
      </c>
      <c r="F202" s="708">
        <f t="shared" si="76"/>
        <v>2015</v>
      </c>
      <c r="G202" s="708">
        <f t="shared" si="76"/>
        <v>2016</v>
      </c>
      <c r="H202" s="708">
        <f t="shared" si="76"/>
        <v>2017</v>
      </c>
      <c r="I202" s="708">
        <f t="shared" si="76"/>
        <v>2018</v>
      </c>
      <c r="J202" s="708">
        <f t="shared" si="76"/>
        <v>2019</v>
      </c>
      <c r="K202" s="708">
        <f t="shared" si="76"/>
        <v>2020</v>
      </c>
      <c r="L202" s="708">
        <f t="shared" si="76"/>
        <v>2021</v>
      </c>
      <c r="M202" s="708">
        <f t="shared" si="76"/>
        <v>2022</v>
      </c>
      <c r="N202" s="708">
        <f t="shared" si="76"/>
        <v>2023</v>
      </c>
      <c r="O202" s="708">
        <f t="shared" si="76"/>
        <v>2024</v>
      </c>
      <c r="P202" s="708">
        <f t="shared" si="76"/>
        <v>2025</v>
      </c>
      <c r="Q202" s="708">
        <f t="shared" si="76"/>
        <v>2026</v>
      </c>
      <c r="R202" s="708">
        <f t="shared" si="76"/>
        <v>2027</v>
      </c>
      <c r="S202" s="708"/>
      <c r="T202" s="708"/>
    </row>
    <row r="203" spans="2:20" hidden="1" outlineLevel="1">
      <c r="B203" s="633" t="s">
        <v>850</v>
      </c>
      <c r="C203" s="670"/>
      <c r="D203" s="670"/>
      <c r="E203" s="670">
        <f>E100+SUM(E154:E155)</f>
        <v>0</v>
      </c>
      <c r="F203" s="670">
        <f>SUM(F100,F128,F154:F155)</f>
        <v>0</v>
      </c>
      <c r="G203" s="670">
        <f t="shared" ref="G203:R203" si="77">SUM(G100,G128,G154:G155)</f>
        <v>0</v>
      </c>
      <c r="H203" s="670">
        <f t="shared" si="77"/>
        <v>0</v>
      </c>
      <c r="I203" s="670">
        <f t="shared" si="77"/>
        <v>0</v>
      </c>
      <c r="J203" s="670">
        <f t="shared" si="77"/>
        <v>0</v>
      </c>
      <c r="K203" s="670">
        <f t="shared" si="77"/>
        <v>0</v>
      </c>
      <c r="L203" s="670">
        <f t="shared" si="77"/>
        <v>0</v>
      </c>
      <c r="M203" s="670">
        <f t="shared" si="77"/>
        <v>0</v>
      </c>
      <c r="N203" s="670">
        <f t="shared" si="77"/>
        <v>0</v>
      </c>
      <c r="O203" s="670">
        <f t="shared" si="77"/>
        <v>0</v>
      </c>
      <c r="P203" s="670">
        <f t="shared" si="77"/>
        <v>0</v>
      </c>
      <c r="Q203" s="670">
        <f t="shared" si="77"/>
        <v>0</v>
      </c>
      <c r="R203" s="670">
        <f t="shared" si="77"/>
        <v>0</v>
      </c>
      <c r="S203" s="670"/>
      <c r="T203" s="670"/>
    </row>
    <row r="204" spans="2:20" hidden="1" outlineLevel="1">
      <c r="B204" s="633" t="s">
        <v>851</v>
      </c>
      <c r="C204" s="670"/>
      <c r="D204" s="670"/>
      <c r="E204" s="670">
        <f t="shared" ref="E204:R204" si="78">SUM(E205:E210)</f>
        <v>0</v>
      </c>
      <c r="F204" s="670">
        <f t="shared" si="78"/>
        <v>-23994</v>
      </c>
      <c r="G204" s="670">
        <f>SUM(G205:G210)</f>
        <v>-11997</v>
      </c>
      <c r="H204" s="670">
        <f t="shared" si="78"/>
        <v>0</v>
      </c>
      <c r="I204" s="670">
        <f t="shared" si="78"/>
        <v>0</v>
      </c>
      <c r="J204" s="670">
        <f t="shared" si="78"/>
        <v>0</v>
      </c>
      <c r="K204" s="670">
        <f t="shared" si="78"/>
        <v>0</v>
      </c>
      <c r="L204" s="670">
        <f t="shared" si="78"/>
        <v>0</v>
      </c>
      <c r="M204" s="670">
        <f t="shared" si="78"/>
        <v>0</v>
      </c>
      <c r="N204" s="670">
        <f t="shared" si="78"/>
        <v>0</v>
      </c>
      <c r="O204" s="670">
        <f t="shared" si="78"/>
        <v>0</v>
      </c>
      <c r="P204" s="670">
        <f t="shared" si="78"/>
        <v>0</v>
      </c>
      <c r="Q204" s="670">
        <f t="shared" si="78"/>
        <v>0</v>
      </c>
      <c r="R204" s="670">
        <f t="shared" si="78"/>
        <v>0</v>
      </c>
      <c r="S204" s="670"/>
      <c r="T204" s="670"/>
    </row>
    <row r="205" spans="2:20" hidden="1" outlineLevel="1">
      <c r="B205" s="634" t="s">
        <v>852</v>
      </c>
      <c r="C205" s="688"/>
      <c r="D205" s="634"/>
      <c r="E205" s="688">
        <f t="shared" ref="E205:R205" si="79">-E36-E185</f>
        <v>0</v>
      </c>
      <c r="F205" s="688">
        <f t="shared" si="79"/>
        <v>0</v>
      </c>
      <c r="G205" s="688">
        <f t="shared" si="79"/>
        <v>0</v>
      </c>
      <c r="H205" s="688">
        <f t="shared" si="79"/>
        <v>0</v>
      </c>
      <c r="I205" s="688">
        <f t="shared" si="79"/>
        <v>0</v>
      </c>
      <c r="J205" s="688">
        <f t="shared" si="79"/>
        <v>0</v>
      </c>
      <c r="K205" s="688">
        <f t="shared" si="79"/>
        <v>0</v>
      </c>
      <c r="L205" s="688">
        <f t="shared" si="79"/>
        <v>0</v>
      </c>
      <c r="M205" s="688">
        <f t="shared" si="79"/>
        <v>0</v>
      </c>
      <c r="N205" s="688">
        <f t="shared" si="79"/>
        <v>0</v>
      </c>
      <c r="O205" s="688">
        <f t="shared" si="79"/>
        <v>0</v>
      </c>
      <c r="P205" s="688">
        <f t="shared" si="79"/>
        <v>0</v>
      </c>
      <c r="Q205" s="688">
        <f t="shared" si="79"/>
        <v>0</v>
      </c>
      <c r="R205" s="688">
        <f t="shared" si="79"/>
        <v>0</v>
      </c>
    </row>
    <row r="206" spans="2:20" hidden="1" outlineLevel="1">
      <c r="B206" s="634" t="s">
        <v>853</v>
      </c>
      <c r="C206" s="688"/>
      <c r="D206" s="634"/>
      <c r="E206" s="688"/>
      <c r="F206" s="688">
        <f>-G37+F186</f>
        <v>-23994</v>
      </c>
      <c r="G206" s="688">
        <f>-H37+G186</f>
        <v>-11997</v>
      </c>
      <c r="H206" s="688">
        <f>-I37+H186</f>
        <v>0</v>
      </c>
      <c r="I206" s="688">
        <f t="shared" ref="I206:R206" si="80">-I37+I186</f>
        <v>0</v>
      </c>
      <c r="J206" s="688">
        <f t="shared" si="80"/>
        <v>0</v>
      </c>
      <c r="K206" s="688">
        <f t="shared" si="80"/>
        <v>0</v>
      </c>
      <c r="L206" s="688">
        <f t="shared" si="80"/>
        <v>0</v>
      </c>
      <c r="M206" s="688">
        <f t="shared" si="80"/>
        <v>0</v>
      </c>
      <c r="N206" s="688">
        <f t="shared" si="80"/>
        <v>0</v>
      </c>
      <c r="O206" s="688">
        <f t="shared" si="80"/>
        <v>0</v>
      </c>
      <c r="P206" s="688">
        <f t="shared" si="80"/>
        <v>0</v>
      </c>
      <c r="Q206" s="688">
        <f t="shared" si="80"/>
        <v>0</v>
      </c>
      <c r="R206" s="688">
        <f t="shared" si="80"/>
        <v>0</v>
      </c>
    </row>
    <row r="207" spans="2:20" hidden="1" outlineLevel="1">
      <c r="B207" s="634" t="s">
        <v>788</v>
      </c>
      <c r="C207" s="688"/>
      <c r="D207" s="688"/>
      <c r="E207" s="688">
        <f>-(D140*D149+D111*D117+D85*D91)*40%</f>
        <v>0</v>
      </c>
      <c r="F207" s="688">
        <f>-(D140*D149+D111*D117+D85*D91)*40%</f>
        <v>0</v>
      </c>
      <c r="G207" s="688">
        <f>-(D140*D149+D111*D117+D85*D91)*20%</f>
        <v>0</v>
      </c>
      <c r="H207" s="688"/>
      <c r="I207" s="688"/>
      <c r="J207" s="688"/>
      <c r="K207" s="688"/>
      <c r="L207" s="688"/>
      <c r="M207" s="688"/>
      <c r="N207" s="688"/>
      <c r="O207" s="688"/>
      <c r="P207" s="688"/>
      <c r="Q207" s="688"/>
      <c r="R207" s="688"/>
      <c r="S207" s="688"/>
      <c r="T207" s="688"/>
    </row>
    <row r="208" spans="2:20" hidden="1" outlineLevel="1">
      <c r="B208" s="634" t="s">
        <v>821</v>
      </c>
      <c r="C208" s="688"/>
      <c r="D208" s="688"/>
      <c r="E208" s="688">
        <f>-(E104+E158)</f>
        <v>0</v>
      </c>
      <c r="F208" s="688">
        <f>SUM(F158,F131,F104)</f>
        <v>0</v>
      </c>
      <c r="G208" s="688">
        <f>SUM(G158,G131,G104)</f>
        <v>0</v>
      </c>
      <c r="H208" s="688">
        <f t="shared" ref="H208:R208" si="81">SUM(H158,H131,H104)</f>
        <v>0</v>
      </c>
      <c r="I208" s="688">
        <f t="shared" si="81"/>
        <v>0</v>
      </c>
      <c r="J208" s="688">
        <f t="shared" si="81"/>
        <v>0</v>
      </c>
      <c r="K208" s="688">
        <f t="shared" si="81"/>
        <v>0</v>
      </c>
      <c r="L208" s="688">
        <f t="shared" si="81"/>
        <v>0</v>
      </c>
      <c r="M208" s="688">
        <f t="shared" si="81"/>
        <v>0</v>
      </c>
      <c r="N208" s="688">
        <f t="shared" si="81"/>
        <v>0</v>
      </c>
      <c r="O208" s="688">
        <f t="shared" si="81"/>
        <v>0</v>
      </c>
      <c r="P208" s="688">
        <f t="shared" si="81"/>
        <v>0</v>
      </c>
      <c r="Q208" s="688">
        <f t="shared" si="81"/>
        <v>0</v>
      </c>
      <c r="R208" s="688">
        <f t="shared" si="81"/>
        <v>0</v>
      </c>
      <c r="S208" s="688"/>
      <c r="T208" s="688"/>
    </row>
    <row r="209" spans="2:20" hidden="1" outlineLevel="1">
      <c r="B209" s="634" t="s">
        <v>656</v>
      </c>
      <c r="C209" s="688">
        <f>C175</f>
        <v>-39250</v>
      </c>
      <c r="D209" s="688">
        <f>D175</f>
        <v>0</v>
      </c>
      <c r="E209" s="688">
        <f>E175-E164</f>
        <v>0</v>
      </c>
      <c r="F209" s="688">
        <f>F175-F164</f>
        <v>0</v>
      </c>
      <c r="G209" s="688">
        <f>G175-G164</f>
        <v>0</v>
      </c>
      <c r="H209" s="688">
        <f t="shared" ref="H209:R209" si="82">H175-H164</f>
        <v>0</v>
      </c>
      <c r="I209" s="688">
        <f t="shared" si="82"/>
        <v>0</v>
      </c>
      <c r="J209" s="688">
        <f t="shared" si="82"/>
        <v>0</v>
      </c>
      <c r="K209" s="688">
        <f t="shared" si="82"/>
        <v>0</v>
      </c>
      <c r="L209" s="688">
        <f t="shared" si="82"/>
        <v>0</v>
      </c>
      <c r="M209" s="688">
        <f t="shared" si="82"/>
        <v>0</v>
      </c>
      <c r="N209" s="688">
        <f t="shared" si="82"/>
        <v>0</v>
      </c>
      <c r="O209" s="688">
        <f t="shared" si="82"/>
        <v>0</v>
      </c>
      <c r="P209" s="688">
        <f t="shared" si="82"/>
        <v>0</v>
      </c>
      <c r="Q209" s="688">
        <f t="shared" si="82"/>
        <v>0</v>
      </c>
      <c r="R209" s="688">
        <f t="shared" si="82"/>
        <v>0</v>
      </c>
      <c r="S209" s="688"/>
      <c r="T209" s="688"/>
    </row>
    <row r="210" spans="2:20" hidden="1" outlineLevel="1">
      <c r="B210" s="634" t="s">
        <v>854</v>
      </c>
      <c r="C210" s="679">
        <f>IF(C177&lt;0,0,C177*C178)</f>
        <v>0</v>
      </c>
      <c r="D210" s="679">
        <f>IF(D177&lt;0,0,D177*D178)</f>
        <v>0</v>
      </c>
      <c r="E210" s="679">
        <f t="shared" ref="E210:R210" si="83">IF(E177&lt;0,0,-E177*E178)-E189</f>
        <v>0</v>
      </c>
      <c r="F210" s="679">
        <f t="shared" si="83"/>
        <v>0</v>
      </c>
      <c r="G210" s="679">
        <f t="shared" si="83"/>
        <v>0</v>
      </c>
      <c r="H210" s="679">
        <f t="shared" si="83"/>
        <v>0</v>
      </c>
      <c r="I210" s="679">
        <f t="shared" si="83"/>
        <v>0</v>
      </c>
      <c r="J210" s="679">
        <f t="shared" si="83"/>
        <v>0</v>
      </c>
      <c r="K210" s="679">
        <f t="shared" si="83"/>
        <v>0</v>
      </c>
      <c r="L210" s="679">
        <f t="shared" si="83"/>
        <v>0</v>
      </c>
      <c r="M210" s="679">
        <f t="shared" si="83"/>
        <v>0</v>
      </c>
      <c r="N210" s="679">
        <f t="shared" si="83"/>
        <v>0</v>
      </c>
      <c r="O210" s="679">
        <f t="shared" si="83"/>
        <v>0</v>
      </c>
      <c r="P210" s="679">
        <f t="shared" si="83"/>
        <v>0</v>
      </c>
      <c r="Q210" s="679">
        <f t="shared" si="83"/>
        <v>0</v>
      </c>
      <c r="R210" s="679">
        <f t="shared" si="83"/>
        <v>0</v>
      </c>
      <c r="S210" s="679"/>
      <c r="T210" s="679"/>
    </row>
    <row r="211" spans="2:20" hidden="1" outlineLevel="1">
      <c r="B211" s="634" t="s">
        <v>855</v>
      </c>
      <c r="C211" s="670">
        <f>C203-C204</f>
        <v>0</v>
      </c>
      <c r="D211" s="670">
        <f>D203-D204</f>
        <v>0</v>
      </c>
      <c r="E211" s="670">
        <f>IF($C$12&lt;E202,0,E203+E204)</f>
        <v>0</v>
      </c>
      <c r="F211" s="670">
        <f t="shared" ref="F211:R211" si="84">IF($C$12&lt;F202,0,F203+F204)</f>
        <v>-23994</v>
      </c>
      <c r="G211" s="670">
        <f>IF($C$12&lt;G202,0,G203+G204)</f>
        <v>-11997</v>
      </c>
      <c r="H211" s="670">
        <f t="shared" si="84"/>
        <v>0</v>
      </c>
      <c r="I211" s="670">
        <f t="shared" si="84"/>
        <v>0</v>
      </c>
      <c r="J211" s="670">
        <f t="shared" si="84"/>
        <v>0</v>
      </c>
      <c r="K211" s="670">
        <f t="shared" si="84"/>
        <v>0</v>
      </c>
      <c r="L211" s="670">
        <f t="shared" si="84"/>
        <v>0</v>
      </c>
      <c r="M211" s="670">
        <f t="shared" si="84"/>
        <v>0</v>
      </c>
      <c r="N211" s="670">
        <f t="shared" si="84"/>
        <v>0</v>
      </c>
      <c r="O211" s="670">
        <f t="shared" si="84"/>
        <v>0</v>
      </c>
      <c r="P211" s="670">
        <f t="shared" si="84"/>
        <v>0</v>
      </c>
      <c r="Q211" s="670">
        <f t="shared" si="84"/>
        <v>0</v>
      </c>
      <c r="R211" s="670">
        <f t="shared" si="84"/>
        <v>0</v>
      </c>
      <c r="S211" s="670"/>
      <c r="T211" s="670"/>
    </row>
    <row r="212" spans="2:20" hidden="1" outlineLevel="1">
      <c r="B212" s="634" t="s">
        <v>861</v>
      </c>
      <c r="C212" s="670"/>
      <c r="D212" s="670"/>
      <c r="E212" s="670">
        <f t="shared" ref="E212:R212" si="85">IF($C$12&lt;&gt;E202,0,E211*(1+$C$10)/(E23-$C$10))</f>
        <v>0</v>
      </c>
      <c r="F212" s="670">
        <f t="shared" si="85"/>
        <v>0</v>
      </c>
      <c r="G212" s="670">
        <f t="shared" si="85"/>
        <v>0</v>
      </c>
      <c r="H212" s="670">
        <f t="shared" si="85"/>
        <v>0</v>
      </c>
      <c r="I212" s="670">
        <f t="shared" si="85"/>
        <v>0</v>
      </c>
      <c r="J212" s="670">
        <f t="shared" si="85"/>
        <v>0</v>
      </c>
      <c r="K212" s="670">
        <f t="shared" si="85"/>
        <v>0</v>
      </c>
      <c r="L212" s="670">
        <f t="shared" si="85"/>
        <v>0</v>
      </c>
      <c r="M212" s="670">
        <f t="shared" si="85"/>
        <v>0</v>
      </c>
      <c r="N212" s="670">
        <f t="shared" si="85"/>
        <v>0</v>
      </c>
      <c r="O212" s="670">
        <f t="shared" si="85"/>
        <v>0</v>
      </c>
      <c r="P212" s="670">
        <f t="shared" si="85"/>
        <v>0</v>
      </c>
      <c r="Q212" s="670">
        <f t="shared" si="85"/>
        <v>0</v>
      </c>
      <c r="R212" s="670">
        <f t="shared" si="85"/>
        <v>0</v>
      </c>
      <c r="S212" s="670"/>
      <c r="T212" s="670"/>
    </row>
    <row r="213" spans="2:20" hidden="1" outlineLevel="1">
      <c r="D213" s="634"/>
      <c r="E213" s="714">
        <f t="shared" ref="E213:J213" si="86">SUM(E211:E212)</f>
        <v>0</v>
      </c>
      <c r="F213" s="714">
        <f t="shared" si="86"/>
        <v>-23994</v>
      </c>
      <c r="G213" s="714">
        <f t="shared" si="86"/>
        <v>-11997</v>
      </c>
      <c r="H213" s="714">
        <f t="shared" si="86"/>
        <v>0</v>
      </c>
      <c r="I213" s="714">
        <f t="shared" si="86"/>
        <v>0</v>
      </c>
      <c r="J213" s="714">
        <f t="shared" si="86"/>
        <v>0</v>
      </c>
      <c r="K213" s="714">
        <f t="shared" ref="K213:P213" si="87">SUM(K211:K212)</f>
        <v>0</v>
      </c>
      <c r="L213" s="714">
        <f t="shared" si="87"/>
        <v>0</v>
      </c>
      <c r="M213" s="714">
        <f t="shared" si="87"/>
        <v>0</v>
      </c>
      <c r="N213" s="714">
        <f t="shared" si="87"/>
        <v>0</v>
      </c>
      <c r="O213" s="714">
        <f t="shared" si="87"/>
        <v>0</v>
      </c>
      <c r="P213" s="714">
        <f t="shared" si="87"/>
        <v>0</v>
      </c>
      <c r="Q213" s="714">
        <f>SUM(Q211:Q212)</f>
        <v>0</v>
      </c>
      <c r="R213" s="714">
        <f>SUM(R211:R212)</f>
        <v>0</v>
      </c>
    </row>
    <row r="214" spans="2:20" s="710" customFormat="1" hidden="1" outlineLevel="1">
      <c r="B214" s="710" t="s">
        <v>856</v>
      </c>
      <c r="E214" s="710">
        <f>E191</f>
        <v>1</v>
      </c>
      <c r="F214" s="710">
        <f t="shared" ref="F214:R214" si="88">F191</f>
        <v>1.14076</v>
      </c>
      <c r="G214" s="710">
        <f t="shared" si="88"/>
        <v>1.3006945520000002</v>
      </c>
      <c r="H214" s="710">
        <f t="shared" si="88"/>
        <v>1.4820113725488002</v>
      </c>
      <c r="I214" s="710">
        <f t="shared" si="88"/>
        <v>1.687418148784064</v>
      </c>
      <c r="J214" s="710">
        <f t="shared" si="88"/>
        <v>1.9212943042055355</v>
      </c>
      <c r="K214" s="710">
        <f t="shared" si="88"/>
        <v>2.1875856947684227</v>
      </c>
      <c r="L214" s="710">
        <f t="shared" si="88"/>
        <v>2.4907850720633262</v>
      </c>
      <c r="M214" s="710">
        <f t="shared" si="88"/>
        <v>2.8360078830513036</v>
      </c>
      <c r="N214" s="710">
        <f t="shared" si="88"/>
        <v>3.2290785756422142</v>
      </c>
      <c r="O214" s="710">
        <f t="shared" si="88"/>
        <v>3.6766288662262254</v>
      </c>
      <c r="P214" s="710">
        <f t="shared" si="88"/>
        <v>4.1862096270851801</v>
      </c>
      <c r="Q214" s="710">
        <f t="shared" si="88"/>
        <v>4.7664182813991864</v>
      </c>
      <c r="R214" s="710">
        <f t="shared" si="88"/>
        <v>5.4270438552011138</v>
      </c>
    </row>
    <row r="215" spans="2:20" hidden="1" outlineLevel="1">
      <c r="B215" s="634" t="s">
        <v>857</v>
      </c>
      <c r="D215" s="634"/>
      <c r="E215" s="711">
        <f>E213/E214</f>
        <v>0</v>
      </c>
      <c r="F215" s="711">
        <f>F213/F214</f>
        <v>-21033.346190259126</v>
      </c>
      <c r="G215" s="711">
        <f t="shared" ref="G215:Q215" si="89">G213/G214</f>
        <v>-9223.5336740304865</v>
      </c>
      <c r="H215" s="711">
        <f t="shared" si="89"/>
        <v>0</v>
      </c>
      <c r="I215" s="711">
        <f t="shared" si="89"/>
        <v>0</v>
      </c>
      <c r="J215" s="711">
        <f t="shared" si="89"/>
        <v>0</v>
      </c>
      <c r="K215" s="711">
        <f t="shared" si="89"/>
        <v>0</v>
      </c>
      <c r="L215" s="711">
        <f t="shared" si="89"/>
        <v>0</v>
      </c>
      <c r="M215" s="711">
        <f t="shared" si="89"/>
        <v>0</v>
      </c>
      <c r="N215" s="711">
        <f t="shared" si="89"/>
        <v>0</v>
      </c>
      <c r="O215" s="711">
        <f t="shared" si="89"/>
        <v>0</v>
      </c>
      <c r="P215" s="711">
        <f t="shared" si="89"/>
        <v>0</v>
      </c>
      <c r="Q215" s="711">
        <f t="shared" si="89"/>
        <v>0</v>
      </c>
      <c r="R215" s="711">
        <f>R213/R214</f>
        <v>0</v>
      </c>
    </row>
    <row r="216" spans="2:20" hidden="1" outlineLevel="1">
      <c r="B216" s="634" t="s">
        <v>858</v>
      </c>
      <c r="C216" s="688">
        <f>SUM(F215:R215)+E215</f>
        <v>-30256.879864289614</v>
      </c>
      <c r="D216" s="634"/>
    </row>
    <row r="217" spans="2:20" hidden="1" outlineLevel="1">
      <c r="B217" s="712" t="s">
        <v>862</v>
      </c>
      <c r="C217" s="713">
        <f>C216*C9</f>
        <v>-30256.879864289614</v>
      </c>
      <c r="D217" s="634"/>
      <c r="F217" s="636"/>
    </row>
    <row r="218" spans="2:20" hidden="1" outlineLevel="1"/>
    <row r="219" spans="2:20" hidden="1" outlineLevel="1"/>
    <row r="220" spans="2:20" ht="12" collapsed="1" thickBot="1">
      <c r="B220" s="633" t="s">
        <v>863</v>
      </c>
      <c r="D220" s="633">
        <v>2011</v>
      </c>
      <c r="E220" s="633">
        <v>2012</v>
      </c>
      <c r="F220" s="633">
        <v>2013</v>
      </c>
      <c r="G220" s="633">
        <v>2014</v>
      </c>
      <c r="H220" s="633">
        <v>2015</v>
      </c>
      <c r="I220" s="633">
        <v>2016</v>
      </c>
      <c r="J220" s="633">
        <v>2017</v>
      </c>
      <c r="K220" s="633">
        <v>2018</v>
      </c>
      <c r="L220" s="633">
        <v>2019</v>
      </c>
      <c r="M220" s="633">
        <v>2020</v>
      </c>
      <c r="N220" s="633">
        <v>2021</v>
      </c>
      <c r="O220" s="633">
        <v>2022</v>
      </c>
      <c r="P220" s="633">
        <v>2023</v>
      </c>
      <c r="Q220" s="633">
        <v>2024</v>
      </c>
      <c r="R220" s="633">
        <v>2025</v>
      </c>
    </row>
    <row r="221" spans="2:20" ht="12" thickBot="1">
      <c r="B221" s="634" t="s">
        <v>864</v>
      </c>
      <c r="C221" s="671">
        <f>F1*E2</f>
        <v>64600</v>
      </c>
      <c r="D221" s="634"/>
    </row>
    <row r="222" spans="2:20" ht="12" thickBot="1">
      <c r="B222" s="634" t="s">
        <v>865</v>
      </c>
      <c r="C222" s="679"/>
      <c r="D222" s="715"/>
      <c r="E222" s="716"/>
      <c r="F222" s="716"/>
      <c r="G222" s="716"/>
      <c r="H222" s="716">
        <v>0.3</v>
      </c>
      <c r="I222" s="716">
        <v>0.4</v>
      </c>
      <c r="J222" s="716">
        <v>0.3</v>
      </c>
      <c r="K222" s="716"/>
      <c r="L222" s="716"/>
      <c r="M222" s="716"/>
      <c r="N222" s="716"/>
      <c r="O222" s="716"/>
      <c r="P222" s="716"/>
      <c r="Q222" s="716"/>
      <c r="R222" s="717"/>
    </row>
    <row r="223" spans="2:20">
      <c r="B223" s="634" t="s">
        <v>866</v>
      </c>
      <c r="C223" s="679"/>
      <c r="D223" s="817">
        <f>IF(D222&gt;0,C223+1,0)</f>
        <v>0</v>
      </c>
      <c r="E223" s="817">
        <f>IF(E222&gt;0,D223+1,0)</f>
        <v>0</v>
      </c>
      <c r="F223" s="817">
        <f t="shared" ref="F223:R223" si="90">IF(F222&gt;0,E223+1,0)</f>
        <v>0</v>
      </c>
      <c r="G223" s="817">
        <f t="shared" si="90"/>
        <v>0</v>
      </c>
      <c r="H223" s="817">
        <f t="shared" si="90"/>
        <v>1</v>
      </c>
      <c r="I223" s="817">
        <f t="shared" si="90"/>
        <v>2</v>
      </c>
      <c r="J223" s="817">
        <f t="shared" si="90"/>
        <v>3</v>
      </c>
      <c r="K223" s="817">
        <f t="shared" si="90"/>
        <v>0</v>
      </c>
      <c r="L223" s="817">
        <f t="shared" si="90"/>
        <v>0</v>
      </c>
      <c r="M223" s="817">
        <f t="shared" si="90"/>
        <v>0</v>
      </c>
      <c r="N223" s="817">
        <f t="shared" si="90"/>
        <v>0</v>
      </c>
      <c r="O223" s="817">
        <f t="shared" si="90"/>
        <v>0</v>
      </c>
      <c r="P223" s="817">
        <f t="shared" si="90"/>
        <v>0</v>
      </c>
      <c r="Q223" s="817">
        <f t="shared" si="90"/>
        <v>0</v>
      </c>
      <c r="R223" s="817">
        <f t="shared" si="90"/>
        <v>0</v>
      </c>
    </row>
    <row r="224" spans="2:20">
      <c r="B224" s="634" t="s">
        <v>867</v>
      </c>
      <c r="D224" s="817">
        <f>$C$221*D222</f>
        <v>0</v>
      </c>
      <c r="E224" s="817">
        <f>$C$221*E222</f>
        <v>0</v>
      </c>
      <c r="F224" s="817">
        <f>$C$221*F222</f>
        <v>0</v>
      </c>
      <c r="G224" s="817">
        <f t="shared" ref="G224:R224" si="91">$C$221*G222</f>
        <v>0</v>
      </c>
      <c r="H224" s="817">
        <f t="shared" si="91"/>
        <v>19380</v>
      </c>
      <c r="I224" s="817">
        <f t="shared" si="91"/>
        <v>25840</v>
      </c>
      <c r="J224" s="817">
        <f t="shared" si="91"/>
        <v>19380</v>
      </c>
      <c r="K224" s="817">
        <f t="shared" si="91"/>
        <v>0</v>
      </c>
      <c r="L224" s="817">
        <f t="shared" si="91"/>
        <v>0</v>
      </c>
      <c r="M224" s="817">
        <f t="shared" si="91"/>
        <v>0</v>
      </c>
      <c r="N224" s="817">
        <f t="shared" si="91"/>
        <v>0</v>
      </c>
      <c r="O224" s="817">
        <f t="shared" si="91"/>
        <v>0</v>
      </c>
      <c r="P224" s="817">
        <f t="shared" si="91"/>
        <v>0</v>
      </c>
      <c r="Q224" s="817">
        <f t="shared" si="91"/>
        <v>0</v>
      </c>
      <c r="R224" s="817">
        <f t="shared" si="91"/>
        <v>0</v>
      </c>
    </row>
    <row r="225" spans="2:18">
      <c r="B225" s="634" t="s">
        <v>868</v>
      </c>
      <c r="D225" s="688">
        <f>D224</f>
        <v>0</v>
      </c>
      <c r="E225" s="688">
        <f>D247+E224</f>
        <v>0</v>
      </c>
      <c r="F225" s="688">
        <f t="shared" ref="F225:R225" si="92">E247+F224</f>
        <v>0</v>
      </c>
      <c r="G225" s="688">
        <f t="shared" si="92"/>
        <v>0</v>
      </c>
      <c r="H225" s="688">
        <f t="shared" si="92"/>
        <v>19380</v>
      </c>
      <c r="I225" s="688">
        <f t="shared" si="92"/>
        <v>45220</v>
      </c>
      <c r="J225" s="688">
        <f t="shared" si="92"/>
        <v>64600</v>
      </c>
      <c r="K225" s="688">
        <f t="shared" si="92"/>
        <v>64600</v>
      </c>
      <c r="L225" s="688">
        <f t="shared" si="92"/>
        <v>58140</v>
      </c>
      <c r="M225" s="688">
        <f t="shared" si="92"/>
        <v>43066.666666666664</v>
      </c>
      <c r="N225" s="688">
        <f t="shared" si="92"/>
        <v>21533.333333333328</v>
      </c>
      <c r="O225" s="688">
        <f t="shared" si="92"/>
        <v>6459.9999999999945</v>
      </c>
      <c r="P225" s="688">
        <f t="shared" si="92"/>
        <v>0</v>
      </c>
      <c r="Q225" s="688">
        <f t="shared" si="92"/>
        <v>0</v>
      </c>
      <c r="R225" s="688">
        <f t="shared" si="92"/>
        <v>0</v>
      </c>
    </row>
    <row r="226" spans="2:18">
      <c r="B226" s="634" t="s">
        <v>869</v>
      </c>
      <c r="D226" s="688">
        <f>D225*E20</f>
        <v>0</v>
      </c>
      <c r="E226" s="688">
        <f>E225*E20</f>
        <v>0</v>
      </c>
      <c r="F226" s="688">
        <f t="shared" ref="F226:R226" si="93">F225*F20</f>
        <v>0</v>
      </c>
      <c r="G226" s="688">
        <f t="shared" si="93"/>
        <v>0</v>
      </c>
      <c r="H226" s="688">
        <f t="shared" si="93"/>
        <v>1938.0000000000005</v>
      </c>
      <c r="I226" s="688">
        <f t="shared" si="93"/>
        <v>4069.8000000000011</v>
      </c>
      <c r="J226" s="688">
        <f t="shared" si="93"/>
        <v>5814.0000000000018</v>
      </c>
      <c r="K226" s="688">
        <f t="shared" si="93"/>
        <v>5814.0000000000018</v>
      </c>
      <c r="L226" s="688">
        <f t="shared" si="93"/>
        <v>5232.6000000000013</v>
      </c>
      <c r="M226" s="688">
        <f t="shared" si="93"/>
        <v>3876.0000000000009</v>
      </c>
      <c r="N226" s="688">
        <f t="shared" si="93"/>
        <v>1938</v>
      </c>
      <c r="O226" s="688">
        <f t="shared" si="93"/>
        <v>581.39999999999964</v>
      </c>
      <c r="P226" s="688">
        <f t="shared" si="93"/>
        <v>0</v>
      </c>
      <c r="Q226" s="688">
        <f t="shared" si="93"/>
        <v>0</v>
      </c>
      <c r="R226" s="688">
        <f t="shared" si="93"/>
        <v>0</v>
      </c>
    </row>
    <row r="227" spans="2:18" ht="12" hidden="1" outlineLevel="1" thickBot="1">
      <c r="B227" s="634" t="s">
        <v>870</v>
      </c>
      <c r="C227" s="718">
        <v>3</v>
      </c>
      <c r="D227" s="688"/>
      <c r="E227" s="688"/>
      <c r="F227" s="688"/>
      <c r="G227" s="688"/>
      <c r="H227" s="688"/>
      <c r="I227" s="688"/>
      <c r="J227" s="688"/>
      <c r="K227" s="688"/>
      <c r="L227" s="688"/>
      <c r="M227" s="688"/>
      <c r="N227" s="688"/>
      <c r="O227" s="688"/>
      <c r="P227" s="688"/>
      <c r="Q227" s="688"/>
      <c r="R227" s="688"/>
    </row>
    <row r="228" spans="2:18" ht="12" hidden="1" outlineLevel="1" thickBot="1">
      <c r="B228" s="634" t="s">
        <v>871</v>
      </c>
      <c r="C228" s="718">
        <v>2018</v>
      </c>
      <c r="D228" s="688"/>
      <c r="E228" s="688"/>
      <c r="F228" s="688"/>
      <c r="G228" s="688"/>
      <c r="H228" s="688"/>
      <c r="I228" s="688"/>
      <c r="J228" s="688"/>
      <c r="K228" s="688"/>
      <c r="L228" s="688"/>
      <c r="M228" s="688"/>
      <c r="N228" s="688"/>
      <c r="O228" s="688"/>
      <c r="P228" s="688"/>
      <c r="Q228" s="688"/>
      <c r="R228" s="688"/>
    </row>
    <row r="229" spans="2:18" hidden="1" outlineLevel="1">
      <c r="B229" s="634" t="s">
        <v>872</v>
      </c>
      <c r="C229" s="688"/>
      <c r="D229" s="634"/>
    </row>
    <row r="230" spans="2:18" hidden="1" outlineLevel="1">
      <c r="B230" s="634">
        <f>HLOOKUP(1,$D$223:$R$224,1,0)</f>
        <v>1</v>
      </c>
      <c r="C230" s="688"/>
      <c r="D230" s="688">
        <f>IF(IF(D220=$C$228,1,IF(D220&gt;$C$228,C230+1,0))&gt;$C$227,-100,IF(D220=$C$228,1,IF(D220&gt;$C$228,C230+1,0)))</f>
        <v>0</v>
      </c>
      <c r="E230" s="688">
        <f>IF(IF(E220=$C$228,1,IF(E220&gt;$C$228,D230+1,0))&gt;$C$227,-100,IF(E220=$C$228,1,IF(E220&gt;$C$228,D230+1,0)))</f>
        <v>0</v>
      </c>
      <c r="F230" s="688">
        <f t="shared" ref="F230:R230" si="94">IF(IF(F220=$C$228,1,IF(F220&gt;$C$228,E230+1,0))&gt;$C$227,-100,IF(F220=$C$228,1,IF(F220&gt;$C$228,E230+1,0)))</f>
        <v>0</v>
      </c>
      <c r="G230" s="688">
        <f t="shared" si="94"/>
        <v>0</v>
      </c>
      <c r="H230" s="688">
        <f t="shared" si="94"/>
        <v>0</v>
      </c>
      <c r="I230" s="688">
        <f t="shared" si="94"/>
        <v>0</v>
      </c>
      <c r="J230" s="688">
        <f t="shared" si="94"/>
        <v>0</v>
      </c>
      <c r="K230" s="688">
        <f t="shared" si="94"/>
        <v>1</v>
      </c>
      <c r="L230" s="688">
        <f t="shared" si="94"/>
        <v>2</v>
      </c>
      <c r="M230" s="688">
        <f t="shared" si="94"/>
        <v>3</v>
      </c>
      <c r="N230" s="688">
        <f t="shared" si="94"/>
        <v>-100</v>
      </c>
      <c r="O230" s="688">
        <f t="shared" si="94"/>
        <v>-99</v>
      </c>
      <c r="P230" s="688">
        <f t="shared" si="94"/>
        <v>-98</v>
      </c>
      <c r="Q230" s="688">
        <f t="shared" si="94"/>
        <v>-97</v>
      </c>
      <c r="R230" s="688">
        <f t="shared" si="94"/>
        <v>-96</v>
      </c>
    </row>
    <row r="231" spans="2:18" hidden="1" outlineLevel="1">
      <c r="B231" s="634">
        <f>HLOOKUP(2,$D$223:$R$224,1,0)</f>
        <v>2</v>
      </c>
      <c r="C231" s="688"/>
      <c r="D231" s="688">
        <f>IF(ISNA($B231),0,IF(C230&gt;0,C230,0))</f>
        <v>0</v>
      </c>
      <c r="E231" s="688">
        <f t="shared" ref="D231:E237" si="95">IF(ISNA($B231),0,IF(D230&gt;0,D230,0))</f>
        <v>0</v>
      </c>
      <c r="F231" s="688">
        <f t="shared" ref="F231:R237" si="96">IF(ISNA($B231),0,IF(E230&gt;0,E230,0))</f>
        <v>0</v>
      </c>
      <c r="G231" s="688">
        <f t="shared" si="96"/>
        <v>0</v>
      </c>
      <c r="H231" s="688">
        <f t="shared" si="96"/>
        <v>0</v>
      </c>
      <c r="I231" s="688">
        <f t="shared" si="96"/>
        <v>0</v>
      </c>
      <c r="J231" s="688">
        <f t="shared" si="96"/>
        <v>0</v>
      </c>
      <c r="K231" s="688">
        <f t="shared" si="96"/>
        <v>0</v>
      </c>
      <c r="L231" s="688">
        <f t="shared" si="96"/>
        <v>1</v>
      </c>
      <c r="M231" s="688">
        <f t="shared" si="96"/>
        <v>2</v>
      </c>
      <c r="N231" s="688">
        <f t="shared" si="96"/>
        <v>3</v>
      </c>
      <c r="O231" s="688">
        <f t="shared" si="96"/>
        <v>0</v>
      </c>
      <c r="P231" s="688">
        <f t="shared" si="96"/>
        <v>0</v>
      </c>
      <c r="Q231" s="688">
        <f t="shared" si="96"/>
        <v>0</v>
      </c>
      <c r="R231" s="688">
        <f t="shared" si="96"/>
        <v>0</v>
      </c>
    </row>
    <row r="232" spans="2:18" hidden="1" outlineLevel="1">
      <c r="B232" s="634">
        <f>HLOOKUP(3,$D$223:$R$224,1,0)</f>
        <v>3</v>
      </c>
      <c r="C232" s="688"/>
      <c r="D232" s="688">
        <f>IF(ISNA($B232),0,IF(C231&gt;0,C231,0))</f>
        <v>0</v>
      </c>
      <c r="E232" s="688">
        <f t="shared" si="95"/>
        <v>0</v>
      </c>
      <c r="F232" s="688">
        <f t="shared" si="96"/>
        <v>0</v>
      </c>
      <c r="G232" s="688">
        <f t="shared" si="96"/>
        <v>0</v>
      </c>
      <c r="H232" s="688">
        <f t="shared" si="96"/>
        <v>0</v>
      </c>
      <c r="I232" s="688">
        <f t="shared" si="96"/>
        <v>0</v>
      </c>
      <c r="J232" s="688">
        <f t="shared" si="96"/>
        <v>0</v>
      </c>
      <c r="K232" s="688">
        <f t="shared" si="96"/>
        <v>0</v>
      </c>
      <c r="L232" s="688">
        <f t="shared" si="96"/>
        <v>0</v>
      </c>
      <c r="M232" s="688">
        <f t="shared" si="96"/>
        <v>1</v>
      </c>
      <c r="N232" s="688">
        <f t="shared" si="96"/>
        <v>2</v>
      </c>
      <c r="O232" s="688">
        <f t="shared" si="96"/>
        <v>3</v>
      </c>
      <c r="P232" s="688">
        <f t="shared" si="96"/>
        <v>0</v>
      </c>
      <c r="Q232" s="688">
        <f t="shared" si="96"/>
        <v>0</v>
      </c>
      <c r="R232" s="688">
        <f t="shared" si="96"/>
        <v>0</v>
      </c>
    </row>
    <row r="233" spans="2:18" hidden="1" outlineLevel="1">
      <c r="B233" s="634" t="e">
        <f>HLOOKUP(4,$D$223:$R$224,1,0)</f>
        <v>#N/A</v>
      </c>
      <c r="C233" s="688"/>
      <c r="D233" s="688">
        <f>IF(ISNA($B233),0,IF(C232&gt;0,C232,0))</f>
        <v>0</v>
      </c>
      <c r="E233" s="688">
        <f t="shared" si="95"/>
        <v>0</v>
      </c>
      <c r="F233" s="688">
        <f t="shared" si="96"/>
        <v>0</v>
      </c>
      <c r="G233" s="688">
        <f t="shared" si="96"/>
        <v>0</v>
      </c>
      <c r="H233" s="688">
        <f t="shared" si="96"/>
        <v>0</v>
      </c>
      <c r="I233" s="688">
        <f t="shared" si="96"/>
        <v>0</v>
      </c>
      <c r="J233" s="688">
        <f t="shared" si="96"/>
        <v>0</v>
      </c>
      <c r="K233" s="688">
        <f t="shared" si="96"/>
        <v>0</v>
      </c>
      <c r="L233" s="688">
        <f t="shared" si="96"/>
        <v>0</v>
      </c>
      <c r="M233" s="688">
        <f t="shared" si="96"/>
        <v>0</v>
      </c>
      <c r="N233" s="688">
        <f t="shared" si="96"/>
        <v>0</v>
      </c>
      <c r="O233" s="688">
        <f t="shared" si="96"/>
        <v>0</v>
      </c>
      <c r="P233" s="688">
        <f t="shared" si="96"/>
        <v>0</v>
      </c>
      <c r="Q233" s="688">
        <f t="shared" si="96"/>
        <v>0</v>
      </c>
      <c r="R233" s="688">
        <f t="shared" si="96"/>
        <v>0</v>
      </c>
    </row>
    <row r="234" spans="2:18" hidden="1" outlineLevel="1">
      <c r="B234" s="634" t="e">
        <f>HLOOKUP(5,$D$223:$R$224,1,0)</f>
        <v>#N/A</v>
      </c>
      <c r="C234" s="688"/>
      <c r="D234" s="688">
        <f t="shared" si="95"/>
        <v>0</v>
      </c>
      <c r="E234" s="688">
        <f t="shared" si="95"/>
        <v>0</v>
      </c>
      <c r="F234" s="688">
        <f t="shared" si="96"/>
        <v>0</v>
      </c>
      <c r="G234" s="688">
        <f t="shared" si="96"/>
        <v>0</v>
      </c>
      <c r="H234" s="688">
        <f t="shared" si="96"/>
        <v>0</v>
      </c>
      <c r="I234" s="688">
        <f t="shared" si="96"/>
        <v>0</v>
      </c>
      <c r="J234" s="688">
        <f t="shared" si="96"/>
        <v>0</v>
      </c>
      <c r="K234" s="688">
        <f t="shared" si="96"/>
        <v>0</v>
      </c>
      <c r="L234" s="688">
        <f t="shared" si="96"/>
        <v>0</v>
      </c>
      <c r="M234" s="688">
        <f t="shared" si="96"/>
        <v>0</v>
      </c>
      <c r="N234" s="688">
        <f t="shared" si="96"/>
        <v>0</v>
      </c>
      <c r="O234" s="688">
        <f t="shared" si="96"/>
        <v>0</v>
      </c>
      <c r="P234" s="688">
        <f t="shared" si="96"/>
        <v>0</v>
      </c>
      <c r="Q234" s="688">
        <f t="shared" si="96"/>
        <v>0</v>
      </c>
      <c r="R234" s="688">
        <f t="shared" si="96"/>
        <v>0</v>
      </c>
    </row>
    <row r="235" spans="2:18" hidden="1" outlineLevel="1">
      <c r="B235" s="634" t="e">
        <f>HLOOKUP(6,$D$223:$R$224,1,0)</f>
        <v>#N/A</v>
      </c>
      <c r="C235" s="688"/>
      <c r="D235" s="688">
        <f t="shared" si="95"/>
        <v>0</v>
      </c>
      <c r="E235" s="688">
        <f t="shared" si="95"/>
        <v>0</v>
      </c>
      <c r="F235" s="688">
        <f t="shared" si="96"/>
        <v>0</v>
      </c>
      <c r="G235" s="688">
        <f t="shared" si="96"/>
        <v>0</v>
      </c>
      <c r="H235" s="688">
        <f t="shared" si="96"/>
        <v>0</v>
      </c>
      <c r="I235" s="688">
        <f t="shared" si="96"/>
        <v>0</v>
      </c>
      <c r="J235" s="688">
        <f t="shared" si="96"/>
        <v>0</v>
      </c>
      <c r="K235" s="688">
        <f t="shared" si="96"/>
        <v>0</v>
      </c>
      <c r="L235" s="688">
        <f t="shared" si="96"/>
        <v>0</v>
      </c>
      <c r="M235" s="688">
        <f t="shared" si="96"/>
        <v>0</v>
      </c>
      <c r="N235" s="688">
        <f t="shared" si="96"/>
        <v>0</v>
      </c>
      <c r="O235" s="688">
        <f t="shared" si="96"/>
        <v>0</v>
      </c>
      <c r="P235" s="688">
        <f t="shared" si="96"/>
        <v>0</v>
      </c>
      <c r="Q235" s="688">
        <f t="shared" si="96"/>
        <v>0</v>
      </c>
      <c r="R235" s="688">
        <f t="shared" si="96"/>
        <v>0</v>
      </c>
    </row>
    <row r="236" spans="2:18" hidden="1" outlineLevel="1">
      <c r="B236" s="634" t="e">
        <f>HLOOKUP(7,$D$223:$R$224,1,0)</f>
        <v>#N/A</v>
      </c>
      <c r="C236" s="688"/>
      <c r="D236" s="688">
        <f t="shared" si="95"/>
        <v>0</v>
      </c>
      <c r="E236" s="688">
        <f t="shared" si="95"/>
        <v>0</v>
      </c>
      <c r="F236" s="688">
        <f t="shared" si="96"/>
        <v>0</v>
      </c>
      <c r="G236" s="688">
        <f t="shared" si="96"/>
        <v>0</v>
      </c>
      <c r="H236" s="688">
        <f t="shared" si="96"/>
        <v>0</v>
      </c>
      <c r="I236" s="688">
        <f t="shared" si="96"/>
        <v>0</v>
      </c>
      <c r="J236" s="688">
        <f t="shared" si="96"/>
        <v>0</v>
      </c>
      <c r="K236" s="688">
        <f t="shared" si="96"/>
        <v>0</v>
      </c>
      <c r="L236" s="688">
        <f t="shared" si="96"/>
        <v>0</v>
      </c>
      <c r="M236" s="688">
        <f t="shared" si="96"/>
        <v>0</v>
      </c>
      <c r="N236" s="688">
        <f t="shared" si="96"/>
        <v>0</v>
      </c>
      <c r="O236" s="688">
        <f t="shared" si="96"/>
        <v>0</v>
      </c>
      <c r="P236" s="688">
        <f t="shared" si="96"/>
        <v>0</v>
      </c>
      <c r="Q236" s="688">
        <f t="shared" si="96"/>
        <v>0</v>
      </c>
      <c r="R236" s="688">
        <f t="shared" si="96"/>
        <v>0</v>
      </c>
    </row>
    <row r="237" spans="2:18" hidden="1" outlineLevel="1">
      <c r="B237" s="634" t="e">
        <f>HLOOKUP(8,$D$223:$R$224,1,0)</f>
        <v>#N/A</v>
      </c>
      <c r="C237" s="688"/>
      <c r="D237" s="688">
        <f t="shared" si="95"/>
        <v>0</v>
      </c>
      <c r="E237" s="688">
        <f t="shared" si="95"/>
        <v>0</v>
      </c>
      <c r="F237" s="688">
        <f t="shared" si="96"/>
        <v>0</v>
      </c>
      <c r="G237" s="688">
        <f t="shared" si="96"/>
        <v>0</v>
      </c>
      <c r="H237" s="688">
        <f t="shared" si="96"/>
        <v>0</v>
      </c>
      <c r="I237" s="688">
        <f t="shared" si="96"/>
        <v>0</v>
      </c>
      <c r="J237" s="688">
        <f t="shared" si="96"/>
        <v>0</v>
      </c>
      <c r="K237" s="688">
        <f t="shared" si="96"/>
        <v>0</v>
      </c>
      <c r="L237" s="688">
        <f t="shared" si="96"/>
        <v>0</v>
      </c>
      <c r="M237" s="688">
        <f t="shared" si="96"/>
        <v>0</v>
      </c>
      <c r="N237" s="688">
        <f t="shared" si="96"/>
        <v>0</v>
      </c>
      <c r="O237" s="688">
        <f t="shared" si="96"/>
        <v>0</v>
      </c>
      <c r="P237" s="688">
        <f t="shared" si="96"/>
        <v>0</v>
      </c>
      <c r="Q237" s="688">
        <f t="shared" si="96"/>
        <v>0</v>
      </c>
      <c r="R237" s="688">
        <f t="shared" si="96"/>
        <v>0</v>
      </c>
    </row>
    <row r="238" spans="2:18" collapsed="1">
      <c r="B238" s="634" t="s">
        <v>873</v>
      </c>
      <c r="D238" s="719">
        <f>IF(ISERR(-SUM(D239:D246)),0,-SUM(D239:D246))</f>
        <v>0</v>
      </c>
      <c r="E238" s="719">
        <f>IF(ISERR(-SUM(E239:E246)),0,-SUM(E239:E246))</f>
        <v>0</v>
      </c>
      <c r="F238" s="719">
        <f t="shared" ref="F238:R238" si="97">IF(ISERR(-SUM(F239:F246)),0,-SUM(F239:F246))</f>
        <v>0</v>
      </c>
      <c r="G238" s="719">
        <f t="shared" si="97"/>
        <v>0</v>
      </c>
      <c r="H238" s="719">
        <f t="shared" si="97"/>
        <v>0</v>
      </c>
      <c r="I238" s="719">
        <f t="shared" si="97"/>
        <v>0</v>
      </c>
      <c r="J238" s="719">
        <f t="shared" si="97"/>
        <v>0</v>
      </c>
      <c r="K238" s="719">
        <f t="shared" si="97"/>
        <v>-6460</v>
      </c>
      <c r="L238" s="719">
        <f t="shared" si="97"/>
        <v>-15073.333333333334</v>
      </c>
      <c r="M238" s="719">
        <f t="shared" si="97"/>
        <v>-21533.333333333336</v>
      </c>
      <c r="N238" s="719">
        <f t="shared" si="97"/>
        <v>-15073.333333333334</v>
      </c>
      <c r="O238" s="719">
        <f t="shared" si="97"/>
        <v>-6460</v>
      </c>
      <c r="P238" s="719">
        <f t="shared" si="97"/>
        <v>0</v>
      </c>
      <c r="Q238" s="719">
        <f t="shared" si="97"/>
        <v>0</v>
      </c>
      <c r="R238" s="719">
        <f t="shared" si="97"/>
        <v>0</v>
      </c>
    </row>
    <row r="239" spans="2:18" hidden="1" outlineLevel="1">
      <c r="B239" s="634">
        <f>HLOOKUP(1,$D$223:$R$224,1,0)</f>
        <v>1</v>
      </c>
      <c r="D239" s="719">
        <f>IF(ISERR(IF(D230&gt;0,HLOOKUP($B239,$D$223:$R$224,2,0)/$C$227,0)),0,IF(D230&gt;0,HLOOKUP($B239,$D$223:$R$224,2,0)/$C$227,0))</f>
        <v>0</v>
      </c>
      <c r="E239" s="719">
        <f t="shared" ref="D239:E246" si="98">IF(ISERR(IF(E230&gt;0,HLOOKUP($B239,$D$223:$R$224,2,0)/$C$227,0)),0,IF(E230&gt;0,HLOOKUP($B239,$D$223:$R$224,2,0)/$C$227,0))</f>
        <v>0</v>
      </c>
      <c r="F239" s="719">
        <f t="shared" ref="F239:R239" si="99">IF(ISERR(IF(F230&gt;0,HLOOKUP($B239,$D$223:$R$224,2,0)/$C$227,0)),0,IF(F230&gt;0,HLOOKUP($B239,$D$223:$R$224,2,0)/$C$227,0))</f>
        <v>0</v>
      </c>
      <c r="G239" s="719">
        <f t="shared" si="99"/>
        <v>0</v>
      </c>
      <c r="H239" s="719">
        <f t="shared" si="99"/>
        <v>0</v>
      </c>
      <c r="I239" s="719">
        <f t="shared" si="99"/>
        <v>0</v>
      </c>
      <c r="J239" s="719">
        <f t="shared" si="99"/>
        <v>0</v>
      </c>
      <c r="K239" s="719">
        <f t="shared" si="99"/>
        <v>6460</v>
      </c>
      <c r="L239" s="719">
        <f t="shared" si="99"/>
        <v>6460</v>
      </c>
      <c r="M239" s="719">
        <f t="shared" si="99"/>
        <v>6460</v>
      </c>
      <c r="N239" s="719">
        <f t="shared" si="99"/>
        <v>0</v>
      </c>
      <c r="O239" s="719">
        <f t="shared" si="99"/>
        <v>0</v>
      </c>
      <c r="P239" s="719">
        <f t="shared" si="99"/>
        <v>0</v>
      </c>
      <c r="Q239" s="719">
        <f t="shared" si="99"/>
        <v>0</v>
      </c>
      <c r="R239" s="719">
        <f t="shared" si="99"/>
        <v>0</v>
      </c>
    </row>
    <row r="240" spans="2:18" hidden="1" outlineLevel="1">
      <c r="B240" s="634">
        <f>HLOOKUP(2,$D$223:$R$224,1,0)</f>
        <v>2</v>
      </c>
      <c r="D240" s="719">
        <f t="shared" si="98"/>
        <v>0</v>
      </c>
      <c r="E240" s="719">
        <f t="shared" si="98"/>
        <v>0</v>
      </c>
      <c r="F240" s="719">
        <f t="shared" ref="F240:R240" si="100">IF(ISERR(IF(F231&gt;0,HLOOKUP($B240,$D$223:$R$224,2,0)/$C$227,0)),0,IF(F231&gt;0,HLOOKUP($B240,$D$223:$R$224,2,0)/$C$227,0))</f>
        <v>0</v>
      </c>
      <c r="G240" s="719">
        <f t="shared" si="100"/>
        <v>0</v>
      </c>
      <c r="H240" s="719">
        <f t="shared" si="100"/>
        <v>0</v>
      </c>
      <c r="I240" s="719">
        <f t="shared" si="100"/>
        <v>0</v>
      </c>
      <c r="J240" s="719">
        <f t="shared" si="100"/>
        <v>0</v>
      </c>
      <c r="K240" s="719">
        <f t="shared" si="100"/>
        <v>0</v>
      </c>
      <c r="L240" s="719">
        <f t="shared" si="100"/>
        <v>8613.3333333333339</v>
      </c>
      <c r="M240" s="719">
        <f t="shared" si="100"/>
        <v>8613.3333333333339</v>
      </c>
      <c r="N240" s="719">
        <f t="shared" si="100"/>
        <v>8613.3333333333339</v>
      </c>
      <c r="O240" s="719">
        <f t="shared" si="100"/>
        <v>0</v>
      </c>
      <c r="P240" s="719">
        <f t="shared" si="100"/>
        <v>0</v>
      </c>
      <c r="Q240" s="719">
        <f t="shared" si="100"/>
        <v>0</v>
      </c>
      <c r="R240" s="719">
        <f t="shared" si="100"/>
        <v>0</v>
      </c>
    </row>
    <row r="241" spans="2:18" hidden="1" outlineLevel="1">
      <c r="B241" s="634">
        <f>HLOOKUP(3,$D$223:$R$224,1,0)</f>
        <v>3</v>
      </c>
      <c r="D241" s="719">
        <f>IF(ISERR(IF(D232&gt;0,HLOOKUP($B241,$D$223:$R$224,2,0)/$C$227,0)),0,IF(D232&gt;0,HLOOKUP($B241,$D$223:$R$224,2,0)/$C$227,0))</f>
        <v>0</v>
      </c>
      <c r="E241" s="719">
        <f t="shared" si="98"/>
        <v>0</v>
      </c>
      <c r="F241" s="719">
        <f t="shared" ref="F241:R241" si="101">IF(ISERR(IF(F232&gt;0,HLOOKUP($B241,$D$223:$R$224,2,0)/$C$227,0)),0,IF(F232&gt;0,HLOOKUP($B241,$D$223:$R$224,2,0)/$C$227,0))</f>
        <v>0</v>
      </c>
      <c r="G241" s="719">
        <f t="shared" si="101"/>
        <v>0</v>
      </c>
      <c r="H241" s="719">
        <f t="shared" si="101"/>
        <v>0</v>
      </c>
      <c r="I241" s="719">
        <f t="shared" si="101"/>
        <v>0</v>
      </c>
      <c r="J241" s="719">
        <f t="shared" si="101"/>
        <v>0</v>
      </c>
      <c r="K241" s="719">
        <f t="shared" si="101"/>
        <v>0</v>
      </c>
      <c r="L241" s="719">
        <f t="shared" si="101"/>
        <v>0</v>
      </c>
      <c r="M241" s="719">
        <f t="shared" si="101"/>
        <v>6460</v>
      </c>
      <c r="N241" s="719">
        <f t="shared" si="101"/>
        <v>6460</v>
      </c>
      <c r="O241" s="719">
        <f t="shared" si="101"/>
        <v>6460</v>
      </c>
      <c r="P241" s="719">
        <f t="shared" si="101"/>
        <v>0</v>
      </c>
      <c r="Q241" s="719">
        <f t="shared" si="101"/>
        <v>0</v>
      </c>
      <c r="R241" s="719">
        <f t="shared" si="101"/>
        <v>0</v>
      </c>
    </row>
    <row r="242" spans="2:18" hidden="1" outlineLevel="1">
      <c r="B242" s="634" t="e">
        <f>HLOOKUP(4,$D$223:$R$224,1,0)</f>
        <v>#N/A</v>
      </c>
      <c r="D242" s="719">
        <f t="shared" si="98"/>
        <v>0</v>
      </c>
      <c r="E242" s="719">
        <f t="shared" si="98"/>
        <v>0</v>
      </c>
      <c r="F242" s="719">
        <f t="shared" ref="F242:R242" si="102">IF(ISERR(IF(F233&gt;0,HLOOKUP($B242,$D$223:$R$224,2,0)/$C$227,0)),0,IF(F233&gt;0,HLOOKUP($B242,$D$223:$R$224,2,0)/$C$227,0))</f>
        <v>0</v>
      </c>
      <c r="G242" s="719">
        <f t="shared" si="102"/>
        <v>0</v>
      </c>
      <c r="H242" s="719">
        <f t="shared" si="102"/>
        <v>0</v>
      </c>
      <c r="I242" s="719">
        <f t="shared" si="102"/>
        <v>0</v>
      </c>
      <c r="J242" s="719">
        <f t="shared" si="102"/>
        <v>0</v>
      </c>
      <c r="K242" s="719">
        <f t="shared" si="102"/>
        <v>0</v>
      </c>
      <c r="L242" s="719">
        <f t="shared" si="102"/>
        <v>0</v>
      </c>
      <c r="M242" s="719">
        <f t="shared" si="102"/>
        <v>0</v>
      </c>
      <c r="N242" s="719">
        <f t="shared" si="102"/>
        <v>0</v>
      </c>
      <c r="O242" s="719">
        <f t="shared" si="102"/>
        <v>0</v>
      </c>
      <c r="P242" s="719">
        <f t="shared" si="102"/>
        <v>0</v>
      </c>
      <c r="Q242" s="719">
        <f t="shared" si="102"/>
        <v>0</v>
      </c>
      <c r="R242" s="719">
        <f t="shared" si="102"/>
        <v>0</v>
      </c>
    </row>
    <row r="243" spans="2:18" hidden="1" outlineLevel="1">
      <c r="B243" s="634" t="e">
        <f>HLOOKUP(5,$D$223:$R$224,1,0)</f>
        <v>#N/A</v>
      </c>
      <c r="D243" s="719">
        <f t="shared" si="98"/>
        <v>0</v>
      </c>
      <c r="E243" s="719">
        <f t="shared" si="98"/>
        <v>0</v>
      </c>
      <c r="F243" s="719">
        <f t="shared" ref="F243:R243" si="103">IF(ISERR(IF(F234&gt;0,HLOOKUP($B243,$D$223:$R$224,2,0)/$C$227,0)),0,IF(F234&gt;0,HLOOKUP($B243,$D$223:$R$224,2,0)/$C$227,0))</f>
        <v>0</v>
      </c>
      <c r="G243" s="719">
        <f t="shared" si="103"/>
        <v>0</v>
      </c>
      <c r="H243" s="719">
        <f t="shared" si="103"/>
        <v>0</v>
      </c>
      <c r="I243" s="719">
        <f t="shared" si="103"/>
        <v>0</v>
      </c>
      <c r="J243" s="719">
        <f t="shared" si="103"/>
        <v>0</v>
      </c>
      <c r="K243" s="719">
        <f t="shared" si="103"/>
        <v>0</v>
      </c>
      <c r="L243" s="719">
        <f t="shared" si="103"/>
        <v>0</v>
      </c>
      <c r="M243" s="719">
        <f t="shared" si="103"/>
        <v>0</v>
      </c>
      <c r="N243" s="719">
        <f t="shared" si="103"/>
        <v>0</v>
      </c>
      <c r="O243" s="719">
        <f t="shared" si="103"/>
        <v>0</v>
      </c>
      <c r="P243" s="719">
        <f t="shared" si="103"/>
        <v>0</v>
      </c>
      <c r="Q243" s="719">
        <f t="shared" si="103"/>
        <v>0</v>
      </c>
      <c r="R243" s="719">
        <f t="shared" si="103"/>
        <v>0</v>
      </c>
    </row>
    <row r="244" spans="2:18" hidden="1" outlineLevel="1">
      <c r="B244" s="634" t="e">
        <f>HLOOKUP(6,$D$223:$R$224,1,0)</f>
        <v>#N/A</v>
      </c>
      <c r="D244" s="719">
        <f t="shared" si="98"/>
        <v>0</v>
      </c>
      <c r="E244" s="719">
        <f t="shared" si="98"/>
        <v>0</v>
      </c>
      <c r="F244" s="719">
        <f t="shared" ref="F244:R244" si="104">IF(ISERR(IF(F235&gt;0,HLOOKUP($B244,$D$223:$R$224,2,0)/$C$227,0)),0,IF(F235&gt;0,HLOOKUP($B244,$D$223:$R$224,2,0)/$C$227,0))</f>
        <v>0</v>
      </c>
      <c r="G244" s="719">
        <f t="shared" si="104"/>
        <v>0</v>
      </c>
      <c r="H244" s="719">
        <f t="shared" si="104"/>
        <v>0</v>
      </c>
      <c r="I244" s="719">
        <f t="shared" si="104"/>
        <v>0</v>
      </c>
      <c r="J244" s="719">
        <f t="shared" si="104"/>
        <v>0</v>
      </c>
      <c r="K244" s="719">
        <f t="shared" si="104"/>
        <v>0</v>
      </c>
      <c r="L244" s="719">
        <f t="shared" si="104"/>
        <v>0</v>
      </c>
      <c r="M244" s="719">
        <f t="shared" si="104"/>
        <v>0</v>
      </c>
      <c r="N244" s="719">
        <f t="shared" si="104"/>
        <v>0</v>
      </c>
      <c r="O244" s="719">
        <f t="shared" si="104"/>
        <v>0</v>
      </c>
      <c r="P244" s="719">
        <f t="shared" si="104"/>
        <v>0</v>
      </c>
      <c r="Q244" s="719">
        <f t="shared" si="104"/>
        <v>0</v>
      </c>
      <c r="R244" s="719">
        <f t="shared" si="104"/>
        <v>0</v>
      </c>
    </row>
    <row r="245" spans="2:18" hidden="1" outlineLevel="1">
      <c r="B245" s="634" t="e">
        <f>HLOOKUP(7,$D$223:$R$224,1,0)</f>
        <v>#N/A</v>
      </c>
      <c r="D245" s="719">
        <f t="shared" si="98"/>
        <v>0</v>
      </c>
      <c r="E245" s="719">
        <f t="shared" si="98"/>
        <v>0</v>
      </c>
      <c r="F245" s="719">
        <f t="shared" ref="F245:R245" si="105">IF(ISERR(IF(F236&gt;0,HLOOKUP($B245,$D$223:$R$224,2,0)/$C$227,0)),0,IF(F236&gt;0,HLOOKUP($B245,$D$223:$R$224,2,0)/$C$227,0))</f>
        <v>0</v>
      </c>
      <c r="G245" s="719">
        <f t="shared" si="105"/>
        <v>0</v>
      </c>
      <c r="H245" s="719">
        <f t="shared" si="105"/>
        <v>0</v>
      </c>
      <c r="I245" s="719">
        <f t="shared" si="105"/>
        <v>0</v>
      </c>
      <c r="J245" s="719">
        <f t="shared" si="105"/>
        <v>0</v>
      </c>
      <c r="K245" s="719">
        <f t="shared" si="105"/>
        <v>0</v>
      </c>
      <c r="L245" s="719">
        <f t="shared" si="105"/>
        <v>0</v>
      </c>
      <c r="M245" s="719">
        <f t="shared" si="105"/>
        <v>0</v>
      </c>
      <c r="N245" s="719">
        <f t="shared" si="105"/>
        <v>0</v>
      </c>
      <c r="O245" s="719">
        <f t="shared" si="105"/>
        <v>0</v>
      </c>
      <c r="P245" s="719">
        <f t="shared" si="105"/>
        <v>0</v>
      </c>
      <c r="Q245" s="719">
        <f t="shared" si="105"/>
        <v>0</v>
      </c>
      <c r="R245" s="719">
        <f t="shared" si="105"/>
        <v>0</v>
      </c>
    </row>
    <row r="246" spans="2:18" hidden="1" outlineLevel="1">
      <c r="B246" s="634" t="e">
        <f>HLOOKUP(8,$D$223:$R$224,1,0)</f>
        <v>#N/A</v>
      </c>
      <c r="D246" s="719">
        <f t="shared" si="98"/>
        <v>0</v>
      </c>
      <c r="E246" s="719">
        <f t="shared" si="98"/>
        <v>0</v>
      </c>
      <c r="F246" s="719">
        <f t="shared" ref="F246:R246" si="106">IF(ISERR(IF(F237&gt;0,HLOOKUP($B246,$D$223:$R$224,2,0)/$C$227,0)),0,IF(F237&gt;0,HLOOKUP($B246,$D$223:$R$224,2,0)/$C$227,0))</f>
        <v>0</v>
      </c>
      <c r="G246" s="719">
        <f t="shared" si="106"/>
        <v>0</v>
      </c>
      <c r="H246" s="719">
        <f t="shared" si="106"/>
        <v>0</v>
      </c>
      <c r="I246" s="719">
        <f t="shared" si="106"/>
        <v>0</v>
      </c>
      <c r="J246" s="719">
        <f t="shared" si="106"/>
        <v>0</v>
      </c>
      <c r="K246" s="719">
        <f t="shared" si="106"/>
        <v>0</v>
      </c>
      <c r="L246" s="719">
        <f t="shared" si="106"/>
        <v>0</v>
      </c>
      <c r="M246" s="719">
        <f t="shared" si="106"/>
        <v>0</v>
      </c>
      <c r="N246" s="719">
        <f t="shared" si="106"/>
        <v>0</v>
      </c>
      <c r="O246" s="719">
        <f t="shared" si="106"/>
        <v>0</v>
      </c>
      <c r="P246" s="719">
        <f t="shared" si="106"/>
        <v>0</v>
      </c>
      <c r="Q246" s="719">
        <f t="shared" si="106"/>
        <v>0</v>
      </c>
      <c r="R246" s="719">
        <f t="shared" si="106"/>
        <v>0</v>
      </c>
    </row>
    <row r="247" spans="2:18" collapsed="1">
      <c r="B247" s="634" t="s">
        <v>874</v>
      </c>
      <c r="D247" s="688">
        <f>D225+D238</f>
        <v>0</v>
      </c>
      <c r="E247" s="688">
        <f>E225+E238</f>
        <v>0</v>
      </c>
      <c r="F247" s="688">
        <f t="shared" ref="F247:R247" si="107">F225+F238</f>
        <v>0</v>
      </c>
      <c r="G247" s="688">
        <f t="shared" si="107"/>
        <v>0</v>
      </c>
      <c r="H247" s="688">
        <f t="shared" si="107"/>
        <v>19380</v>
      </c>
      <c r="I247" s="688">
        <f t="shared" si="107"/>
        <v>45220</v>
      </c>
      <c r="J247" s="688">
        <f t="shared" si="107"/>
        <v>64600</v>
      </c>
      <c r="K247" s="688">
        <f t="shared" si="107"/>
        <v>58140</v>
      </c>
      <c r="L247" s="688">
        <f t="shared" si="107"/>
        <v>43066.666666666664</v>
      </c>
      <c r="M247" s="688">
        <f t="shared" si="107"/>
        <v>21533.333333333328</v>
      </c>
      <c r="N247" s="688">
        <f t="shared" si="107"/>
        <v>6459.9999999999945</v>
      </c>
      <c r="O247" s="688">
        <f t="shared" si="107"/>
        <v>0</v>
      </c>
      <c r="P247" s="688">
        <f t="shared" si="107"/>
        <v>0</v>
      </c>
      <c r="Q247" s="688">
        <f t="shared" si="107"/>
        <v>0</v>
      </c>
      <c r="R247" s="688">
        <f t="shared" si="107"/>
        <v>0</v>
      </c>
    </row>
  </sheetData>
  <pageMargins left="0.7" right="0.7" top="0.75" bottom="0.75" header="0.3" footer="0.3"/>
  <pageSetup paperSize="9" orientation="portrait" r:id="rId1"/>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Q143"/>
  <sheetViews>
    <sheetView topLeftCell="A115" zoomScale="110" zoomScaleNormal="110" workbookViewId="0">
      <selection activeCell="G107" sqref="G107"/>
    </sheetView>
  </sheetViews>
  <sheetFormatPr defaultColWidth="9.140625" defaultRowHeight="14.25" customHeight="1"/>
  <cols>
    <col min="1" max="1" width="5.85546875" style="1406" customWidth="1"/>
    <col min="2" max="2" width="27.140625" style="1431" customWidth="1"/>
    <col min="3" max="13" width="9.140625" style="1431" customWidth="1"/>
    <col min="14" max="16384" width="9.140625" style="1431"/>
  </cols>
  <sheetData>
    <row r="1" spans="1:17" ht="21">
      <c r="A1" s="1404" t="s">
        <v>1599</v>
      </c>
    </row>
    <row r="2" spans="1:17" ht="12">
      <c r="A2" s="1405" t="s">
        <v>1538</v>
      </c>
    </row>
    <row r="4" spans="1:17" ht="12">
      <c r="B4" s="1407" t="s">
        <v>1539</v>
      </c>
      <c r="F4" s="1407" t="s">
        <v>1540</v>
      </c>
      <c r="K4" s="1407" t="s">
        <v>1595</v>
      </c>
    </row>
    <row r="5" spans="1:17" ht="12">
      <c r="B5" s="1432" t="s">
        <v>748</v>
      </c>
      <c r="C5" s="1432"/>
      <c r="D5" s="1408">
        <f>SUM(D6:D8)</f>
        <v>646000</v>
      </c>
      <c r="F5" s="1432" t="s">
        <v>636</v>
      </c>
      <c r="G5" s="1432"/>
      <c r="H5" s="1432"/>
      <c r="I5" s="1409">
        <v>1</v>
      </c>
      <c r="K5" s="1431" t="s">
        <v>1140</v>
      </c>
    </row>
    <row r="6" spans="1:17" ht="12">
      <c r="B6" s="1431" t="s">
        <v>678</v>
      </c>
      <c r="D6" s="1410">
        <f>SUM(E30:E31)</f>
        <v>103974</v>
      </c>
      <c r="F6" s="1431" t="s">
        <v>1541</v>
      </c>
      <c r="I6" s="1411">
        <v>0</v>
      </c>
      <c r="K6" s="1431" t="s">
        <v>1596</v>
      </c>
    </row>
    <row r="7" spans="1:17" ht="12">
      <c r="B7" s="1431" t="s">
        <v>749</v>
      </c>
      <c r="D7" s="1410">
        <f>SUM(E32:E33)</f>
        <v>23994</v>
      </c>
      <c r="F7" s="1431" t="s">
        <v>755</v>
      </c>
      <c r="I7" s="1412">
        <v>2026</v>
      </c>
      <c r="K7" s="1431" t="s">
        <v>1596</v>
      </c>
    </row>
    <row r="8" spans="1:17" ht="12">
      <c r="B8" s="1431" t="s">
        <v>750</v>
      </c>
      <c r="D8" s="1410">
        <f>C72</f>
        <v>518032.00000000006</v>
      </c>
      <c r="F8" s="1431" t="s">
        <v>1542</v>
      </c>
      <c r="I8" s="1411">
        <v>0.1</v>
      </c>
      <c r="K8" s="1431" t="s">
        <v>1596</v>
      </c>
    </row>
    <row r="9" spans="1:17" ht="12">
      <c r="B9" s="1431" t="s">
        <v>1543</v>
      </c>
      <c r="D9" s="1412">
        <v>2013</v>
      </c>
      <c r="F9" s="1431" t="s">
        <v>1544</v>
      </c>
      <c r="I9" s="1433">
        <f>D22</f>
        <v>0.13920000000000002</v>
      </c>
    </row>
    <row r="10" spans="1:17" ht="12">
      <c r="B10" s="1431" t="s">
        <v>751</v>
      </c>
      <c r="D10" s="1412">
        <v>2018</v>
      </c>
      <c r="F10" s="1431" t="s">
        <v>1588</v>
      </c>
      <c r="I10" s="1425" t="e">
        <f>B111</f>
        <v>#NUM!</v>
      </c>
    </row>
    <row r="11" spans="1:17" ht="12">
      <c r="B11" s="1431" t="s">
        <v>1545</v>
      </c>
      <c r="D11" s="1412">
        <v>2015</v>
      </c>
      <c r="F11" s="1431" t="s">
        <v>1591</v>
      </c>
      <c r="I11" s="1410">
        <f>C108</f>
        <v>0</v>
      </c>
    </row>
    <row r="12" spans="1:17" ht="12">
      <c r="E12" s="1412"/>
      <c r="J12" s="1413"/>
    </row>
    <row r="13" spans="1:17" ht="12">
      <c r="B13" s="1407" t="s">
        <v>1546</v>
      </c>
      <c r="D13" s="1414">
        <f>D9</f>
        <v>2013</v>
      </c>
      <c r="E13" s="1407">
        <f t="shared" ref="E13:Q13" si="0">D13+1</f>
        <v>2014</v>
      </c>
      <c r="F13" s="1407">
        <f t="shared" si="0"/>
        <v>2015</v>
      </c>
      <c r="G13" s="1407">
        <f t="shared" si="0"/>
        <v>2016</v>
      </c>
      <c r="H13" s="1407">
        <f t="shared" si="0"/>
        <v>2017</v>
      </c>
      <c r="I13" s="1407">
        <f t="shared" si="0"/>
        <v>2018</v>
      </c>
      <c r="J13" s="1407">
        <f t="shared" si="0"/>
        <v>2019</v>
      </c>
      <c r="K13" s="1407">
        <f t="shared" si="0"/>
        <v>2020</v>
      </c>
      <c r="L13" s="1407">
        <f t="shared" si="0"/>
        <v>2021</v>
      </c>
      <c r="M13" s="1407">
        <f t="shared" si="0"/>
        <v>2022</v>
      </c>
      <c r="N13" s="1407">
        <f t="shared" si="0"/>
        <v>2023</v>
      </c>
      <c r="O13" s="1407">
        <f t="shared" si="0"/>
        <v>2024</v>
      </c>
      <c r="P13" s="1407">
        <f t="shared" si="0"/>
        <v>2025</v>
      </c>
      <c r="Q13" s="1407">
        <f t="shared" si="0"/>
        <v>2026</v>
      </c>
    </row>
    <row r="14" spans="1:17" ht="12">
      <c r="B14" s="1432" t="s">
        <v>1547</v>
      </c>
      <c r="C14" s="1432"/>
      <c r="D14" s="1434">
        <f>1-I8</f>
        <v>0.9</v>
      </c>
      <c r="E14" s="1434">
        <f t="shared" ref="E14:Q17" si="1">D14</f>
        <v>0.9</v>
      </c>
      <c r="F14" s="1434">
        <f t="shared" si="1"/>
        <v>0.9</v>
      </c>
      <c r="G14" s="1434">
        <f t="shared" si="1"/>
        <v>0.9</v>
      </c>
      <c r="H14" s="1434">
        <f t="shared" si="1"/>
        <v>0.9</v>
      </c>
      <c r="I14" s="1434">
        <f t="shared" si="1"/>
        <v>0.9</v>
      </c>
      <c r="J14" s="1434">
        <f t="shared" si="1"/>
        <v>0.9</v>
      </c>
      <c r="K14" s="1434">
        <f t="shared" si="1"/>
        <v>0.9</v>
      </c>
      <c r="L14" s="1434">
        <f t="shared" si="1"/>
        <v>0.9</v>
      </c>
      <c r="M14" s="1434">
        <f t="shared" si="1"/>
        <v>0.9</v>
      </c>
      <c r="N14" s="1434">
        <f t="shared" si="1"/>
        <v>0.9</v>
      </c>
      <c r="O14" s="1434">
        <f t="shared" si="1"/>
        <v>0.9</v>
      </c>
      <c r="P14" s="1434">
        <f t="shared" si="1"/>
        <v>0.9</v>
      </c>
      <c r="Q14" s="1434">
        <f t="shared" si="1"/>
        <v>0.9</v>
      </c>
    </row>
    <row r="15" spans="1:17" ht="12">
      <c r="B15" s="1431" t="s">
        <v>610</v>
      </c>
      <c r="D15" s="1413">
        <v>1.3</v>
      </c>
      <c r="E15" s="1431">
        <f>D15</f>
        <v>1.3</v>
      </c>
      <c r="F15" s="1431">
        <f t="shared" si="1"/>
        <v>1.3</v>
      </c>
      <c r="G15" s="1431">
        <f t="shared" si="1"/>
        <v>1.3</v>
      </c>
      <c r="H15" s="1431">
        <f t="shared" si="1"/>
        <v>1.3</v>
      </c>
      <c r="I15" s="1431">
        <f t="shared" si="1"/>
        <v>1.3</v>
      </c>
      <c r="J15" s="1431">
        <f t="shared" si="1"/>
        <v>1.3</v>
      </c>
      <c r="K15" s="1431">
        <f t="shared" si="1"/>
        <v>1.3</v>
      </c>
      <c r="L15" s="1431">
        <f t="shared" si="1"/>
        <v>1.3</v>
      </c>
      <c r="M15" s="1431">
        <f t="shared" si="1"/>
        <v>1.3</v>
      </c>
      <c r="N15" s="1431">
        <f t="shared" si="1"/>
        <v>1.3</v>
      </c>
      <c r="O15" s="1431">
        <f t="shared" si="1"/>
        <v>1.3</v>
      </c>
      <c r="P15" s="1431">
        <f t="shared" si="1"/>
        <v>1.3</v>
      </c>
      <c r="Q15" s="1431">
        <f t="shared" si="1"/>
        <v>1.3</v>
      </c>
    </row>
    <row r="16" spans="1:17" ht="12">
      <c r="B16" s="1431" t="s">
        <v>757</v>
      </c>
      <c r="D16" s="1415">
        <v>5.5E-2</v>
      </c>
      <c r="E16" s="1435">
        <f t="shared" si="1"/>
        <v>5.5E-2</v>
      </c>
      <c r="F16" s="1435">
        <f t="shared" si="1"/>
        <v>5.5E-2</v>
      </c>
      <c r="G16" s="1435">
        <f t="shared" si="1"/>
        <v>5.5E-2</v>
      </c>
      <c r="H16" s="1435">
        <f t="shared" si="1"/>
        <v>5.5E-2</v>
      </c>
      <c r="I16" s="1435">
        <f t="shared" si="1"/>
        <v>5.5E-2</v>
      </c>
      <c r="J16" s="1435">
        <f t="shared" si="1"/>
        <v>5.5E-2</v>
      </c>
      <c r="K16" s="1435">
        <f t="shared" si="1"/>
        <v>5.5E-2</v>
      </c>
      <c r="L16" s="1435">
        <f t="shared" si="1"/>
        <v>5.5E-2</v>
      </c>
      <c r="M16" s="1435">
        <f t="shared" si="1"/>
        <v>5.5E-2</v>
      </c>
      <c r="N16" s="1435">
        <f t="shared" si="1"/>
        <v>5.5E-2</v>
      </c>
      <c r="O16" s="1435">
        <f t="shared" si="1"/>
        <v>5.5E-2</v>
      </c>
      <c r="P16" s="1435">
        <f t="shared" si="1"/>
        <v>5.5E-2</v>
      </c>
      <c r="Q16" s="1435">
        <f t="shared" si="1"/>
        <v>5.5E-2</v>
      </c>
    </row>
    <row r="17" spans="1:17" ht="12">
      <c r="B17" s="1431" t="s">
        <v>609</v>
      </c>
      <c r="D17" s="1415">
        <v>7.0000000000000007E-2</v>
      </c>
      <c r="E17" s="1435">
        <f t="shared" si="1"/>
        <v>7.0000000000000007E-2</v>
      </c>
      <c r="F17" s="1435">
        <f t="shared" si="1"/>
        <v>7.0000000000000007E-2</v>
      </c>
      <c r="G17" s="1435">
        <f t="shared" si="1"/>
        <v>7.0000000000000007E-2</v>
      </c>
      <c r="H17" s="1435">
        <f t="shared" si="1"/>
        <v>7.0000000000000007E-2</v>
      </c>
      <c r="I17" s="1435">
        <f t="shared" si="1"/>
        <v>7.0000000000000007E-2</v>
      </c>
      <c r="J17" s="1435">
        <f t="shared" si="1"/>
        <v>7.0000000000000007E-2</v>
      </c>
      <c r="K17" s="1435">
        <f t="shared" si="1"/>
        <v>7.0000000000000007E-2</v>
      </c>
      <c r="L17" s="1435">
        <f t="shared" si="1"/>
        <v>7.0000000000000007E-2</v>
      </c>
      <c r="M17" s="1435">
        <f t="shared" si="1"/>
        <v>7.0000000000000007E-2</v>
      </c>
      <c r="N17" s="1435">
        <f t="shared" si="1"/>
        <v>7.0000000000000007E-2</v>
      </c>
      <c r="O17" s="1435">
        <f t="shared" si="1"/>
        <v>7.0000000000000007E-2</v>
      </c>
      <c r="P17" s="1435">
        <f t="shared" si="1"/>
        <v>7.0000000000000007E-2</v>
      </c>
      <c r="Q17" s="1435">
        <f t="shared" si="1"/>
        <v>7.0000000000000007E-2</v>
      </c>
    </row>
    <row r="18" spans="1:17" ht="12">
      <c r="B18" s="1431" t="s">
        <v>758</v>
      </c>
      <c r="D18" s="1433">
        <f t="shared" ref="D18:I18" si="2">D16+D15*D17</f>
        <v>0.14600000000000002</v>
      </c>
      <c r="E18" s="1433">
        <f t="shared" si="2"/>
        <v>0.14600000000000002</v>
      </c>
      <c r="F18" s="1433">
        <f t="shared" si="2"/>
        <v>0.14600000000000002</v>
      </c>
      <c r="G18" s="1433">
        <f t="shared" si="2"/>
        <v>0.14600000000000002</v>
      </c>
      <c r="H18" s="1433">
        <f t="shared" si="2"/>
        <v>0.14600000000000002</v>
      </c>
      <c r="I18" s="1433">
        <f t="shared" si="2"/>
        <v>0.14600000000000002</v>
      </c>
      <c r="J18" s="1433">
        <f t="shared" ref="J18:Q18" si="3">J16+J15*J17</f>
        <v>0.14600000000000002</v>
      </c>
      <c r="K18" s="1433">
        <f t="shared" si="3"/>
        <v>0.14600000000000002</v>
      </c>
      <c r="L18" s="1433">
        <f t="shared" si="3"/>
        <v>0.14600000000000002</v>
      </c>
      <c r="M18" s="1433">
        <f t="shared" si="3"/>
        <v>0.14600000000000002</v>
      </c>
      <c r="N18" s="1433">
        <f t="shared" si="3"/>
        <v>0.14600000000000002</v>
      </c>
      <c r="O18" s="1433">
        <f t="shared" si="3"/>
        <v>0.14600000000000002</v>
      </c>
      <c r="P18" s="1433">
        <f t="shared" si="3"/>
        <v>0.14600000000000002</v>
      </c>
      <c r="Q18" s="1433">
        <f t="shared" si="3"/>
        <v>0.14600000000000002</v>
      </c>
    </row>
    <row r="19" spans="1:17" ht="12">
      <c r="B19" s="1431" t="s">
        <v>1542</v>
      </c>
      <c r="D19" s="1436">
        <f t="shared" ref="D19:Q19" si="4">$I$8</f>
        <v>0.1</v>
      </c>
      <c r="E19" s="1436">
        <f t="shared" si="4"/>
        <v>0.1</v>
      </c>
      <c r="F19" s="1436">
        <f t="shared" si="4"/>
        <v>0.1</v>
      </c>
      <c r="G19" s="1436">
        <f t="shared" si="4"/>
        <v>0.1</v>
      </c>
      <c r="H19" s="1436">
        <f t="shared" si="4"/>
        <v>0.1</v>
      </c>
      <c r="I19" s="1436">
        <f t="shared" si="4"/>
        <v>0.1</v>
      </c>
      <c r="J19" s="1436">
        <f t="shared" si="4"/>
        <v>0.1</v>
      </c>
      <c r="K19" s="1436">
        <f t="shared" si="4"/>
        <v>0.1</v>
      </c>
      <c r="L19" s="1436">
        <f t="shared" si="4"/>
        <v>0.1</v>
      </c>
      <c r="M19" s="1436">
        <f t="shared" si="4"/>
        <v>0.1</v>
      </c>
      <c r="N19" s="1436">
        <f t="shared" si="4"/>
        <v>0.1</v>
      </c>
      <c r="O19" s="1436">
        <f t="shared" si="4"/>
        <v>0.1</v>
      </c>
      <c r="P19" s="1436">
        <f t="shared" si="4"/>
        <v>0.1</v>
      </c>
      <c r="Q19" s="1436">
        <f t="shared" si="4"/>
        <v>0.1</v>
      </c>
    </row>
    <row r="20" spans="1:17" ht="12">
      <c r="B20" s="1431" t="s">
        <v>760</v>
      </c>
      <c r="D20" s="1416">
        <v>0.1</v>
      </c>
      <c r="E20" s="1418">
        <f>D20</f>
        <v>0.1</v>
      </c>
      <c r="F20" s="1418">
        <f t="shared" ref="F20:Q21" si="5">E20</f>
        <v>0.1</v>
      </c>
      <c r="G20" s="1418">
        <f t="shared" si="5"/>
        <v>0.1</v>
      </c>
      <c r="H20" s="1418">
        <f t="shared" si="5"/>
        <v>0.1</v>
      </c>
      <c r="I20" s="1418">
        <f t="shared" si="5"/>
        <v>0.1</v>
      </c>
      <c r="J20" s="1418">
        <f t="shared" si="5"/>
        <v>0.1</v>
      </c>
      <c r="K20" s="1418">
        <f t="shared" si="5"/>
        <v>0.1</v>
      </c>
      <c r="L20" s="1418">
        <f t="shared" si="5"/>
        <v>0.1</v>
      </c>
      <c r="M20" s="1418">
        <f t="shared" si="5"/>
        <v>0.1</v>
      </c>
      <c r="N20" s="1418">
        <f t="shared" si="5"/>
        <v>0.1</v>
      </c>
      <c r="O20" s="1418">
        <f t="shared" si="5"/>
        <v>0.1</v>
      </c>
      <c r="P20" s="1418">
        <f t="shared" si="5"/>
        <v>0.1</v>
      </c>
      <c r="Q20" s="1418">
        <f t="shared" si="5"/>
        <v>0.1</v>
      </c>
    </row>
    <row r="21" spans="1:17" ht="12">
      <c r="B21" s="1431" t="s">
        <v>846</v>
      </c>
      <c r="D21" s="1416">
        <v>0.22</v>
      </c>
      <c r="E21" s="1417">
        <f>D21</f>
        <v>0.22</v>
      </c>
      <c r="F21" s="1417">
        <f>E21</f>
        <v>0.22</v>
      </c>
      <c r="G21" s="1416">
        <v>0.2</v>
      </c>
      <c r="H21" s="1417">
        <f t="shared" si="5"/>
        <v>0.2</v>
      </c>
      <c r="I21" s="1417">
        <f t="shared" si="5"/>
        <v>0.2</v>
      </c>
      <c r="J21" s="1417">
        <f t="shared" si="5"/>
        <v>0.2</v>
      </c>
      <c r="K21" s="1417">
        <f t="shared" si="5"/>
        <v>0.2</v>
      </c>
      <c r="L21" s="1417">
        <f t="shared" si="5"/>
        <v>0.2</v>
      </c>
      <c r="M21" s="1417">
        <f t="shared" si="5"/>
        <v>0.2</v>
      </c>
      <c r="N21" s="1417">
        <f t="shared" si="5"/>
        <v>0.2</v>
      </c>
      <c r="O21" s="1417">
        <f t="shared" si="5"/>
        <v>0.2</v>
      </c>
      <c r="P21" s="1417">
        <f t="shared" si="5"/>
        <v>0.2</v>
      </c>
      <c r="Q21" s="1417">
        <f t="shared" si="5"/>
        <v>0.2</v>
      </c>
    </row>
    <row r="22" spans="1:17" ht="12">
      <c r="B22" s="1419" t="s">
        <v>14</v>
      </c>
      <c r="C22" s="1432"/>
      <c r="D22" s="1437">
        <f>D18*D14+D20*D19*(1-D21)</f>
        <v>0.13920000000000002</v>
      </c>
      <c r="E22" s="1437">
        <f t="shared" ref="E22:Q22" si="6">E18*E14+E20*E19*(1-E21)</f>
        <v>0.13920000000000002</v>
      </c>
      <c r="F22" s="1437">
        <f>F18*F14+F20*F19*(1-F21)</f>
        <v>0.13920000000000002</v>
      </c>
      <c r="G22" s="1437">
        <f>G18*G14+G20*G19*(1-G21)</f>
        <v>0.13940000000000002</v>
      </c>
      <c r="H22" s="1437">
        <f>H18*H14+H20*H19*(1-H21)</f>
        <v>0.13940000000000002</v>
      </c>
      <c r="I22" s="1437">
        <f>I18*I14+I20*I19*(1-I21)</f>
        <v>0.13940000000000002</v>
      </c>
      <c r="J22" s="1437">
        <f t="shared" si="6"/>
        <v>0.13940000000000002</v>
      </c>
      <c r="K22" s="1437">
        <f t="shared" si="6"/>
        <v>0.13940000000000002</v>
      </c>
      <c r="L22" s="1437">
        <f t="shared" si="6"/>
        <v>0.13940000000000002</v>
      </c>
      <c r="M22" s="1437">
        <f t="shared" si="6"/>
        <v>0.13940000000000002</v>
      </c>
      <c r="N22" s="1437">
        <f t="shared" si="6"/>
        <v>0.13940000000000002</v>
      </c>
      <c r="O22" s="1437">
        <f t="shared" si="6"/>
        <v>0.13940000000000002</v>
      </c>
      <c r="P22" s="1437">
        <f t="shared" si="6"/>
        <v>0.13940000000000002</v>
      </c>
      <c r="Q22" s="1437">
        <f t="shared" si="6"/>
        <v>0.13940000000000002</v>
      </c>
    </row>
    <row r="23" spans="1:17" ht="12">
      <c r="E23" s="1412"/>
      <c r="J23" s="1413"/>
    </row>
    <row r="24" spans="1:17" ht="12">
      <c r="E24" s="1412"/>
      <c r="J24" s="1413"/>
    </row>
    <row r="25" spans="1:17" ht="15.75">
      <c r="A25" s="1420" t="s">
        <v>1548</v>
      </c>
      <c r="B25" s="1438"/>
    </row>
    <row r="27" spans="1:17" s="1407" customFormat="1" ht="12">
      <c r="A27" s="1406" t="s">
        <v>762</v>
      </c>
      <c r="B27" s="1407" t="s">
        <v>1459</v>
      </c>
      <c r="C27" s="1407" t="s">
        <v>764</v>
      </c>
      <c r="D27" s="1407" t="s">
        <v>1549</v>
      </c>
      <c r="E27" s="1407" t="s">
        <v>1550</v>
      </c>
    </row>
    <row r="28" spans="1:17" ht="12">
      <c r="A28" s="1421"/>
      <c r="B28" s="1432" t="s">
        <v>1551</v>
      </c>
      <c r="C28" s="1432" t="s">
        <v>1552</v>
      </c>
      <c r="D28" s="1432"/>
      <c r="E28" s="1422">
        <v>15996</v>
      </c>
      <c r="F28" s="1432"/>
    </row>
    <row r="29" spans="1:17" ht="12">
      <c r="B29" s="1431" t="s">
        <v>1553</v>
      </c>
      <c r="C29" s="1431" t="s">
        <v>1552</v>
      </c>
      <c r="E29" s="1410">
        <f>E28</f>
        <v>15996</v>
      </c>
    </row>
    <row r="30" spans="1:17" ht="12">
      <c r="B30" s="1431" t="s">
        <v>1554</v>
      </c>
      <c r="C30" s="1431" t="s">
        <v>1555</v>
      </c>
      <c r="D30" s="1446">
        <v>0</v>
      </c>
      <c r="E30" s="1410">
        <f>E28*D30</f>
        <v>0</v>
      </c>
    </row>
    <row r="31" spans="1:17" ht="12">
      <c r="B31" s="1431" t="s">
        <v>1556</v>
      </c>
      <c r="C31" s="1431" t="s">
        <v>1555</v>
      </c>
      <c r="D31" s="1446">
        <v>6.5</v>
      </c>
      <c r="E31" s="1440">
        <f>D31*E28</f>
        <v>103974</v>
      </c>
    </row>
    <row r="32" spans="1:17" ht="12">
      <c r="B32" s="1431" t="s">
        <v>771</v>
      </c>
      <c r="C32" s="1431" t="s">
        <v>1555</v>
      </c>
      <c r="D32" s="1412">
        <v>0.6</v>
      </c>
      <c r="E32" s="1410">
        <f>D32*E28</f>
        <v>9597.6</v>
      </c>
    </row>
    <row r="33" spans="1:7" ht="12">
      <c r="B33" s="1431" t="s">
        <v>1557</v>
      </c>
      <c r="C33" s="1431" t="s">
        <v>1555</v>
      </c>
      <c r="D33" s="1412">
        <v>0.9</v>
      </c>
      <c r="E33" s="1410">
        <f>D33*E28</f>
        <v>14396.4</v>
      </c>
    </row>
    <row r="35" spans="1:7" ht="12">
      <c r="B35" s="1407" t="s">
        <v>773</v>
      </c>
      <c r="C35" s="1407" t="s">
        <v>642</v>
      </c>
      <c r="D35" s="1414">
        <f>D13</f>
        <v>2013</v>
      </c>
      <c r="E35" s="1414">
        <f>E13</f>
        <v>2014</v>
      </c>
      <c r="F35" s="1414">
        <f>F13</f>
        <v>2015</v>
      </c>
      <c r="G35" s="1414">
        <f>G13</f>
        <v>2016</v>
      </c>
    </row>
    <row r="36" spans="1:7" ht="12">
      <c r="B36" s="1432"/>
      <c r="C36" s="1441">
        <f>D6</f>
        <v>103974</v>
      </c>
      <c r="D36" s="1422">
        <v>20000</v>
      </c>
      <c r="E36" s="1441"/>
      <c r="F36" s="1441">
        <f>C36-D36</f>
        <v>83974</v>
      </c>
      <c r="G36" s="1432"/>
    </row>
    <row r="37" spans="1:7" ht="12">
      <c r="B37" s="1442" t="s">
        <v>1559</v>
      </c>
      <c r="C37" s="1436">
        <f>SUM(D37:F37)</f>
        <v>1</v>
      </c>
      <c r="D37" s="1416">
        <f>D36/$C$36</f>
        <v>0.19235578125300556</v>
      </c>
      <c r="E37" s="1416">
        <f>E36/$C$36</f>
        <v>0</v>
      </c>
      <c r="F37" s="1416">
        <f>F36/$C$36</f>
        <v>0.80764421874699444</v>
      </c>
      <c r="G37" s="1416">
        <f>G36/$C$36</f>
        <v>0</v>
      </c>
    </row>
    <row r="38" spans="1:7" ht="12">
      <c r="B38" s="1407" t="s">
        <v>1558</v>
      </c>
      <c r="C38" s="1440">
        <f>SUM(E32:E33)</f>
        <v>23994</v>
      </c>
      <c r="D38" s="1440">
        <f>$C$38*D39</f>
        <v>0</v>
      </c>
      <c r="E38" s="1440">
        <f>$C$38*E39</f>
        <v>0</v>
      </c>
      <c r="F38" s="1440">
        <f>$C$38*F39</f>
        <v>11997</v>
      </c>
      <c r="G38" s="1440">
        <f>$C$38*G39</f>
        <v>11997</v>
      </c>
    </row>
    <row r="39" spans="1:7" ht="12">
      <c r="B39" s="1442" t="s">
        <v>1559</v>
      </c>
      <c r="C39" s="1443">
        <f>SUM(D39:G39)</f>
        <v>1</v>
      </c>
      <c r="D39" s="1411"/>
      <c r="E39" s="1411"/>
      <c r="F39" s="1411">
        <v>0.5</v>
      </c>
      <c r="G39" s="1411">
        <v>0.5</v>
      </c>
    </row>
    <row r="42" spans="1:7" s="1407" customFormat="1" ht="12">
      <c r="A42" s="1406" t="s">
        <v>777</v>
      </c>
      <c r="B42" s="1407" t="s">
        <v>1585</v>
      </c>
      <c r="C42" s="1407" t="s">
        <v>764</v>
      </c>
      <c r="D42" s="1407" t="s">
        <v>1549</v>
      </c>
    </row>
    <row r="43" spans="1:7" ht="12">
      <c r="A43" s="1421"/>
      <c r="B43" s="1432" t="s">
        <v>686</v>
      </c>
      <c r="C43" s="1432" t="s">
        <v>1552</v>
      </c>
      <c r="D43" s="1449">
        <v>64000</v>
      </c>
      <c r="F43" s="1440"/>
    </row>
    <row r="44" spans="1:7" ht="12">
      <c r="B44" s="1431" t="s">
        <v>1560</v>
      </c>
      <c r="C44" s="1431" t="s">
        <v>780</v>
      </c>
      <c r="D44" s="1448">
        <f>D45/D43</f>
        <v>0.84759375000000003</v>
      </c>
    </row>
    <row r="45" spans="1:7" ht="12">
      <c r="B45" s="1431" t="s">
        <v>781</v>
      </c>
      <c r="C45" s="1431" t="s">
        <v>1552</v>
      </c>
      <c r="D45" s="1423">
        <v>54246</v>
      </c>
    </row>
    <row r="46" spans="1:7" ht="12">
      <c r="B46" s="1431" t="s">
        <v>1561</v>
      </c>
      <c r="C46" s="1431" t="s">
        <v>1555</v>
      </c>
      <c r="D46" s="1446">
        <f>785000/D45</f>
        <v>14.471113077461933</v>
      </c>
    </row>
    <row r="47" spans="1:7" ht="12">
      <c r="B47" s="1431" t="s">
        <v>1587</v>
      </c>
      <c r="C47" s="1431" t="s">
        <v>1555</v>
      </c>
      <c r="D47" s="1462">
        <v>8.0942500000000006</v>
      </c>
    </row>
    <row r="48" spans="1:7" ht="12">
      <c r="B48" s="1431" t="s">
        <v>787</v>
      </c>
      <c r="C48" s="1431" t="s">
        <v>780</v>
      </c>
      <c r="D48" s="1411">
        <v>0</v>
      </c>
    </row>
    <row r="49" spans="1:9" ht="12">
      <c r="B49" s="1431" t="s">
        <v>1562</v>
      </c>
      <c r="C49" s="1431" t="s">
        <v>780</v>
      </c>
      <c r="D49" s="1586" t="e">
        <f>#REF!</f>
        <v>#REF!</v>
      </c>
    </row>
    <row r="50" spans="1:9" ht="12">
      <c r="B50" s="1431" t="s">
        <v>1563</v>
      </c>
      <c r="C50" s="1431" t="s">
        <v>780</v>
      </c>
      <c r="D50" s="1411">
        <v>0</v>
      </c>
    </row>
    <row r="52" spans="1:9" s="1407" customFormat="1" ht="12">
      <c r="A52" s="1406">
        <v>1</v>
      </c>
      <c r="B52" s="1407" t="s">
        <v>1564</v>
      </c>
      <c r="C52" s="1407" t="str">
        <f>C35</f>
        <v>Total</v>
      </c>
      <c r="D52" s="1407">
        <f>D35</f>
        <v>2013</v>
      </c>
      <c r="E52" s="1407">
        <f>E35</f>
        <v>2014</v>
      </c>
      <c r="F52" s="1407">
        <f>F35</f>
        <v>2015</v>
      </c>
      <c r="G52" s="1407">
        <f>F52+1</f>
        <v>2016</v>
      </c>
      <c r="H52" s="1407">
        <f>G52+1</f>
        <v>2017</v>
      </c>
      <c r="I52" s="1407">
        <f>H52+1</f>
        <v>2018</v>
      </c>
    </row>
    <row r="53" spans="1:9" ht="12">
      <c r="B53" s="1432" t="s">
        <v>791</v>
      </c>
      <c r="C53" s="1441">
        <f>SUM(D53:H53)</f>
        <v>785000</v>
      </c>
      <c r="D53" s="1441">
        <f>$D$45*D55*D54</f>
        <v>0</v>
      </c>
      <c r="E53" s="1441">
        <f>$D$45*E55*E54</f>
        <v>0</v>
      </c>
      <c r="F53" s="1441">
        <f>$D$45*F55*F54</f>
        <v>0</v>
      </c>
      <c r="G53" s="1441">
        <f>$D$45*G55*G54</f>
        <v>392500</v>
      </c>
      <c r="H53" s="1441">
        <f>$D$45*H55*H54</f>
        <v>392500</v>
      </c>
      <c r="I53" s="1432"/>
    </row>
    <row r="54" spans="1:9" ht="12">
      <c r="B54" s="1444" t="s">
        <v>792</v>
      </c>
      <c r="C54" s="1436">
        <f>SUM(D54:H54)</f>
        <v>1</v>
      </c>
      <c r="D54" s="1416"/>
      <c r="E54" s="1416"/>
      <c r="F54" s="1416"/>
      <c r="G54" s="1416">
        <v>0.5</v>
      </c>
      <c r="H54" s="1416">
        <v>0.5</v>
      </c>
    </row>
    <row r="55" spans="1:9" ht="12">
      <c r="B55" s="1444" t="s">
        <v>1565</v>
      </c>
      <c r="D55" s="1439">
        <f>D46</f>
        <v>14.471113077461933</v>
      </c>
      <c r="E55" s="1439">
        <f>D55*(1+E56)</f>
        <v>14.471113077461933</v>
      </c>
      <c r="F55" s="1439">
        <f>E55*(1+F56)</f>
        <v>14.471113077461933</v>
      </c>
      <c r="G55" s="1439">
        <f>F55*(1+G56)</f>
        <v>14.471113077461933</v>
      </c>
      <c r="H55" s="1439">
        <f>G55*(1+H56)</f>
        <v>14.471113077461933</v>
      </c>
    </row>
    <row r="56" spans="1:9" ht="12">
      <c r="B56" s="1444" t="s">
        <v>1563</v>
      </c>
      <c r="E56" s="1443">
        <f>D50</f>
        <v>0</v>
      </c>
      <c r="F56" s="1443">
        <f>E50</f>
        <v>0</v>
      </c>
      <c r="G56" s="1443">
        <f>F50</f>
        <v>0</v>
      </c>
      <c r="H56" s="1443">
        <f>G50</f>
        <v>0</v>
      </c>
    </row>
    <row r="57" spans="1:9" ht="12">
      <c r="B57" s="1444"/>
      <c r="F57" s="1443"/>
      <c r="G57" s="1443"/>
    </row>
    <row r="58" spans="1:9" ht="12">
      <c r="B58" s="1444"/>
      <c r="F58" s="1443"/>
      <c r="G58" s="1443"/>
    </row>
    <row r="59" spans="1:9" s="1407" customFormat="1" ht="12">
      <c r="A59" s="1406">
        <v>2</v>
      </c>
      <c r="B59" s="1407" t="s">
        <v>794</v>
      </c>
      <c r="C59" s="1407" t="str">
        <f>C52</f>
        <v>Total</v>
      </c>
      <c r="D59" s="1407">
        <f t="shared" ref="D59:I59" si="7">D52</f>
        <v>2013</v>
      </c>
      <c r="E59" s="1407">
        <f t="shared" si="7"/>
        <v>2014</v>
      </c>
      <c r="F59" s="1407">
        <f t="shared" si="7"/>
        <v>2015</v>
      </c>
      <c r="G59" s="1407">
        <f t="shared" si="7"/>
        <v>2016</v>
      </c>
      <c r="H59" s="1407">
        <f t="shared" si="7"/>
        <v>2017</v>
      </c>
      <c r="I59" s="1407">
        <f t="shared" si="7"/>
        <v>2018</v>
      </c>
    </row>
    <row r="60" spans="1:9" ht="12">
      <c r="B60" s="1432" t="s">
        <v>1586</v>
      </c>
      <c r="C60" s="1408">
        <f>C53</f>
        <v>785000</v>
      </c>
      <c r="D60" s="1441">
        <f t="shared" ref="D60:I60" si="8">$C$60*D61</f>
        <v>0</v>
      </c>
      <c r="E60" s="1441">
        <f t="shared" si="8"/>
        <v>0</v>
      </c>
      <c r="F60" s="1441">
        <f t="shared" si="8"/>
        <v>0</v>
      </c>
      <c r="G60" s="1441">
        <f t="shared" si="8"/>
        <v>0</v>
      </c>
      <c r="H60" s="1441">
        <f t="shared" si="8"/>
        <v>235500</v>
      </c>
      <c r="I60" s="1441">
        <f t="shared" si="8"/>
        <v>549500</v>
      </c>
    </row>
    <row r="61" spans="1:9" ht="12">
      <c r="B61" s="1442" t="s">
        <v>794</v>
      </c>
      <c r="C61" s="1417">
        <f>SUM(D61:I61)</f>
        <v>1</v>
      </c>
      <c r="D61" s="1411"/>
      <c r="E61" s="1411"/>
      <c r="F61" s="1411"/>
      <c r="G61" s="1411"/>
      <c r="H61" s="1411">
        <v>0.3</v>
      </c>
      <c r="I61" s="1411">
        <v>0.7</v>
      </c>
    </row>
    <row r="62" spans="1:9" ht="12">
      <c r="B62" s="1444"/>
      <c r="C62" s="1425"/>
      <c r="D62" s="1433"/>
      <c r="E62" s="1433"/>
      <c r="F62" s="1433"/>
      <c r="G62" s="1433"/>
    </row>
    <row r="63" spans="1:9" ht="12">
      <c r="C63" s="1440"/>
      <c r="D63" s="1440"/>
      <c r="E63" s="1440"/>
      <c r="F63" s="1440"/>
      <c r="G63" s="1440"/>
    </row>
    <row r="64" spans="1:9" s="1407" customFormat="1" ht="12">
      <c r="A64" s="1406">
        <v>3</v>
      </c>
      <c r="B64" s="1407" t="s">
        <v>1175</v>
      </c>
      <c r="C64" s="1407" t="str">
        <f>C59</f>
        <v>Total</v>
      </c>
      <c r="D64" s="1407">
        <f t="shared" ref="D64:I64" si="9">D59</f>
        <v>2013</v>
      </c>
      <c r="E64" s="1407">
        <f t="shared" si="9"/>
        <v>2014</v>
      </c>
      <c r="F64" s="1407">
        <f t="shared" si="9"/>
        <v>2015</v>
      </c>
      <c r="G64" s="1407">
        <f t="shared" si="9"/>
        <v>2016</v>
      </c>
      <c r="H64" s="1407">
        <f t="shared" si="9"/>
        <v>2017</v>
      </c>
      <c r="I64" s="1407">
        <f t="shared" si="9"/>
        <v>2018</v>
      </c>
    </row>
    <row r="65" spans="1:13" ht="12">
      <c r="B65" s="1432"/>
      <c r="C65" s="1441">
        <f>SUM(D65:I65)</f>
        <v>785000</v>
      </c>
      <c r="D65" s="1408">
        <f>D53*D66</f>
        <v>0</v>
      </c>
      <c r="E65" s="1408">
        <f>D53*$D$67+E53*$D$66</f>
        <v>0</v>
      </c>
      <c r="F65" s="1408">
        <f>E53*$D$67+F53*$D$66</f>
        <v>0</v>
      </c>
      <c r="G65" s="1408">
        <f>F53*$D$67+G53*$D$66</f>
        <v>157000</v>
      </c>
      <c r="H65" s="1408">
        <f>G53*$D$67+H53*$D$66</f>
        <v>392500</v>
      </c>
      <c r="I65" s="1408">
        <f>H53*$D$67+I53*$D$66</f>
        <v>235500</v>
      </c>
      <c r="J65" s="1410"/>
    </row>
    <row r="66" spans="1:13" ht="12">
      <c r="B66" s="1431" t="s">
        <v>797</v>
      </c>
      <c r="C66" s="1440" t="s">
        <v>798</v>
      </c>
      <c r="D66" s="1416">
        <v>0.4</v>
      </c>
      <c r="E66" s="1440"/>
      <c r="F66" s="1440"/>
      <c r="G66" s="1440"/>
    </row>
    <row r="67" spans="1:13" ht="12">
      <c r="C67" s="1440" t="s">
        <v>799</v>
      </c>
      <c r="D67" s="1416">
        <v>0.6</v>
      </c>
      <c r="E67" s="1440"/>
      <c r="F67" s="1440"/>
      <c r="G67" s="1440"/>
    </row>
    <row r="68" spans="1:13" ht="12">
      <c r="C68" s="1440" t="s">
        <v>800</v>
      </c>
      <c r="D68" s="1417">
        <f>1-SUM(D66:D67)</f>
        <v>0</v>
      </c>
      <c r="E68" s="1440"/>
      <c r="F68" s="1440"/>
      <c r="G68" s="1440"/>
    </row>
    <row r="69" spans="1:13" ht="12">
      <c r="C69" s="1440"/>
      <c r="D69" s="1416"/>
      <c r="E69" s="1440"/>
      <c r="F69" s="1440"/>
      <c r="G69" s="1440"/>
    </row>
    <row r="70" spans="1:13" ht="12">
      <c r="C70" s="1440"/>
      <c r="D70" s="1416"/>
      <c r="E70" s="1440"/>
      <c r="F70" s="1440"/>
      <c r="G70" s="1440"/>
    </row>
    <row r="71" spans="1:13" s="1407" customFormat="1" ht="12">
      <c r="A71" s="1406">
        <v>4</v>
      </c>
      <c r="B71" s="1407" t="s">
        <v>1462</v>
      </c>
      <c r="C71" s="1427" t="str">
        <f>C64</f>
        <v>Total</v>
      </c>
      <c r="D71" s="1407">
        <f t="shared" ref="D71:I71" si="10">D64</f>
        <v>2013</v>
      </c>
      <c r="E71" s="1407">
        <f t="shared" si="10"/>
        <v>2014</v>
      </c>
      <c r="F71" s="1407">
        <f t="shared" si="10"/>
        <v>2015</v>
      </c>
      <c r="G71" s="1407">
        <f t="shared" si="10"/>
        <v>2016</v>
      </c>
      <c r="H71" s="1407">
        <f t="shared" si="10"/>
        <v>2017</v>
      </c>
      <c r="I71" s="1407">
        <f t="shared" si="10"/>
        <v>2018</v>
      </c>
    </row>
    <row r="72" spans="1:13" ht="12">
      <c r="B72" s="1432" t="s">
        <v>1566</v>
      </c>
      <c r="C72" s="1441">
        <f>D43*D47</f>
        <v>518032.00000000006</v>
      </c>
      <c r="D72" s="1408">
        <f>$C$72*D73</f>
        <v>0</v>
      </c>
      <c r="E72" s="1408">
        <f>$C$72*E73</f>
        <v>0</v>
      </c>
      <c r="F72" s="1408">
        <f>$C$72*F73</f>
        <v>0</v>
      </c>
      <c r="G72" s="1408">
        <f>$C$72*G73</f>
        <v>259016.00000000003</v>
      </c>
      <c r="H72" s="1408">
        <f>$C$72*H73</f>
        <v>259016.00000000003</v>
      </c>
      <c r="I72" s="1432"/>
    </row>
    <row r="73" spans="1:13" ht="12">
      <c r="B73" s="1431" t="s">
        <v>1559</v>
      </c>
      <c r="C73" s="1433">
        <f>SUM(D73:H73)</f>
        <v>1</v>
      </c>
      <c r="D73" s="1416"/>
      <c r="E73" s="1416"/>
      <c r="F73" s="1416"/>
      <c r="G73" s="1416">
        <v>0.5</v>
      </c>
      <c r="H73" s="1416">
        <v>0.5</v>
      </c>
    </row>
    <row r="74" spans="1:13" ht="12">
      <c r="C74" s="1433"/>
      <c r="D74" s="1425"/>
      <c r="E74" s="1425"/>
      <c r="F74" s="1424"/>
      <c r="G74" s="1424"/>
      <c r="H74" s="1435"/>
    </row>
    <row r="75" spans="1:13" ht="12">
      <c r="C75" s="1433"/>
      <c r="D75" s="1424"/>
      <c r="E75" s="1424"/>
      <c r="F75" s="1424"/>
      <c r="G75" s="1424"/>
    </row>
    <row r="76" spans="1:13" ht="12">
      <c r="A76" s="1406">
        <v>5</v>
      </c>
      <c r="B76" s="1407" t="s">
        <v>1466</v>
      </c>
      <c r="C76" s="1407" t="str">
        <f>C71</f>
        <v>Total</v>
      </c>
      <c r="D76" s="1407">
        <f t="shared" ref="D76:I76" si="11">D71</f>
        <v>2013</v>
      </c>
      <c r="E76" s="1407">
        <f t="shared" si="11"/>
        <v>2014</v>
      </c>
      <c r="F76" s="1407">
        <f t="shared" si="11"/>
        <v>2015</v>
      </c>
      <c r="G76" s="1407">
        <f t="shared" si="11"/>
        <v>2016</v>
      </c>
      <c r="H76" s="1407">
        <f t="shared" si="11"/>
        <v>2017</v>
      </c>
      <c r="I76" s="1407">
        <f t="shared" si="11"/>
        <v>2018</v>
      </c>
      <c r="J76" s="1407">
        <f>I76+1</f>
        <v>2019</v>
      </c>
      <c r="K76" s="1407">
        <f>J76+1</f>
        <v>2020</v>
      </c>
      <c r="L76" s="1407">
        <f>K76+1</f>
        <v>2021</v>
      </c>
      <c r="M76" s="1407">
        <f>L76+1</f>
        <v>2022</v>
      </c>
    </row>
    <row r="77" spans="1:13" ht="12">
      <c r="B77" s="1432" t="s">
        <v>1567</v>
      </c>
      <c r="C77" s="1441">
        <f>($C$72+$D$7)*C61</f>
        <v>542026</v>
      </c>
      <c r="D77" s="1441">
        <f t="shared" ref="D77:I77" si="12">($C$72+$D$7)*D61</f>
        <v>0</v>
      </c>
      <c r="E77" s="1441">
        <f t="shared" si="12"/>
        <v>0</v>
      </c>
      <c r="F77" s="1441">
        <f t="shared" si="12"/>
        <v>0</v>
      </c>
      <c r="G77" s="1441">
        <f t="shared" si="12"/>
        <v>0</v>
      </c>
      <c r="H77" s="1441">
        <f t="shared" si="12"/>
        <v>162607.79999999999</v>
      </c>
      <c r="I77" s="1441">
        <f t="shared" si="12"/>
        <v>379418.19999999995</v>
      </c>
      <c r="J77" s="1432"/>
      <c r="K77" s="1432"/>
      <c r="L77" s="1432"/>
      <c r="M77" s="1432"/>
    </row>
    <row r="78" spans="1:13" ht="12">
      <c r="B78" s="1431" t="s">
        <v>803</v>
      </c>
      <c r="C78" s="1440">
        <f>$D$6*C61</f>
        <v>103974</v>
      </c>
      <c r="D78" s="1440">
        <f t="shared" ref="D78:I78" si="13">$D$6*D61</f>
        <v>0</v>
      </c>
      <c r="E78" s="1440">
        <f t="shared" si="13"/>
        <v>0</v>
      </c>
      <c r="F78" s="1440">
        <f t="shared" si="13"/>
        <v>0</v>
      </c>
      <c r="G78" s="1440">
        <f t="shared" si="13"/>
        <v>0</v>
      </c>
      <c r="H78" s="1440">
        <f t="shared" si="13"/>
        <v>31192.199999999997</v>
      </c>
      <c r="I78" s="1440">
        <f t="shared" si="13"/>
        <v>72781.799999999988</v>
      </c>
    </row>
    <row r="79" spans="1:13" s="1447" customFormat="1" ht="12">
      <c r="A79" s="1459"/>
      <c r="B79" s="1413" t="s">
        <v>804</v>
      </c>
      <c r="C79" s="1458">
        <f>SUMIF(D114:M114,"&lt;="&amp;D10,D120:M120)</f>
        <v>0</v>
      </c>
      <c r="D79" s="1410">
        <f t="shared" ref="D79:I79" si="14">$C$79*D61</f>
        <v>0</v>
      </c>
      <c r="E79" s="1410">
        <f t="shared" si="14"/>
        <v>0</v>
      </c>
      <c r="F79" s="1410">
        <f t="shared" si="14"/>
        <v>0</v>
      </c>
      <c r="G79" s="1410">
        <f t="shared" si="14"/>
        <v>0</v>
      </c>
      <c r="H79" s="1410">
        <f t="shared" si="14"/>
        <v>0</v>
      </c>
      <c r="I79" s="1410">
        <f t="shared" si="14"/>
        <v>0</v>
      </c>
    </row>
    <row r="80" spans="1:13" s="1447" customFormat="1" ht="12">
      <c r="A80" s="1459"/>
      <c r="B80" s="1413" t="s">
        <v>805</v>
      </c>
      <c r="C80" s="1410">
        <f>SUM(D80:M80)</f>
        <v>0</v>
      </c>
      <c r="D80" s="1410">
        <f t="shared" ref="D80:M80" si="15">IF(D76&gt;$D$10,D120,0)</f>
        <v>0</v>
      </c>
      <c r="E80" s="1410">
        <f t="shared" si="15"/>
        <v>0</v>
      </c>
      <c r="F80" s="1410">
        <f t="shared" si="15"/>
        <v>0</v>
      </c>
      <c r="G80" s="1410">
        <f t="shared" si="15"/>
        <v>0</v>
      </c>
      <c r="H80" s="1410">
        <f t="shared" si="15"/>
        <v>0</v>
      </c>
      <c r="I80" s="1410">
        <f t="shared" si="15"/>
        <v>0</v>
      </c>
      <c r="J80" s="1410">
        <f t="shared" si="15"/>
        <v>0</v>
      </c>
      <c r="K80" s="1410">
        <f t="shared" si="15"/>
        <v>0</v>
      </c>
      <c r="L80" s="1410">
        <f t="shared" si="15"/>
        <v>0</v>
      </c>
      <c r="M80" s="1410">
        <f t="shared" si="15"/>
        <v>0</v>
      </c>
    </row>
    <row r="81" spans="1:13" ht="12">
      <c r="B81" s="1431" t="s">
        <v>656</v>
      </c>
      <c r="C81" s="1440" t="e">
        <f>$D$49*C65</f>
        <v>#REF!</v>
      </c>
      <c r="D81" s="1440" t="e">
        <f t="shared" ref="D81:I81" si="16">$D$49*D65</f>
        <v>#REF!</v>
      </c>
      <c r="E81" s="1440" t="e">
        <f t="shared" si="16"/>
        <v>#REF!</v>
      </c>
      <c r="F81" s="1440" t="e">
        <f t="shared" si="16"/>
        <v>#REF!</v>
      </c>
      <c r="G81" s="1440" t="e">
        <f t="shared" si="16"/>
        <v>#REF!</v>
      </c>
      <c r="H81" s="1440" t="e">
        <f t="shared" si="16"/>
        <v>#REF!</v>
      </c>
      <c r="I81" s="1440" t="e">
        <f t="shared" si="16"/>
        <v>#REF!</v>
      </c>
    </row>
    <row r="82" spans="1:13" ht="12">
      <c r="C82" s="1440"/>
      <c r="D82" s="1440"/>
      <c r="E82" s="1440"/>
      <c r="F82" s="1440"/>
      <c r="G82" s="1440"/>
    </row>
    <row r="83" spans="1:13" ht="12"/>
    <row r="84" spans="1:13" s="1407" customFormat="1" ht="12">
      <c r="A84" s="1406">
        <v>6</v>
      </c>
      <c r="B84" s="1407" t="s">
        <v>878</v>
      </c>
      <c r="C84" s="1407" t="str">
        <f>C76</f>
        <v>Total</v>
      </c>
      <c r="D84" s="1407">
        <f t="shared" ref="D84:M84" si="17">D76</f>
        <v>2013</v>
      </c>
      <c r="E84" s="1407">
        <f t="shared" si="17"/>
        <v>2014</v>
      </c>
      <c r="F84" s="1407">
        <f t="shared" si="17"/>
        <v>2015</v>
      </c>
      <c r="G84" s="1407">
        <f t="shared" si="17"/>
        <v>2016</v>
      </c>
      <c r="H84" s="1407">
        <f t="shared" si="17"/>
        <v>2017</v>
      </c>
      <c r="I84" s="1407">
        <f t="shared" si="17"/>
        <v>2018</v>
      </c>
      <c r="J84" s="1407">
        <f t="shared" si="17"/>
        <v>2019</v>
      </c>
      <c r="K84" s="1407">
        <f t="shared" si="17"/>
        <v>2020</v>
      </c>
      <c r="L84" s="1407">
        <f t="shared" si="17"/>
        <v>2021</v>
      </c>
      <c r="M84" s="1407">
        <f t="shared" si="17"/>
        <v>2022</v>
      </c>
    </row>
    <row r="85" spans="1:13" ht="12">
      <c r="B85" s="1432" t="s">
        <v>26</v>
      </c>
      <c r="C85" s="1441">
        <f>C60</f>
        <v>785000</v>
      </c>
      <c r="D85" s="1441"/>
      <c r="E85" s="1441"/>
      <c r="F85" s="1441"/>
      <c r="G85" s="1441"/>
      <c r="H85" s="1441"/>
      <c r="I85" s="1441"/>
      <c r="J85" s="1441"/>
      <c r="K85" s="1441"/>
      <c r="L85" s="1441"/>
      <c r="M85" s="1441"/>
    </row>
    <row r="86" spans="1:13" ht="12">
      <c r="B86" s="1431" t="s">
        <v>432</v>
      </c>
      <c r="C86" s="1440">
        <f>SUM(C77:C79)</f>
        <v>646000</v>
      </c>
      <c r="D86" s="1440"/>
      <c r="E86" s="1440"/>
      <c r="F86" s="1440"/>
      <c r="G86" s="1440"/>
      <c r="H86" s="1440"/>
      <c r="I86" s="1440"/>
      <c r="J86" s="1440"/>
      <c r="K86" s="1440"/>
      <c r="L86" s="1440"/>
      <c r="M86" s="1440"/>
    </row>
    <row r="87" spans="1:13" ht="12">
      <c r="B87" s="1431" t="s">
        <v>656</v>
      </c>
      <c r="C87" s="1440" t="e">
        <f>C81</f>
        <v>#REF!</v>
      </c>
      <c r="D87" s="1440"/>
      <c r="E87" s="1440"/>
      <c r="F87" s="1440"/>
      <c r="G87" s="1440"/>
      <c r="H87" s="1440"/>
      <c r="I87" s="1440"/>
      <c r="J87" s="1440"/>
      <c r="K87" s="1440"/>
      <c r="L87" s="1440"/>
      <c r="M87" s="1440"/>
    </row>
    <row r="88" spans="1:13" ht="12">
      <c r="B88" s="1431" t="s">
        <v>805</v>
      </c>
      <c r="C88" s="1410">
        <f>C80</f>
        <v>0</v>
      </c>
      <c r="D88" s="1440"/>
      <c r="E88" s="1440"/>
      <c r="F88" s="1440"/>
      <c r="G88" s="1440"/>
      <c r="H88" s="1440"/>
      <c r="I88" s="1440"/>
      <c r="J88" s="1440"/>
      <c r="K88" s="1440"/>
      <c r="L88" s="1440"/>
      <c r="M88" s="1440"/>
    </row>
    <row r="89" spans="1:13" ht="12">
      <c r="B89" s="1431" t="s">
        <v>822</v>
      </c>
      <c r="C89" s="1440" t="e">
        <f>C85-SUM(C86:C88)</f>
        <v>#REF!</v>
      </c>
      <c r="D89" s="1440"/>
      <c r="E89" s="1440"/>
      <c r="F89" s="1440"/>
      <c r="G89" s="1440"/>
      <c r="H89" s="1440"/>
      <c r="I89" s="1440"/>
      <c r="J89" s="1440"/>
      <c r="K89" s="1440"/>
      <c r="L89" s="1440"/>
      <c r="M89" s="1440"/>
    </row>
    <row r="90" spans="1:13" ht="12">
      <c r="B90" s="1431" t="s">
        <v>290</v>
      </c>
      <c r="C90" s="1440">
        <f>SUM(D90:M90)</f>
        <v>0</v>
      </c>
      <c r="D90" s="1463"/>
      <c r="E90" s="1463"/>
      <c r="F90" s="1463"/>
      <c r="G90" s="1463"/>
      <c r="H90" s="1463"/>
      <c r="I90" s="1463"/>
      <c r="J90" s="1440"/>
      <c r="K90" s="1440"/>
      <c r="L90" s="1440"/>
      <c r="M90" s="1440"/>
    </row>
    <row r="91" spans="1:13" ht="12">
      <c r="B91" s="1431" t="s">
        <v>661</v>
      </c>
      <c r="C91" s="1440">
        <f>SUM(D91:M91)</f>
        <v>0</v>
      </c>
      <c r="D91" s="1440"/>
      <c r="E91" s="1440"/>
      <c r="F91" s="1440"/>
      <c r="G91" s="1440"/>
      <c r="H91" s="1440"/>
      <c r="I91" s="1440"/>
      <c r="J91" s="1440"/>
      <c r="K91" s="1440"/>
      <c r="L91" s="1440"/>
      <c r="M91" s="1440"/>
    </row>
    <row r="92" spans="1:13" ht="12">
      <c r="B92" s="1428" t="s">
        <v>197</v>
      </c>
      <c r="C92" s="1429">
        <f>IF(C85&lt;&gt;0,1-C86/C85,"")</f>
        <v>0.17707006369426748</v>
      </c>
      <c r="D92" s="1429"/>
      <c r="E92" s="1429"/>
      <c r="F92" s="1429"/>
      <c r="G92" s="1429"/>
      <c r="H92" s="1429"/>
      <c r="I92" s="1429"/>
      <c r="J92" s="1429"/>
      <c r="K92" s="1429"/>
      <c r="L92" s="1429"/>
      <c r="M92" s="1429"/>
    </row>
    <row r="93" spans="1:13" ht="12">
      <c r="B93" s="1428" t="s">
        <v>1568</v>
      </c>
      <c r="C93" s="1429" t="e">
        <f>IF(C85&lt;&gt;0,C89/C85,"")</f>
        <v>#REF!</v>
      </c>
      <c r="D93" s="1429"/>
      <c r="E93" s="1429"/>
      <c r="F93" s="1429"/>
      <c r="G93" s="1429"/>
      <c r="H93" s="1429"/>
      <c r="I93" s="1429"/>
      <c r="J93" s="1429"/>
      <c r="K93" s="1429"/>
      <c r="L93" s="1429"/>
      <c r="M93" s="1429"/>
    </row>
    <row r="94" spans="1:13" ht="12">
      <c r="B94" s="1428"/>
      <c r="C94" s="1429"/>
      <c r="D94" s="1429"/>
      <c r="E94" s="1429"/>
      <c r="F94" s="1429"/>
      <c r="G94" s="1429"/>
      <c r="H94" s="1429"/>
    </row>
    <row r="95" spans="1:13" ht="12">
      <c r="D95" s="1440"/>
      <c r="E95" s="1440"/>
      <c r="F95" s="1440"/>
      <c r="G95" s="1440"/>
    </row>
    <row r="96" spans="1:13" s="1407" customFormat="1" ht="12">
      <c r="A96" s="1406">
        <v>7</v>
      </c>
      <c r="B96" s="1407" t="s">
        <v>1589</v>
      </c>
      <c r="C96" s="1427" t="s">
        <v>642</v>
      </c>
      <c r="D96" s="1407">
        <f t="shared" ref="D96:M96" si="18">D84</f>
        <v>2013</v>
      </c>
      <c r="E96" s="1407">
        <f t="shared" si="18"/>
        <v>2014</v>
      </c>
      <c r="F96" s="1407">
        <f t="shared" si="18"/>
        <v>2015</v>
      </c>
      <c r="G96" s="1407">
        <f t="shared" si="18"/>
        <v>2016</v>
      </c>
      <c r="H96" s="1407">
        <f t="shared" si="18"/>
        <v>2017</v>
      </c>
      <c r="I96" s="1407">
        <f t="shared" si="18"/>
        <v>2018</v>
      </c>
      <c r="J96" s="1407">
        <f t="shared" si="18"/>
        <v>2019</v>
      </c>
      <c r="K96" s="1407">
        <f t="shared" si="18"/>
        <v>2020</v>
      </c>
      <c r="L96" s="1407">
        <f t="shared" si="18"/>
        <v>2021</v>
      </c>
      <c r="M96" s="1407">
        <f t="shared" si="18"/>
        <v>2022</v>
      </c>
    </row>
    <row r="97" spans="1:13" ht="12">
      <c r="B97" s="1419" t="s">
        <v>850</v>
      </c>
      <c r="C97" s="1453">
        <f>C65</f>
        <v>785000</v>
      </c>
      <c r="D97" s="1453"/>
      <c r="E97" s="1453"/>
      <c r="F97" s="1453"/>
      <c r="G97" s="1453"/>
      <c r="H97" s="1453"/>
      <c r="I97" s="1453"/>
      <c r="J97" s="1453"/>
      <c r="K97" s="1453"/>
      <c r="L97" s="1453"/>
      <c r="M97" s="1453"/>
    </row>
    <row r="98" spans="1:13" ht="12">
      <c r="B98" s="1407"/>
      <c r="C98" s="1427"/>
      <c r="D98" s="1427"/>
      <c r="E98" s="1427"/>
      <c r="F98" s="1427"/>
      <c r="G98" s="1427"/>
      <c r="H98" s="1427"/>
      <c r="I98" s="1427"/>
      <c r="J98" s="1427"/>
      <c r="K98" s="1427"/>
      <c r="L98" s="1427"/>
      <c r="M98" s="1427"/>
    </row>
    <row r="99" spans="1:13" ht="12">
      <c r="B99" s="1407" t="s">
        <v>851</v>
      </c>
      <c r="C99" s="1427" t="e">
        <f>SUM(C100:C104)</f>
        <v>#REF!</v>
      </c>
      <c r="D99" s="1427"/>
      <c r="E99" s="1427"/>
      <c r="F99" s="1427"/>
      <c r="G99" s="1427"/>
      <c r="H99" s="1427"/>
      <c r="I99" s="1427"/>
      <c r="J99" s="1427"/>
      <c r="K99" s="1427"/>
      <c r="L99" s="1427"/>
      <c r="M99" s="1427"/>
    </row>
    <row r="100" spans="1:13" ht="12">
      <c r="B100" s="1431" t="s">
        <v>852</v>
      </c>
      <c r="C100" s="1440">
        <f>C36</f>
        <v>103974</v>
      </c>
      <c r="D100" s="1440"/>
      <c r="E100" s="1440"/>
      <c r="F100" s="1440"/>
      <c r="G100" s="1440"/>
      <c r="H100" s="1440"/>
      <c r="I100" s="1440"/>
      <c r="J100" s="1440"/>
      <c r="K100" s="1440"/>
      <c r="L100" s="1440"/>
      <c r="M100" s="1440"/>
    </row>
    <row r="101" spans="1:13" ht="12">
      <c r="B101" s="1431" t="s">
        <v>1569</v>
      </c>
      <c r="C101" s="1440">
        <f>C38</f>
        <v>23994</v>
      </c>
      <c r="D101" s="1440"/>
      <c r="E101" s="1440"/>
      <c r="F101" s="1440"/>
      <c r="G101" s="1440"/>
      <c r="H101" s="1440"/>
      <c r="I101" s="1440"/>
      <c r="J101" s="1440"/>
      <c r="K101" s="1440"/>
      <c r="L101" s="1440"/>
      <c r="M101" s="1440"/>
    </row>
    <row r="102" spans="1:13" ht="12">
      <c r="B102" s="1431" t="s">
        <v>788</v>
      </c>
      <c r="C102" s="1440">
        <f>C72</f>
        <v>518032.00000000006</v>
      </c>
      <c r="D102" s="1440"/>
      <c r="E102" s="1440"/>
      <c r="F102" s="1440"/>
      <c r="G102" s="1440"/>
      <c r="H102" s="1440"/>
      <c r="I102" s="1440"/>
      <c r="J102" s="1440"/>
      <c r="K102" s="1440"/>
      <c r="L102" s="1440"/>
      <c r="M102" s="1440"/>
    </row>
    <row r="103" spans="1:13" ht="12">
      <c r="B103" s="1431" t="s">
        <v>656</v>
      </c>
      <c r="C103" s="1440" t="e">
        <f>C81</f>
        <v>#REF!</v>
      </c>
      <c r="D103" s="1440"/>
      <c r="E103" s="1440"/>
      <c r="F103" s="1440"/>
      <c r="G103" s="1440"/>
      <c r="H103" s="1440"/>
      <c r="I103" s="1440"/>
      <c r="J103" s="1440"/>
      <c r="K103" s="1440"/>
      <c r="L103" s="1440"/>
      <c r="M103" s="1440"/>
    </row>
    <row r="104" spans="1:13" ht="12">
      <c r="B104" s="1431" t="s">
        <v>854</v>
      </c>
      <c r="C104" s="1440">
        <f>C90</f>
        <v>0</v>
      </c>
      <c r="D104" s="1440"/>
      <c r="E104" s="1440"/>
      <c r="F104" s="1440"/>
      <c r="G104" s="1440"/>
      <c r="H104" s="1440"/>
      <c r="I104" s="1440"/>
      <c r="J104" s="1440"/>
      <c r="K104" s="1440"/>
      <c r="L104" s="1440"/>
      <c r="M104" s="1440"/>
    </row>
    <row r="105" spans="1:13" ht="12">
      <c r="B105" s="1407" t="s">
        <v>855</v>
      </c>
      <c r="C105" s="1427" t="e">
        <f>C97-C99</f>
        <v>#REF!</v>
      </c>
      <c r="D105" s="1454"/>
      <c r="E105" s="1427"/>
      <c r="F105" s="1427"/>
      <c r="G105" s="1427"/>
      <c r="H105" s="1427"/>
      <c r="I105" s="1427"/>
      <c r="J105" s="1427"/>
      <c r="K105" s="1427"/>
      <c r="L105" s="1427"/>
      <c r="M105" s="1427"/>
    </row>
    <row r="106" spans="1:13" ht="12">
      <c r="B106" s="1431" t="s">
        <v>1570</v>
      </c>
      <c r="D106" s="1452"/>
      <c r="E106" s="1452"/>
      <c r="F106" s="1452"/>
      <c r="G106" s="1452"/>
      <c r="H106" s="1452"/>
      <c r="I106" s="1452"/>
      <c r="J106" s="1452"/>
      <c r="K106" s="1452"/>
      <c r="L106" s="1452"/>
      <c r="M106" s="1452"/>
    </row>
    <row r="107" spans="1:13" ht="12">
      <c r="B107" s="1431" t="s">
        <v>1452</v>
      </c>
      <c r="C107" s="1440">
        <f>SUMIF(D96:M96,"&gt;"&amp;D11,D107:M107)</f>
        <v>0</v>
      </c>
      <c r="D107" s="1440"/>
      <c r="E107" s="1440"/>
      <c r="F107" s="1440"/>
      <c r="G107" s="1440"/>
      <c r="H107" s="1440"/>
      <c r="I107" s="1440"/>
      <c r="J107" s="1440"/>
      <c r="K107" s="1440"/>
      <c r="L107" s="1440"/>
      <c r="M107" s="1440"/>
    </row>
    <row r="108" spans="1:13" ht="12">
      <c r="B108" s="1407" t="s">
        <v>1590</v>
      </c>
      <c r="C108" s="1427">
        <f>C107*I5</f>
        <v>0</v>
      </c>
    </row>
    <row r="109" spans="1:13" ht="12">
      <c r="B109" s="1407"/>
      <c r="C109" s="1427"/>
    </row>
    <row r="110" spans="1:13" ht="12">
      <c r="B110" s="1407" t="s">
        <v>1588</v>
      </c>
      <c r="C110" s="1427"/>
      <c r="D110" s="1407">
        <f t="shared" ref="D110:M110" si="19">D96</f>
        <v>2013</v>
      </c>
      <c r="E110" s="1407">
        <f t="shared" si="19"/>
        <v>2014</v>
      </c>
      <c r="F110" s="1407">
        <f t="shared" si="19"/>
        <v>2015</v>
      </c>
      <c r="G110" s="1407">
        <f t="shared" si="19"/>
        <v>2016</v>
      </c>
      <c r="H110" s="1407">
        <f t="shared" si="19"/>
        <v>2017</v>
      </c>
      <c r="I110" s="1407">
        <f t="shared" si="19"/>
        <v>2018</v>
      </c>
      <c r="J110" s="1407">
        <f t="shared" si="19"/>
        <v>2019</v>
      </c>
      <c r="K110" s="1407">
        <f t="shared" si="19"/>
        <v>2020</v>
      </c>
      <c r="L110" s="1407">
        <f t="shared" si="19"/>
        <v>2021</v>
      </c>
      <c r="M110" s="1407">
        <f t="shared" si="19"/>
        <v>2022</v>
      </c>
    </row>
    <row r="111" spans="1:13" s="1447" customFormat="1" ht="12">
      <c r="A111" s="1459"/>
      <c r="B111" s="1460" t="e">
        <f>IRR(D111:M111)</f>
        <v>#NUM!</v>
      </c>
      <c r="C111" s="1408"/>
      <c r="D111" s="1408">
        <f>D105</f>
        <v>0</v>
      </c>
      <c r="E111" s="1408">
        <f t="shared" ref="E111:M111" si="20">E105</f>
        <v>0</v>
      </c>
      <c r="F111" s="1408">
        <f t="shared" si="20"/>
        <v>0</v>
      </c>
      <c r="G111" s="1408">
        <f t="shared" si="20"/>
        <v>0</v>
      </c>
      <c r="H111" s="1408">
        <f t="shared" si="20"/>
        <v>0</v>
      </c>
      <c r="I111" s="1408">
        <f t="shared" si="20"/>
        <v>0</v>
      </c>
      <c r="J111" s="1408">
        <f t="shared" si="20"/>
        <v>0</v>
      </c>
      <c r="K111" s="1408">
        <f t="shared" si="20"/>
        <v>0</v>
      </c>
      <c r="L111" s="1408">
        <f t="shared" si="20"/>
        <v>0</v>
      </c>
      <c r="M111" s="1408">
        <f t="shared" si="20"/>
        <v>0</v>
      </c>
    </row>
    <row r="112" spans="1:13" ht="12">
      <c r="B112" s="1443"/>
      <c r="C112" s="1440"/>
      <c r="D112" s="1440"/>
      <c r="E112" s="1440"/>
      <c r="F112" s="1440"/>
      <c r="G112" s="1440"/>
      <c r="H112" s="1440"/>
    </row>
    <row r="113" spans="1:13" ht="12">
      <c r="B113" s="1407"/>
      <c r="C113" s="1427"/>
    </row>
    <row r="114" spans="1:13" s="1407" customFormat="1" ht="12">
      <c r="A114" s="1406">
        <v>8</v>
      </c>
      <c r="B114" s="1407" t="s">
        <v>1592</v>
      </c>
      <c r="C114" s="1427"/>
      <c r="D114" s="1407">
        <f t="shared" ref="D114:I114" si="21">D96</f>
        <v>2013</v>
      </c>
      <c r="E114" s="1407">
        <f t="shared" si="21"/>
        <v>2014</v>
      </c>
      <c r="F114" s="1407">
        <f t="shared" si="21"/>
        <v>2015</v>
      </c>
      <c r="G114" s="1407">
        <f t="shared" si="21"/>
        <v>2016</v>
      </c>
      <c r="H114" s="1407">
        <f t="shared" si="21"/>
        <v>2017</v>
      </c>
      <c r="I114" s="1407">
        <f t="shared" si="21"/>
        <v>2018</v>
      </c>
      <c r="J114" s="1407">
        <f>I114+1</f>
        <v>2019</v>
      </c>
      <c r="K114" s="1407">
        <f>J114+1</f>
        <v>2020</v>
      </c>
      <c r="L114" s="1407">
        <f>K114+1</f>
        <v>2021</v>
      </c>
      <c r="M114" s="1407">
        <f>L114+1</f>
        <v>2022</v>
      </c>
    </row>
    <row r="115" spans="1:13" ht="12">
      <c r="B115" s="1432" t="s">
        <v>1571</v>
      </c>
      <c r="C115" s="1441">
        <f>D5*I8</f>
        <v>64600</v>
      </c>
      <c r="D115" s="1432"/>
      <c r="E115" s="1432"/>
      <c r="F115" s="1432"/>
      <c r="G115" s="1432"/>
      <c r="H115" s="1432"/>
      <c r="I115" s="1432"/>
      <c r="J115" s="1456"/>
      <c r="K115" s="1456"/>
      <c r="L115" s="1456"/>
      <c r="M115" s="1456"/>
    </row>
    <row r="116" spans="1:13" ht="12">
      <c r="B116" s="1431" t="s">
        <v>1572</v>
      </c>
      <c r="C116" s="1433">
        <f>SUM(D116:M116)</f>
        <v>0</v>
      </c>
      <c r="D116" s="1416"/>
      <c r="E116" s="1416"/>
      <c r="F116" s="1416"/>
      <c r="G116" s="1416"/>
      <c r="H116" s="1411"/>
      <c r="I116" s="1415"/>
    </row>
    <row r="117" spans="1:13" ht="12">
      <c r="B117" s="1431" t="s">
        <v>1573</v>
      </c>
      <c r="C117" s="1440">
        <f>SUM(D117:M117)</f>
        <v>0</v>
      </c>
      <c r="D117" s="1410"/>
      <c r="E117" s="1410"/>
      <c r="F117" s="1410"/>
      <c r="G117" s="1410"/>
      <c r="H117" s="1410"/>
      <c r="I117" s="1410"/>
      <c r="J117" s="1410"/>
      <c r="K117" s="1410"/>
      <c r="L117" s="1410"/>
      <c r="M117" s="1410"/>
    </row>
    <row r="118" spans="1:13" ht="12">
      <c r="B118" s="1431" t="s">
        <v>868</v>
      </c>
      <c r="C118" s="1440"/>
      <c r="D118" s="1410"/>
      <c r="E118" s="1440"/>
      <c r="F118" s="1440"/>
      <c r="G118" s="1440"/>
      <c r="H118" s="1440"/>
      <c r="I118" s="1440"/>
      <c r="J118" s="1440"/>
      <c r="K118" s="1440"/>
      <c r="L118" s="1440"/>
      <c r="M118" s="1440"/>
    </row>
    <row r="119" spans="1:13" ht="12">
      <c r="B119" s="1431" t="s">
        <v>1574</v>
      </c>
      <c r="C119" s="1440">
        <f>SUM(D119:M119)</f>
        <v>0</v>
      </c>
      <c r="D119" s="1423"/>
      <c r="E119" s="1410"/>
      <c r="F119" s="1440"/>
      <c r="G119" s="1440"/>
      <c r="H119" s="1440"/>
      <c r="I119" s="1423"/>
      <c r="J119" s="1440"/>
      <c r="K119" s="1440"/>
      <c r="L119" s="1440"/>
      <c r="M119" s="1440"/>
    </row>
    <row r="120" spans="1:13" ht="12">
      <c r="B120" s="1431" t="s">
        <v>869</v>
      </c>
      <c r="C120" s="1440">
        <f>SUM(D120:M120)</f>
        <v>0</v>
      </c>
      <c r="D120" s="1440"/>
      <c r="E120" s="1440"/>
      <c r="F120" s="1440"/>
      <c r="G120" s="1440"/>
      <c r="H120" s="1440"/>
      <c r="I120" s="1440"/>
      <c r="J120" s="1440"/>
      <c r="K120" s="1440"/>
      <c r="L120" s="1440"/>
      <c r="M120" s="1440"/>
    </row>
    <row r="121" spans="1:13" ht="12">
      <c r="B121" s="1431" t="s">
        <v>874</v>
      </c>
      <c r="C121" s="1440"/>
      <c r="D121" s="1410"/>
      <c r="E121" s="1440"/>
      <c r="F121" s="1440"/>
      <c r="G121" s="1440"/>
      <c r="H121" s="1440"/>
      <c r="I121" s="1440"/>
      <c r="J121" s="1440"/>
      <c r="K121" s="1440"/>
      <c r="L121" s="1440"/>
      <c r="M121" s="1440"/>
    </row>
    <row r="122" spans="1:13" ht="12">
      <c r="C122" s="1440"/>
      <c r="D122" s="1412"/>
      <c r="E122" s="1440"/>
      <c r="F122" s="1440"/>
      <c r="G122" s="1440"/>
      <c r="H122" s="1440"/>
    </row>
    <row r="123" spans="1:13" ht="12">
      <c r="C123" s="1440"/>
    </row>
    <row r="124" spans="1:13" s="1407" customFormat="1" ht="12">
      <c r="A124" s="1406">
        <v>9</v>
      </c>
      <c r="B124" s="1407" t="s">
        <v>350</v>
      </c>
      <c r="C124" s="1427"/>
      <c r="D124" s="1407">
        <f t="shared" ref="D124:M124" si="22">D96</f>
        <v>2013</v>
      </c>
      <c r="E124" s="1407">
        <f t="shared" si="22"/>
        <v>2014</v>
      </c>
      <c r="F124" s="1407">
        <f t="shared" si="22"/>
        <v>2015</v>
      </c>
      <c r="G124" s="1407">
        <f t="shared" si="22"/>
        <v>2016</v>
      </c>
      <c r="H124" s="1407">
        <f t="shared" si="22"/>
        <v>2017</v>
      </c>
      <c r="I124" s="1407">
        <f t="shared" si="22"/>
        <v>2018</v>
      </c>
      <c r="J124" s="1407">
        <f t="shared" si="22"/>
        <v>2019</v>
      </c>
      <c r="K124" s="1407">
        <f t="shared" si="22"/>
        <v>2020</v>
      </c>
      <c r="L124" s="1407">
        <f t="shared" si="22"/>
        <v>2021</v>
      </c>
      <c r="M124" s="1407">
        <f t="shared" si="22"/>
        <v>2022</v>
      </c>
    </row>
    <row r="125" spans="1:13" ht="12">
      <c r="B125" s="1432" t="s">
        <v>1575</v>
      </c>
      <c r="C125" s="1441"/>
      <c r="D125" s="1441"/>
      <c r="E125" s="1408"/>
      <c r="F125" s="1408"/>
      <c r="G125" s="1408"/>
      <c r="H125" s="1408"/>
      <c r="I125" s="1408"/>
      <c r="J125" s="1408"/>
      <c r="K125" s="1408"/>
      <c r="L125" s="1408"/>
      <c r="M125" s="1408"/>
    </row>
    <row r="126" spans="1:13" ht="12">
      <c r="B126" s="1431" t="s">
        <v>1576</v>
      </c>
      <c r="C126" s="1440"/>
      <c r="D126" s="1440"/>
      <c r="E126" s="1440"/>
      <c r="F126" s="1440"/>
      <c r="G126" s="1440"/>
      <c r="H126" s="1440"/>
      <c r="I126" s="1440"/>
      <c r="J126" s="1440"/>
      <c r="K126" s="1440"/>
      <c r="L126" s="1440"/>
      <c r="M126" s="1440"/>
    </row>
    <row r="127" spans="1:13" ht="12">
      <c r="B127" s="1431" t="s">
        <v>1577</v>
      </c>
      <c r="C127" s="1440"/>
      <c r="D127" s="1440"/>
      <c r="E127" s="1440"/>
      <c r="F127" s="1440"/>
      <c r="G127" s="1440"/>
      <c r="H127" s="1440"/>
      <c r="I127" s="1440"/>
      <c r="J127" s="1440"/>
      <c r="K127" s="1440"/>
      <c r="L127" s="1440"/>
      <c r="M127" s="1440"/>
    </row>
    <row r="128" spans="1:13" ht="12">
      <c r="B128" s="1431" t="s">
        <v>1578</v>
      </c>
      <c r="C128" s="1440"/>
      <c r="D128" s="1436"/>
      <c r="E128" s="1436"/>
      <c r="F128" s="1436"/>
      <c r="G128" s="1436"/>
      <c r="H128" s="1436"/>
      <c r="I128" s="1436"/>
      <c r="J128" s="1436"/>
      <c r="K128" s="1436"/>
      <c r="L128" s="1436"/>
      <c r="M128" s="1436"/>
    </row>
    <row r="129" spans="1:13" ht="12">
      <c r="B129" s="1431" t="s">
        <v>1579</v>
      </c>
      <c r="C129" s="1440"/>
      <c r="D129" s="1410"/>
      <c r="E129" s="1410"/>
      <c r="F129" s="1410"/>
      <c r="G129" s="1410"/>
      <c r="H129" s="1410"/>
      <c r="I129" s="1410"/>
      <c r="J129" s="1410"/>
      <c r="K129" s="1410"/>
      <c r="L129" s="1410"/>
      <c r="M129" s="1410"/>
    </row>
    <row r="130" spans="1:13" s="1407" customFormat="1" ht="12">
      <c r="A130" s="1406"/>
      <c r="B130" s="1407" t="s">
        <v>1580</v>
      </c>
      <c r="C130" s="1427"/>
      <c r="D130" s="1451"/>
      <c r="E130" s="1451"/>
      <c r="F130" s="1451"/>
      <c r="G130" s="1451"/>
      <c r="H130" s="1451"/>
      <c r="I130" s="1451"/>
      <c r="J130" s="1451"/>
      <c r="K130" s="1451"/>
      <c r="L130" s="1451"/>
      <c r="M130" s="1451"/>
    </row>
    <row r="131" spans="1:13" ht="12">
      <c r="B131" s="1407"/>
      <c r="E131" s="1440"/>
      <c r="F131" s="1440"/>
      <c r="G131" s="1440"/>
      <c r="H131" s="1440"/>
      <c r="I131" s="1440"/>
      <c r="J131" s="1440"/>
      <c r="K131" s="1440"/>
      <c r="L131" s="1440"/>
      <c r="M131" s="1440"/>
    </row>
    <row r="132" spans="1:13" ht="12">
      <c r="B132" s="1407" t="s">
        <v>1492</v>
      </c>
      <c r="E132" s="1440"/>
      <c r="F132" s="1440"/>
      <c r="G132" s="1440"/>
      <c r="H132" s="1440"/>
      <c r="I132" s="1440"/>
      <c r="J132" s="1440"/>
      <c r="K132" s="1440"/>
      <c r="L132" s="1440"/>
      <c r="M132" s="1440"/>
    </row>
    <row r="133" spans="1:13" ht="12">
      <c r="B133" s="1431" t="s">
        <v>1581</v>
      </c>
      <c r="D133" s="1412"/>
      <c r="E133" s="1410"/>
      <c r="F133" s="1440"/>
      <c r="G133" s="1440"/>
      <c r="H133" s="1440"/>
      <c r="I133" s="1440"/>
      <c r="J133" s="1440"/>
      <c r="K133" s="1440"/>
      <c r="L133" s="1440"/>
      <c r="M133" s="1440"/>
    </row>
    <row r="134" spans="1:13" ht="12">
      <c r="B134" s="1431" t="s">
        <v>994</v>
      </c>
      <c r="D134" s="1440"/>
      <c r="E134" s="1440"/>
      <c r="F134" s="1440"/>
      <c r="G134" s="1440"/>
      <c r="H134" s="1440"/>
      <c r="I134" s="1440"/>
      <c r="J134" s="1440"/>
      <c r="K134" s="1440"/>
      <c r="L134" s="1440"/>
      <c r="M134" s="1440"/>
    </row>
    <row r="135" spans="1:13" ht="12">
      <c r="B135" s="1431" t="s">
        <v>1582</v>
      </c>
      <c r="F135" s="1440"/>
      <c r="G135" s="1440"/>
    </row>
    <row r="136" spans="1:13" ht="12">
      <c r="B136" s="1431" t="s">
        <v>1583</v>
      </c>
      <c r="D136" s="1440"/>
      <c r="E136" s="1440"/>
      <c r="F136" s="1440"/>
      <c r="G136" s="1440"/>
      <c r="H136" s="1440"/>
      <c r="I136" s="1440"/>
      <c r="J136" s="1440"/>
      <c r="K136" s="1440"/>
      <c r="L136" s="1440"/>
      <c r="M136" s="1440"/>
    </row>
    <row r="137" spans="1:13" ht="12">
      <c r="B137" s="1431" t="s">
        <v>874</v>
      </c>
      <c r="D137" s="1440"/>
      <c r="E137" s="1440"/>
      <c r="F137" s="1440"/>
      <c r="G137" s="1440"/>
      <c r="H137" s="1440"/>
      <c r="I137" s="1440"/>
      <c r="J137" s="1440"/>
      <c r="K137" s="1440"/>
      <c r="L137" s="1440"/>
      <c r="M137" s="1440"/>
    </row>
    <row r="138" spans="1:13" ht="12">
      <c r="A138" s="1430" t="s">
        <v>1584</v>
      </c>
      <c r="B138" s="1432"/>
      <c r="C138" s="1432"/>
      <c r="D138" s="1432"/>
      <c r="E138" s="1432"/>
      <c r="F138" s="1432"/>
      <c r="G138" s="1432"/>
      <c r="H138" s="1432"/>
      <c r="I138" s="1432"/>
      <c r="J138" s="1432"/>
      <c r="K138" s="1432"/>
      <c r="L138" s="1432"/>
      <c r="M138" s="1432"/>
    </row>
    <row r="139" spans="1:13" ht="12"/>
    <row r="140" spans="1:13" ht="12"/>
    <row r="141" spans="1:13" ht="12"/>
    <row r="142" spans="1:13" ht="12"/>
    <row r="143" spans="1:13" ht="12"/>
  </sheetData>
  <pageMargins left="0.7" right="0.7" top="0.75" bottom="0.75" header="0.3" footer="0.3"/>
  <pageSetup orientation="portrait" r:id="rId1"/>
  <legacy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Q138"/>
  <sheetViews>
    <sheetView workbookViewId="0">
      <selection activeCell="A9" sqref="A9"/>
    </sheetView>
  </sheetViews>
  <sheetFormatPr defaultColWidth="9.140625" defaultRowHeight="12"/>
  <cols>
    <col min="1" max="1" width="5.85546875" style="1406" customWidth="1"/>
    <col min="2" max="2" width="27.140625" style="1431" customWidth="1"/>
    <col min="3" max="13" width="9.140625" style="1431" customWidth="1"/>
    <col min="14" max="16384" width="9.140625" style="1431"/>
  </cols>
  <sheetData>
    <row r="1" spans="1:17" ht="21">
      <c r="A1" s="1404" t="s">
        <v>1775</v>
      </c>
    </row>
    <row r="2" spans="1:17">
      <c r="A2" s="1405" t="s">
        <v>1538</v>
      </c>
    </row>
    <row r="4" spans="1:17">
      <c r="B4" s="1407" t="s">
        <v>1539</v>
      </c>
      <c r="F4" s="1407" t="s">
        <v>1540</v>
      </c>
      <c r="K4" s="1407" t="s">
        <v>1595</v>
      </c>
    </row>
    <row r="5" spans="1:17">
      <c r="B5" s="1432" t="s">
        <v>748</v>
      </c>
      <c r="C5" s="1432"/>
      <c r="D5" s="1408">
        <f>SUM(D6:D8)</f>
        <v>666309.5</v>
      </c>
      <c r="F5" s="1432" t="s">
        <v>636</v>
      </c>
      <c r="G5" s="1432"/>
      <c r="H5" s="1432"/>
      <c r="I5" s="1409">
        <v>1</v>
      </c>
    </row>
    <row r="6" spans="1:17">
      <c r="B6" s="1431" t="s">
        <v>678</v>
      </c>
      <c r="D6" s="1410">
        <f>SUM(E30:E31)</f>
        <v>127694</v>
      </c>
      <c r="F6" s="1431" t="s">
        <v>1541</v>
      </c>
      <c r="I6" s="1411">
        <v>0</v>
      </c>
    </row>
    <row r="7" spans="1:17">
      <c r="B7" s="1431" t="s">
        <v>749</v>
      </c>
      <c r="D7" s="1410">
        <f>SUM(E32:E33)</f>
        <v>27363</v>
      </c>
      <c r="F7" s="1431" t="s">
        <v>755</v>
      </c>
      <c r="I7" s="1412">
        <v>2026</v>
      </c>
    </row>
    <row r="8" spans="1:17">
      <c r="B8" s="1431" t="s">
        <v>750</v>
      </c>
      <c r="D8" s="1410">
        <f>C72</f>
        <v>511252.5</v>
      </c>
      <c r="F8" s="1431" t="s">
        <v>1542</v>
      </c>
      <c r="I8" s="1411">
        <v>0.3</v>
      </c>
    </row>
    <row r="9" spans="1:17">
      <c r="B9" s="1431" t="s">
        <v>1543</v>
      </c>
      <c r="D9" s="1412">
        <v>2015</v>
      </c>
      <c r="F9" s="1431" t="s">
        <v>1544</v>
      </c>
      <c r="I9" s="1433" t="e">
        <f>D22</f>
        <v>#REF!</v>
      </c>
    </row>
    <row r="10" spans="1:17">
      <c r="B10" s="1431" t="s">
        <v>751</v>
      </c>
      <c r="D10" s="1412">
        <v>2019</v>
      </c>
      <c r="F10" s="1431" t="s">
        <v>1588</v>
      </c>
      <c r="I10" s="1425" t="e">
        <f>B111</f>
        <v>#VALUE!</v>
      </c>
    </row>
    <row r="11" spans="1:17">
      <c r="B11" s="1431" t="s">
        <v>1545</v>
      </c>
      <c r="D11" s="1412">
        <v>2015</v>
      </c>
      <c r="F11" s="1431" t="s">
        <v>1591</v>
      </c>
      <c r="I11" s="1410" t="e">
        <f>C108</f>
        <v>#REF!</v>
      </c>
    </row>
    <row r="12" spans="1:17">
      <c r="E12" s="1412"/>
      <c r="J12" s="1413"/>
    </row>
    <row r="13" spans="1:17">
      <c r="B13" s="1407" t="s">
        <v>1546</v>
      </c>
      <c r="D13" s="1414">
        <v>2013</v>
      </c>
      <c r="E13" s="1407">
        <f t="shared" ref="E13:Q13" si="0">D13+1</f>
        <v>2014</v>
      </c>
      <c r="F13" s="1407">
        <f t="shared" si="0"/>
        <v>2015</v>
      </c>
      <c r="G13" s="1407">
        <f t="shared" si="0"/>
        <v>2016</v>
      </c>
      <c r="H13" s="1407">
        <f t="shared" si="0"/>
        <v>2017</v>
      </c>
      <c r="I13" s="1407">
        <f t="shared" si="0"/>
        <v>2018</v>
      </c>
      <c r="J13" s="1407">
        <f t="shared" si="0"/>
        <v>2019</v>
      </c>
      <c r="K13" s="1407">
        <f t="shared" si="0"/>
        <v>2020</v>
      </c>
      <c r="L13" s="1407">
        <f t="shared" si="0"/>
        <v>2021</v>
      </c>
      <c r="M13" s="1407">
        <f t="shared" si="0"/>
        <v>2022</v>
      </c>
      <c r="N13" s="1407">
        <f t="shared" si="0"/>
        <v>2023</v>
      </c>
      <c r="O13" s="1407">
        <f t="shared" si="0"/>
        <v>2024</v>
      </c>
      <c r="P13" s="1407">
        <f t="shared" si="0"/>
        <v>2025</v>
      </c>
      <c r="Q13" s="1407">
        <f t="shared" si="0"/>
        <v>2026</v>
      </c>
    </row>
    <row r="14" spans="1:17">
      <c r="B14" s="1432" t="s">
        <v>1547</v>
      </c>
      <c r="C14" s="1432"/>
      <c r="D14" s="1434">
        <f>1-I8</f>
        <v>0.7</v>
      </c>
      <c r="E14" s="1434">
        <f t="shared" ref="E14:Q17" si="1">D14</f>
        <v>0.7</v>
      </c>
      <c r="F14" s="1434">
        <f t="shared" si="1"/>
        <v>0.7</v>
      </c>
      <c r="G14" s="1434">
        <f t="shared" si="1"/>
        <v>0.7</v>
      </c>
      <c r="H14" s="1434">
        <f t="shared" si="1"/>
        <v>0.7</v>
      </c>
      <c r="I14" s="1434">
        <f t="shared" si="1"/>
        <v>0.7</v>
      </c>
      <c r="J14" s="1434">
        <f t="shared" si="1"/>
        <v>0.7</v>
      </c>
      <c r="K14" s="1434">
        <f t="shared" si="1"/>
        <v>0.7</v>
      </c>
      <c r="L14" s="1434">
        <f t="shared" si="1"/>
        <v>0.7</v>
      </c>
      <c r="M14" s="1434">
        <f t="shared" si="1"/>
        <v>0.7</v>
      </c>
      <c r="N14" s="1434">
        <f t="shared" si="1"/>
        <v>0.7</v>
      </c>
      <c r="O14" s="1434">
        <f t="shared" si="1"/>
        <v>0.7</v>
      </c>
      <c r="P14" s="1434">
        <f t="shared" si="1"/>
        <v>0.7</v>
      </c>
      <c r="Q14" s="1434">
        <f t="shared" si="1"/>
        <v>0.7</v>
      </c>
    </row>
    <row r="15" spans="1:17">
      <c r="B15" s="1431" t="s">
        <v>610</v>
      </c>
      <c r="D15" s="1594" t="e">
        <f>#REF!</f>
        <v>#REF!</v>
      </c>
      <c r="E15" s="1431" t="e">
        <f>D15</f>
        <v>#REF!</v>
      </c>
      <c r="F15" s="1431" t="e">
        <f t="shared" si="1"/>
        <v>#REF!</v>
      </c>
      <c r="G15" s="1431" t="e">
        <f t="shared" si="1"/>
        <v>#REF!</v>
      </c>
      <c r="H15" s="1431" t="e">
        <f t="shared" si="1"/>
        <v>#REF!</v>
      </c>
      <c r="I15" s="1431" t="e">
        <f t="shared" si="1"/>
        <v>#REF!</v>
      </c>
      <c r="J15" s="1431" t="e">
        <f t="shared" si="1"/>
        <v>#REF!</v>
      </c>
      <c r="K15" s="1431" t="e">
        <f t="shared" si="1"/>
        <v>#REF!</v>
      </c>
      <c r="L15" s="1431" t="e">
        <f t="shared" si="1"/>
        <v>#REF!</v>
      </c>
      <c r="M15" s="1431" t="e">
        <f t="shared" si="1"/>
        <v>#REF!</v>
      </c>
      <c r="N15" s="1431" t="e">
        <f t="shared" si="1"/>
        <v>#REF!</v>
      </c>
      <c r="O15" s="1431" t="e">
        <f t="shared" si="1"/>
        <v>#REF!</v>
      </c>
      <c r="P15" s="1431" t="e">
        <f t="shared" si="1"/>
        <v>#REF!</v>
      </c>
      <c r="Q15" s="1431" t="e">
        <f t="shared" si="1"/>
        <v>#REF!</v>
      </c>
    </row>
    <row r="16" spans="1:17">
      <c r="B16" s="1431" t="s">
        <v>757</v>
      </c>
      <c r="D16" s="1581" t="e">
        <f>#REF!</f>
        <v>#REF!</v>
      </c>
      <c r="E16" s="1435" t="e">
        <f t="shared" si="1"/>
        <v>#REF!</v>
      </c>
      <c r="F16" s="1435" t="e">
        <f t="shared" si="1"/>
        <v>#REF!</v>
      </c>
      <c r="G16" s="1435" t="e">
        <f t="shared" si="1"/>
        <v>#REF!</v>
      </c>
      <c r="H16" s="1435" t="e">
        <f t="shared" si="1"/>
        <v>#REF!</v>
      </c>
      <c r="I16" s="1435" t="e">
        <f t="shared" si="1"/>
        <v>#REF!</v>
      </c>
      <c r="J16" s="1435" t="e">
        <f t="shared" si="1"/>
        <v>#REF!</v>
      </c>
      <c r="K16" s="1435" t="e">
        <f t="shared" si="1"/>
        <v>#REF!</v>
      </c>
      <c r="L16" s="1435" t="e">
        <f t="shared" si="1"/>
        <v>#REF!</v>
      </c>
      <c r="M16" s="1435" t="e">
        <f t="shared" si="1"/>
        <v>#REF!</v>
      </c>
      <c r="N16" s="1435" t="e">
        <f t="shared" si="1"/>
        <v>#REF!</v>
      </c>
      <c r="O16" s="1435" t="e">
        <f t="shared" si="1"/>
        <v>#REF!</v>
      </c>
      <c r="P16" s="1435" t="e">
        <f t="shared" si="1"/>
        <v>#REF!</v>
      </c>
      <c r="Q16" s="1435" t="e">
        <f t="shared" si="1"/>
        <v>#REF!</v>
      </c>
    </row>
    <row r="17" spans="1:17">
      <c r="B17" s="1431" t="s">
        <v>609</v>
      </c>
      <c r="C17" s="1440"/>
      <c r="D17" s="1581" t="e">
        <f>#REF!</f>
        <v>#REF!</v>
      </c>
      <c r="E17" s="1435" t="e">
        <f t="shared" si="1"/>
        <v>#REF!</v>
      </c>
      <c r="F17" s="1435" t="e">
        <f t="shared" si="1"/>
        <v>#REF!</v>
      </c>
      <c r="G17" s="1435" t="e">
        <f t="shared" si="1"/>
        <v>#REF!</v>
      </c>
      <c r="H17" s="1435" t="e">
        <f t="shared" si="1"/>
        <v>#REF!</v>
      </c>
      <c r="I17" s="1435" t="e">
        <f t="shared" si="1"/>
        <v>#REF!</v>
      </c>
      <c r="J17" s="1435" t="e">
        <f t="shared" si="1"/>
        <v>#REF!</v>
      </c>
      <c r="K17" s="1435" t="e">
        <f t="shared" si="1"/>
        <v>#REF!</v>
      </c>
      <c r="L17" s="1435" t="e">
        <f t="shared" si="1"/>
        <v>#REF!</v>
      </c>
      <c r="M17" s="1435" t="e">
        <f t="shared" si="1"/>
        <v>#REF!</v>
      </c>
      <c r="N17" s="1435" t="e">
        <f t="shared" si="1"/>
        <v>#REF!</v>
      </c>
      <c r="O17" s="1435" t="e">
        <f t="shared" si="1"/>
        <v>#REF!</v>
      </c>
      <c r="P17" s="1435" t="e">
        <f t="shared" si="1"/>
        <v>#REF!</v>
      </c>
      <c r="Q17" s="1435" t="e">
        <f t="shared" si="1"/>
        <v>#REF!</v>
      </c>
    </row>
    <row r="18" spans="1:17">
      <c r="B18" s="1431" t="s">
        <v>758</v>
      </c>
      <c r="D18" s="1433" t="e">
        <f t="shared" ref="D18:Q18" si="2">D16+D15*D17</f>
        <v>#REF!</v>
      </c>
      <c r="E18" s="1433" t="e">
        <f t="shared" si="2"/>
        <v>#REF!</v>
      </c>
      <c r="F18" s="1433" t="e">
        <f t="shared" si="2"/>
        <v>#REF!</v>
      </c>
      <c r="G18" s="1433" t="e">
        <f t="shared" si="2"/>
        <v>#REF!</v>
      </c>
      <c r="H18" s="1433" t="e">
        <f t="shared" si="2"/>
        <v>#REF!</v>
      </c>
      <c r="I18" s="1433" t="e">
        <f t="shared" si="2"/>
        <v>#REF!</v>
      </c>
      <c r="J18" s="1433" t="e">
        <f t="shared" si="2"/>
        <v>#REF!</v>
      </c>
      <c r="K18" s="1433" t="e">
        <f t="shared" si="2"/>
        <v>#REF!</v>
      </c>
      <c r="L18" s="1433" t="e">
        <f t="shared" si="2"/>
        <v>#REF!</v>
      </c>
      <c r="M18" s="1433" t="e">
        <f t="shared" si="2"/>
        <v>#REF!</v>
      </c>
      <c r="N18" s="1433" t="e">
        <f t="shared" si="2"/>
        <v>#REF!</v>
      </c>
      <c r="O18" s="1433" t="e">
        <f t="shared" si="2"/>
        <v>#REF!</v>
      </c>
      <c r="P18" s="1433" t="e">
        <f t="shared" si="2"/>
        <v>#REF!</v>
      </c>
      <c r="Q18" s="1433" t="e">
        <f t="shared" si="2"/>
        <v>#REF!</v>
      </c>
    </row>
    <row r="19" spans="1:17">
      <c r="B19" s="1431" t="s">
        <v>1542</v>
      </c>
      <c r="D19" s="1436">
        <f t="shared" ref="D19:Q19" si="3">$I$8</f>
        <v>0.3</v>
      </c>
      <c r="E19" s="1436">
        <f t="shared" si="3"/>
        <v>0.3</v>
      </c>
      <c r="F19" s="1436">
        <f t="shared" si="3"/>
        <v>0.3</v>
      </c>
      <c r="G19" s="1436">
        <f t="shared" si="3"/>
        <v>0.3</v>
      </c>
      <c r="H19" s="1436">
        <f t="shared" si="3"/>
        <v>0.3</v>
      </c>
      <c r="I19" s="1436">
        <f t="shared" si="3"/>
        <v>0.3</v>
      </c>
      <c r="J19" s="1436">
        <f t="shared" si="3"/>
        <v>0.3</v>
      </c>
      <c r="K19" s="1436">
        <f t="shared" si="3"/>
        <v>0.3</v>
      </c>
      <c r="L19" s="1436">
        <f t="shared" si="3"/>
        <v>0.3</v>
      </c>
      <c r="M19" s="1436">
        <f t="shared" si="3"/>
        <v>0.3</v>
      </c>
      <c r="N19" s="1436">
        <f t="shared" si="3"/>
        <v>0.3</v>
      </c>
      <c r="O19" s="1436">
        <f t="shared" si="3"/>
        <v>0.3</v>
      </c>
      <c r="P19" s="1436">
        <f t="shared" si="3"/>
        <v>0.3</v>
      </c>
      <c r="Q19" s="1436">
        <f t="shared" si="3"/>
        <v>0.3</v>
      </c>
    </row>
    <row r="20" spans="1:17">
      <c r="B20" s="1431" t="s">
        <v>760</v>
      </c>
      <c r="D20" s="1581" t="e">
        <f>#REF!</f>
        <v>#REF!</v>
      </c>
      <c r="E20" s="1581" t="e">
        <f>#REF!</f>
        <v>#REF!</v>
      </c>
      <c r="F20" s="1581" t="e">
        <f>#REF!</f>
        <v>#REF!</v>
      </c>
      <c r="G20" s="1581" t="e">
        <f>#REF!</f>
        <v>#REF!</v>
      </c>
      <c r="H20" s="1581" t="e">
        <f>#REF!</f>
        <v>#REF!</v>
      </c>
      <c r="I20" s="1418" t="e">
        <f t="shared" ref="H20:Q21" si="4">H20</f>
        <v>#REF!</v>
      </c>
      <c r="J20" s="1418" t="e">
        <f t="shared" si="4"/>
        <v>#REF!</v>
      </c>
      <c r="K20" s="1418" t="e">
        <f t="shared" si="4"/>
        <v>#REF!</v>
      </c>
      <c r="L20" s="1418" t="e">
        <f t="shared" si="4"/>
        <v>#REF!</v>
      </c>
      <c r="M20" s="1418" t="e">
        <f t="shared" si="4"/>
        <v>#REF!</v>
      </c>
      <c r="N20" s="1418" t="e">
        <f t="shared" si="4"/>
        <v>#REF!</v>
      </c>
      <c r="O20" s="1418" t="e">
        <f t="shared" si="4"/>
        <v>#REF!</v>
      </c>
      <c r="P20" s="1418" t="e">
        <f t="shared" si="4"/>
        <v>#REF!</v>
      </c>
      <c r="Q20" s="1418" t="e">
        <f t="shared" si="4"/>
        <v>#REF!</v>
      </c>
    </row>
    <row r="21" spans="1:17">
      <c r="B21" s="1431" t="s">
        <v>846</v>
      </c>
      <c r="C21" s="1440"/>
      <c r="D21" s="1416">
        <v>0.22</v>
      </c>
      <c r="E21" s="1417">
        <f>D21</f>
        <v>0.22</v>
      </c>
      <c r="F21" s="1417">
        <f>E21</f>
        <v>0.22</v>
      </c>
      <c r="G21" s="1416">
        <v>0.2</v>
      </c>
      <c r="H21" s="1417">
        <f t="shared" si="4"/>
        <v>0.2</v>
      </c>
      <c r="I21" s="1417">
        <f t="shared" si="4"/>
        <v>0.2</v>
      </c>
      <c r="J21" s="1417">
        <f t="shared" si="4"/>
        <v>0.2</v>
      </c>
      <c r="K21" s="1417">
        <f t="shared" si="4"/>
        <v>0.2</v>
      </c>
      <c r="L21" s="1417">
        <f t="shared" si="4"/>
        <v>0.2</v>
      </c>
      <c r="M21" s="1417">
        <f t="shared" si="4"/>
        <v>0.2</v>
      </c>
      <c r="N21" s="1417">
        <f t="shared" si="4"/>
        <v>0.2</v>
      </c>
      <c r="O21" s="1417">
        <f t="shared" si="4"/>
        <v>0.2</v>
      </c>
      <c r="P21" s="1417">
        <f t="shared" si="4"/>
        <v>0.2</v>
      </c>
      <c r="Q21" s="1417">
        <f t="shared" si="4"/>
        <v>0.2</v>
      </c>
    </row>
    <row r="22" spans="1:17">
      <c r="B22" s="1419" t="s">
        <v>14</v>
      </c>
      <c r="C22" s="1432"/>
      <c r="D22" s="1437" t="e">
        <f>D18*D14+D20*D19*(1-D21)</f>
        <v>#REF!</v>
      </c>
      <c r="E22" s="1437" t="e">
        <f t="shared" ref="E22:Q22" si="5">E18*E14+E20*E19*(1-E21)</f>
        <v>#REF!</v>
      </c>
      <c r="F22" s="1437" t="e">
        <f>F18*F14+F20*F19*(1-F21)</f>
        <v>#REF!</v>
      </c>
      <c r="G22" s="1437" t="e">
        <f>G18*G14+G20*G19*(1-G21)</f>
        <v>#REF!</v>
      </c>
      <c r="H22" s="1437" t="e">
        <f>H18*H14+H20*H19*(1-H21)</f>
        <v>#REF!</v>
      </c>
      <c r="I22" s="1437" t="e">
        <f>I18*I14+I20*I19*(1-I21)</f>
        <v>#REF!</v>
      </c>
      <c r="J22" s="1437" t="e">
        <f t="shared" si="5"/>
        <v>#REF!</v>
      </c>
      <c r="K22" s="1437" t="e">
        <f t="shared" si="5"/>
        <v>#REF!</v>
      </c>
      <c r="L22" s="1437" t="e">
        <f t="shared" si="5"/>
        <v>#REF!</v>
      </c>
      <c r="M22" s="1437" t="e">
        <f t="shared" si="5"/>
        <v>#REF!</v>
      </c>
      <c r="N22" s="1437" t="e">
        <f t="shared" si="5"/>
        <v>#REF!</v>
      </c>
      <c r="O22" s="1437" t="e">
        <f t="shared" si="5"/>
        <v>#REF!</v>
      </c>
      <c r="P22" s="1437" t="e">
        <f t="shared" si="5"/>
        <v>#REF!</v>
      </c>
      <c r="Q22" s="1437" t="e">
        <f t="shared" si="5"/>
        <v>#REF!</v>
      </c>
    </row>
    <row r="23" spans="1:17">
      <c r="E23" s="1412"/>
      <c r="J23" s="1413"/>
    </row>
    <row r="24" spans="1:17">
      <c r="E24" s="1412"/>
      <c r="J24" s="1413"/>
    </row>
    <row r="25" spans="1:17" ht="15.75">
      <c r="A25" s="1420" t="s">
        <v>1548</v>
      </c>
      <c r="B25" s="1438"/>
    </row>
    <row r="27" spans="1:17" s="1407" customFormat="1">
      <c r="A27" s="1406" t="s">
        <v>762</v>
      </c>
      <c r="B27" s="1407" t="s">
        <v>1459</v>
      </c>
      <c r="C27" s="1407" t="s">
        <v>764</v>
      </c>
      <c r="D27" s="1407" t="s">
        <v>1549</v>
      </c>
      <c r="E27" s="1407" t="s">
        <v>1550</v>
      </c>
    </row>
    <row r="28" spans="1:17">
      <c r="A28" s="1421"/>
      <c r="B28" s="1432" t="s">
        <v>1551</v>
      </c>
      <c r="C28" s="1432" t="s">
        <v>1552</v>
      </c>
      <c r="D28" s="1432"/>
      <c r="E28" s="1422">
        <v>9121</v>
      </c>
      <c r="F28" s="1432"/>
    </row>
    <row r="29" spans="1:17">
      <c r="B29" s="1431" t="s">
        <v>1553</v>
      </c>
      <c r="C29" s="1431" t="s">
        <v>1552</v>
      </c>
      <c r="E29" s="1410">
        <f>E28</f>
        <v>9121</v>
      </c>
    </row>
    <row r="30" spans="1:17">
      <c r="B30" s="1431" t="s">
        <v>1554</v>
      </c>
      <c r="C30" s="1431" t="s">
        <v>1555</v>
      </c>
      <c r="D30" s="1446">
        <v>0</v>
      </c>
      <c r="E30" s="1410">
        <f>E28*D30</f>
        <v>0</v>
      </c>
    </row>
    <row r="31" spans="1:17">
      <c r="B31" s="1431" t="s">
        <v>1556</v>
      </c>
      <c r="C31" s="1431" t="s">
        <v>1555</v>
      </c>
      <c r="D31" s="1446">
        <v>14</v>
      </c>
      <c r="E31" s="1440">
        <f>D31*E28</f>
        <v>127694</v>
      </c>
    </row>
    <row r="32" spans="1:17">
      <c r="B32" s="1431" t="s">
        <v>771</v>
      </c>
      <c r="C32" s="1431" t="s">
        <v>1555</v>
      </c>
      <c r="D32" s="1412">
        <v>1.5</v>
      </c>
      <c r="E32" s="1410">
        <f>D32*E28</f>
        <v>13681.5</v>
      </c>
    </row>
    <row r="33" spans="1:8">
      <c r="B33" s="1431" t="s">
        <v>1557</v>
      </c>
      <c r="C33" s="1431" t="s">
        <v>1555</v>
      </c>
      <c r="D33" s="1412">
        <v>1.5</v>
      </c>
      <c r="E33" s="1410">
        <f>D33*E28</f>
        <v>13681.5</v>
      </c>
    </row>
    <row r="35" spans="1:8">
      <c r="B35" s="1407" t="s">
        <v>773</v>
      </c>
      <c r="C35" s="1407" t="s">
        <v>642</v>
      </c>
      <c r="D35" s="1414">
        <f>D13</f>
        <v>2013</v>
      </c>
      <c r="E35" s="1414">
        <f>E13</f>
        <v>2014</v>
      </c>
      <c r="F35" s="1414">
        <f>F13</f>
        <v>2015</v>
      </c>
      <c r="G35" s="1414">
        <f>G13</f>
        <v>2016</v>
      </c>
      <c r="H35" s="1414">
        <f>H13</f>
        <v>2017</v>
      </c>
    </row>
    <row r="36" spans="1:8">
      <c r="B36" s="1432"/>
      <c r="C36" s="1441">
        <f>D6</f>
        <v>127694</v>
      </c>
      <c r="D36" s="1408">
        <f>$C$36*D37</f>
        <v>0</v>
      </c>
      <c r="E36" s="1408">
        <f>$C$36*E37</f>
        <v>0</v>
      </c>
      <c r="F36" s="1408">
        <f>$C$36*F37</f>
        <v>0</v>
      </c>
      <c r="G36" s="1408">
        <f>$C$36*G37</f>
        <v>0</v>
      </c>
      <c r="H36" s="1408">
        <f>$C$36*H37</f>
        <v>127694</v>
      </c>
    </row>
    <row r="37" spans="1:8">
      <c r="B37" s="1442" t="s">
        <v>1559</v>
      </c>
      <c r="C37" s="1436">
        <f>SUM(D37:H37)</f>
        <v>1</v>
      </c>
      <c r="D37" s="1416">
        <v>0</v>
      </c>
      <c r="E37" s="1416">
        <v>0</v>
      </c>
      <c r="G37" s="1416">
        <v>0</v>
      </c>
      <c r="H37" s="1416">
        <v>1</v>
      </c>
    </row>
    <row r="38" spans="1:8">
      <c r="B38" s="1407" t="s">
        <v>1558</v>
      </c>
      <c r="C38" s="1440">
        <f>SUM(E32:E33)</f>
        <v>27363</v>
      </c>
      <c r="D38" s="1440">
        <f>$C$38*D39</f>
        <v>0</v>
      </c>
      <c r="E38" s="1440">
        <f>$C$38*E39</f>
        <v>0</v>
      </c>
      <c r="F38" s="1440">
        <f>$C$38*F39</f>
        <v>0</v>
      </c>
      <c r="G38" s="1440">
        <f>$C$38*G39</f>
        <v>0</v>
      </c>
      <c r="H38" s="1440">
        <f>$C$38*H39</f>
        <v>27363</v>
      </c>
    </row>
    <row r="39" spans="1:8">
      <c r="B39" s="1442" t="s">
        <v>1559</v>
      </c>
      <c r="C39" s="1443">
        <f>SUM(D39:H39)</f>
        <v>1</v>
      </c>
      <c r="D39" s="1411">
        <v>0</v>
      </c>
      <c r="E39" s="1411">
        <v>0</v>
      </c>
      <c r="F39" s="1411">
        <v>0</v>
      </c>
      <c r="G39" s="1411">
        <v>0</v>
      </c>
      <c r="H39" s="1411">
        <v>1</v>
      </c>
    </row>
    <row r="42" spans="1:8" s="1407" customFormat="1">
      <c r="A42" s="1406" t="s">
        <v>777</v>
      </c>
      <c r="B42" s="1407" t="s">
        <v>1585</v>
      </c>
      <c r="C42" s="1407" t="s">
        <v>764</v>
      </c>
      <c r="D42" s="1407" t="s">
        <v>1549</v>
      </c>
    </row>
    <row r="43" spans="1:8">
      <c r="A43" s="1421"/>
      <c r="B43" s="1432" t="s">
        <v>686</v>
      </c>
      <c r="C43" s="1432" t="s">
        <v>1552</v>
      </c>
      <c r="D43" s="1449">
        <v>68167</v>
      </c>
      <c r="F43" s="1440"/>
    </row>
    <row r="44" spans="1:8">
      <c r="B44" s="1431" t="s">
        <v>1560</v>
      </c>
      <c r="C44" s="1431" t="s">
        <v>780</v>
      </c>
      <c r="D44" s="1448">
        <f>D45/D43</f>
        <v>0.67237813018029247</v>
      </c>
    </row>
    <row r="45" spans="1:8">
      <c r="B45" s="1431" t="s">
        <v>781</v>
      </c>
      <c r="C45" s="1431" t="s">
        <v>1552</v>
      </c>
      <c r="D45" s="1423">
        <v>45834</v>
      </c>
    </row>
    <row r="46" spans="1:8">
      <c r="B46" s="1431" t="s">
        <v>1561</v>
      </c>
      <c r="C46" s="1431" t="s">
        <v>1555</v>
      </c>
      <c r="D46" s="1446">
        <v>22</v>
      </c>
    </row>
    <row r="47" spans="1:8">
      <c r="B47" s="1431" t="s">
        <v>1587</v>
      </c>
      <c r="C47" s="1431" t="s">
        <v>1555</v>
      </c>
      <c r="D47" s="1462">
        <v>7.5</v>
      </c>
    </row>
    <row r="48" spans="1:8">
      <c r="B48" s="1431" t="s">
        <v>787</v>
      </c>
      <c r="C48" s="1431" t="s">
        <v>780</v>
      </c>
      <c r="D48" s="1411">
        <v>0</v>
      </c>
    </row>
    <row r="49" spans="1:11">
      <c r="B49" s="1431" t="s">
        <v>1562</v>
      </c>
      <c r="C49" s="1431" t="s">
        <v>780</v>
      </c>
      <c r="D49" s="1586" t="e">
        <f>#REF!</f>
        <v>#REF!</v>
      </c>
    </row>
    <row r="50" spans="1:11">
      <c r="B50" s="1431" t="s">
        <v>1563</v>
      </c>
      <c r="C50" s="1431" t="s">
        <v>780</v>
      </c>
      <c r="D50" s="1411">
        <v>0</v>
      </c>
    </row>
    <row r="52" spans="1:11" s="1407" customFormat="1">
      <c r="A52" s="1406">
        <v>1</v>
      </c>
      <c r="B52" s="1407" t="s">
        <v>1564</v>
      </c>
      <c r="C52" s="1407" t="str">
        <f>C35</f>
        <v>Total</v>
      </c>
      <c r="D52" s="1407">
        <f>D35</f>
        <v>2013</v>
      </c>
      <c r="E52" s="1407">
        <f>E35</f>
        <v>2014</v>
      </c>
      <c r="F52" s="1407">
        <f>F35</f>
        <v>2015</v>
      </c>
      <c r="G52" s="1407">
        <f>F52+1</f>
        <v>2016</v>
      </c>
      <c r="H52" s="1407">
        <f>G52+1</f>
        <v>2017</v>
      </c>
      <c r="I52" s="1407">
        <f>H52+1</f>
        <v>2018</v>
      </c>
      <c r="J52" s="1407">
        <f>I52+1</f>
        <v>2019</v>
      </c>
      <c r="K52" s="1407">
        <f>J52+1</f>
        <v>2020</v>
      </c>
    </row>
    <row r="53" spans="1:11">
      <c r="B53" s="1432" t="s">
        <v>791</v>
      </c>
      <c r="C53" s="1441">
        <f>SUM(D53:K53)</f>
        <v>1008348</v>
      </c>
      <c r="D53" s="1441">
        <f>$D$45*D55*D54</f>
        <v>0</v>
      </c>
      <c r="E53" s="1441">
        <f t="shared" ref="E53:J53" si="6">$D$45*E55*E54</f>
        <v>0</v>
      </c>
      <c r="F53" s="1441">
        <f t="shared" si="6"/>
        <v>0</v>
      </c>
      <c r="G53" s="1441">
        <f t="shared" si="6"/>
        <v>0</v>
      </c>
      <c r="H53" s="1441">
        <f t="shared" si="6"/>
        <v>504174</v>
      </c>
      <c r="I53" s="1441">
        <f t="shared" si="6"/>
        <v>504174</v>
      </c>
      <c r="J53" s="1441">
        <f t="shared" si="6"/>
        <v>0</v>
      </c>
      <c r="K53" s="1441">
        <f>$D$45*K55*K54</f>
        <v>0</v>
      </c>
    </row>
    <row r="54" spans="1:11">
      <c r="B54" s="1444" t="s">
        <v>792</v>
      </c>
      <c r="C54" s="1436">
        <f>SUM(D54:K54)</f>
        <v>1</v>
      </c>
      <c r="D54" s="1416"/>
      <c r="E54" s="1416"/>
      <c r="F54" s="1416"/>
      <c r="G54" s="1416">
        <v>0</v>
      </c>
      <c r="H54" s="1416">
        <v>0.5</v>
      </c>
      <c r="I54" s="1416">
        <v>0.5</v>
      </c>
      <c r="J54" s="1416">
        <v>0</v>
      </c>
      <c r="K54" s="1416"/>
    </row>
    <row r="55" spans="1:11">
      <c r="B55" s="1444" t="s">
        <v>1565</v>
      </c>
      <c r="D55" s="1439">
        <f>D46</f>
        <v>22</v>
      </c>
      <c r="E55" s="1439">
        <f t="shared" ref="E55:K55" si="7">D55*(1+E56)</f>
        <v>22</v>
      </c>
      <c r="F55" s="1439">
        <f t="shared" si="7"/>
        <v>22</v>
      </c>
      <c r="G55" s="1439">
        <f t="shared" si="7"/>
        <v>22</v>
      </c>
      <c r="H55" s="1439">
        <f t="shared" si="7"/>
        <v>22</v>
      </c>
      <c r="I55" s="1439">
        <f t="shared" si="7"/>
        <v>22</v>
      </c>
      <c r="J55" s="1439">
        <f t="shared" si="7"/>
        <v>22</v>
      </c>
      <c r="K55" s="1439">
        <f t="shared" si="7"/>
        <v>22</v>
      </c>
    </row>
    <row r="56" spans="1:11">
      <c r="B56" s="1444" t="s">
        <v>1563</v>
      </c>
      <c r="E56" s="1443">
        <f t="shared" ref="E56:J56" si="8">D50</f>
        <v>0</v>
      </c>
      <c r="F56" s="1443">
        <f t="shared" si="8"/>
        <v>0</v>
      </c>
      <c r="G56" s="1443">
        <f t="shared" si="8"/>
        <v>0</v>
      </c>
      <c r="H56" s="1443">
        <f t="shared" si="8"/>
        <v>0</v>
      </c>
      <c r="I56" s="1443">
        <f t="shared" si="8"/>
        <v>0</v>
      </c>
      <c r="J56" s="1443">
        <f t="shared" si="8"/>
        <v>0</v>
      </c>
      <c r="K56" s="1443">
        <f>J50</f>
        <v>0</v>
      </c>
    </row>
    <row r="57" spans="1:11">
      <c r="B57" s="1444"/>
      <c r="F57" s="1443"/>
      <c r="G57" s="1443"/>
    </row>
    <row r="58" spans="1:11">
      <c r="B58" s="1444"/>
      <c r="F58" s="1443"/>
      <c r="G58" s="1443"/>
    </row>
    <row r="59" spans="1:11" s="1407" customFormat="1">
      <c r="A59" s="1406">
        <v>2</v>
      </c>
      <c r="B59" s="1407" t="s">
        <v>794</v>
      </c>
      <c r="C59" s="1407" t="str">
        <f>C52</f>
        <v>Total</v>
      </c>
      <c r="D59" s="1407">
        <f t="shared" ref="D59:J59" si="9">D52</f>
        <v>2013</v>
      </c>
      <c r="E59" s="1407">
        <f t="shared" si="9"/>
        <v>2014</v>
      </c>
      <c r="F59" s="1407">
        <f t="shared" si="9"/>
        <v>2015</v>
      </c>
      <c r="G59" s="1407">
        <f t="shared" si="9"/>
        <v>2016</v>
      </c>
      <c r="H59" s="1407">
        <f t="shared" si="9"/>
        <v>2017</v>
      </c>
      <c r="I59" s="1407">
        <f t="shared" si="9"/>
        <v>2018</v>
      </c>
      <c r="J59" s="1407">
        <f t="shared" si="9"/>
        <v>2019</v>
      </c>
      <c r="K59" s="1407">
        <f>K52</f>
        <v>2020</v>
      </c>
    </row>
    <row r="60" spans="1:11">
      <c r="B60" s="1432" t="s">
        <v>1586</v>
      </c>
      <c r="C60" s="1408">
        <f>C53</f>
        <v>1008348</v>
      </c>
      <c r="D60" s="1441">
        <f>$C$60*D61</f>
        <v>0</v>
      </c>
      <c r="E60" s="1441">
        <f t="shared" ref="E60:K60" si="10">$C$60*E61</f>
        <v>0</v>
      </c>
      <c r="F60" s="1441">
        <f t="shared" si="10"/>
        <v>0</v>
      </c>
      <c r="G60" s="1441">
        <f t="shared" si="10"/>
        <v>0</v>
      </c>
      <c r="H60" s="1441">
        <f t="shared" si="10"/>
        <v>0</v>
      </c>
      <c r="I60" s="1441">
        <f t="shared" si="10"/>
        <v>0</v>
      </c>
      <c r="J60" s="1441">
        <f t="shared" si="10"/>
        <v>1008348</v>
      </c>
      <c r="K60" s="1441">
        <f t="shared" si="10"/>
        <v>0</v>
      </c>
    </row>
    <row r="61" spans="1:11">
      <c r="B61" s="1442" t="s">
        <v>794</v>
      </c>
      <c r="C61" s="1417">
        <f>SUM(D61:K61)</f>
        <v>1</v>
      </c>
      <c r="D61" s="1411"/>
      <c r="E61" s="1411"/>
      <c r="F61" s="1411"/>
      <c r="G61" s="1411"/>
      <c r="H61" s="1411"/>
      <c r="I61" s="1411">
        <v>0</v>
      </c>
      <c r="J61" s="1411">
        <v>1</v>
      </c>
      <c r="K61" s="1411">
        <v>0</v>
      </c>
    </row>
    <row r="62" spans="1:11">
      <c r="B62" s="1444"/>
      <c r="C62" s="1425"/>
      <c r="D62" s="1433"/>
      <c r="E62" s="1433"/>
      <c r="F62" s="1433"/>
      <c r="G62" s="1433"/>
    </row>
    <row r="63" spans="1:11">
      <c r="C63" s="1440"/>
      <c r="D63" s="1440"/>
      <c r="E63" s="1440"/>
      <c r="F63" s="1440"/>
      <c r="G63" s="1440"/>
    </row>
    <row r="64" spans="1:11" s="1407" customFormat="1">
      <c r="A64" s="1406">
        <v>3</v>
      </c>
      <c r="B64" s="1407" t="s">
        <v>1175</v>
      </c>
      <c r="C64" s="1407" t="str">
        <f>C59</f>
        <v>Total</v>
      </c>
      <c r="D64" s="1407">
        <f t="shared" ref="D64:J64" si="11">D59</f>
        <v>2013</v>
      </c>
      <c r="E64" s="1407">
        <f t="shared" si="11"/>
        <v>2014</v>
      </c>
      <c r="F64" s="1407">
        <f t="shared" si="11"/>
        <v>2015</v>
      </c>
      <c r="G64" s="1407">
        <f t="shared" si="11"/>
        <v>2016</v>
      </c>
      <c r="H64" s="1407">
        <f t="shared" si="11"/>
        <v>2017</v>
      </c>
      <c r="I64" s="1407">
        <f t="shared" si="11"/>
        <v>2018</v>
      </c>
      <c r="J64" s="1407">
        <f t="shared" si="11"/>
        <v>2019</v>
      </c>
      <c r="K64" s="1407">
        <f>K59</f>
        <v>2020</v>
      </c>
    </row>
    <row r="65" spans="1:13">
      <c r="B65" s="1432"/>
      <c r="C65" s="1441">
        <f>SUM(D65:K65)</f>
        <v>1008348</v>
      </c>
      <c r="D65" s="1408">
        <f>D53*D66</f>
        <v>0</v>
      </c>
      <c r="E65" s="1408">
        <f>D53*$D$67+E53*$D$66</f>
        <v>0</v>
      </c>
      <c r="F65" s="1408">
        <f>E53*$D$67+F53*$D$66</f>
        <v>0</v>
      </c>
      <c r="G65" s="1408">
        <f>F53*$D$67+G53*$D$66</f>
        <v>0</v>
      </c>
      <c r="H65" s="1408">
        <f>G53*$D$67+H53*$D$66+F53*$D$68</f>
        <v>151252.19999999998</v>
      </c>
      <c r="I65" s="1408">
        <f>H53*$D$67+I53*$D$66+G53*$D$68</f>
        <v>504174</v>
      </c>
      <c r="J65" s="1408">
        <f>I53*$D$67+J53*$D$66+H53*$D$68</f>
        <v>352921.8</v>
      </c>
      <c r="K65" s="1408">
        <f>C53-SUM(H65:J65)</f>
        <v>0</v>
      </c>
      <c r="L65" s="1410"/>
    </row>
    <row r="66" spans="1:13">
      <c r="B66" s="1431" t="s">
        <v>797</v>
      </c>
      <c r="C66" s="1440" t="s">
        <v>798</v>
      </c>
      <c r="D66" s="1416">
        <v>0.3</v>
      </c>
      <c r="E66" s="1440"/>
      <c r="F66" s="1440"/>
      <c r="G66" s="1440"/>
    </row>
    <row r="67" spans="1:13">
      <c r="C67" s="1440" t="s">
        <v>799</v>
      </c>
      <c r="D67" s="1416">
        <v>0.7</v>
      </c>
      <c r="E67" s="1440"/>
      <c r="F67" s="1440"/>
      <c r="G67" s="1440"/>
    </row>
    <row r="68" spans="1:13">
      <c r="C68" s="1440" t="s">
        <v>800</v>
      </c>
      <c r="D68" s="1417">
        <f>1-SUM(D66:D67)</f>
        <v>0</v>
      </c>
      <c r="E68" s="1440"/>
      <c r="F68" s="1440"/>
      <c r="G68" s="1440"/>
    </row>
    <row r="69" spans="1:13">
      <c r="C69" s="1440"/>
      <c r="D69" s="1416"/>
      <c r="E69" s="1440"/>
      <c r="F69" s="1440"/>
      <c r="G69" s="1440"/>
    </row>
    <row r="70" spans="1:13">
      <c r="C70" s="1440"/>
      <c r="D70" s="1416"/>
      <c r="E70" s="1440"/>
      <c r="F70" s="1440"/>
      <c r="G70" s="1440"/>
    </row>
    <row r="71" spans="1:13" s="1407" customFormat="1">
      <c r="A71" s="1406">
        <v>4</v>
      </c>
      <c r="B71" s="1407" t="s">
        <v>1462</v>
      </c>
      <c r="C71" s="1427" t="str">
        <f>C64</f>
        <v>Total</v>
      </c>
      <c r="D71" s="1407">
        <f t="shared" ref="D71:J71" si="12">D64</f>
        <v>2013</v>
      </c>
      <c r="E71" s="1407">
        <f t="shared" si="12"/>
        <v>2014</v>
      </c>
      <c r="F71" s="1407">
        <f t="shared" si="12"/>
        <v>2015</v>
      </c>
      <c r="G71" s="1407">
        <f t="shared" si="12"/>
        <v>2016</v>
      </c>
      <c r="H71" s="1407">
        <f t="shared" si="12"/>
        <v>2017</v>
      </c>
      <c r="I71" s="1407">
        <f t="shared" si="12"/>
        <v>2018</v>
      </c>
      <c r="J71" s="1407">
        <f t="shared" si="12"/>
        <v>2019</v>
      </c>
      <c r="K71" s="1407">
        <f>K64</f>
        <v>2020</v>
      </c>
    </row>
    <row r="72" spans="1:13">
      <c r="B72" s="1432" t="s">
        <v>1566</v>
      </c>
      <c r="C72" s="1441">
        <f>D43*D47</f>
        <v>511252.5</v>
      </c>
      <c r="D72" s="1408">
        <f>$C$72*D73</f>
        <v>0</v>
      </c>
      <c r="E72" s="1408">
        <f t="shared" ref="E72:K72" si="13">$C$72*E73</f>
        <v>0</v>
      </c>
      <c r="F72" s="1408">
        <f t="shared" si="13"/>
        <v>0</v>
      </c>
      <c r="G72" s="1408">
        <f t="shared" si="13"/>
        <v>0</v>
      </c>
      <c r="H72" s="1408">
        <f t="shared" si="13"/>
        <v>153375.75</v>
      </c>
      <c r="I72" s="1408">
        <f t="shared" si="13"/>
        <v>153375.75</v>
      </c>
      <c r="J72" s="1408">
        <f t="shared" si="13"/>
        <v>204501</v>
      </c>
      <c r="K72" s="1408">
        <f t="shared" si="13"/>
        <v>0</v>
      </c>
    </row>
    <row r="73" spans="1:13">
      <c r="B73" s="1431" t="s">
        <v>1559</v>
      </c>
      <c r="C73" s="1436">
        <f>SUM(D73:K73)</f>
        <v>1</v>
      </c>
      <c r="D73" s="1416"/>
      <c r="E73" s="1416"/>
      <c r="F73" s="1416"/>
      <c r="G73" s="1416">
        <v>0</v>
      </c>
      <c r="H73" s="1416">
        <v>0.3</v>
      </c>
      <c r="I73" s="1416">
        <v>0.3</v>
      </c>
      <c r="J73" s="1416">
        <v>0.4</v>
      </c>
      <c r="K73" s="1416">
        <v>0</v>
      </c>
    </row>
    <row r="74" spans="1:13">
      <c r="C74" s="1433"/>
      <c r="D74" s="1425"/>
      <c r="E74" s="1425"/>
      <c r="F74" s="1424"/>
      <c r="G74" s="1424"/>
      <c r="H74" s="1435"/>
    </row>
    <row r="75" spans="1:13">
      <c r="C75" s="1433"/>
      <c r="D75" s="1424"/>
      <c r="E75" s="1424"/>
      <c r="F75" s="1424"/>
      <c r="G75" s="1424"/>
    </row>
    <row r="76" spans="1:13">
      <c r="A76" s="1406">
        <v>5</v>
      </c>
      <c r="B76" s="1407" t="s">
        <v>1466</v>
      </c>
      <c r="C76" s="1407" t="str">
        <f>C71</f>
        <v>Total</v>
      </c>
      <c r="D76" s="1407">
        <f t="shared" ref="D76:I76" si="14">D71</f>
        <v>2013</v>
      </c>
      <c r="E76" s="1407">
        <f t="shared" si="14"/>
        <v>2014</v>
      </c>
      <c r="F76" s="1407">
        <f t="shared" si="14"/>
        <v>2015</v>
      </c>
      <c r="G76" s="1407">
        <f t="shared" si="14"/>
        <v>2016</v>
      </c>
      <c r="H76" s="1407">
        <f t="shared" si="14"/>
        <v>2017</v>
      </c>
      <c r="I76" s="1407">
        <f t="shared" si="14"/>
        <v>2018</v>
      </c>
      <c r="J76" s="1407">
        <f>I76+1</f>
        <v>2019</v>
      </c>
      <c r="K76" s="1407">
        <f>J76+1</f>
        <v>2020</v>
      </c>
      <c r="L76" s="1407"/>
      <c r="M76" s="1407"/>
    </row>
    <row r="77" spans="1:13">
      <c r="B77" s="1432" t="s">
        <v>1567</v>
      </c>
      <c r="C77" s="1441">
        <f>($C$72+$D$7)*C61</f>
        <v>538615.5</v>
      </c>
      <c r="D77" s="1441">
        <f t="shared" ref="D77:J77" si="15">($C$72+$D$7)*D61</f>
        <v>0</v>
      </c>
      <c r="E77" s="1441">
        <f t="shared" si="15"/>
        <v>0</v>
      </c>
      <c r="F77" s="1441">
        <f t="shared" si="15"/>
        <v>0</v>
      </c>
      <c r="G77" s="1441">
        <f t="shared" si="15"/>
        <v>0</v>
      </c>
      <c r="H77" s="1441">
        <f t="shared" si="15"/>
        <v>0</v>
      </c>
      <c r="I77" s="1441">
        <f t="shared" si="15"/>
        <v>0</v>
      </c>
      <c r="J77" s="1441">
        <f t="shared" si="15"/>
        <v>538615.5</v>
      </c>
      <c r="K77" s="1441">
        <f>($C$72+$D$7)*K61</f>
        <v>0</v>
      </c>
      <c r="L77" s="1440"/>
      <c r="M77" s="1440"/>
    </row>
    <row r="78" spans="1:13">
      <c r="B78" s="1431" t="s">
        <v>803</v>
      </c>
      <c r="C78" s="1440">
        <f>$D$6*C61</f>
        <v>127694</v>
      </c>
      <c r="D78" s="1440">
        <f t="shared" ref="D78:J78" si="16">$D$6*D61</f>
        <v>0</v>
      </c>
      <c r="E78" s="1440">
        <f t="shared" si="16"/>
        <v>0</v>
      </c>
      <c r="F78" s="1440">
        <f t="shared" si="16"/>
        <v>0</v>
      </c>
      <c r="G78" s="1440">
        <f t="shared" si="16"/>
        <v>0</v>
      </c>
      <c r="H78" s="1440">
        <f t="shared" si="16"/>
        <v>0</v>
      </c>
      <c r="I78" s="1440">
        <f t="shared" si="16"/>
        <v>0</v>
      </c>
      <c r="J78" s="1440">
        <f t="shared" si="16"/>
        <v>127694</v>
      </c>
      <c r="K78" s="1440">
        <f>$D$6*K61</f>
        <v>0</v>
      </c>
      <c r="L78" s="1440"/>
      <c r="M78" s="1440"/>
    </row>
    <row r="79" spans="1:13" s="1447" customFormat="1">
      <c r="A79" s="1459"/>
      <c r="B79" s="1447" t="s">
        <v>804</v>
      </c>
      <c r="C79" s="1458" t="e">
        <f>SUMIF(D114:M114,"&lt;="&amp;D10,D120:M120)</f>
        <v>#REF!</v>
      </c>
      <c r="D79" s="1410" t="e">
        <f t="shared" ref="D79:J79" si="17">$C$79*D61</f>
        <v>#REF!</v>
      </c>
      <c r="E79" s="1410" t="e">
        <f t="shared" si="17"/>
        <v>#REF!</v>
      </c>
      <c r="F79" s="1410" t="e">
        <f t="shared" si="17"/>
        <v>#REF!</v>
      </c>
      <c r="G79" s="1410" t="e">
        <f t="shared" si="17"/>
        <v>#REF!</v>
      </c>
      <c r="H79" s="1410" t="e">
        <f t="shared" si="17"/>
        <v>#REF!</v>
      </c>
      <c r="I79" s="1410" t="e">
        <f t="shared" si="17"/>
        <v>#REF!</v>
      </c>
      <c r="J79" s="1410" t="e">
        <f t="shared" si="17"/>
        <v>#REF!</v>
      </c>
      <c r="K79" s="1410" t="e">
        <f>$C$79*K61</f>
        <v>#REF!</v>
      </c>
      <c r="L79" s="1410"/>
      <c r="M79" s="1410"/>
    </row>
    <row r="80" spans="1:13" s="1447" customFormat="1">
      <c r="A80" s="1459"/>
      <c r="B80" s="1447" t="s">
        <v>805</v>
      </c>
      <c r="C80" s="1410" t="e">
        <f>SUM(D80:M80)</f>
        <v>#REF!</v>
      </c>
      <c r="D80" s="1410">
        <f t="shared" ref="D80:J80" si="18">IF(D76&gt;$D$10,D120,0)</f>
        <v>0</v>
      </c>
      <c r="E80" s="1410">
        <f t="shared" si="18"/>
        <v>0</v>
      </c>
      <c r="F80" s="1410">
        <f t="shared" si="18"/>
        <v>0</v>
      </c>
      <c r="G80" s="1410">
        <f t="shared" si="18"/>
        <v>0</v>
      </c>
      <c r="H80" s="1410">
        <f t="shared" si="18"/>
        <v>0</v>
      </c>
      <c r="I80" s="1410">
        <f t="shared" si="18"/>
        <v>0</v>
      </c>
      <c r="J80" s="1410">
        <f t="shared" si="18"/>
        <v>0</v>
      </c>
      <c r="K80" s="1410" t="e">
        <f>IF(K76&gt;$D$10,K120,0)</f>
        <v>#REF!</v>
      </c>
      <c r="L80" s="1410"/>
      <c r="M80" s="1410"/>
    </row>
    <row r="81" spans="1:13">
      <c r="B81" s="1431" t="s">
        <v>656</v>
      </c>
      <c r="C81" s="1440" t="e">
        <f>$D$49*C60</f>
        <v>#REF!</v>
      </c>
      <c r="D81" s="1440" t="e">
        <f t="shared" ref="D81:J81" si="19">$D$49*D60</f>
        <v>#REF!</v>
      </c>
      <c r="E81" s="1440" t="e">
        <f t="shared" si="19"/>
        <v>#REF!</v>
      </c>
      <c r="F81" s="1440" t="e">
        <f t="shared" si="19"/>
        <v>#REF!</v>
      </c>
      <c r="G81" s="1440" t="e">
        <f t="shared" si="19"/>
        <v>#REF!</v>
      </c>
      <c r="H81" s="1440" t="e">
        <f t="shared" si="19"/>
        <v>#REF!</v>
      </c>
      <c r="I81" s="1440" t="e">
        <f t="shared" si="19"/>
        <v>#REF!</v>
      </c>
      <c r="J81" s="1440" t="e">
        <f t="shared" si="19"/>
        <v>#REF!</v>
      </c>
      <c r="K81" s="1440" t="e">
        <f>$D$49*K60</f>
        <v>#REF!</v>
      </c>
      <c r="L81" s="1440"/>
      <c r="M81" s="1440"/>
    </row>
    <row r="82" spans="1:13">
      <c r="C82" s="1440"/>
      <c r="D82" s="1440"/>
      <c r="E82" s="1440"/>
      <c r="F82" s="1440"/>
      <c r="G82" s="1440"/>
    </row>
    <row r="84" spans="1:13" s="1407" customFormat="1">
      <c r="A84" s="1406">
        <v>6</v>
      </c>
      <c r="B84" s="1407" t="s">
        <v>878</v>
      </c>
      <c r="C84" s="1407" t="str">
        <f>C76</f>
        <v>Total</v>
      </c>
      <c r="D84" s="1407">
        <f t="shared" ref="D84:J84" si="20">D76</f>
        <v>2013</v>
      </c>
      <c r="E84" s="1407">
        <f t="shared" si="20"/>
        <v>2014</v>
      </c>
      <c r="F84" s="1407">
        <f t="shared" si="20"/>
        <v>2015</v>
      </c>
      <c r="G84" s="1407">
        <f t="shared" si="20"/>
        <v>2016</v>
      </c>
      <c r="H84" s="1407">
        <f t="shared" si="20"/>
        <v>2017</v>
      </c>
      <c r="I84" s="1407">
        <f t="shared" si="20"/>
        <v>2018</v>
      </c>
      <c r="J84" s="1407">
        <f t="shared" si="20"/>
        <v>2019</v>
      </c>
      <c r="K84" s="1407">
        <f>K76</f>
        <v>2020</v>
      </c>
    </row>
    <row r="85" spans="1:13">
      <c r="B85" s="1432" t="s">
        <v>26</v>
      </c>
      <c r="C85" s="1441">
        <f t="shared" ref="C85:J85" si="21">C60</f>
        <v>1008348</v>
      </c>
      <c r="D85" s="1441">
        <f t="shared" si="21"/>
        <v>0</v>
      </c>
      <c r="E85" s="1441">
        <f t="shared" si="21"/>
        <v>0</v>
      </c>
      <c r="F85" s="1441">
        <f t="shared" si="21"/>
        <v>0</v>
      </c>
      <c r="G85" s="1441">
        <f t="shared" si="21"/>
        <v>0</v>
      </c>
      <c r="H85" s="1441">
        <f t="shared" si="21"/>
        <v>0</v>
      </c>
      <c r="I85" s="1441">
        <f t="shared" si="21"/>
        <v>0</v>
      </c>
      <c r="J85" s="1441">
        <f t="shared" si="21"/>
        <v>1008348</v>
      </c>
      <c r="K85" s="1441">
        <f>K60</f>
        <v>0</v>
      </c>
      <c r="L85" s="1440"/>
      <c r="M85" s="1440"/>
    </row>
    <row r="86" spans="1:13">
      <c r="B86" s="1431" t="s">
        <v>432</v>
      </c>
      <c r="C86" s="1440" t="e">
        <f>SUM(C77:C79)</f>
        <v>#REF!</v>
      </c>
      <c r="D86" s="1440" t="e">
        <f>SUM(D77:D79)</f>
        <v>#REF!</v>
      </c>
      <c r="E86" s="1440" t="e">
        <f t="shared" ref="E86:J86" si="22">SUM(E77:E79)</f>
        <v>#REF!</v>
      </c>
      <c r="F86" s="1440" t="e">
        <f t="shared" si="22"/>
        <v>#REF!</v>
      </c>
      <c r="G86" s="1440" t="e">
        <f t="shared" si="22"/>
        <v>#REF!</v>
      </c>
      <c r="H86" s="1440" t="e">
        <f t="shared" si="22"/>
        <v>#REF!</v>
      </c>
      <c r="I86" s="1440" t="e">
        <f t="shared" si="22"/>
        <v>#REF!</v>
      </c>
      <c r="J86" s="1440" t="e">
        <f t="shared" si="22"/>
        <v>#REF!</v>
      </c>
      <c r="K86" s="1440" t="e">
        <f>SUM(K77:K79)</f>
        <v>#REF!</v>
      </c>
      <c r="L86" s="1440"/>
      <c r="M86" s="1440"/>
    </row>
    <row r="87" spans="1:13">
      <c r="B87" s="1431" t="s">
        <v>656</v>
      </c>
      <c r="C87" s="1440" t="e">
        <f>C81</f>
        <v>#REF!</v>
      </c>
      <c r="D87" s="1440" t="e">
        <f>D81</f>
        <v>#REF!</v>
      </c>
      <c r="E87" s="1440" t="e">
        <f t="shared" ref="E87:J87" si="23">E81</f>
        <v>#REF!</v>
      </c>
      <c r="F87" s="1440" t="e">
        <f t="shared" si="23"/>
        <v>#REF!</v>
      </c>
      <c r="G87" s="1440" t="e">
        <f t="shared" si="23"/>
        <v>#REF!</v>
      </c>
      <c r="H87" s="1440" t="e">
        <f t="shared" si="23"/>
        <v>#REF!</v>
      </c>
      <c r="I87" s="1440" t="e">
        <f t="shared" si="23"/>
        <v>#REF!</v>
      </c>
      <c r="J87" s="1440" t="e">
        <f t="shared" si="23"/>
        <v>#REF!</v>
      </c>
      <c r="K87" s="1440" t="e">
        <f>K81</f>
        <v>#REF!</v>
      </c>
      <c r="L87" s="1440"/>
      <c r="M87" s="1440"/>
    </row>
    <row r="88" spans="1:13">
      <c r="B88" s="1431" t="s">
        <v>805</v>
      </c>
      <c r="C88" s="1410" t="e">
        <f>C80</f>
        <v>#REF!</v>
      </c>
      <c r="D88" s="1440">
        <f>D80</f>
        <v>0</v>
      </c>
      <c r="E88" s="1440">
        <f t="shared" ref="E88:J88" si="24">E80</f>
        <v>0</v>
      </c>
      <c r="F88" s="1440">
        <f t="shared" si="24"/>
        <v>0</v>
      </c>
      <c r="G88" s="1440">
        <f t="shared" si="24"/>
        <v>0</v>
      </c>
      <c r="H88" s="1440">
        <f t="shared" si="24"/>
        <v>0</v>
      </c>
      <c r="I88" s="1440">
        <f t="shared" si="24"/>
        <v>0</v>
      </c>
      <c r="J88" s="1440">
        <f t="shared" si="24"/>
        <v>0</v>
      </c>
      <c r="K88" s="1440" t="e">
        <f>K80</f>
        <v>#REF!</v>
      </c>
      <c r="L88" s="1440"/>
      <c r="M88" s="1440"/>
    </row>
    <row r="89" spans="1:13">
      <c r="B89" s="1431" t="s">
        <v>822</v>
      </c>
      <c r="C89" s="1440" t="e">
        <f>C85-SUM(C86:C88)</f>
        <v>#REF!</v>
      </c>
      <c r="D89" s="1440" t="e">
        <f>D85-SUM(D86:D88)</f>
        <v>#REF!</v>
      </c>
      <c r="E89" s="1440" t="e">
        <f t="shared" ref="E89:J89" si="25">E85-SUM(E86:E88)</f>
        <v>#REF!</v>
      </c>
      <c r="F89" s="1440" t="e">
        <f t="shared" si="25"/>
        <v>#REF!</v>
      </c>
      <c r="G89" s="1440" t="e">
        <f t="shared" si="25"/>
        <v>#REF!</v>
      </c>
      <c r="H89" s="1440" t="e">
        <f t="shared" si="25"/>
        <v>#REF!</v>
      </c>
      <c r="I89" s="1440" t="e">
        <f t="shared" si="25"/>
        <v>#REF!</v>
      </c>
      <c r="J89" s="1440" t="e">
        <f t="shared" si="25"/>
        <v>#REF!</v>
      </c>
      <c r="K89" s="1440" t="e">
        <f>K85-SUM(K86:K88)</f>
        <v>#REF!</v>
      </c>
      <c r="L89" s="1440"/>
      <c r="M89" s="1440"/>
    </row>
    <row r="90" spans="1:13">
      <c r="B90" s="1431" t="s">
        <v>290</v>
      </c>
      <c r="C90" s="1440" t="e">
        <f>SUM(D90:M90)</f>
        <v>#REF!</v>
      </c>
      <c r="D90" s="1410" t="e">
        <f>D89*D21</f>
        <v>#REF!</v>
      </c>
      <c r="E90" s="1410" t="e">
        <f t="shared" ref="E90:J90" si="26">E89*E21</f>
        <v>#REF!</v>
      </c>
      <c r="F90" s="1410" t="e">
        <f t="shared" si="26"/>
        <v>#REF!</v>
      </c>
      <c r="G90" s="1410" t="e">
        <f t="shared" si="26"/>
        <v>#REF!</v>
      </c>
      <c r="H90" s="1410" t="e">
        <f t="shared" si="26"/>
        <v>#REF!</v>
      </c>
      <c r="I90" s="1410" t="e">
        <f t="shared" si="26"/>
        <v>#REF!</v>
      </c>
      <c r="J90" s="1410" t="e">
        <f t="shared" si="26"/>
        <v>#REF!</v>
      </c>
      <c r="K90" s="1410" t="e">
        <f>K89*K21</f>
        <v>#REF!</v>
      </c>
      <c r="L90" s="1440"/>
      <c r="M90" s="1440"/>
    </row>
    <row r="91" spans="1:13">
      <c r="B91" s="1431" t="s">
        <v>661</v>
      </c>
      <c r="C91" s="1440" t="e">
        <f>SUM(D91:M91)</f>
        <v>#REF!</v>
      </c>
      <c r="D91" s="1440" t="e">
        <f>D89-D90</f>
        <v>#REF!</v>
      </c>
      <c r="E91" s="1440" t="e">
        <f t="shared" ref="E91:J91" si="27">E89-E90</f>
        <v>#REF!</v>
      </c>
      <c r="F91" s="1440" t="e">
        <f t="shared" si="27"/>
        <v>#REF!</v>
      </c>
      <c r="G91" s="1440" t="e">
        <f t="shared" si="27"/>
        <v>#REF!</v>
      </c>
      <c r="H91" s="1440" t="e">
        <f t="shared" si="27"/>
        <v>#REF!</v>
      </c>
      <c r="I91" s="1440" t="e">
        <f t="shared" si="27"/>
        <v>#REF!</v>
      </c>
      <c r="J91" s="1440" t="e">
        <f t="shared" si="27"/>
        <v>#REF!</v>
      </c>
      <c r="K91" s="1440" t="e">
        <f>K89-K90</f>
        <v>#REF!</v>
      </c>
      <c r="L91" s="1440"/>
      <c r="M91" s="1440"/>
    </row>
    <row r="92" spans="1:13">
      <c r="B92" s="1428" t="s">
        <v>197</v>
      </c>
      <c r="C92" s="1429" t="e">
        <f>IF(C85&lt;&gt;0,1-C86/C85,"")</f>
        <v>#REF!</v>
      </c>
      <c r="D92" s="1429" t="str">
        <f t="shared" ref="D92:J92" si="28">IF(D85&lt;&gt;0,1-D86/D85,"")</f>
        <v/>
      </c>
      <c r="E92" s="1429" t="str">
        <f t="shared" si="28"/>
        <v/>
      </c>
      <c r="F92" s="1429" t="str">
        <f t="shared" si="28"/>
        <v/>
      </c>
      <c r="G92" s="1429" t="str">
        <f t="shared" si="28"/>
        <v/>
      </c>
      <c r="H92" s="1429" t="str">
        <f t="shared" si="28"/>
        <v/>
      </c>
      <c r="I92" s="1429" t="str">
        <f t="shared" si="28"/>
        <v/>
      </c>
      <c r="J92" s="1429" t="e">
        <f t="shared" si="28"/>
        <v>#REF!</v>
      </c>
      <c r="K92" s="1429" t="str">
        <f>IF(K85&lt;&gt;0,1-K86/K85,"")</f>
        <v/>
      </c>
      <c r="L92" s="1429"/>
      <c r="M92" s="1429"/>
    </row>
    <row r="93" spans="1:13">
      <c r="B93" s="1428" t="s">
        <v>1568</v>
      </c>
      <c r="C93" s="1429" t="e">
        <f>IF(C85&lt;&gt;0,C89/C85,"")</f>
        <v>#REF!</v>
      </c>
      <c r="D93" s="1429" t="str">
        <f t="shared" ref="D93:J93" si="29">IF(D85&lt;&gt;0,D89/D85,"")</f>
        <v/>
      </c>
      <c r="E93" s="1429" t="str">
        <f t="shared" si="29"/>
        <v/>
      </c>
      <c r="F93" s="1429" t="str">
        <f t="shared" si="29"/>
        <v/>
      </c>
      <c r="G93" s="1429" t="str">
        <f t="shared" si="29"/>
        <v/>
      </c>
      <c r="H93" s="1429" t="str">
        <f t="shared" si="29"/>
        <v/>
      </c>
      <c r="I93" s="1429" t="str">
        <f t="shared" si="29"/>
        <v/>
      </c>
      <c r="J93" s="1429" t="e">
        <f t="shared" si="29"/>
        <v>#REF!</v>
      </c>
      <c r="K93" s="1429" t="str">
        <f>IF(K85&lt;&gt;0,K89/K85,"")</f>
        <v/>
      </c>
      <c r="L93" s="1429"/>
      <c r="M93" s="1429"/>
    </row>
    <row r="94" spans="1:13">
      <c r="B94" s="1428"/>
      <c r="C94" s="1429"/>
      <c r="D94" s="1429"/>
      <c r="E94" s="1429"/>
      <c r="F94" s="1429"/>
      <c r="G94" s="1429"/>
      <c r="H94" s="1429"/>
    </row>
    <row r="95" spans="1:13">
      <c r="D95" s="1440"/>
      <c r="E95" s="1440"/>
      <c r="F95" s="1440"/>
      <c r="G95" s="1440"/>
    </row>
    <row r="96" spans="1:13" s="1407" customFormat="1">
      <c r="A96" s="1406">
        <v>7</v>
      </c>
      <c r="B96" s="1407" t="s">
        <v>1589</v>
      </c>
      <c r="C96" s="1427" t="s">
        <v>642</v>
      </c>
      <c r="D96" s="1407">
        <f t="shared" ref="D96:J96" si="30">D84</f>
        <v>2013</v>
      </c>
      <c r="E96" s="1407">
        <f t="shared" si="30"/>
        <v>2014</v>
      </c>
      <c r="F96" s="1407">
        <f t="shared" si="30"/>
        <v>2015</v>
      </c>
      <c r="G96" s="1407">
        <f t="shared" si="30"/>
        <v>2016</v>
      </c>
      <c r="H96" s="1407">
        <f t="shared" si="30"/>
        <v>2017</v>
      </c>
      <c r="I96" s="1407">
        <f t="shared" si="30"/>
        <v>2018</v>
      </c>
      <c r="J96" s="1407">
        <f t="shared" si="30"/>
        <v>2019</v>
      </c>
      <c r="K96" s="1407">
        <f>K84</f>
        <v>2020</v>
      </c>
    </row>
    <row r="97" spans="1:17">
      <c r="B97" s="1419" t="s">
        <v>850</v>
      </c>
      <c r="C97" s="1453">
        <f>C65</f>
        <v>1008348</v>
      </c>
      <c r="D97" s="1453">
        <f t="shared" ref="D97:J97" si="31">D65</f>
        <v>0</v>
      </c>
      <c r="E97" s="1453">
        <f t="shared" si="31"/>
        <v>0</v>
      </c>
      <c r="F97" s="1453">
        <f t="shared" si="31"/>
        <v>0</v>
      </c>
      <c r="G97" s="1453">
        <f t="shared" si="31"/>
        <v>0</v>
      </c>
      <c r="H97" s="1453">
        <f t="shared" si="31"/>
        <v>151252.19999999998</v>
      </c>
      <c r="I97" s="1453">
        <f t="shared" si="31"/>
        <v>504174</v>
      </c>
      <c r="J97" s="1453">
        <f t="shared" si="31"/>
        <v>352921.8</v>
      </c>
      <c r="K97" s="1453">
        <f>K65</f>
        <v>0</v>
      </c>
      <c r="L97" s="1427"/>
      <c r="M97" s="1427"/>
    </row>
    <row r="98" spans="1:17">
      <c r="B98" s="1407"/>
      <c r="C98" s="1427"/>
      <c r="D98" s="1427"/>
      <c r="E98" s="1427"/>
      <c r="F98" s="1427"/>
      <c r="G98" s="1427"/>
      <c r="H98" s="1427"/>
      <c r="I98" s="1427"/>
      <c r="J98" s="1427"/>
      <c r="K98" s="1427"/>
      <c r="L98" s="1427"/>
      <c r="M98" s="1427"/>
    </row>
    <row r="99" spans="1:17">
      <c r="B99" s="1407" t="s">
        <v>851</v>
      </c>
      <c r="C99" s="1427" t="e">
        <f t="shared" ref="C99:J99" si="32">SUM(C100:C104)</f>
        <v>#REF!</v>
      </c>
      <c r="D99" s="1427" t="e">
        <f t="shared" si="32"/>
        <v>#REF!</v>
      </c>
      <c r="E99" s="1427" t="e">
        <f t="shared" si="32"/>
        <v>#REF!</v>
      </c>
      <c r="F99" s="1427" t="e">
        <f t="shared" si="32"/>
        <v>#REF!</v>
      </c>
      <c r="G99" s="1427" t="e">
        <f t="shared" si="32"/>
        <v>#REF!</v>
      </c>
      <c r="H99" s="1427" t="e">
        <f t="shared" si="32"/>
        <v>#REF!</v>
      </c>
      <c r="I99" s="1427" t="e">
        <f t="shared" si="32"/>
        <v>#REF!</v>
      </c>
      <c r="J99" s="1427" t="e">
        <f t="shared" si="32"/>
        <v>#REF!</v>
      </c>
      <c r="K99" s="1427" t="e">
        <f>SUM(K100:K104)</f>
        <v>#REF!</v>
      </c>
      <c r="L99" s="1427"/>
      <c r="M99" s="1427"/>
      <c r="N99" s="1440"/>
      <c r="O99" s="1440"/>
      <c r="P99" s="1440"/>
      <c r="Q99" s="1440"/>
    </row>
    <row r="100" spans="1:17">
      <c r="B100" s="1431" t="s">
        <v>852</v>
      </c>
      <c r="C100" s="1440">
        <f t="shared" ref="C100:J100" si="33">C36</f>
        <v>127694</v>
      </c>
      <c r="D100" s="1440">
        <f t="shared" si="33"/>
        <v>0</v>
      </c>
      <c r="E100" s="1440">
        <f t="shared" si="33"/>
        <v>0</v>
      </c>
      <c r="F100" s="1440">
        <f t="shared" si="33"/>
        <v>0</v>
      </c>
      <c r="G100" s="1440">
        <f t="shared" si="33"/>
        <v>0</v>
      </c>
      <c r="H100" s="1440">
        <f t="shared" si="33"/>
        <v>127694</v>
      </c>
      <c r="I100" s="1440">
        <f t="shared" si="33"/>
        <v>0</v>
      </c>
      <c r="J100" s="1440">
        <f t="shared" si="33"/>
        <v>0</v>
      </c>
      <c r="K100" s="1440">
        <f>K36</f>
        <v>0</v>
      </c>
      <c r="L100" s="1440"/>
      <c r="M100" s="1440"/>
    </row>
    <row r="101" spans="1:17">
      <c r="B101" s="1431" t="s">
        <v>1569</v>
      </c>
      <c r="C101" s="1440">
        <f t="shared" ref="C101:J101" si="34">C38</f>
        <v>27363</v>
      </c>
      <c r="D101" s="1440">
        <f t="shared" si="34"/>
        <v>0</v>
      </c>
      <c r="E101" s="1440">
        <f t="shared" si="34"/>
        <v>0</v>
      </c>
      <c r="F101" s="1440">
        <f t="shared" si="34"/>
        <v>0</v>
      </c>
      <c r="G101" s="1440">
        <f t="shared" si="34"/>
        <v>0</v>
      </c>
      <c r="H101" s="1440">
        <f t="shared" si="34"/>
        <v>27363</v>
      </c>
      <c r="I101" s="1440">
        <f t="shared" si="34"/>
        <v>0</v>
      </c>
      <c r="J101" s="1440">
        <f t="shared" si="34"/>
        <v>0</v>
      </c>
      <c r="K101" s="1440">
        <f>K38</f>
        <v>0</v>
      </c>
      <c r="L101" s="1440"/>
      <c r="M101" s="1440"/>
    </row>
    <row r="102" spans="1:17">
      <c r="B102" s="1431" t="s">
        <v>788</v>
      </c>
      <c r="C102" s="1440">
        <f t="shared" ref="C102:J102" si="35">C72</f>
        <v>511252.5</v>
      </c>
      <c r="D102" s="1440">
        <f t="shared" si="35"/>
        <v>0</v>
      </c>
      <c r="E102" s="1440">
        <f t="shared" si="35"/>
        <v>0</v>
      </c>
      <c r="F102" s="1440">
        <f t="shared" si="35"/>
        <v>0</v>
      </c>
      <c r="G102" s="1440">
        <f t="shared" si="35"/>
        <v>0</v>
      </c>
      <c r="H102" s="1440">
        <f t="shared" si="35"/>
        <v>153375.75</v>
      </c>
      <c r="I102" s="1440">
        <f t="shared" si="35"/>
        <v>153375.75</v>
      </c>
      <c r="J102" s="1440">
        <f t="shared" si="35"/>
        <v>204501</v>
      </c>
      <c r="K102" s="1440">
        <f>K72</f>
        <v>0</v>
      </c>
      <c r="L102" s="1440"/>
      <c r="M102" s="1440"/>
    </row>
    <row r="103" spans="1:17">
      <c r="B103" s="1431" t="s">
        <v>656</v>
      </c>
      <c r="C103" s="1440" t="e">
        <f t="shared" ref="C103:J103" si="36">C81</f>
        <v>#REF!</v>
      </c>
      <c r="D103" s="1440" t="e">
        <f t="shared" si="36"/>
        <v>#REF!</v>
      </c>
      <c r="E103" s="1440" t="e">
        <f t="shared" si="36"/>
        <v>#REF!</v>
      </c>
      <c r="F103" s="1440" t="e">
        <f t="shared" si="36"/>
        <v>#REF!</v>
      </c>
      <c r="G103" s="1440" t="e">
        <f t="shared" si="36"/>
        <v>#REF!</v>
      </c>
      <c r="H103" s="1440" t="e">
        <f t="shared" si="36"/>
        <v>#REF!</v>
      </c>
      <c r="I103" s="1440" t="e">
        <f t="shared" si="36"/>
        <v>#REF!</v>
      </c>
      <c r="J103" s="1440" t="e">
        <f t="shared" si="36"/>
        <v>#REF!</v>
      </c>
      <c r="K103" s="1440" t="e">
        <f>K81</f>
        <v>#REF!</v>
      </c>
      <c r="L103" s="1440"/>
      <c r="M103" s="1440"/>
      <c r="N103" s="1440"/>
      <c r="O103" s="1440"/>
    </row>
    <row r="104" spans="1:17">
      <c r="B104" s="1431" t="s">
        <v>854</v>
      </c>
      <c r="C104" s="1440" t="e">
        <f t="shared" ref="C104:J104" si="37">C90</f>
        <v>#REF!</v>
      </c>
      <c r="D104" s="1440" t="e">
        <f t="shared" si="37"/>
        <v>#REF!</v>
      </c>
      <c r="E104" s="1440" t="e">
        <f t="shared" si="37"/>
        <v>#REF!</v>
      </c>
      <c r="F104" s="1440" t="e">
        <f t="shared" si="37"/>
        <v>#REF!</v>
      </c>
      <c r="G104" s="1440" t="e">
        <f t="shared" si="37"/>
        <v>#REF!</v>
      </c>
      <c r="H104" s="1440" t="e">
        <f t="shared" si="37"/>
        <v>#REF!</v>
      </c>
      <c r="I104" s="1440" t="e">
        <f t="shared" si="37"/>
        <v>#REF!</v>
      </c>
      <c r="J104" s="1440" t="e">
        <f t="shared" si="37"/>
        <v>#REF!</v>
      </c>
      <c r="K104" s="1440" t="e">
        <f>K90</f>
        <v>#REF!</v>
      </c>
      <c r="L104" s="1440"/>
      <c r="M104" s="1440"/>
    </row>
    <row r="105" spans="1:17">
      <c r="B105" s="1407" t="s">
        <v>855</v>
      </c>
      <c r="C105" s="1427" t="e">
        <f t="shared" ref="C105:J105" si="38">C97-C99</f>
        <v>#REF!</v>
      </c>
      <c r="D105" s="1454" t="e">
        <f t="shared" si="38"/>
        <v>#REF!</v>
      </c>
      <c r="E105" s="1427" t="e">
        <f t="shared" si="38"/>
        <v>#REF!</v>
      </c>
      <c r="F105" s="1427" t="e">
        <f t="shared" si="38"/>
        <v>#REF!</v>
      </c>
      <c r="G105" s="1427" t="e">
        <f t="shared" si="38"/>
        <v>#REF!</v>
      </c>
      <c r="H105" s="1427" t="e">
        <f t="shared" si="38"/>
        <v>#REF!</v>
      </c>
      <c r="I105" s="1427" t="e">
        <f t="shared" si="38"/>
        <v>#REF!</v>
      </c>
      <c r="J105" s="1427" t="e">
        <f t="shared" si="38"/>
        <v>#REF!</v>
      </c>
      <c r="K105" s="1427" t="e">
        <f>K97-K99</f>
        <v>#REF!</v>
      </c>
      <c r="L105" s="1427"/>
      <c r="M105" s="1427"/>
    </row>
    <row r="106" spans="1:17">
      <c r="B106" s="1431" t="s">
        <v>1570</v>
      </c>
      <c r="D106" s="1452">
        <f t="shared" ref="D106:J106" si="39">IF(D96&gt;$D$11,(1+D22)^(D96-$D$11),0)</f>
        <v>0</v>
      </c>
      <c r="E106" s="1452">
        <f t="shared" si="39"/>
        <v>0</v>
      </c>
      <c r="F106" s="1452">
        <f t="shared" si="39"/>
        <v>0</v>
      </c>
      <c r="G106" s="1452" t="e">
        <f t="shared" si="39"/>
        <v>#REF!</v>
      </c>
      <c r="H106" s="1452" t="e">
        <f t="shared" si="39"/>
        <v>#REF!</v>
      </c>
      <c r="I106" s="1452" t="e">
        <f t="shared" si="39"/>
        <v>#REF!</v>
      </c>
      <c r="J106" s="1452" t="e">
        <f t="shared" si="39"/>
        <v>#REF!</v>
      </c>
      <c r="K106" s="1452" t="e">
        <f>IF(K96&gt;$D$11,(1+K22)^(K96-$D$11),0)</f>
        <v>#REF!</v>
      </c>
      <c r="L106" s="1452"/>
      <c r="M106" s="1452"/>
    </row>
    <row r="107" spans="1:17">
      <c r="B107" s="1431" t="s">
        <v>1452</v>
      </c>
      <c r="C107" s="1440" t="e">
        <f>SUMIF(D96:K96,"&gt;"&amp;D11,D107:K107)</f>
        <v>#REF!</v>
      </c>
      <c r="D107" s="1440" t="str">
        <f>IF(D106&lt;&gt;0,D105/D106,"")</f>
        <v/>
      </c>
      <c r="E107" s="1440" t="str">
        <f t="shared" ref="E107:J107" si="40">IF(E106&lt;&gt;0,E105/E106,"")</f>
        <v/>
      </c>
      <c r="F107" s="1440" t="str">
        <f t="shared" si="40"/>
        <v/>
      </c>
      <c r="G107" s="1440" t="e">
        <f t="shared" si="40"/>
        <v>#REF!</v>
      </c>
      <c r="H107" s="1440" t="e">
        <f t="shared" si="40"/>
        <v>#REF!</v>
      </c>
      <c r="I107" s="1440" t="e">
        <f t="shared" si="40"/>
        <v>#REF!</v>
      </c>
      <c r="J107" s="1440" t="e">
        <f t="shared" si="40"/>
        <v>#REF!</v>
      </c>
      <c r="K107" s="1440" t="e">
        <f>IF(K106&lt;&gt;0,K105/K106,"")</f>
        <v>#REF!</v>
      </c>
      <c r="L107" s="1440"/>
      <c r="M107" s="1440"/>
    </row>
    <row r="108" spans="1:17">
      <c r="B108" s="1407" t="s">
        <v>1590</v>
      </c>
      <c r="C108" s="1427" t="e">
        <f>C107*I5</f>
        <v>#REF!</v>
      </c>
    </row>
    <row r="109" spans="1:17">
      <c r="B109" s="1407"/>
      <c r="C109" s="1427"/>
    </row>
    <row r="110" spans="1:17">
      <c r="B110" s="1407" t="s">
        <v>1588</v>
      </c>
      <c r="C110" s="1427"/>
      <c r="D110" s="1407">
        <f t="shared" ref="D110:J110" si="41">D96</f>
        <v>2013</v>
      </c>
      <c r="E110" s="1407">
        <f t="shared" si="41"/>
        <v>2014</v>
      </c>
      <c r="F110" s="1407">
        <f t="shared" si="41"/>
        <v>2015</v>
      </c>
      <c r="G110" s="1407">
        <f t="shared" si="41"/>
        <v>2016</v>
      </c>
      <c r="H110" s="1407">
        <f t="shared" si="41"/>
        <v>2017</v>
      </c>
      <c r="I110" s="1407">
        <f t="shared" si="41"/>
        <v>2018</v>
      </c>
      <c r="J110" s="1407">
        <f t="shared" si="41"/>
        <v>2019</v>
      </c>
      <c r="K110" s="1407">
        <f>K96</f>
        <v>2020</v>
      </c>
      <c r="L110" s="1407"/>
      <c r="M110" s="1407"/>
    </row>
    <row r="111" spans="1:17" s="1447" customFormat="1">
      <c r="A111" s="1459"/>
      <c r="B111" s="1460" t="e">
        <f>IRR(G111:K111)</f>
        <v>#VALUE!</v>
      </c>
      <c r="C111" s="1408"/>
      <c r="D111" s="1408" t="e">
        <f>D105</f>
        <v>#REF!</v>
      </c>
      <c r="E111" s="1408" t="e">
        <f t="shared" ref="E111:J111" si="42">E105</f>
        <v>#REF!</v>
      </c>
      <c r="F111" s="1408" t="e">
        <f t="shared" si="42"/>
        <v>#REF!</v>
      </c>
      <c r="G111" s="1408" t="e">
        <f t="shared" si="42"/>
        <v>#REF!</v>
      </c>
      <c r="H111" s="1408" t="e">
        <f t="shared" si="42"/>
        <v>#REF!</v>
      </c>
      <c r="I111" s="1408" t="e">
        <f t="shared" si="42"/>
        <v>#REF!</v>
      </c>
      <c r="J111" s="1408" t="e">
        <f t="shared" si="42"/>
        <v>#REF!</v>
      </c>
      <c r="K111" s="1408" t="e">
        <f>K105</f>
        <v>#REF!</v>
      </c>
      <c r="L111" s="1410"/>
      <c r="M111" s="1410"/>
    </row>
    <row r="112" spans="1:17">
      <c r="B112" s="1443"/>
      <c r="C112" s="1440"/>
      <c r="D112" s="1440"/>
      <c r="E112" s="1440"/>
      <c r="F112" s="1440"/>
      <c r="G112" s="1440"/>
      <c r="H112" s="1440"/>
    </row>
    <row r="113" spans="1:13">
      <c r="B113" s="1407"/>
      <c r="C113" s="1427"/>
    </row>
    <row r="114" spans="1:13" s="1407" customFormat="1">
      <c r="A114" s="1406">
        <v>8</v>
      </c>
      <c r="B114" s="1407" t="s">
        <v>1592</v>
      </c>
      <c r="C114" s="1427"/>
      <c r="D114" s="1407">
        <f t="shared" ref="D114:I114" si="43">D96</f>
        <v>2013</v>
      </c>
      <c r="E114" s="1407">
        <f t="shared" si="43"/>
        <v>2014</v>
      </c>
      <c r="F114" s="1407">
        <f t="shared" si="43"/>
        <v>2015</v>
      </c>
      <c r="G114" s="1407">
        <f t="shared" si="43"/>
        <v>2016</v>
      </c>
      <c r="H114" s="1407">
        <f t="shared" si="43"/>
        <v>2017</v>
      </c>
      <c r="I114" s="1407">
        <f t="shared" si="43"/>
        <v>2018</v>
      </c>
      <c r="J114" s="1407">
        <f>I114+1</f>
        <v>2019</v>
      </c>
      <c r="K114" s="1407">
        <f>J114+1</f>
        <v>2020</v>
      </c>
    </row>
    <row r="115" spans="1:13">
      <c r="B115" s="1432" t="s">
        <v>1571</v>
      </c>
      <c r="C115" s="1441">
        <f>D5*I8</f>
        <v>199892.85</v>
      </c>
      <c r="D115" s="1432"/>
      <c r="E115" s="1432"/>
      <c r="F115" s="1432"/>
      <c r="G115" s="1432"/>
      <c r="H115" s="1432"/>
      <c r="I115" s="1432"/>
      <c r="J115" s="1456"/>
      <c r="K115" s="1456"/>
      <c r="L115" s="1412"/>
      <c r="M115" s="1412"/>
    </row>
    <row r="116" spans="1:13">
      <c r="B116" s="1431" t="s">
        <v>1572</v>
      </c>
      <c r="C116" s="1436">
        <f>SUM(D116:M116)</f>
        <v>1</v>
      </c>
      <c r="D116" s="1416"/>
      <c r="E116" s="1416"/>
      <c r="F116" s="1416">
        <v>0</v>
      </c>
      <c r="G116" s="1416">
        <v>0</v>
      </c>
      <c r="H116" s="1411">
        <v>1</v>
      </c>
      <c r="I116" s="1411">
        <v>0</v>
      </c>
    </row>
    <row r="117" spans="1:13">
      <c r="B117" s="1431" t="s">
        <v>1573</v>
      </c>
      <c r="C117" s="1440">
        <f>SUM(D117:M117)</f>
        <v>199892.85</v>
      </c>
      <c r="D117" s="1410"/>
      <c r="E117" s="1410"/>
      <c r="F117" s="1410">
        <f t="shared" ref="F117:K117" si="44">F116*$C$115</f>
        <v>0</v>
      </c>
      <c r="G117" s="1410">
        <f t="shared" si="44"/>
        <v>0</v>
      </c>
      <c r="H117" s="1410">
        <f t="shared" si="44"/>
        <v>199892.85</v>
      </c>
      <c r="I117" s="1410">
        <f t="shared" si="44"/>
        <v>0</v>
      </c>
      <c r="J117" s="1410">
        <f t="shared" si="44"/>
        <v>0</v>
      </c>
      <c r="K117" s="1410">
        <f t="shared" si="44"/>
        <v>0</v>
      </c>
      <c r="L117" s="1410"/>
      <c r="M117" s="1410"/>
    </row>
    <row r="118" spans="1:13">
      <c r="B118" s="1431" t="s">
        <v>868</v>
      </c>
      <c r="C118" s="1440"/>
      <c r="D118" s="1410"/>
      <c r="E118" s="1440"/>
      <c r="F118" s="1440">
        <f>F117</f>
        <v>0</v>
      </c>
      <c r="G118" s="1440">
        <f>F121+G117</f>
        <v>0</v>
      </c>
      <c r="H118" s="1440">
        <f>G121+H117</f>
        <v>199892.85</v>
      </c>
      <c r="I118" s="1440">
        <f>H121+I117</f>
        <v>199892.85</v>
      </c>
      <c r="J118" s="1440">
        <f>I121+J117</f>
        <v>99946.425000000003</v>
      </c>
      <c r="K118" s="1440">
        <f>J121+K117</f>
        <v>0</v>
      </c>
      <c r="L118" s="1440"/>
      <c r="M118" s="1440"/>
    </row>
    <row r="119" spans="1:13">
      <c r="B119" s="1431" t="s">
        <v>1574</v>
      </c>
      <c r="C119" s="1440">
        <f>SUM(D119:M119)</f>
        <v>199892.85</v>
      </c>
      <c r="D119" s="1423"/>
      <c r="E119" s="1410"/>
      <c r="F119" s="1423"/>
      <c r="G119" s="1423"/>
      <c r="H119" s="1423"/>
      <c r="I119" s="1423">
        <f>C115/2</f>
        <v>99946.425000000003</v>
      </c>
      <c r="J119" s="1423">
        <f>I119</f>
        <v>99946.425000000003</v>
      </c>
      <c r="K119" s="1440"/>
      <c r="L119" s="1440"/>
      <c r="M119" s="1440"/>
    </row>
    <row r="120" spans="1:13">
      <c r="B120" s="1431" t="s">
        <v>869</v>
      </c>
      <c r="C120" s="1440" t="e">
        <f>SUM(D120:M120)</f>
        <v>#REF!</v>
      </c>
      <c r="D120" s="1440"/>
      <c r="E120" s="1440"/>
      <c r="F120" s="1440" t="e">
        <f t="shared" ref="F120:K120" si="45">F118*F20</f>
        <v>#REF!</v>
      </c>
      <c r="G120" s="1440" t="e">
        <f t="shared" si="45"/>
        <v>#REF!</v>
      </c>
      <c r="H120" s="1440" t="e">
        <f t="shared" si="45"/>
        <v>#REF!</v>
      </c>
      <c r="I120" s="1440" t="e">
        <f t="shared" si="45"/>
        <v>#REF!</v>
      </c>
      <c r="J120" s="1440" t="e">
        <f t="shared" si="45"/>
        <v>#REF!</v>
      </c>
      <c r="K120" s="1440" t="e">
        <f t="shared" si="45"/>
        <v>#REF!</v>
      </c>
      <c r="L120" s="1440"/>
      <c r="M120" s="1440"/>
    </row>
    <row r="121" spans="1:13">
      <c r="B121" s="1431" t="s">
        <v>874</v>
      </c>
      <c r="C121" s="1440"/>
      <c r="D121" s="1410"/>
      <c r="E121" s="1440"/>
      <c r="F121" s="1440">
        <f t="shared" ref="F121:K121" si="46">F118-F119</f>
        <v>0</v>
      </c>
      <c r="G121" s="1440">
        <f t="shared" si="46"/>
        <v>0</v>
      </c>
      <c r="H121" s="1440">
        <f t="shared" si="46"/>
        <v>199892.85</v>
      </c>
      <c r="I121" s="1440">
        <f t="shared" si="46"/>
        <v>99946.425000000003</v>
      </c>
      <c r="J121" s="1440">
        <f t="shared" si="46"/>
        <v>0</v>
      </c>
      <c r="K121" s="1440">
        <f t="shared" si="46"/>
        <v>0</v>
      </c>
      <c r="L121" s="1440"/>
      <c r="M121" s="1440"/>
    </row>
    <row r="122" spans="1:13">
      <c r="C122" s="1440"/>
      <c r="D122" s="1412"/>
      <c r="E122" s="1440"/>
      <c r="F122" s="1440"/>
      <c r="G122" s="1440"/>
      <c r="H122" s="1440"/>
    </row>
    <row r="123" spans="1:13">
      <c r="C123" s="1440"/>
    </row>
    <row r="124" spans="1:13" s="1407" customFormat="1">
      <c r="A124" s="1406">
        <v>9</v>
      </c>
      <c r="B124" s="1407" t="s">
        <v>350</v>
      </c>
      <c r="C124" s="1427"/>
      <c r="D124" s="1407">
        <f t="shared" ref="D124:J124" si="47">D96</f>
        <v>2013</v>
      </c>
      <c r="E124" s="1407">
        <f t="shared" si="47"/>
        <v>2014</v>
      </c>
      <c r="F124" s="1407">
        <f t="shared" si="47"/>
        <v>2015</v>
      </c>
      <c r="G124" s="1407">
        <f t="shared" si="47"/>
        <v>2016</v>
      </c>
      <c r="H124" s="1407">
        <f t="shared" si="47"/>
        <v>2017</v>
      </c>
      <c r="I124" s="1407">
        <f t="shared" si="47"/>
        <v>2018</v>
      </c>
      <c r="J124" s="1407">
        <f t="shared" si="47"/>
        <v>2019</v>
      </c>
      <c r="K124" s="1407">
        <f>K96</f>
        <v>2020</v>
      </c>
    </row>
    <row r="125" spans="1:13">
      <c r="B125" s="1432" t="s">
        <v>1575</v>
      </c>
      <c r="C125" s="1441"/>
      <c r="D125" s="1441">
        <f>D65</f>
        <v>0</v>
      </c>
      <c r="E125" s="1408">
        <f t="shared" ref="E125:K125" si="48">D125+E65</f>
        <v>0</v>
      </c>
      <c r="F125" s="1408">
        <f t="shared" si="48"/>
        <v>0</v>
      </c>
      <c r="G125" s="1408">
        <f t="shared" si="48"/>
        <v>0</v>
      </c>
      <c r="H125" s="1408">
        <f t="shared" si="48"/>
        <v>151252.19999999998</v>
      </c>
      <c r="I125" s="1408">
        <f t="shared" si="48"/>
        <v>655426.19999999995</v>
      </c>
      <c r="J125" s="1408">
        <f t="shared" si="48"/>
        <v>1008348</v>
      </c>
      <c r="K125" s="1408">
        <f t="shared" si="48"/>
        <v>1008348</v>
      </c>
      <c r="L125" s="1410"/>
      <c r="M125" s="1410"/>
    </row>
    <row r="126" spans="1:13">
      <c r="B126" s="1431" t="s">
        <v>1576</v>
      </c>
      <c r="C126" s="1440"/>
      <c r="D126" s="1440">
        <f>D60</f>
        <v>0</v>
      </c>
      <c r="E126" s="1440">
        <f t="shared" ref="E126:K126" si="49">D126+E60</f>
        <v>0</v>
      </c>
      <c r="F126" s="1440">
        <f t="shared" si="49"/>
        <v>0</v>
      </c>
      <c r="G126" s="1440">
        <f t="shared" si="49"/>
        <v>0</v>
      </c>
      <c r="H126" s="1440">
        <f t="shared" si="49"/>
        <v>0</v>
      </c>
      <c r="I126" s="1440">
        <f t="shared" si="49"/>
        <v>0</v>
      </c>
      <c r="J126" s="1440">
        <f t="shared" si="49"/>
        <v>1008348</v>
      </c>
      <c r="K126" s="1440">
        <f t="shared" si="49"/>
        <v>1008348</v>
      </c>
      <c r="L126" s="1440"/>
      <c r="M126" s="1440"/>
    </row>
    <row r="127" spans="1:13">
      <c r="B127" s="1431" t="s">
        <v>1577</v>
      </c>
      <c r="C127" s="1440"/>
      <c r="D127" s="1440">
        <f>D53</f>
        <v>0</v>
      </c>
      <c r="E127" s="1440">
        <f t="shared" ref="E127:K127" si="50">D127+E53</f>
        <v>0</v>
      </c>
      <c r="F127" s="1440">
        <f t="shared" si="50"/>
        <v>0</v>
      </c>
      <c r="G127" s="1440">
        <f t="shared" si="50"/>
        <v>0</v>
      </c>
      <c r="H127" s="1440">
        <f t="shared" si="50"/>
        <v>504174</v>
      </c>
      <c r="I127" s="1440">
        <f t="shared" si="50"/>
        <v>1008348</v>
      </c>
      <c r="J127" s="1440">
        <f t="shared" si="50"/>
        <v>1008348</v>
      </c>
      <c r="K127" s="1440">
        <f t="shared" si="50"/>
        <v>1008348</v>
      </c>
      <c r="L127" s="1440"/>
      <c r="M127" s="1440"/>
    </row>
    <row r="128" spans="1:13">
      <c r="B128" s="1431" t="s">
        <v>1578</v>
      </c>
      <c r="C128" s="1440"/>
      <c r="D128" s="1436" t="str">
        <f>IF(D125&lt;&gt;0,D125/D127,"")</f>
        <v/>
      </c>
      <c r="E128" s="1436" t="str">
        <f t="shared" ref="E128:J128" si="51">IF(E125&lt;&gt;0,E125/E127,"")</f>
        <v/>
      </c>
      <c r="F128" s="1436" t="str">
        <f t="shared" si="51"/>
        <v/>
      </c>
      <c r="G128" s="1436" t="str">
        <f t="shared" si="51"/>
        <v/>
      </c>
      <c r="H128" s="1436">
        <f t="shared" si="51"/>
        <v>0.3</v>
      </c>
      <c r="I128" s="1436">
        <f t="shared" si="51"/>
        <v>0.64999999999999991</v>
      </c>
      <c r="J128" s="1436">
        <f t="shared" si="51"/>
        <v>1</v>
      </c>
      <c r="K128" s="1436">
        <f>IF(K125&lt;&gt;0,K125/K127,"")</f>
        <v>1</v>
      </c>
      <c r="L128" s="1436"/>
      <c r="M128" s="1436"/>
    </row>
    <row r="129" spans="1:13">
      <c r="B129" s="1431" t="s">
        <v>1579</v>
      </c>
      <c r="C129" s="1440"/>
      <c r="D129" s="1410">
        <f t="shared" ref="D129:J129" si="52">IF(D125&gt;D126,D125-D126,0)</f>
        <v>0</v>
      </c>
      <c r="E129" s="1410">
        <f t="shared" si="52"/>
        <v>0</v>
      </c>
      <c r="F129" s="1410">
        <f t="shared" si="52"/>
        <v>0</v>
      </c>
      <c r="G129" s="1410">
        <f t="shared" si="52"/>
        <v>0</v>
      </c>
      <c r="H129" s="1410">
        <f t="shared" si="52"/>
        <v>151252.19999999998</v>
      </c>
      <c r="I129" s="1410">
        <f t="shared" si="52"/>
        <v>655426.19999999995</v>
      </c>
      <c r="J129" s="1410">
        <f t="shared" si="52"/>
        <v>0</v>
      </c>
      <c r="K129" s="1410">
        <f>IF(K125&gt;K126,K125-K126,0)</f>
        <v>0</v>
      </c>
      <c r="L129" s="1410"/>
      <c r="M129" s="1410"/>
    </row>
    <row r="130" spans="1:13" s="1407" customFormat="1">
      <c r="A130" s="1406"/>
      <c r="B130" s="1407" t="s">
        <v>1580</v>
      </c>
      <c r="C130" s="1427"/>
      <c r="D130" s="1451">
        <f t="shared" ref="D130:J130" si="53">IF(D126&gt;D125,D126-D125,0)</f>
        <v>0</v>
      </c>
      <c r="E130" s="1451">
        <f t="shared" si="53"/>
        <v>0</v>
      </c>
      <c r="F130" s="1451">
        <f t="shared" si="53"/>
        <v>0</v>
      </c>
      <c r="G130" s="1451">
        <f t="shared" si="53"/>
        <v>0</v>
      </c>
      <c r="H130" s="1451">
        <f t="shared" si="53"/>
        <v>0</v>
      </c>
      <c r="I130" s="1451">
        <f t="shared" si="53"/>
        <v>0</v>
      </c>
      <c r="J130" s="1451">
        <f t="shared" si="53"/>
        <v>0</v>
      </c>
      <c r="K130" s="1451">
        <f>IF(K126&gt;K125,K126-K125,0)</f>
        <v>0</v>
      </c>
      <c r="L130" s="1451"/>
      <c r="M130" s="1451"/>
    </row>
    <row r="131" spans="1:13">
      <c r="B131" s="1407"/>
      <c r="E131" s="1440"/>
      <c r="F131" s="1440"/>
      <c r="G131" s="1440"/>
      <c r="H131" s="1440"/>
      <c r="I131" s="1440"/>
      <c r="J131" s="1440"/>
      <c r="K131" s="1440"/>
      <c r="L131" s="1440"/>
      <c r="M131" s="1440"/>
    </row>
    <row r="132" spans="1:13">
      <c r="B132" s="1407" t="s">
        <v>1492</v>
      </c>
      <c r="E132" s="1440"/>
      <c r="F132" s="1440"/>
      <c r="G132" s="1440"/>
      <c r="H132" s="1440"/>
      <c r="I132" s="1440"/>
      <c r="J132" s="1440"/>
      <c r="K132" s="1440"/>
      <c r="L132" s="1440"/>
      <c r="M132" s="1440"/>
    </row>
    <row r="133" spans="1:13">
      <c r="B133" s="1431" t="s">
        <v>1581</v>
      </c>
      <c r="D133" s="1412">
        <v>0</v>
      </c>
      <c r="E133" s="1410" t="e">
        <f t="shared" ref="E133:J133" si="54">D137</f>
        <v>#REF!</v>
      </c>
      <c r="F133" s="1440" t="e">
        <f t="shared" si="54"/>
        <v>#REF!</v>
      </c>
      <c r="G133" s="1440" t="e">
        <f t="shared" si="54"/>
        <v>#REF!</v>
      </c>
      <c r="H133" s="1440" t="e">
        <f t="shared" si="54"/>
        <v>#REF!</v>
      </c>
      <c r="I133" s="1440" t="e">
        <f t="shared" si="54"/>
        <v>#REF!</v>
      </c>
      <c r="J133" s="1440" t="e">
        <f t="shared" si="54"/>
        <v>#REF!</v>
      </c>
      <c r="K133" s="1440" t="e">
        <f>J137</f>
        <v>#REF!</v>
      </c>
      <c r="L133" s="1440"/>
      <c r="M133" s="1440"/>
    </row>
    <row r="134" spans="1:13">
      <c r="B134" s="1431" t="s">
        <v>994</v>
      </c>
      <c r="D134" s="1440">
        <f t="shared" ref="D134:J134" si="55">SUM(D100:D102)</f>
        <v>0</v>
      </c>
      <c r="E134" s="1440">
        <f t="shared" si="55"/>
        <v>0</v>
      </c>
      <c r="F134" s="1440">
        <f t="shared" si="55"/>
        <v>0</v>
      </c>
      <c r="G134" s="1440">
        <f t="shared" si="55"/>
        <v>0</v>
      </c>
      <c r="H134" s="1440">
        <f t="shared" si="55"/>
        <v>308432.75</v>
      </c>
      <c r="I134" s="1440">
        <f t="shared" si="55"/>
        <v>153375.75</v>
      </c>
      <c r="J134" s="1440">
        <f t="shared" si="55"/>
        <v>204501</v>
      </c>
      <c r="K134" s="1440">
        <f>SUM(K100:K102)</f>
        <v>0</v>
      </c>
      <c r="L134" s="1440"/>
      <c r="M134" s="1440"/>
    </row>
    <row r="135" spans="1:13">
      <c r="B135" s="1431" t="s">
        <v>1582</v>
      </c>
      <c r="D135" s="1431" t="e">
        <f t="shared" ref="D135:J135" si="56">$C$79*D61</f>
        <v>#REF!</v>
      </c>
      <c r="E135" s="1431" t="e">
        <f t="shared" si="56"/>
        <v>#REF!</v>
      </c>
      <c r="F135" s="1440" t="e">
        <f t="shared" si="56"/>
        <v>#REF!</v>
      </c>
      <c r="G135" s="1440" t="e">
        <f t="shared" si="56"/>
        <v>#REF!</v>
      </c>
      <c r="H135" s="1440" t="e">
        <f t="shared" si="56"/>
        <v>#REF!</v>
      </c>
      <c r="I135" s="1440" t="e">
        <f t="shared" si="56"/>
        <v>#REF!</v>
      </c>
      <c r="J135" s="1440" t="e">
        <f t="shared" si="56"/>
        <v>#REF!</v>
      </c>
      <c r="K135" s="1440" t="e">
        <f>$C$79*K61</f>
        <v>#REF!</v>
      </c>
      <c r="L135" s="1440"/>
      <c r="M135" s="1440"/>
    </row>
    <row r="136" spans="1:13">
      <c r="B136" s="1431" t="s">
        <v>1583</v>
      </c>
      <c r="D136" s="1440" t="e">
        <f t="shared" ref="D136:J136" si="57">SUM(D77:D79)</f>
        <v>#REF!</v>
      </c>
      <c r="E136" s="1440" t="e">
        <f t="shared" si="57"/>
        <v>#REF!</v>
      </c>
      <c r="F136" s="1440" t="e">
        <f t="shared" si="57"/>
        <v>#REF!</v>
      </c>
      <c r="G136" s="1440" t="e">
        <f t="shared" si="57"/>
        <v>#REF!</v>
      </c>
      <c r="H136" s="1440" t="e">
        <f t="shared" si="57"/>
        <v>#REF!</v>
      </c>
      <c r="I136" s="1440" t="e">
        <f t="shared" si="57"/>
        <v>#REF!</v>
      </c>
      <c r="J136" s="1440" t="e">
        <f t="shared" si="57"/>
        <v>#REF!</v>
      </c>
      <c r="K136" s="1440" t="e">
        <f>SUM(K77:K79)</f>
        <v>#REF!</v>
      </c>
      <c r="L136" s="1440"/>
      <c r="M136" s="1440"/>
    </row>
    <row r="137" spans="1:13">
      <c r="B137" s="1431" t="s">
        <v>874</v>
      </c>
      <c r="D137" s="1440" t="e">
        <f t="shared" ref="D137:K137" si="58">SUM(D133:D135)-D136</f>
        <v>#REF!</v>
      </c>
      <c r="E137" s="1440" t="e">
        <f t="shared" si="58"/>
        <v>#REF!</v>
      </c>
      <c r="F137" s="1440" t="e">
        <f t="shared" si="58"/>
        <v>#REF!</v>
      </c>
      <c r="G137" s="1440" t="e">
        <f t="shared" si="58"/>
        <v>#REF!</v>
      </c>
      <c r="H137" s="1440" t="e">
        <f t="shared" si="58"/>
        <v>#REF!</v>
      </c>
      <c r="I137" s="1440" t="e">
        <f t="shared" si="58"/>
        <v>#REF!</v>
      </c>
      <c r="J137" s="1440" t="e">
        <f t="shared" si="58"/>
        <v>#REF!</v>
      </c>
      <c r="K137" s="1440" t="e">
        <f t="shared" si="58"/>
        <v>#REF!</v>
      </c>
      <c r="L137" s="1440"/>
      <c r="M137" s="1440"/>
    </row>
    <row r="138" spans="1:13">
      <c r="A138" s="1430" t="s">
        <v>1584</v>
      </c>
      <c r="B138" s="1432"/>
      <c r="C138" s="1432"/>
      <c r="D138" s="1432"/>
      <c r="E138" s="1432"/>
      <c r="F138" s="1432"/>
      <c r="G138" s="1432"/>
      <c r="H138" s="1432"/>
      <c r="I138" s="1432"/>
      <c r="J138" s="1432"/>
      <c r="K138" s="1432"/>
    </row>
  </sheetData>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Q142"/>
  <sheetViews>
    <sheetView topLeftCell="A79" zoomScale="125" zoomScaleNormal="125" workbookViewId="0">
      <selection activeCell="A104" sqref="A104"/>
    </sheetView>
  </sheetViews>
  <sheetFormatPr defaultColWidth="9.140625" defaultRowHeight="12"/>
  <cols>
    <col min="1" max="1" width="5.85546875" style="1406" customWidth="1"/>
    <col min="2" max="2" width="27.140625" style="1431" customWidth="1"/>
    <col min="3" max="13" width="9.140625" style="1431" customWidth="1"/>
    <col min="14" max="16384" width="9.140625" style="1431"/>
  </cols>
  <sheetData>
    <row r="1" spans="1:17" ht="21">
      <c r="A1" s="1404" t="s">
        <v>1722</v>
      </c>
    </row>
    <row r="2" spans="1:17">
      <c r="A2" s="1405" t="s">
        <v>1538</v>
      </c>
    </row>
    <row r="4" spans="1:17">
      <c r="B4" s="1407" t="s">
        <v>1539</v>
      </c>
      <c r="F4" s="1407" t="s">
        <v>1540</v>
      </c>
      <c r="K4" s="1407" t="s">
        <v>1595</v>
      </c>
    </row>
    <row r="5" spans="1:17">
      <c r="B5" s="1432" t="s">
        <v>748</v>
      </c>
      <c r="C5" s="1432"/>
      <c r="D5" s="1408">
        <f>SUM(D6:D8)</f>
        <v>4587619.2</v>
      </c>
      <c r="F5" s="1432" t="s">
        <v>636</v>
      </c>
      <c r="G5" s="1432"/>
      <c r="H5" s="1432"/>
      <c r="I5" s="1409">
        <v>1</v>
      </c>
      <c r="K5" s="1431" t="s">
        <v>1140</v>
      </c>
    </row>
    <row r="6" spans="1:17">
      <c r="B6" s="1431" t="s">
        <v>678</v>
      </c>
      <c r="D6" s="1410">
        <f>SUM(E30:E31)</f>
        <v>1007145</v>
      </c>
      <c r="F6" s="1431" t="s">
        <v>1541</v>
      </c>
      <c r="I6" s="1411">
        <v>0</v>
      </c>
      <c r="K6" s="1431" t="s">
        <v>1596</v>
      </c>
    </row>
    <row r="7" spans="1:17">
      <c r="B7" s="1431" t="s">
        <v>749</v>
      </c>
      <c r="D7" s="1410">
        <f>SUM(E32:E33)</f>
        <v>201429</v>
      </c>
      <c r="F7" s="1431" t="s">
        <v>755</v>
      </c>
      <c r="I7" s="1412">
        <v>2026</v>
      </c>
      <c r="K7" s="1431" t="s">
        <v>1596</v>
      </c>
    </row>
    <row r="8" spans="1:17">
      <c r="B8" s="1431" t="s">
        <v>750</v>
      </c>
      <c r="D8" s="1410">
        <f>C72</f>
        <v>3379045.2</v>
      </c>
      <c r="F8" s="1431" t="s">
        <v>1542</v>
      </c>
      <c r="I8" s="1411">
        <v>0.3</v>
      </c>
      <c r="K8" s="1431" t="s">
        <v>1596</v>
      </c>
    </row>
    <row r="9" spans="1:17">
      <c r="B9" s="1431" t="s">
        <v>1543</v>
      </c>
      <c r="D9" s="1412">
        <v>2015</v>
      </c>
      <c r="F9" s="1431" t="s">
        <v>1544</v>
      </c>
      <c r="I9" s="1433" t="e">
        <f>D22</f>
        <v>#REF!</v>
      </c>
    </row>
    <row r="10" spans="1:17">
      <c r="B10" s="1431" t="s">
        <v>751</v>
      </c>
      <c r="D10" s="1412">
        <v>2019</v>
      </c>
      <c r="F10" s="1431" t="s">
        <v>1588</v>
      </c>
      <c r="I10" s="1425" t="e">
        <f>B115</f>
        <v>#VALUE!</v>
      </c>
    </row>
    <row r="11" spans="1:17">
      <c r="B11" s="1431" t="s">
        <v>1545</v>
      </c>
      <c r="D11" s="1412">
        <v>2015</v>
      </c>
      <c r="F11" s="1431" t="s">
        <v>1591</v>
      </c>
      <c r="I11" s="1410" t="e">
        <f>C112</f>
        <v>#REF!</v>
      </c>
    </row>
    <row r="12" spans="1:17">
      <c r="E12" s="1412"/>
      <c r="J12" s="1413"/>
    </row>
    <row r="13" spans="1:17">
      <c r="B13" s="1407" t="s">
        <v>1546</v>
      </c>
      <c r="D13" s="1414">
        <v>2013</v>
      </c>
      <c r="E13" s="1407">
        <f t="shared" ref="E13:Q13" si="0">D13+1</f>
        <v>2014</v>
      </c>
      <c r="F13" s="1407">
        <f t="shared" si="0"/>
        <v>2015</v>
      </c>
      <c r="G13" s="1407">
        <f t="shared" si="0"/>
        <v>2016</v>
      </c>
      <c r="H13" s="1407">
        <f t="shared" si="0"/>
        <v>2017</v>
      </c>
      <c r="I13" s="1407">
        <f t="shared" si="0"/>
        <v>2018</v>
      </c>
      <c r="J13" s="1407">
        <f t="shared" si="0"/>
        <v>2019</v>
      </c>
      <c r="K13" s="1407">
        <f t="shared" si="0"/>
        <v>2020</v>
      </c>
      <c r="L13" s="1407">
        <f t="shared" si="0"/>
        <v>2021</v>
      </c>
      <c r="M13" s="1407">
        <f t="shared" si="0"/>
        <v>2022</v>
      </c>
      <c r="N13" s="1407">
        <f t="shared" si="0"/>
        <v>2023</v>
      </c>
      <c r="O13" s="1407">
        <f t="shared" si="0"/>
        <v>2024</v>
      </c>
      <c r="P13" s="1407">
        <f t="shared" si="0"/>
        <v>2025</v>
      </c>
      <c r="Q13" s="1407">
        <f t="shared" si="0"/>
        <v>2026</v>
      </c>
    </row>
    <row r="14" spans="1:17">
      <c r="B14" s="1432" t="s">
        <v>1547</v>
      </c>
      <c r="C14" s="1432"/>
      <c r="D14" s="1434">
        <f>1-I8</f>
        <v>0.7</v>
      </c>
      <c r="E14" s="1434">
        <f t="shared" ref="E14:Q17" si="1">D14</f>
        <v>0.7</v>
      </c>
      <c r="F14" s="1434">
        <f t="shared" si="1"/>
        <v>0.7</v>
      </c>
      <c r="G14" s="1434">
        <f t="shared" si="1"/>
        <v>0.7</v>
      </c>
      <c r="H14" s="1434">
        <f t="shared" si="1"/>
        <v>0.7</v>
      </c>
      <c r="I14" s="1434">
        <f t="shared" si="1"/>
        <v>0.7</v>
      </c>
      <c r="J14" s="1434">
        <f t="shared" si="1"/>
        <v>0.7</v>
      </c>
      <c r="K14" s="1434">
        <f t="shared" si="1"/>
        <v>0.7</v>
      </c>
      <c r="L14" s="1434">
        <f t="shared" si="1"/>
        <v>0.7</v>
      </c>
      <c r="M14" s="1434">
        <f t="shared" si="1"/>
        <v>0.7</v>
      </c>
      <c r="N14" s="1434">
        <f t="shared" si="1"/>
        <v>0.7</v>
      </c>
      <c r="O14" s="1434">
        <f t="shared" si="1"/>
        <v>0.7</v>
      </c>
      <c r="P14" s="1434">
        <f t="shared" si="1"/>
        <v>0.7</v>
      </c>
      <c r="Q14" s="1434">
        <f t="shared" si="1"/>
        <v>0.7</v>
      </c>
    </row>
    <row r="15" spans="1:17">
      <c r="B15" s="1431" t="s">
        <v>610</v>
      </c>
      <c r="D15" s="1594" t="e">
        <f>#REF!</f>
        <v>#REF!</v>
      </c>
      <c r="E15" s="1431" t="e">
        <f>D15</f>
        <v>#REF!</v>
      </c>
      <c r="F15" s="1431" t="e">
        <f t="shared" si="1"/>
        <v>#REF!</v>
      </c>
      <c r="G15" s="1431" t="e">
        <f t="shared" si="1"/>
        <v>#REF!</v>
      </c>
      <c r="H15" s="1431" t="e">
        <f t="shared" si="1"/>
        <v>#REF!</v>
      </c>
      <c r="I15" s="1431" t="e">
        <f t="shared" si="1"/>
        <v>#REF!</v>
      </c>
      <c r="J15" s="1431" t="e">
        <f t="shared" si="1"/>
        <v>#REF!</v>
      </c>
      <c r="K15" s="1431" t="e">
        <f t="shared" si="1"/>
        <v>#REF!</v>
      </c>
      <c r="L15" s="1431" t="e">
        <f t="shared" si="1"/>
        <v>#REF!</v>
      </c>
      <c r="M15" s="1431" t="e">
        <f t="shared" si="1"/>
        <v>#REF!</v>
      </c>
      <c r="N15" s="1431" t="e">
        <f t="shared" si="1"/>
        <v>#REF!</v>
      </c>
      <c r="O15" s="1431" t="e">
        <f t="shared" si="1"/>
        <v>#REF!</v>
      </c>
      <c r="P15" s="1431" t="e">
        <f t="shared" si="1"/>
        <v>#REF!</v>
      </c>
      <c r="Q15" s="1431" t="e">
        <f t="shared" si="1"/>
        <v>#REF!</v>
      </c>
    </row>
    <row r="16" spans="1:17">
      <c r="B16" s="1431" t="s">
        <v>757</v>
      </c>
      <c r="D16" s="1581" t="e">
        <f>#REF!</f>
        <v>#REF!</v>
      </c>
      <c r="E16" s="1435" t="e">
        <f t="shared" si="1"/>
        <v>#REF!</v>
      </c>
      <c r="F16" s="1435" t="e">
        <f t="shared" si="1"/>
        <v>#REF!</v>
      </c>
      <c r="G16" s="1435" t="e">
        <f t="shared" si="1"/>
        <v>#REF!</v>
      </c>
      <c r="H16" s="1435" t="e">
        <f t="shared" si="1"/>
        <v>#REF!</v>
      </c>
      <c r="I16" s="1435" t="e">
        <f t="shared" si="1"/>
        <v>#REF!</v>
      </c>
      <c r="J16" s="1435" t="e">
        <f t="shared" si="1"/>
        <v>#REF!</v>
      </c>
      <c r="K16" s="1435" t="e">
        <f t="shared" si="1"/>
        <v>#REF!</v>
      </c>
      <c r="L16" s="1435" t="e">
        <f t="shared" si="1"/>
        <v>#REF!</v>
      </c>
      <c r="M16" s="1435" t="e">
        <f t="shared" si="1"/>
        <v>#REF!</v>
      </c>
      <c r="N16" s="1435" t="e">
        <f t="shared" si="1"/>
        <v>#REF!</v>
      </c>
      <c r="O16" s="1435" t="e">
        <f t="shared" si="1"/>
        <v>#REF!</v>
      </c>
      <c r="P16" s="1435" t="e">
        <f t="shared" si="1"/>
        <v>#REF!</v>
      </c>
      <c r="Q16" s="1435" t="e">
        <f t="shared" si="1"/>
        <v>#REF!</v>
      </c>
    </row>
    <row r="17" spans="1:17">
      <c r="B17" s="1431" t="s">
        <v>609</v>
      </c>
      <c r="D17" s="1415">
        <v>7.0000000000000007E-2</v>
      </c>
      <c r="E17" s="1435">
        <f t="shared" si="1"/>
        <v>7.0000000000000007E-2</v>
      </c>
      <c r="F17" s="1435">
        <f t="shared" si="1"/>
        <v>7.0000000000000007E-2</v>
      </c>
      <c r="G17" s="1435">
        <f t="shared" si="1"/>
        <v>7.0000000000000007E-2</v>
      </c>
      <c r="H17" s="1435">
        <f t="shared" si="1"/>
        <v>7.0000000000000007E-2</v>
      </c>
      <c r="I17" s="1435">
        <f t="shared" si="1"/>
        <v>7.0000000000000007E-2</v>
      </c>
      <c r="J17" s="1435">
        <f t="shared" si="1"/>
        <v>7.0000000000000007E-2</v>
      </c>
      <c r="K17" s="1435">
        <f t="shared" si="1"/>
        <v>7.0000000000000007E-2</v>
      </c>
      <c r="L17" s="1435">
        <f t="shared" si="1"/>
        <v>7.0000000000000007E-2</v>
      </c>
      <c r="M17" s="1435">
        <f t="shared" si="1"/>
        <v>7.0000000000000007E-2</v>
      </c>
      <c r="N17" s="1435">
        <f t="shared" si="1"/>
        <v>7.0000000000000007E-2</v>
      </c>
      <c r="O17" s="1435">
        <f t="shared" si="1"/>
        <v>7.0000000000000007E-2</v>
      </c>
      <c r="P17" s="1435">
        <f t="shared" si="1"/>
        <v>7.0000000000000007E-2</v>
      </c>
      <c r="Q17" s="1435">
        <f t="shared" si="1"/>
        <v>7.0000000000000007E-2</v>
      </c>
    </row>
    <row r="18" spans="1:17">
      <c r="B18" s="1431" t="s">
        <v>758</v>
      </c>
      <c r="D18" s="1433" t="e">
        <f t="shared" ref="D18:I18" si="2">D16+D15*D17</f>
        <v>#REF!</v>
      </c>
      <c r="E18" s="1433" t="e">
        <f t="shared" si="2"/>
        <v>#REF!</v>
      </c>
      <c r="F18" s="1433" t="e">
        <f t="shared" si="2"/>
        <v>#REF!</v>
      </c>
      <c r="G18" s="1433" t="e">
        <f t="shared" si="2"/>
        <v>#REF!</v>
      </c>
      <c r="H18" s="1433" t="e">
        <f t="shared" si="2"/>
        <v>#REF!</v>
      </c>
      <c r="I18" s="1433" t="e">
        <f t="shared" si="2"/>
        <v>#REF!</v>
      </c>
      <c r="J18" s="1433" t="e">
        <f t="shared" ref="J18:Q18" si="3">J16+J15*J17</f>
        <v>#REF!</v>
      </c>
      <c r="K18" s="1433" t="e">
        <f t="shared" si="3"/>
        <v>#REF!</v>
      </c>
      <c r="L18" s="1433" t="e">
        <f t="shared" si="3"/>
        <v>#REF!</v>
      </c>
      <c r="M18" s="1433" t="e">
        <f t="shared" si="3"/>
        <v>#REF!</v>
      </c>
      <c r="N18" s="1433" t="e">
        <f t="shared" si="3"/>
        <v>#REF!</v>
      </c>
      <c r="O18" s="1433" t="e">
        <f t="shared" si="3"/>
        <v>#REF!</v>
      </c>
      <c r="P18" s="1433" t="e">
        <f t="shared" si="3"/>
        <v>#REF!</v>
      </c>
      <c r="Q18" s="1433" t="e">
        <f t="shared" si="3"/>
        <v>#REF!</v>
      </c>
    </row>
    <row r="19" spans="1:17">
      <c r="B19" s="1431" t="s">
        <v>1542</v>
      </c>
      <c r="D19" s="1436">
        <f t="shared" ref="D19:Q19" si="4">$I$8</f>
        <v>0.3</v>
      </c>
      <c r="E19" s="1436">
        <f t="shared" si="4"/>
        <v>0.3</v>
      </c>
      <c r="F19" s="1436">
        <f t="shared" si="4"/>
        <v>0.3</v>
      </c>
      <c r="G19" s="1436">
        <f t="shared" si="4"/>
        <v>0.3</v>
      </c>
      <c r="H19" s="1436">
        <f t="shared" si="4"/>
        <v>0.3</v>
      </c>
      <c r="I19" s="1436">
        <f t="shared" si="4"/>
        <v>0.3</v>
      </c>
      <c r="J19" s="1436">
        <f t="shared" si="4"/>
        <v>0.3</v>
      </c>
      <c r="K19" s="1436">
        <f t="shared" si="4"/>
        <v>0.3</v>
      </c>
      <c r="L19" s="1436">
        <f t="shared" si="4"/>
        <v>0.3</v>
      </c>
      <c r="M19" s="1436">
        <f t="shared" si="4"/>
        <v>0.3</v>
      </c>
      <c r="N19" s="1436">
        <f t="shared" si="4"/>
        <v>0.3</v>
      </c>
      <c r="O19" s="1436">
        <f t="shared" si="4"/>
        <v>0.3</v>
      </c>
      <c r="P19" s="1436">
        <f t="shared" si="4"/>
        <v>0.3</v>
      </c>
      <c r="Q19" s="1436">
        <f t="shared" si="4"/>
        <v>0.3</v>
      </c>
    </row>
    <row r="20" spans="1:17">
      <c r="B20" s="1431" t="s">
        <v>760</v>
      </c>
      <c r="D20" s="1581" t="e">
        <f>#REF!</f>
        <v>#REF!</v>
      </c>
      <c r="E20" s="1581" t="e">
        <f>#REF!</f>
        <v>#REF!</v>
      </c>
      <c r="F20" s="1581" t="e">
        <f>#REF!</f>
        <v>#REF!</v>
      </c>
      <c r="G20" s="1581" t="e">
        <f>#REF!</f>
        <v>#REF!</v>
      </c>
      <c r="H20" s="1581" t="e">
        <f>#REF!</f>
        <v>#REF!</v>
      </c>
      <c r="I20" s="1418" t="e">
        <f t="shared" ref="H20:Q21" si="5">H20</f>
        <v>#REF!</v>
      </c>
      <c r="J20" s="1418" t="e">
        <f t="shared" si="5"/>
        <v>#REF!</v>
      </c>
      <c r="K20" s="1418" t="e">
        <f t="shared" si="5"/>
        <v>#REF!</v>
      </c>
      <c r="L20" s="1418" t="e">
        <f t="shared" si="5"/>
        <v>#REF!</v>
      </c>
      <c r="M20" s="1418" t="e">
        <f t="shared" si="5"/>
        <v>#REF!</v>
      </c>
      <c r="N20" s="1418" t="e">
        <f t="shared" si="5"/>
        <v>#REF!</v>
      </c>
      <c r="O20" s="1418" t="e">
        <f t="shared" si="5"/>
        <v>#REF!</v>
      </c>
      <c r="P20" s="1418" t="e">
        <f t="shared" si="5"/>
        <v>#REF!</v>
      </c>
      <c r="Q20" s="1418" t="e">
        <f t="shared" si="5"/>
        <v>#REF!</v>
      </c>
    </row>
    <row r="21" spans="1:17">
      <c r="B21" s="1431" t="s">
        <v>846</v>
      </c>
      <c r="D21" s="1416">
        <v>0.22</v>
      </c>
      <c r="E21" s="1417">
        <f>D21</f>
        <v>0.22</v>
      </c>
      <c r="F21" s="1417">
        <f>E21</f>
        <v>0.22</v>
      </c>
      <c r="G21" s="1416">
        <v>0.2</v>
      </c>
      <c r="H21" s="1417">
        <f t="shared" si="5"/>
        <v>0.2</v>
      </c>
      <c r="I21" s="1417">
        <f t="shared" si="5"/>
        <v>0.2</v>
      </c>
      <c r="J21" s="1417">
        <f t="shared" si="5"/>
        <v>0.2</v>
      </c>
      <c r="K21" s="1417">
        <f t="shared" si="5"/>
        <v>0.2</v>
      </c>
      <c r="L21" s="1417">
        <f t="shared" si="5"/>
        <v>0.2</v>
      </c>
      <c r="M21" s="1417">
        <f t="shared" si="5"/>
        <v>0.2</v>
      </c>
      <c r="N21" s="1417">
        <f t="shared" si="5"/>
        <v>0.2</v>
      </c>
      <c r="O21" s="1417">
        <f t="shared" si="5"/>
        <v>0.2</v>
      </c>
      <c r="P21" s="1417">
        <f t="shared" si="5"/>
        <v>0.2</v>
      </c>
      <c r="Q21" s="1417">
        <f t="shared" si="5"/>
        <v>0.2</v>
      </c>
    </row>
    <row r="22" spans="1:17">
      <c r="B22" s="1419" t="s">
        <v>14</v>
      </c>
      <c r="C22" s="1432"/>
      <c r="D22" s="1437" t="e">
        <f>D18*D14+D20*D19*(1-D21)</f>
        <v>#REF!</v>
      </c>
      <c r="E22" s="1437" t="e">
        <f t="shared" ref="E22:Q22" si="6">E18*E14+E20*E19*(1-E21)</f>
        <v>#REF!</v>
      </c>
      <c r="F22" s="1437" t="e">
        <f>F18*F14+F20*F19*(1-F21)</f>
        <v>#REF!</v>
      </c>
      <c r="G22" s="1437" t="e">
        <f>G18*G14+G20*G19*(1-G21)</f>
        <v>#REF!</v>
      </c>
      <c r="H22" s="1437" t="e">
        <f>H18*H14+H20*H19*(1-H21)</f>
        <v>#REF!</v>
      </c>
      <c r="I22" s="1437" t="e">
        <f>I18*I14+I20*I19*(1-I21)</f>
        <v>#REF!</v>
      </c>
      <c r="J22" s="1437" t="e">
        <f t="shared" si="6"/>
        <v>#REF!</v>
      </c>
      <c r="K22" s="1437" t="e">
        <f t="shared" si="6"/>
        <v>#REF!</v>
      </c>
      <c r="L22" s="1437" t="e">
        <f t="shared" si="6"/>
        <v>#REF!</v>
      </c>
      <c r="M22" s="1437" t="e">
        <f t="shared" si="6"/>
        <v>#REF!</v>
      </c>
      <c r="N22" s="1437" t="e">
        <f t="shared" si="6"/>
        <v>#REF!</v>
      </c>
      <c r="O22" s="1437" t="e">
        <f t="shared" si="6"/>
        <v>#REF!</v>
      </c>
      <c r="P22" s="1437" t="e">
        <f t="shared" si="6"/>
        <v>#REF!</v>
      </c>
      <c r="Q22" s="1437" t="e">
        <f t="shared" si="6"/>
        <v>#REF!</v>
      </c>
    </row>
    <row r="23" spans="1:17">
      <c r="E23" s="1412"/>
      <c r="J23" s="1413"/>
    </row>
    <row r="24" spans="1:17">
      <c r="E24" s="1412"/>
      <c r="J24" s="1413"/>
    </row>
    <row r="25" spans="1:17" ht="15.75">
      <c r="A25" s="1420" t="s">
        <v>1548</v>
      </c>
      <c r="B25" s="1438"/>
    </row>
    <row r="27" spans="1:17" s="1407" customFormat="1">
      <c r="A27" s="1406" t="s">
        <v>762</v>
      </c>
      <c r="B27" s="1407" t="s">
        <v>1459</v>
      </c>
      <c r="C27" s="1407" t="s">
        <v>764</v>
      </c>
      <c r="D27" s="1407" t="s">
        <v>1549</v>
      </c>
      <c r="E27" s="1407" t="s">
        <v>1550</v>
      </c>
    </row>
    <row r="28" spans="1:17">
      <c r="A28" s="1421"/>
      <c r="B28" s="1432" t="s">
        <v>1551</v>
      </c>
      <c r="C28" s="1432" t="s">
        <v>1552</v>
      </c>
      <c r="D28" s="1432"/>
      <c r="E28" s="1422">
        <v>67143</v>
      </c>
      <c r="F28" s="1432"/>
    </row>
    <row r="29" spans="1:17">
      <c r="B29" s="1431" t="s">
        <v>1553</v>
      </c>
      <c r="C29" s="1431" t="s">
        <v>1552</v>
      </c>
      <c r="E29" s="1410">
        <f>E28</f>
        <v>67143</v>
      </c>
    </row>
    <row r="30" spans="1:17">
      <c r="B30" s="1431" t="s">
        <v>1554</v>
      </c>
      <c r="C30" s="1431" t="s">
        <v>1555</v>
      </c>
      <c r="D30" s="1446">
        <v>0</v>
      </c>
      <c r="E30" s="1410">
        <f>E28*D30</f>
        <v>0</v>
      </c>
    </row>
    <row r="31" spans="1:17">
      <c r="B31" s="1431" t="s">
        <v>1556</v>
      </c>
      <c r="C31" s="1431" t="s">
        <v>1555</v>
      </c>
      <c r="D31" s="1446">
        <v>15</v>
      </c>
      <c r="E31" s="1440">
        <f>D31*E28</f>
        <v>1007145</v>
      </c>
    </row>
    <row r="32" spans="1:17">
      <c r="B32" s="1431" t="s">
        <v>771</v>
      </c>
      <c r="C32" s="1431" t="s">
        <v>1555</v>
      </c>
      <c r="D32" s="1412">
        <v>1.5</v>
      </c>
      <c r="E32" s="1410">
        <f>D32*E28</f>
        <v>100714.5</v>
      </c>
    </row>
    <row r="33" spans="1:8">
      <c r="B33" s="1431" t="s">
        <v>1557</v>
      </c>
      <c r="C33" s="1431" t="s">
        <v>1555</v>
      </c>
      <c r="D33" s="1412">
        <v>1.5</v>
      </c>
      <c r="E33" s="1410">
        <f>D33*E28</f>
        <v>100714.5</v>
      </c>
    </row>
    <row r="35" spans="1:8">
      <c r="B35" s="1407" t="s">
        <v>773</v>
      </c>
      <c r="C35" s="1407" t="s">
        <v>642</v>
      </c>
      <c r="D35" s="1414">
        <f>D13</f>
        <v>2013</v>
      </c>
      <c r="E35" s="1414">
        <f>E13</f>
        <v>2014</v>
      </c>
      <c r="F35" s="1414">
        <f>F13</f>
        <v>2015</v>
      </c>
      <c r="G35" s="1414">
        <f>G13</f>
        <v>2016</v>
      </c>
      <c r="H35" s="1414">
        <f>H13</f>
        <v>2017</v>
      </c>
    </row>
    <row r="36" spans="1:8">
      <c r="B36" s="1432"/>
      <c r="C36" s="1441">
        <f>D6</f>
        <v>1007145</v>
      </c>
      <c r="D36" s="1408">
        <f>$C$36*D37</f>
        <v>0</v>
      </c>
      <c r="E36" s="1408">
        <f>$C$36*E37</f>
        <v>0</v>
      </c>
      <c r="F36" s="1408">
        <f>$C$36*F37</f>
        <v>0</v>
      </c>
      <c r="G36" s="1408">
        <f>$C$36*G37</f>
        <v>1007145</v>
      </c>
      <c r="H36" s="1408">
        <f>$C$36*H37</f>
        <v>0</v>
      </c>
    </row>
    <row r="37" spans="1:8">
      <c r="B37" s="1442" t="s">
        <v>1559</v>
      </c>
      <c r="C37" s="1436">
        <f>SUM(D37:H37)</f>
        <v>1</v>
      </c>
      <c r="D37" s="1416">
        <v>0</v>
      </c>
      <c r="E37" s="1416">
        <v>0</v>
      </c>
      <c r="G37" s="1416">
        <v>1</v>
      </c>
      <c r="H37" s="1416">
        <v>0</v>
      </c>
    </row>
    <row r="38" spans="1:8">
      <c r="B38" s="1407" t="s">
        <v>1558</v>
      </c>
      <c r="C38" s="1440">
        <f>SUM(E32:E33)</f>
        <v>201429</v>
      </c>
      <c r="D38" s="1440">
        <f>$C$38*D39</f>
        <v>0</v>
      </c>
      <c r="E38" s="1440">
        <f>$C$38*E39</f>
        <v>0</v>
      </c>
      <c r="F38" s="1440">
        <f>$C$38*F39</f>
        <v>0</v>
      </c>
      <c r="G38" s="1440">
        <f>$C$38*G39</f>
        <v>201429</v>
      </c>
      <c r="H38" s="1440">
        <f>$C$38*H39</f>
        <v>0</v>
      </c>
    </row>
    <row r="39" spans="1:8">
      <c r="B39" s="1442" t="s">
        <v>1559</v>
      </c>
      <c r="C39" s="1443">
        <f>SUM(D39:H39)</f>
        <v>1</v>
      </c>
      <c r="D39" s="1411">
        <v>0</v>
      </c>
      <c r="E39" s="1411">
        <v>0</v>
      </c>
      <c r="F39" s="1411">
        <v>0</v>
      </c>
      <c r="G39" s="1411">
        <v>1</v>
      </c>
      <c r="H39" s="1411">
        <v>0</v>
      </c>
    </row>
    <row r="42" spans="1:8" s="1407" customFormat="1">
      <c r="A42" s="1406" t="s">
        <v>777</v>
      </c>
      <c r="B42" s="1407" t="s">
        <v>1585</v>
      </c>
      <c r="C42" s="1407" t="s">
        <v>764</v>
      </c>
      <c r="D42" s="1407" t="s">
        <v>1549</v>
      </c>
    </row>
    <row r="43" spans="1:8">
      <c r="A43" s="1421"/>
      <c r="B43" s="1432" t="s">
        <v>686</v>
      </c>
      <c r="C43" s="1432" t="s">
        <v>1552</v>
      </c>
      <c r="D43" s="1449">
        <v>379668</v>
      </c>
      <c r="F43" s="1440"/>
    </row>
    <row r="44" spans="1:8">
      <c r="B44" s="1431" t="s">
        <v>1560</v>
      </c>
      <c r="C44" s="1431" t="s">
        <v>780</v>
      </c>
      <c r="D44" s="1448">
        <f>D45/D43</f>
        <v>0.79999894644794922</v>
      </c>
    </row>
    <row r="45" spans="1:8">
      <c r="B45" s="1431" t="s">
        <v>781</v>
      </c>
      <c r="C45" s="1431" t="s">
        <v>1552</v>
      </c>
      <c r="D45" s="1423">
        <v>303734</v>
      </c>
    </row>
    <row r="46" spans="1:8">
      <c r="B46" s="1431" t="s">
        <v>1561</v>
      </c>
      <c r="C46" s="1431" t="s">
        <v>1555</v>
      </c>
      <c r="D46" s="1446">
        <v>22.341917598951714</v>
      </c>
    </row>
    <row r="47" spans="1:8">
      <c r="B47" s="1431" t="s">
        <v>1587</v>
      </c>
      <c r="C47" s="1431" t="s">
        <v>1555</v>
      </c>
      <c r="D47" s="1462">
        <v>8.9</v>
      </c>
    </row>
    <row r="48" spans="1:8">
      <c r="B48" s="1431" t="s">
        <v>787</v>
      </c>
      <c r="C48" s="1431" t="s">
        <v>780</v>
      </c>
      <c r="D48" s="1411">
        <v>0</v>
      </c>
    </row>
    <row r="49" spans="1:10">
      <c r="B49" s="1431" t="s">
        <v>1562</v>
      </c>
      <c r="C49" s="1431" t="s">
        <v>780</v>
      </c>
      <c r="D49" s="1586" t="e">
        <f>#REF!</f>
        <v>#REF!</v>
      </c>
    </row>
    <row r="50" spans="1:10">
      <c r="B50" s="1431" t="s">
        <v>1563</v>
      </c>
      <c r="C50" s="1431" t="s">
        <v>780</v>
      </c>
      <c r="D50" s="1411">
        <v>0</v>
      </c>
    </row>
    <row r="52" spans="1:10" s="1407" customFormat="1">
      <c r="A52" s="1406">
        <v>1</v>
      </c>
      <c r="B52" s="1407" t="s">
        <v>1564</v>
      </c>
      <c r="C52" s="1407" t="str">
        <f>C35</f>
        <v>Total</v>
      </c>
      <c r="D52" s="1407">
        <f>D35</f>
        <v>2013</v>
      </c>
      <c r="E52" s="1407">
        <f>E35</f>
        <v>2014</v>
      </c>
      <c r="F52" s="1407">
        <f>F35</f>
        <v>2015</v>
      </c>
      <c r="G52" s="1407">
        <f>F52+1</f>
        <v>2016</v>
      </c>
      <c r="H52" s="1407">
        <f>G52+1</f>
        <v>2017</v>
      </c>
      <c r="I52" s="1407">
        <f>H52+1</f>
        <v>2018</v>
      </c>
      <c r="J52" s="1407">
        <f>I52+1</f>
        <v>2019</v>
      </c>
    </row>
    <row r="53" spans="1:10">
      <c r="B53" s="1432" t="s">
        <v>791</v>
      </c>
      <c r="C53" s="1441">
        <f>SUM(D53:J53)</f>
        <v>6786000</v>
      </c>
      <c r="D53" s="1441">
        <f>$D$45*D55*D54</f>
        <v>0</v>
      </c>
      <c r="E53" s="1441">
        <f t="shared" ref="E53:J53" si="7">$D$45*E55*E54</f>
        <v>0</v>
      </c>
      <c r="F53" s="1441">
        <f t="shared" si="7"/>
        <v>0</v>
      </c>
      <c r="G53" s="1441">
        <f t="shared" si="7"/>
        <v>0</v>
      </c>
      <c r="H53" s="1441">
        <f t="shared" si="7"/>
        <v>2714400</v>
      </c>
      <c r="I53" s="1441">
        <f t="shared" si="7"/>
        <v>2035800</v>
      </c>
      <c r="J53" s="1441">
        <f t="shared" si="7"/>
        <v>2035800</v>
      </c>
    </row>
    <row r="54" spans="1:10">
      <c r="B54" s="1444" t="s">
        <v>792</v>
      </c>
      <c r="C54" s="1436">
        <f>SUM(D54:J54)</f>
        <v>1</v>
      </c>
      <c r="D54" s="1416"/>
      <c r="E54" s="1416"/>
      <c r="F54" s="1416"/>
      <c r="G54" s="1416">
        <v>0</v>
      </c>
      <c r="H54" s="1416">
        <v>0.4</v>
      </c>
      <c r="I54" s="1416">
        <v>0.3</v>
      </c>
      <c r="J54" s="1416">
        <v>0.3</v>
      </c>
    </row>
    <row r="55" spans="1:10">
      <c r="B55" s="1444" t="s">
        <v>1565</v>
      </c>
      <c r="D55" s="1439">
        <f>D46</f>
        <v>22.341917598951714</v>
      </c>
      <c r="E55" s="1439">
        <f t="shared" ref="E55:J55" si="8">D55*(1+E56)</f>
        <v>22.341917598951714</v>
      </c>
      <c r="F55" s="1439">
        <f t="shared" si="8"/>
        <v>22.341917598951714</v>
      </c>
      <c r="G55" s="1439">
        <f t="shared" si="8"/>
        <v>22.341917598951714</v>
      </c>
      <c r="H55" s="1439">
        <f t="shared" si="8"/>
        <v>22.341917598951714</v>
      </c>
      <c r="I55" s="1439">
        <f t="shared" si="8"/>
        <v>22.341917598951714</v>
      </c>
      <c r="J55" s="1439">
        <f t="shared" si="8"/>
        <v>22.341917598951714</v>
      </c>
    </row>
    <row r="56" spans="1:10">
      <c r="B56" s="1444" t="s">
        <v>1563</v>
      </c>
      <c r="E56" s="1443">
        <f t="shared" ref="E56:J56" si="9">D50</f>
        <v>0</v>
      </c>
      <c r="F56" s="1443">
        <f t="shared" si="9"/>
        <v>0</v>
      </c>
      <c r="G56" s="1443">
        <f t="shared" si="9"/>
        <v>0</v>
      </c>
      <c r="H56" s="1443">
        <f t="shared" si="9"/>
        <v>0</v>
      </c>
      <c r="I56" s="1443">
        <f t="shared" si="9"/>
        <v>0</v>
      </c>
      <c r="J56" s="1443">
        <f t="shared" si="9"/>
        <v>0</v>
      </c>
    </row>
    <row r="57" spans="1:10">
      <c r="B57" s="1444"/>
      <c r="F57" s="1443"/>
      <c r="G57" s="1443"/>
    </row>
    <row r="58" spans="1:10">
      <c r="B58" s="1444"/>
      <c r="F58" s="1443"/>
      <c r="G58" s="1443"/>
    </row>
    <row r="59" spans="1:10" s="1407" customFormat="1">
      <c r="A59" s="1406">
        <v>2</v>
      </c>
      <c r="B59" s="1407" t="s">
        <v>794</v>
      </c>
      <c r="C59" s="1407" t="str">
        <f>C52</f>
        <v>Total</v>
      </c>
      <c r="D59" s="1407">
        <f t="shared" ref="D59:J59" si="10">D52</f>
        <v>2013</v>
      </c>
      <c r="E59" s="1407">
        <f t="shared" si="10"/>
        <v>2014</v>
      </c>
      <c r="F59" s="1407">
        <f t="shared" si="10"/>
        <v>2015</v>
      </c>
      <c r="G59" s="1407">
        <f t="shared" si="10"/>
        <v>2016</v>
      </c>
      <c r="H59" s="1407">
        <f t="shared" si="10"/>
        <v>2017</v>
      </c>
      <c r="I59" s="1407">
        <f t="shared" si="10"/>
        <v>2018</v>
      </c>
      <c r="J59" s="1407">
        <f t="shared" si="10"/>
        <v>2019</v>
      </c>
    </row>
    <row r="60" spans="1:10">
      <c r="B60" s="1432" t="s">
        <v>1586</v>
      </c>
      <c r="C60" s="1408">
        <f>C53</f>
        <v>6786000</v>
      </c>
      <c r="D60" s="1441">
        <f>$C$60*D61</f>
        <v>0</v>
      </c>
      <c r="E60" s="1441">
        <f t="shared" ref="E60:J60" si="11">$C$60*E61</f>
        <v>0</v>
      </c>
      <c r="F60" s="1441">
        <f t="shared" si="11"/>
        <v>0</v>
      </c>
      <c r="G60" s="1441">
        <f t="shared" si="11"/>
        <v>0</v>
      </c>
      <c r="H60" s="1441">
        <f t="shared" si="11"/>
        <v>0</v>
      </c>
      <c r="I60" s="1441">
        <f t="shared" si="11"/>
        <v>2035800</v>
      </c>
      <c r="J60" s="1441">
        <f t="shared" si="11"/>
        <v>4750200</v>
      </c>
    </row>
    <row r="61" spans="1:10">
      <c r="B61" s="1442" t="s">
        <v>794</v>
      </c>
      <c r="C61" s="1417">
        <f>SUM(D61:J61)</f>
        <v>1</v>
      </c>
      <c r="D61" s="1411"/>
      <c r="E61" s="1411"/>
      <c r="F61" s="1411"/>
      <c r="G61" s="1411"/>
      <c r="H61" s="1411"/>
      <c r="I61" s="1411">
        <v>0.3</v>
      </c>
      <c r="J61" s="1411">
        <v>0.7</v>
      </c>
    </row>
    <row r="62" spans="1:10">
      <c r="B62" s="1444"/>
      <c r="C62" s="1425"/>
      <c r="D62" s="1433"/>
      <c r="E62" s="1433"/>
      <c r="F62" s="1433"/>
      <c r="G62" s="1433"/>
    </row>
    <row r="63" spans="1:10">
      <c r="C63" s="1440"/>
      <c r="D63" s="1440"/>
      <c r="E63" s="1440"/>
      <c r="F63" s="1440"/>
      <c r="G63" s="1440"/>
    </row>
    <row r="64" spans="1:10" s="1407" customFormat="1">
      <c r="A64" s="1406">
        <v>3</v>
      </c>
      <c r="B64" s="1407" t="s">
        <v>1175</v>
      </c>
      <c r="C64" s="1407" t="str">
        <f>C59</f>
        <v>Total</v>
      </c>
      <c r="D64" s="1407">
        <f t="shared" ref="D64:J64" si="12">D59</f>
        <v>2013</v>
      </c>
      <c r="E64" s="1407">
        <f t="shared" si="12"/>
        <v>2014</v>
      </c>
      <c r="F64" s="1407">
        <f t="shared" si="12"/>
        <v>2015</v>
      </c>
      <c r="G64" s="1407">
        <f t="shared" si="12"/>
        <v>2016</v>
      </c>
      <c r="H64" s="1407">
        <f t="shared" si="12"/>
        <v>2017</v>
      </c>
      <c r="I64" s="1407">
        <f t="shared" si="12"/>
        <v>2018</v>
      </c>
      <c r="J64" s="1407">
        <f t="shared" si="12"/>
        <v>2019</v>
      </c>
    </row>
    <row r="65" spans="1:13">
      <c r="B65" s="1432"/>
      <c r="C65" s="1441">
        <f>SUM(D65:J65)</f>
        <v>6786000</v>
      </c>
      <c r="D65" s="1408">
        <f>D53*D66</f>
        <v>0</v>
      </c>
      <c r="E65" s="1408">
        <f>D53*$D$67+E53*$D$66</f>
        <v>0</v>
      </c>
      <c r="F65" s="1408">
        <f>E53*$D$67+F53*$D$66</f>
        <v>0</v>
      </c>
      <c r="G65" s="1408">
        <f>F53*$D$67+G53*$D$66</f>
        <v>0</v>
      </c>
      <c r="H65" s="1408">
        <f>G53*$D$67+H53*$D$66</f>
        <v>814320</v>
      </c>
      <c r="I65" s="1408">
        <f>H53*$D$67+I53*$D$66</f>
        <v>2510820</v>
      </c>
      <c r="J65" s="1422">
        <f>C60-SUM(D65:I65)</f>
        <v>3460860</v>
      </c>
    </row>
    <row r="66" spans="1:13">
      <c r="B66" s="1431" t="s">
        <v>797</v>
      </c>
      <c r="C66" s="1440" t="s">
        <v>798</v>
      </c>
      <c r="D66" s="1416">
        <v>0.3</v>
      </c>
      <c r="E66" s="1440"/>
      <c r="F66" s="1440"/>
      <c r="G66" s="1440"/>
    </row>
    <row r="67" spans="1:13">
      <c r="C67" s="1440" t="s">
        <v>799</v>
      </c>
      <c r="D67" s="1416">
        <v>0.7</v>
      </c>
      <c r="E67" s="1440"/>
      <c r="F67" s="1440"/>
      <c r="G67" s="1440"/>
    </row>
    <row r="68" spans="1:13">
      <c r="C68" s="1440" t="s">
        <v>800</v>
      </c>
      <c r="D68" s="1417">
        <f>1-SUM(D66:D67)</f>
        <v>0</v>
      </c>
      <c r="E68" s="1440"/>
      <c r="F68" s="1440"/>
      <c r="G68" s="1440"/>
    </row>
    <row r="69" spans="1:13">
      <c r="C69" s="1440"/>
      <c r="D69" s="1416"/>
      <c r="E69" s="1440"/>
      <c r="F69" s="1440"/>
      <c r="G69" s="1440"/>
    </row>
    <row r="70" spans="1:13">
      <c r="C70" s="1440"/>
      <c r="D70" s="1416"/>
      <c r="E70" s="1440"/>
      <c r="F70" s="1440"/>
      <c r="G70" s="1440"/>
    </row>
    <row r="71" spans="1:13" s="1407" customFormat="1">
      <c r="A71" s="1406">
        <v>4</v>
      </c>
      <c r="B71" s="1407" t="s">
        <v>1462</v>
      </c>
      <c r="C71" s="1427" t="str">
        <f>C64</f>
        <v>Total</v>
      </c>
      <c r="D71" s="1407">
        <f t="shared" ref="D71:J71" si="13">D64</f>
        <v>2013</v>
      </c>
      <c r="E71" s="1407">
        <f t="shared" si="13"/>
        <v>2014</v>
      </c>
      <c r="F71" s="1407">
        <f t="shared" si="13"/>
        <v>2015</v>
      </c>
      <c r="G71" s="1407">
        <f t="shared" si="13"/>
        <v>2016</v>
      </c>
      <c r="H71" s="1407">
        <f t="shared" si="13"/>
        <v>2017</v>
      </c>
      <c r="I71" s="1407">
        <f t="shared" si="13"/>
        <v>2018</v>
      </c>
      <c r="J71" s="1407">
        <f t="shared" si="13"/>
        <v>2019</v>
      </c>
    </row>
    <row r="72" spans="1:13">
      <c r="B72" s="1432" t="s">
        <v>1566</v>
      </c>
      <c r="C72" s="1441">
        <f>D43*D47</f>
        <v>3379045.2</v>
      </c>
      <c r="D72" s="1408">
        <f>$C$72*D73</f>
        <v>0</v>
      </c>
      <c r="E72" s="1408">
        <f t="shared" ref="E72:J72" si="14">$C$72*E73</f>
        <v>0</v>
      </c>
      <c r="F72" s="1408">
        <f t="shared" si="14"/>
        <v>0</v>
      </c>
      <c r="G72" s="1408">
        <f t="shared" si="14"/>
        <v>337904.52</v>
      </c>
      <c r="H72" s="1408">
        <f t="shared" si="14"/>
        <v>1013713.56</v>
      </c>
      <c r="I72" s="1408">
        <f t="shared" si="14"/>
        <v>1013713.56</v>
      </c>
      <c r="J72" s="1408">
        <f t="shared" si="14"/>
        <v>1013713.56</v>
      </c>
    </row>
    <row r="73" spans="1:13">
      <c r="B73" s="1431" t="s">
        <v>1559</v>
      </c>
      <c r="C73" s="1436">
        <f>SUM(D73:J73)</f>
        <v>1</v>
      </c>
      <c r="D73" s="1416"/>
      <c r="E73" s="1416"/>
      <c r="F73" s="1416"/>
      <c r="G73" s="1416">
        <v>0.1</v>
      </c>
      <c r="H73" s="1416">
        <v>0.3</v>
      </c>
      <c r="I73" s="1416">
        <v>0.3</v>
      </c>
      <c r="J73" s="1416">
        <v>0.3</v>
      </c>
    </row>
    <row r="74" spans="1:13">
      <c r="C74" s="1433"/>
      <c r="D74" s="1425"/>
      <c r="E74" s="1425"/>
      <c r="F74" s="1424"/>
      <c r="G74" s="1424"/>
      <c r="H74" s="1435"/>
    </row>
    <row r="75" spans="1:13">
      <c r="C75" s="1433"/>
      <c r="D75" s="1424"/>
      <c r="E75" s="1424"/>
      <c r="F75" s="1424"/>
      <c r="G75" s="1424"/>
    </row>
    <row r="76" spans="1:13">
      <c r="A76" s="1406">
        <v>5</v>
      </c>
      <c r="B76" s="1407" t="s">
        <v>1466</v>
      </c>
      <c r="C76" s="1407" t="str">
        <f>C71</f>
        <v>Total</v>
      </c>
      <c r="D76" s="1407">
        <f t="shared" ref="D76:I76" si="15">D71</f>
        <v>2013</v>
      </c>
      <c r="E76" s="1407">
        <f t="shared" si="15"/>
        <v>2014</v>
      </c>
      <c r="F76" s="1407">
        <f t="shared" si="15"/>
        <v>2015</v>
      </c>
      <c r="G76" s="1407">
        <f t="shared" si="15"/>
        <v>2016</v>
      </c>
      <c r="H76" s="1407">
        <f t="shared" si="15"/>
        <v>2017</v>
      </c>
      <c r="I76" s="1407">
        <f t="shared" si="15"/>
        <v>2018</v>
      </c>
      <c r="J76" s="1407">
        <f>I76+1</f>
        <v>2019</v>
      </c>
      <c r="K76" s="1407"/>
      <c r="L76" s="1407"/>
      <c r="M76" s="1407"/>
    </row>
    <row r="77" spans="1:13">
      <c r="B77" s="1432" t="s">
        <v>1567</v>
      </c>
      <c r="C77" s="1441">
        <f>($C$72+$D$7)*C61</f>
        <v>3580474.2</v>
      </c>
      <c r="D77" s="1441">
        <f t="shared" ref="D77:J77" si="16">($C$72+$D$7)*D61</f>
        <v>0</v>
      </c>
      <c r="E77" s="1441">
        <f t="shared" si="16"/>
        <v>0</v>
      </c>
      <c r="F77" s="1441">
        <f t="shared" si="16"/>
        <v>0</v>
      </c>
      <c r="G77" s="1441">
        <f t="shared" si="16"/>
        <v>0</v>
      </c>
      <c r="H77" s="1441">
        <f t="shared" si="16"/>
        <v>0</v>
      </c>
      <c r="I77" s="1441">
        <f t="shared" si="16"/>
        <v>1074142.26</v>
      </c>
      <c r="J77" s="1441">
        <f t="shared" si="16"/>
        <v>2506331.94</v>
      </c>
      <c r="K77" s="1440"/>
      <c r="L77" s="1440"/>
      <c r="M77" s="1440"/>
    </row>
    <row r="78" spans="1:13">
      <c r="B78" s="1431" t="s">
        <v>803</v>
      </c>
      <c r="C78" s="1440">
        <f>$D$6*C61</f>
        <v>1007145</v>
      </c>
      <c r="D78" s="1440">
        <f t="shared" ref="D78:J78" si="17">$D$6*D61</f>
        <v>0</v>
      </c>
      <c r="E78" s="1440">
        <f t="shared" si="17"/>
        <v>0</v>
      </c>
      <c r="F78" s="1440">
        <f t="shared" si="17"/>
        <v>0</v>
      </c>
      <c r="G78" s="1440">
        <f t="shared" si="17"/>
        <v>0</v>
      </c>
      <c r="H78" s="1440">
        <f t="shared" si="17"/>
        <v>0</v>
      </c>
      <c r="I78" s="1440">
        <f t="shared" si="17"/>
        <v>302143.5</v>
      </c>
      <c r="J78" s="1440">
        <f t="shared" si="17"/>
        <v>705001.5</v>
      </c>
      <c r="K78" s="1440"/>
      <c r="L78" s="1440"/>
      <c r="M78" s="1440"/>
    </row>
    <row r="79" spans="1:13" s="1447" customFormat="1">
      <c r="A79" s="1459"/>
      <c r="B79" s="1447" t="s">
        <v>804</v>
      </c>
      <c r="C79" s="1458" t="e">
        <f>SUMIF(D118:M118,"&lt;="&amp;D10,D124:M124)</f>
        <v>#REF!</v>
      </c>
      <c r="D79" s="1410" t="e">
        <f t="shared" ref="D79:J79" si="18">$C$79*D61</f>
        <v>#REF!</v>
      </c>
      <c r="E79" s="1410" t="e">
        <f t="shared" si="18"/>
        <v>#REF!</v>
      </c>
      <c r="F79" s="1410" t="e">
        <f t="shared" si="18"/>
        <v>#REF!</v>
      </c>
      <c r="G79" s="1410" t="e">
        <f t="shared" si="18"/>
        <v>#REF!</v>
      </c>
      <c r="H79" s="1410" t="e">
        <f t="shared" si="18"/>
        <v>#REF!</v>
      </c>
      <c r="I79" s="1410" t="e">
        <f t="shared" si="18"/>
        <v>#REF!</v>
      </c>
      <c r="J79" s="1410" t="e">
        <f t="shared" si="18"/>
        <v>#REF!</v>
      </c>
      <c r="K79" s="1410"/>
      <c r="L79" s="1410"/>
      <c r="M79" s="1410"/>
    </row>
    <row r="80" spans="1:13" s="1447" customFormat="1">
      <c r="A80" s="1459"/>
      <c r="B80" s="1447" t="s">
        <v>805</v>
      </c>
      <c r="C80" s="1410">
        <f>SUM(D80:M80)</f>
        <v>0</v>
      </c>
      <c r="D80" s="1410">
        <f t="shared" ref="D80:J80" si="19">IF(D76&gt;$D$10,D124,0)</f>
        <v>0</v>
      </c>
      <c r="E80" s="1410">
        <f t="shared" si="19"/>
        <v>0</v>
      </c>
      <c r="F80" s="1410">
        <f t="shared" si="19"/>
        <v>0</v>
      </c>
      <c r="G80" s="1410">
        <f t="shared" si="19"/>
        <v>0</v>
      </c>
      <c r="H80" s="1410">
        <f t="shared" si="19"/>
        <v>0</v>
      </c>
      <c r="I80" s="1410">
        <f t="shared" si="19"/>
        <v>0</v>
      </c>
      <c r="J80" s="1410">
        <f t="shared" si="19"/>
        <v>0</v>
      </c>
      <c r="K80" s="1410"/>
      <c r="L80" s="1410"/>
      <c r="M80" s="1410"/>
    </row>
    <row r="81" spans="1:13">
      <c r="B81" s="1431" t="s">
        <v>656</v>
      </c>
      <c r="C81" s="1440" t="e">
        <f>$D$49*C60</f>
        <v>#REF!</v>
      </c>
      <c r="D81" s="1440" t="e">
        <f t="shared" ref="D81:J81" si="20">$D$49*D60</f>
        <v>#REF!</v>
      </c>
      <c r="E81" s="1440" t="e">
        <f t="shared" si="20"/>
        <v>#REF!</v>
      </c>
      <c r="F81" s="1440" t="e">
        <f t="shared" si="20"/>
        <v>#REF!</v>
      </c>
      <c r="G81" s="1440" t="e">
        <f t="shared" si="20"/>
        <v>#REF!</v>
      </c>
      <c r="H81" s="1440" t="e">
        <f t="shared" si="20"/>
        <v>#REF!</v>
      </c>
      <c r="I81" s="1440" t="e">
        <f t="shared" si="20"/>
        <v>#REF!</v>
      </c>
      <c r="J81" s="1440" t="e">
        <f t="shared" si="20"/>
        <v>#REF!</v>
      </c>
      <c r="K81" s="1440"/>
      <c r="L81" s="1440"/>
      <c r="M81" s="1440"/>
    </row>
    <row r="82" spans="1:13">
      <c r="C82" s="1440"/>
      <c r="D82" s="1440"/>
      <c r="E82" s="1440"/>
      <c r="F82" s="1440"/>
      <c r="G82" s="1440"/>
    </row>
    <row r="84" spans="1:13" s="1407" customFormat="1">
      <c r="A84" s="1406">
        <v>6</v>
      </c>
      <c r="B84" s="1407" t="s">
        <v>878</v>
      </c>
      <c r="C84" s="1407" t="str">
        <f>C76</f>
        <v>Total</v>
      </c>
      <c r="D84" s="1407">
        <f t="shared" ref="D84:J84" si="21">D76</f>
        <v>2013</v>
      </c>
      <c r="E84" s="1407">
        <f t="shared" si="21"/>
        <v>2014</v>
      </c>
      <c r="F84" s="1407">
        <f t="shared" si="21"/>
        <v>2015</v>
      </c>
      <c r="G84" s="1407">
        <f t="shared" si="21"/>
        <v>2016</v>
      </c>
      <c r="H84" s="1407">
        <f t="shared" si="21"/>
        <v>2017</v>
      </c>
      <c r="I84" s="1407">
        <f t="shared" si="21"/>
        <v>2018</v>
      </c>
      <c r="J84" s="1407">
        <f t="shared" si="21"/>
        <v>2019</v>
      </c>
    </row>
    <row r="85" spans="1:13">
      <c r="B85" s="1432" t="s">
        <v>26</v>
      </c>
      <c r="C85" s="1441">
        <f t="shared" ref="C85:J85" si="22">C60</f>
        <v>6786000</v>
      </c>
      <c r="D85" s="1441">
        <f t="shared" si="22"/>
        <v>0</v>
      </c>
      <c r="E85" s="1441">
        <f t="shared" si="22"/>
        <v>0</v>
      </c>
      <c r="F85" s="1441">
        <f t="shared" si="22"/>
        <v>0</v>
      </c>
      <c r="G85" s="1441">
        <f t="shared" si="22"/>
        <v>0</v>
      </c>
      <c r="H85" s="1441">
        <f t="shared" si="22"/>
        <v>0</v>
      </c>
      <c r="I85" s="1441">
        <f t="shared" si="22"/>
        <v>2035800</v>
      </c>
      <c r="J85" s="1441">
        <f t="shared" si="22"/>
        <v>4750200</v>
      </c>
      <c r="K85" s="1440"/>
      <c r="L85" s="1440"/>
      <c r="M85" s="1440"/>
    </row>
    <row r="86" spans="1:13">
      <c r="B86" s="1431" t="s">
        <v>432</v>
      </c>
      <c r="C86" s="1440" t="e">
        <f>SUM(C77:C79)</f>
        <v>#REF!</v>
      </c>
      <c r="D86" s="1440" t="e">
        <f>SUM(D77:D79)</f>
        <v>#REF!</v>
      </c>
      <c r="E86" s="1440" t="e">
        <f t="shared" ref="E86:J86" si="23">SUM(E77:E79)</f>
        <v>#REF!</v>
      </c>
      <c r="F86" s="1440" t="e">
        <f t="shared" si="23"/>
        <v>#REF!</v>
      </c>
      <c r="G86" s="1440" t="e">
        <f t="shared" si="23"/>
        <v>#REF!</v>
      </c>
      <c r="H86" s="1440" t="e">
        <f t="shared" si="23"/>
        <v>#REF!</v>
      </c>
      <c r="I86" s="1440" t="e">
        <f t="shared" si="23"/>
        <v>#REF!</v>
      </c>
      <c r="J86" s="1440" t="e">
        <f t="shared" si="23"/>
        <v>#REF!</v>
      </c>
      <c r="K86" s="1440"/>
      <c r="L86" s="1440"/>
      <c r="M86" s="1440"/>
    </row>
    <row r="87" spans="1:13">
      <c r="B87" s="1431" t="s">
        <v>656</v>
      </c>
      <c r="C87" s="1440" t="e">
        <f>C81</f>
        <v>#REF!</v>
      </c>
      <c r="D87" s="1440" t="e">
        <f>D81</f>
        <v>#REF!</v>
      </c>
      <c r="E87" s="1440" t="e">
        <f t="shared" ref="E87:J87" si="24">E81</f>
        <v>#REF!</v>
      </c>
      <c r="F87" s="1440" t="e">
        <f t="shared" si="24"/>
        <v>#REF!</v>
      </c>
      <c r="G87" s="1440" t="e">
        <f t="shared" si="24"/>
        <v>#REF!</v>
      </c>
      <c r="H87" s="1440" t="e">
        <f t="shared" si="24"/>
        <v>#REF!</v>
      </c>
      <c r="I87" s="1440" t="e">
        <f t="shared" si="24"/>
        <v>#REF!</v>
      </c>
      <c r="J87" s="1440" t="e">
        <f t="shared" si="24"/>
        <v>#REF!</v>
      </c>
      <c r="K87" s="1440"/>
      <c r="L87" s="1440"/>
      <c r="M87" s="1440"/>
    </row>
    <row r="88" spans="1:13">
      <c r="B88" s="1431" t="s">
        <v>805</v>
      </c>
      <c r="C88" s="1410">
        <f>C80</f>
        <v>0</v>
      </c>
      <c r="D88" s="1440">
        <f>D80</f>
        <v>0</v>
      </c>
      <c r="E88" s="1440">
        <f t="shared" ref="E88:J88" si="25">E80</f>
        <v>0</v>
      </c>
      <c r="F88" s="1440">
        <f t="shared" si="25"/>
        <v>0</v>
      </c>
      <c r="G88" s="1440">
        <f t="shared" si="25"/>
        <v>0</v>
      </c>
      <c r="H88" s="1440">
        <f t="shared" si="25"/>
        <v>0</v>
      </c>
      <c r="I88" s="1440">
        <f t="shared" si="25"/>
        <v>0</v>
      </c>
      <c r="J88" s="1440">
        <f t="shared" si="25"/>
        <v>0</v>
      </c>
      <c r="K88" s="1440"/>
      <c r="L88" s="1440"/>
      <c r="M88" s="1440"/>
    </row>
    <row r="89" spans="1:13">
      <c r="B89" s="1431" t="s">
        <v>822</v>
      </c>
      <c r="C89" s="1440" t="e">
        <f>C85-SUM(C86:C88)</f>
        <v>#REF!</v>
      </c>
      <c r="D89" s="1440" t="e">
        <f>D85-SUM(D86:D88)</f>
        <v>#REF!</v>
      </c>
      <c r="E89" s="1440" t="e">
        <f t="shared" ref="E89:J89" si="26">E85-SUM(E86:E88)</f>
        <v>#REF!</v>
      </c>
      <c r="F89" s="1440" t="e">
        <f t="shared" si="26"/>
        <v>#REF!</v>
      </c>
      <c r="G89" s="1440" t="e">
        <f t="shared" si="26"/>
        <v>#REF!</v>
      </c>
      <c r="H89" s="1440" t="e">
        <f t="shared" si="26"/>
        <v>#REF!</v>
      </c>
      <c r="I89" s="1440" t="e">
        <f t="shared" si="26"/>
        <v>#REF!</v>
      </c>
      <c r="J89" s="1440" t="e">
        <f t="shared" si="26"/>
        <v>#REF!</v>
      </c>
      <c r="K89" s="1440"/>
      <c r="L89" s="1440"/>
      <c r="M89" s="1440"/>
    </row>
    <row r="90" spans="1:13">
      <c r="B90" s="1431" t="s">
        <v>290</v>
      </c>
      <c r="C90" s="1440" t="e">
        <f>SUM(D90:M90)</f>
        <v>#REF!</v>
      </c>
      <c r="D90" s="1410" t="e">
        <f>D89*D21</f>
        <v>#REF!</v>
      </c>
      <c r="E90" s="1410" t="e">
        <f t="shared" ref="E90:J90" si="27">E89*E21</f>
        <v>#REF!</v>
      </c>
      <c r="F90" s="1410" t="e">
        <f t="shared" si="27"/>
        <v>#REF!</v>
      </c>
      <c r="G90" s="1410" t="e">
        <f t="shared" si="27"/>
        <v>#REF!</v>
      </c>
      <c r="H90" s="1410" t="e">
        <f t="shared" si="27"/>
        <v>#REF!</v>
      </c>
      <c r="I90" s="1410" t="e">
        <f t="shared" si="27"/>
        <v>#REF!</v>
      </c>
      <c r="J90" s="1410" t="e">
        <f t="shared" si="27"/>
        <v>#REF!</v>
      </c>
      <c r="K90" s="1440"/>
      <c r="L90" s="1440"/>
      <c r="M90" s="1440"/>
    </row>
    <row r="91" spans="1:13">
      <c r="B91" s="1431" t="s">
        <v>661</v>
      </c>
      <c r="C91" s="1440" t="e">
        <f>SUM(D91:M91)</f>
        <v>#REF!</v>
      </c>
      <c r="D91" s="1440" t="e">
        <f>D89-D90</f>
        <v>#REF!</v>
      </c>
      <c r="E91" s="1440" t="e">
        <f t="shared" ref="E91:J91" si="28">E89-E90</f>
        <v>#REF!</v>
      </c>
      <c r="F91" s="1440" t="e">
        <f t="shared" si="28"/>
        <v>#REF!</v>
      </c>
      <c r="G91" s="1440" t="e">
        <f t="shared" si="28"/>
        <v>#REF!</v>
      </c>
      <c r="H91" s="1440" t="e">
        <f t="shared" si="28"/>
        <v>#REF!</v>
      </c>
      <c r="I91" s="1440" t="e">
        <f t="shared" si="28"/>
        <v>#REF!</v>
      </c>
      <c r="J91" s="1440" t="e">
        <f t="shared" si="28"/>
        <v>#REF!</v>
      </c>
      <c r="K91" s="1440"/>
      <c r="L91" s="1440"/>
      <c r="M91" s="1440"/>
    </row>
    <row r="92" spans="1:13">
      <c r="B92" s="1428" t="s">
        <v>197</v>
      </c>
      <c r="C92" s="1429" t="e">
        <f>IF(C85&lt;&gt;0,1-C86/C85,"")</f>
        <v>#REF!</v>
      </c>
      <c r="D92" s="1429" t="str">
        <f t="shared" ref="D92:J92" si="29">IF(D85&lt;&gt;0,1-D86/D85,"")</f>
        <v/>
      </c>
      <c r="E92" s="1429" t="str">
        <f t="shared" si="29"/>
        <v/>
      </c>
      <c r="F92" s="1429" t="str">
        <f t="shared" si="29"/>
        <v/>
      </c>
      <c r="G92" s="1429" t="str">
        <f t="shared" si="29"/>
        <v/>
      </c>
      <c r="H92" s="1429" t="str">
        <f t="shared" si="29"/>
        <v/>
      </c>
      <c r="I92" s="1429" t="e">
        <f t="shared" si="29"/>
        <v>#REF!</v>
      </c>
      <c r="J92" s="1429" t="e">
        <f t="shared" si="29"/>
        <v>#REF!</v>
      </c>
      <c r="K92" s="1429"/>
      <c r="L92" s="1429"/>
      <c r="M92" s="1429"/>
    </row>
    <row r="93" spans="1:13">
      <c r="B93" s="1428" t="s">
        <v>1568</v>
      </c>
      <c r="C93" s="1429" t="e">
        <f>IF(C85&lt;&gt;0,C89/C85,"")</f>
        <v>#REF!</v>
      </c>
      <c r="D93" s="1429" t="str">
        <f t="shared" ref="D93:J93" si="30">IF(D85&lt;&gt;0,D89/D85,"")</f>
        <v/>
      </c>
      <c r="E93" s="1429" t="str">
        <f t="shared" si="30"/>
        <v/>
      </c>
      <c r="F93" s="1429" t="str">
        <f t="shared" si="30"/>
        <v/>
      </c>
      <c r="G93" s="1429" t="str">
        <f t="shared" si="30"/>
        <v/>
      </c>
      <c r="H93" s="1429" t="str">
        <f t="shared" si="30"/>
        <v/>
      </c>
      <c r="I93" s="1429" t="e">
        <f t="shared" si="30"/>
        <v>#REF!</v>
      </c>
      <c r="J93" s="1429" t="e">
        <f t="shared" si="30"/>
        <v>#REF!</v>
      </c>
      <c r="K93" s="1429"/>
      <c r="L93" s="1429"/>
      <c r="M93" s="1429"/>
    </row>
    <row r="94" spans="1:13">
      <c r="B94" s="1428"/>
      <c r="C94" s="1429"/>
      <c r="D94" s="1429"/>
      <c r="E94" s="1429"/>
      <c r="F94" s="1429"/>
      <c r="G94" s="1429"/>
      <c r="H94" s="1429"/>
    </row>
    <row r="95" spans="1:13">
      <c r="D95" s="1440"/>
      <c r="E95" s="1440"/>
      <c r="F95" s="1440"/>
      <c r="G95" s="1440"/>
    </row>
    <row r="96" spans="1:13" s="1407" customFormat="1">
      <c r="A96" s="1406">
        <v>7</v>
      </c>
      <c r="B96" s="1407" t="s">
        <v>1589</v>
      </c>
      <c r="C96" s="1427" t="s">
        <v>642</v>
      </c>
      <c r="D96" s="1407">
        <f t="shared" ref="D96:J96" si="31">D84</f>
        <v>2013</v>
      </c>
      <c r="E96" s="1407">
        <f t="shared" si="31"/>
        <v>2014</v>
      </c>
      <c r="F96" s="1407">
        <f t="shared" si="31"/>
        <v>2015</v>
      </c>
      <c r="G96" s="1407">
        <f t="shared" si="31"/>
        <v>2016</v>
      </c>
      <c r="H96" s="1407">
        <f t="shared" si="31"/>
        <v>2017</v>
      </c>
      <c r="I96" s="1407">
        <f t="shared" si="31"/>
        <v>2018</v>
      </c>
      <c r="J96" s="1407">
        <f t="shared" si="31"/>
        <v>2019</v>
      </c>
    </row>
    <row r="97" spans="1:17">
      <c r="B97" s="1419" t="s">
        <v>850</v>
      </c>
      <c r="C97" s="1453">
        <f>C98+C99+C100</f>
        <v>8163457.7599999998</v>
      </c>
      <c r="D97" s="1453">
        <f t="shared" ref="D97:J97" si="32">D98+D99+D100</f>
        <v>0</v>
      </c>
      <c r="E97" s="1453">
        <f t="shared" si="32"/>
        <v>0</v>
      </c>
      <c r="F97" s="1453">
        <f t="shared" si="32"/>
        <v>0</v>
      </c>
      <c r="G97" s="1453">
        <f t="shared" si="32"/>
        <v>689314.88</v>
      </c>
      <c r="H97" s="1453">
        <f t="shared" si="32"/>
        <v>1227205.7280000001</v>
      </c>
      <c r="I97" s="1453">
        <f t="shared" si="32"/>
        <v>2786077.1519999998</v>
      </c>
      <c r="J97" s="1453">
        <f t="shared" si="32"/>
        <v>3460860</v>
      </c>
      <c r="K97" s="1427"/>
      <c r="L97" s="1427"/>
      <c r="M97" s="1427"/>
    </row>
    <row r="98" spans="1:17">
      <c r="A98" s="1444"/>
      <c r="B98" s="1431" t="s">
        <v>26</v>
      </c>
      <c r="C98" s="1440">
        <f>C65</f>
        <v>6786000</v>
      </c>
      <c r="D98" s="1440">
        <f t="shared" ref="D98:J98" si="33">D65</f>
        <v>0</v>
      </c>
      <c r="E98" s="1440">
        <f t="shared" si="33"/>
        <v>0</v>
      </c>
      <c r="F98" s="1440">
        <f t="shared" si="33"/>
        <v>0</v>
      </c>
      <c r="G98" s="1440">
        <f t="shared" si="33"/>
        <v>0</v>
      </c>
      <c r="H98" s="1440">
        <f t="shared" si="33"/>
        <v>814320</v>
      </c>
      <c r="I98" s="1440">
        <f t="shared" si="33"/>
        <v>2510820</v>
      </c>
      <c r="J98" s="1440">
        <f t="shared" si="33"/>
        <v>3460860</v>
      </c>
      <c r="K98" s="1440"/>
      <c r="L98" s="1440"/>
      <c r="M98" s="1440"/>
    </row>
    <row r="99" spans="1:17">
      <c r="A99" s="1444"/>
      <c r="B99" s="1431" t="s">
        <v>756</v>
      </c>
      <c r="C99" s="1440">
        <f>SUM(D99:J99)</f>
        <v>1172</v>
      </c>
      <c r="D99" s="1440"/>
      <c r="E99" s="1440"/>
      <c r="F99" s="1440"/>
      <c r="G99" s="1440">
        <f>Equity!J20</f>
        <v>1172</v>
      </c>
      <c r="H99" s="1440"/>
      <c r="I99" s="1440"/>
      <c r="J99" s="1440"/>
      <c r="K99" s="1440"/>
      <c r="L99" s="1440"/>
      <c r="M99" s="1440"/>
    </row>
    <row r="100" spans="1:17">
      <c r="A100" s="1444"/>
      <c r="B100" s="1431" t="s">
        <v>759</v>
      </c>
      <c r="C100" s="1440">
        <f>C121</f>
        <v>1376285.76</v>
      </c>
      <c r="D100" s="1440">
        <f t="shared" ref="D100:J100" si="34">D121</f>
        <v>0</v>
      </c>
      <c r="E100" s="1440">
        <f t="shared" si="34"/>
        <v>0</v>
      </c>
      <c r="F100" s="1440">
        <f t="shared" si="34"/>
        <v>0</v>
      </c>
      <c r="G100" s="1440">
        <f t="shared" si="34"/>
        <v>688142.88</v>
      </c>
      <c r="H100" s="1440">
        <f t="shared" si="34"/>
        <v>412885.728</v>
      </c>
      <c r="I100" s="1440">
        <f t="shared" si="34"/>
        <v>275257.152</v>
      </c>
      <c r="J100" s="1440">
        <f t="shared" si="34"/>
        <v>0</v>
      </c>
      <c r="K100" s="1440"/>
      <c r="L100" s="1440"/>
      <c r="M100" s="1440"/>
    </row>
    <row r="101" spans="1:17">
      <c r="B101" s="1407"/>
      <c r="C101" s="1427"/>
      <c r="D101" s="1427"/>
      <c r="E101" s="1427"/>
      <c r="F101" s="1427"/>
      <c r="G101" s="1427"/>
      <c r="H101" s="1427"/>
      <c r="I101" s="1427"/>
      <c r="J101" s="1427"/>
      <c r="K101" s="1427"/>
      <c r="L101" s="1427"/>
      <c r="M101" s="1427"/>
    </row>
    <row r="102" spans="1:17">
      <c r="B102" s="1407" t="s">
        <v>851</v>
      </c>
      <c r="C102" s="1427" t="e">
        <f t="shared" ref="C102:J102" si="35">SUM(C103:C108)</f>
        <v>#REF!</v>
      </c>
      <c r="D102" s="1427" t="e">
        <f t="shared" si="35"/>
        <v>#REF!</v>
      </c>
      <c r="E102" s="1427" t="e">
        <f t="shared" si="35"/>
        <v>#REF!</v>
      </c>
      <c r="F102" s="1427" t="e">
        <f t="shared" si="35"/>
        <v>#REF!</v>
      </c>
      <c r="G102" s="1427" t="e">
        <f t="shared" si="35"/>
        <v>#REF!</v>
      </c>
      <c r="H102" s="1427" t="e">
        <f t="shared" si="35"/>
        <v>#REF!</v>
      </c>
      <c r="I102" s="1427" t="e">
        <f t="shared" si="35"/>
        <v>#REF!</v>
      </c>
      <c r="J102" s="1427" t="e">
        <f t="shared" si="35"/>
        <v>#REF!</v>
      </c>
      <c r="K102" s="1427"/>
      <c r="L102" s="1427"/>
      <c r="M102" s="1427"/>
      <c r="N102" s="1440"/>
      <c r="O102" s="1440"/>
      <c r="P102" s="1440"/>
      <c r="Q102" s="1440"/>
    </row>
    <row r="103" spans="1:17">
      <c r="B103" s="1431" t="s">
        <v>852</v>
      </c>
      <c r="C103" s="1440">
        <f t="shared" ref="C103:J103" si="36">C36</f>
        <v>1007145</v>
      </c>
      <c r="D103" s="1440">
        <f t="shared" si="36"/>
        <v>0</v>
      </c>
      <c r="E103" s="1440">
        <f t="shared" si="36"/>
        <v>0</v>
      </c>
      <c r="F103" s="1440">
        <f t="shared" si="36"/>
        <v>0</v>
      </c>
      <c r="G103" s="1440">
        <f t="shared" si="36"/>
        <v>1007145</v>
      </c>
      <c r="H103" s="1440">
        <f t="shared" si="36"/>
        <v>0</v>
      </c>
      <c r="I103" s="1440">
        <f t="shared" si="36"/>
        <v>0</v>
      </c>
      <c r="J103" s="1440">
        <f t="shared" si="36"/>
        <v>0</v>
      </c>
      <c r="K103" s="1440"/>
      <c r="L103" s="1440"/>
      <c r="M103" s="1440"/>
    </row>
    <row r="104" spans="1:17">
      <c r="B104" s="1431" t="s">
        <v>1569</v>
      </c>
      <c r="C104" s="1440">
        <f t="shared" ref="C104:J104" si="37">C38</f>
        <v>201429</v>
      </c>
      <c r="D104" s="1440">
        <f t="shared" si="37"/>
        <v>0</v>
      </c>
      <c r="E104" s="1440">
        <f t="shared" si="37"/>
        <v>0</v>
      </c>
      <c r="F104" s="1440">
        <f t="shared" si="37"/>
        <v>0</v>
      </c>
      <c r="G104" s="1440">
        <f t="shared" si="37"/>
        <v>201429</v>
      </c>
      <c r="H104" s="1440">
        <f t="shared" si="37"/>
        <v>0</v>
      </c>
      <c r="I104" s="1440">
        <f t="shared" si="37"/>
        <v>0</v>
      </c>
      <c r="J104" s="1440">
        <f t="shared" si="37"/>
        <v>0</v>
      </c>
      <c r="K104" s="1440"/>
      <c r="L104" s="1440"/>
      <c r="M104" s="1440"/>
    </row>
    <row r="105" spans="1:17">
      <c r="B105" s="1431" t="s">
        <v>788</v>
      </c>
      <c r="C105" s="1440">
        <f t="shared" ref="C105:J105" si="38">C72</f>
        <v>3379045.2</v>
      </c>
      <c r="D105" s="1440">
        <f t="shared" si="38"/>
        <v>0</v>
      </c>
      <c r="E105" s="1440">
        <f t="shared" si="38"/>
        <v>0</v>
      </c>
      <c r="F105" s="1440">
        <f t="shared" si="38"/>
        <v>0</v>
      </c>
      <c r="G105" s="1440">
        <f t="shared" si="38"/>
        <v>337904.52</v>
      </c>
      <c r="H105" s="1440">
        <f t="shared" si="38"/>
        <v>1013713.56</v>
      </c>
      <c r="I105" s="1440">
        <f t="shared" si="38"/>
        <v>1013713.56</v>
      </c>
      <c r="J105" s="1440">
        <f t="shared" si="38"/>
        <v>1013713.56</v>
      </c>
      <c r="K105" s="1440"/>
      <c r="L105" s="1440"/>
      <c r="M105" s="1440"/>
    </row>
    <row r="106" spans="1:17">
      <c r="B106" s="1431" t="s">
        <v>656</v>
      </c>
      <c r="C106" s="1440" t="e">
        <f t="shared" ref="C106:J106" si="39">C81</f>
        <v>#REF!</v>
      </c>
      <c r="D106" s="1440" t="e">
        <f t="shared" si="39"/>
        <v>#REF!</v>
      </c>
      <c r="E106" s="1440" t="e">
        <f t="shared" si="39"/>
        <v>#REF!</v>
      </c>
      <c r="F106" s="1440" t="e">
        <f t="shared" si="39"/>
        <v>#REF!</v>
      </c>
      <c r="G106" s="1440" t="e">
        <f t="shared" si="39"/>
        <v>#REF!</v>
      </c>
      <c r="H106" s="1440" t="e">
        <f t="shared" si="39"/>
        <v>#REF!</v>
      </c>
      <c r="I106" s="1440" t="e">
        <f t="shared" si="39"/>
        <v>#REF!</v>
      </c>
      <c r="J106" s="1440" t="e">
        <f t="shared" si="39"/>
        <v>#REF!</v>
      </c>
      <c r="K106" s="1440"/>
      <c r="L106" s="1440"/>
      <c r="M106" s="1440"/>
      <c r="N106" s="1440"/>
      <c r="O106" s="1440"/>
    </row>
    <row r="107" spans="1:17">
      <c r="B107" s="1431" t="s">
        <v>1593</v>
      </c>
      <c r="C107" s="1440">
        <f>C123</f>
        <v>1376285.76</v>
      </c>
      <c r="D107" s="1440">
        <f t="shared" ref="D107:J107" si="40">D123</f>
        <v>0</v>
      </c>
      <c r="E107" s="1440">
        <f t="shared" si="40"/>
        <v>0</v>
      </c>
      <c r="F107" s="1440">
        <f t="shared" si="40"/>
        <v>0</v>
      </c>
      <c r="G107" s="1440">
        <f t="shared" si="40"/>
        <v>0</v>
      </c>
      <c r="H107" s="1440">
        <f t="shared" si="40"/>
        <v>458761.92</v>
      </c>
      <c r="I107" s="1440">
        <f t="shared" si="40"/>
        <v>458761.92</v>
      </c>
      <c r="J107" s="1440">
        <f t="shared" si="40"/>
        <v>458761.92</v>
      </c>
      <c r="K107" s="1440"/>
      <c r="L107" s="1440"/>
      <c r="M107" s="1440"/>
      <c r="N107" s="1440"/>
      <c r="O107" s="1440"/>
    </row>
    <row r="108" spans="1:17">
      <c r="B108" s="1431" t="s">
        <v>854</v>
      </c>
      <c r="C108" s="1440" t="e">
        <f t="shared" ref="C108:J108" si="41">C90</f>
        <v>#REF!</v>
      </c>
      <c r="D108" s="1440" t="e">
        <f t="shared" si="41"/>
        <v>#REF!</v>
      </c>
      <c r="E108" s="1440" t="e">
        <f t="shared" si="41"/>
        <v>#REF!</v>
      </c>
      <c r="F108" s="1440" t="e">
        <f t="shared" si="41"/>
        <v>#REF!</v>
      </c>
      <c r="G108" s="1440" t="e">
        <f t="shared" si="41"/>
        <v>#REF!</v>
      </c>
      <c r="H108" s="1440" t="e">
        <f t="shared" si="41"/>
        <v>#REF!</v>
      </c>
      <c r="I108" s="1440" t="e">
        <f t="shared" si="41"/>
        <v>#REF!</v>
      </c>
      <c r="J108" s="1440" t="e">
        <f t="shared" si="41"/>
        <v>#REF!</v>
      </c>
      <c r="K108" s="1440"/>
      <c r="L108" s="1440"/>
      <c r="M108" s="1440"/>
    </row>
    <row r="109" spans="1:17">
      <c r="B109" s="1407" t="s">
        <v>855</v>
      </c>
      <c r="C109" s="1427" t="e">
        <f t="shared" ref="C109:J109" si="42">C97-C102</f>
        <v>#REF!</v>
      </c>
      <c r="D109" s="1454" t="e">
        <f t="shared" si="42"/>
        <v>#REF!</v>
      </c>
      <c r="E109" s="1427" t="e">
        <f t="shared" si="42"/>
        <v>#REF!</v>
      </c>
      <c r="F109" s="1427" t="e">
        <f t="shared" si="42"/>
        <v>#REF!</v>
      </c>
      <c r="G109" s="1427" t="e">
        <f t="shared" si="42"/>
        <v>#REF!</v>
      </c>
      <c r="H109" s="1427" t="e">
        <f t="shared" si="42"/>
        <v>#REF!</v>
      </c>
      <c r="I109" s="1427" t="e">
        <f t="shared" si="42"/>
        <v>#REF!</v>
      </c>
      <c r="J109" s="1427" t="e">
        <f t="shared" si="42"/>
        <v>#REF!</v>
      </c>
      <c r="K109" s="1427"/>
      <c r="L109" s="1427"/>
      <c r="M109" s="1427"/>
    </row>
    <row r="110" spans="1:17">
      <c r="B110" s="1431" t="s">
        <v>1570</v>
      </c>
      <c r="D110" s="1452">
        <f t="shared" ref="D110:J110" si="43">IF(D96&gt;$D$11,(1+D22)^(D96-$D$11),0)</f>
        <v>0</v>
      </c>
      <c r="E110" s="1452">
        <f t="shared" si="43"/>
        <v>0</v>
      </c>
      <c r="F110" s="1452">
        <f t="shared" si="43"/>
        <v>0</v>
      </c>
      <c r="G110" s="1452" t="e">
        <f t="shared" si="43"/>
        <v>#REF!</v>
      </c>
      <c r="H110" s="1452" t="e">
        <f t="shared" si="43"/>
        <v>#REF!</v>
      </c>
      <c r="I110" s="1452" t="e">
        <f t="shared" si="43"/>
        <v>#REF!</v>
      </c>
      <c r="J110" s="1452" t="e">
        <f t="shared" si="43"/>
        <v>#REF!</v>
      </c>
      <c r="K110" s="1452"/>
      <c r="L110" s="1452"/>
      <c r="M110" s="1452"/>
    </row>
    <row r="111" spans="1:17">
      <c r="B111" s="1431" t="s">
        <v>1452</v>
      </c>
      <c r="C111" s="1440" t="e">
        <f>SUMIF(D96:J96,"&gt;"&amp;D11,D111:J111)</f>
        <v>#REF!</v>
      </c>
      <c r="D111" s="1440" t="str">
        <f>IF(D110&lt;&gt;0,D109/D110,"")</f>
        <v/>
      </c>
      <c r="E111" s="1440" t="str">
        <f t="shared" ref="E111:J111" si="44">IF(E110&lt;&gt;0,E109/E110,"")</f>
        <v/>
      </c>
      <c r="F111" s="1440" t="str">
        <f t="shared" si="44"/>
        <v/>
      </c>
      <c r="G111" s="1440" t="e">
        <f t="shared" si="44"/>
        <v>#REF!</v>
      </c>
      <c r="H111" s="1440" t="e">
        <f t="shared" si="44"/>
        <v>#REF!</v>
      </c>
      <c r="I111" s="1440" t="e">
        <f t="shared" si="44"/>
        <v>#REF!</v>
      </c>
      <c r="J111" s="1440" t="e">
        <f t="shared" si="44"/>
        <v>#REF!</v>
      </c>
      <c r="K111" s="1440"/>
      <c r="L111" s="1440"/>
      <c r="M111" s="1440"/>
    </row>
    <row r="112" spans="1:17">
      <c r="B112" s="1407" t="s">
        <v>1590</v>
      </c>
      <c r="C112" s="1427" t="e">
        <f>C111*I5</f>
        <v>#REF!</v>
      </c>
    </row>
    <row r="113" spans="1:13">
      <c r="B113" s="1407"/>
      <c r="C113" s="1427"/>
    </row>
    <row r="114" spans="1:13">
      <c r="B114" s="1407" t="s">
        <v>1588</v>
      </c>
      <c r="C114" s="1427"/>
      <c r="D114" s="1407">
        <f t="shared" ref="D114:J114" si="45">D96</f>
        <v>2013</v>
      </c>
      <c r="E114" s="1407">
        <f t="shared" si="45"/>
        <v>2014</v>
      </c>
      <c r="F114" s="1407">
        <f t="shared" si="45"/>
        <v>2015</v>
      </c>
      <c r="G114" s="1407">
        <f t="shared" si="45"/>
        <v>2016</v>
      </c>
      <c r="H114" s="1407">
        <f t="shared" si="45"/>
        <v>2017</v>
      </c>
      <c r="I114" s="1407">
        <f t="shared" si="45"/>
        <v>2018</v>
      </c>
      <c r="J114" s="1407">
        <f t="shared" si="45"/>
        <v>2019</v>
      </c>
      <c r="K114" s="1407"/>
      <c r="L114" s="1407"/>
      <c r="M114" s="1407"/>
    </row>
    <row r="115" spans="1:13" s="1447" customFormat="1">
      <c r="A115" s="1459"/>
      <c r="B115" s="1460" t="e">
        <f>IRR(F115:J115)</f>
        <v>#VALUE!</v>
      </c>
      <c r="C115" s="1408"/>
      <c r="D115" s="1408" t="e">
        <f>D109</f>
        <v>#REF!</v>
      </c>
      <c r="E115" s="1408" t="e">
        <f t="shared" ref="E115:J115" si="46">E109</f>
        <v>#REF!</v>
      </c>
      <c r="F115" s="1408">
        <f>-G103</f>
        <v>-1007145</v>
      </c>
      <c r="G115" s="1408" t="e">
        <f>G109+G103</f>
        <v>#REF!</v>
      </c>
      <c r="H115" s="1408" t="e">
        <f t="shared" si="46"/>
        <v>#REF!</v>
      </c>
      <c r="I115" s="1408" t="e">
        <f t="shared" si="46"/>
        <v>#REF!</v>
      </c>
      <c r="J115" s="1408" t="e">
        <f t="shared" si="46"/>
        <v>#REF!</v>
      </c>
      <c r="K115" s="1410"/>
      <c r="L115" s="1410"/>
      <c r="M115" s="1410"/>
    </row>
    <row r="116" spans="1:13">
      <c r="B116" s="1443"/>
      <c r="C116" s="1440"/>
      <c r="D116" s="1440"/>
      <c r="E116" s="1440"/>
      <c r="F116" s="1440"/>
      <c r="G116" s="1440"/>
      <c r="H116" s="1440"/>
    </row>
    <row r="117" spans="1:13">
      <c r="B117" s="1407"/>
      <c r="C117" s="1427"/>
    </row>
    <row r="118" spans="1:13" s="1407" customFormat="1">
      <c r="A118" s="1406">
        <v>8</v>
      </c>
      <c r="B118" s="1407" t="s">
        <v>1592</v>
      </c>
      <c r="C118" s="1427"/>
      <c r="D118" s="1407">
        <f t="shared" ref="D118:I118" si="47">D96</f>
        <v>2013</v>
      </c>
      <c r="E118" s="1407">
        <f t="shared" si="47"/>
        <v>2014</v>
      </c>
      <c r="F118" s="1407">
        <f t="shared" si="47"/>
        <v>2015</v>
      </c>
      <c r="G118" s="1407">
        <f t="shared" si="47"/>
        <v>2016</v>
      </c>
      <c r="H118" s="1407">
        <f t="shared" si="47"/>
        <v>2017</v>
      </c>
      <c r="I118" s="1407">
        <f t="shared" si="47"/>
        <v>2018</v>
      </c>
      <c r="J118" s="1407">
        <f>I118+1</f>
        <v>2019</v>
      </c>
    </row>
    <row r="119" spans="1:13">
      <c r="B119" s="1432" t="s">
        <v>1571</v>
      </c>
      <c r="C119" s="1441">
        <f>D5*I8</f>
        <v>1376285.76</v>
      </c>
      <c r="D119" s="1432"/>
      <c r="E119" s="1432"/>
      <c r="F119" s="1432"/>
      <c r="G119" s="1432"/>
      <c r="H119" s="1432"/>
      <c r="I119" s="1432"/>
      <c r="J119" s="1456"/>
      <c r="K119" s="1412"/>
      <c r="L119" s="1412"/>
      <c r="M119" s="1412"/>
    </row>
    <row r="120" spans="1:13">
      <c r="B120" s="1431" t="s">
        <v>1572</v>
      </c>
      <c r="C120" s="1436">
        <f>SUM(D120:M120)</f>
        <v>1</v>
      </c>
      <c r="D120" s="1416"/>
      <c r="E120" s="1416"/>
      <c r="F120" s="1416">
        <v>0</v>
      </c>
      <c r="G120" s="1416">
        <v>0.5</v>
      </c>
      <c r="H120" s="1411">
        <v>0.3</v>
      </c>
      <c r="I120" s="1411">
        <v>0.2</v>
      </c>
    </row>
    <row r="121" spans="1:13">
      <c r="B121" s="1431" t="s">
        <v>1573</v>
      </c>
      <c r="C121" s="1440">
        <f>SUM(D121:M121)</f>
        <v>1376285.76</v>
      </c>
      <c r="D121" s="1410"/>
      <c r="E121" s="1410"/>
      <c r="F121" s="1410">
        <f>F120*$C$119</f>
        <v>0</v>
      </c>
      <c r="G121" s="1410">
        <f>G120*$C$119</f>
        <v>688142.88</v>
      </c>
      <c r="H121" s="1410">
        <f>H120*$C$119</f>
        <v>412885.728</v>
      </c>
      <c r="I121" s="1410">
        <f>I120*$C$119</f>
        <v>275257.152</v>
      </c>
      <c r="J121" s="1410">
        <f>J120*$C$119</f>
        <v>0</v>
      </c>
      <c r="K121" s="1410"/>
      <c r="L121" s="1410"/>
      <c r="M121" s="1410"/>
    </row>
    <row r="122" spans="1:13">
      <c r="B122" s="1431" t="s">
        <v>868</v>
      </c>
      <c r="C122" s="1440"/>
      <c r="D122" s="1410"/>
      <c r="E122" s="1440"/>
      <c r="F122" s="1440">
        <f>F121</f>
        <v>0</v>
      </c>
      <c r="G122" s="1440">
        <f>F125+G121</f>
        <v>688142.88</v>
      </c>
      <c r="H122" s="1440">
        <f>G125+H121</f>
        <v>1101028.608</v>
      </c>
      <c r="I122" s="1440">
        <f>H125+I121</f>
        <v>917523.84000000008</v>
      </c>
      <c r="J122" s="1440">
        <f>I125+J121</f>
        <v>458761.9200000001</v>
      </c>
      <c r="K122" s="1440"/>
      <c r="L122" s="1440"/>
      <c r="M122" s="1440"/>
    </row>
    <row r="123" spans="1:13">
      <c r="B123" s="1431" t="s">
        <v>1574</v>
      </c>
      <c r="C123" s="1440">
        <f>SUM(D123:M123)</f>
        <v>1376285.76</v>
      </c>
      <c r="D123" s="1423"/>
      <c r="E123" s="1410"/>
      <c r="F123" s="1423"/>
      <c r="G123" s="1423"/>
      <c r="H123" s="1423">
        <f>C119/3</f>
        <v>458761.92</v>
      </c>
      <c r="I123" s="1440">
        <f>H123</f>
        <v>458761.92</v>
      </c>
      <c r="J123" s="1440">
        <f>I123</f>
        <v>458761.92</v>
      </c>
      <c r="K123" s="1440"/>
      <c r="L123" s="1440"/>
      <c r="M123" s="1440"/>
    </row>
    <row r="124" spans="1:13">
      <c r="B124" s="1431" t="s">
        <v>869</v>
      </c>
      <c r="C124" s="1440" t="e">
        <f>SUM(D124:M124)</f>
        <v>#REF!</v>
      </c>
      <c r="D124" s="1440"/>
      <c r="E124" s="1440"/>
      <c r="F124" s="1440" t="e">
        <f>F122*F20</f>
        <v>#REF!</v>
      </c>
      <c r="G124" s="1440" t="e">
        <f>G122*G20</f>
        <v>#REF!</v>
      </c>
      <c r="H124" s="1440" t="e">
        <f>H122*H20</f>
        <v>#REF!</v>
      </c>
      <c r="I124" s="1440" t="e">
        <f>I122*I20</f>
        <v>#REF!</v>
      </c>
      <c r="J124" s="1440" t="e">
        <f>J122*J20</f>
        <v>#REF!</v>
      </c>
      <c r="K124" s="1440"/>
      <c r="L124" s="1440"/>
      <c r="M124" s="1440"/>
    </row>
    <row r="125" spans="1:13">
      <c r="B125" s="1431" t="s">
        <v>874</v>
      </c>
      <c r="C125" s="1440"/>
      <c r="D125" s="1410"/>
      <c r="E125" s="1440"/>
      <c r="F125" s="1440">
        <f>F122-F123</f>
        <v>0</v>
      </c>
      <c r="G125" s="1440">
        <f>G122-G123</f>
        <v>688142.88</v>
      </c>
      <c r="H125" s="1440">
        <f>H122-H123</f>
        <v>642266.68800000008</v>
      </c>
      <c r="I125" s="1440">
        <f>I122-I123</f>
        <v>458761.9200000001</v>
      </c>
      <c r="J125" s="1440">
        <f>J122-J123</f>
        <v>0</v>
      </c>
      <c r="K125" s="1440"/>
      <c r="L125" s="1440"/>
      <c r="M125" s="1440"/>
    </row>
    <row r="126" spans="1:13">
      <c r="C126" s="1440"/>
      <c r="D126" s="1412"/>
      <c r="E126" s="1440"/>
      <c r="F126" s="1440"/>
      <c r="G126" s="1440"/>
      <c r="H126" s="1440"/>
    </row>
    <row r="127" spans="1:13">
      <c r="C127" s="1440"/>
    </row>
    <row r="128" spans="1:13" s="1407" customFormat="1">
      <c r="A128" s="1406">
        <v>9</v>
      </c>
      <c r="B128" s="1407" t="s">
        <v>350</v>
      </c>
      <c r="C128" s="1427"/>
      <c r="D128" s="1407">
        <f t="shared" ref="D128:J128" si="48">D96</f>
        <v>2013</v>
      </c>
      <c r="E128" s="1407">
        <f t="shared" si="48"/>
        <v>2014</v>
      </c>
      <c r="F128" s="1407">
        <f t="shared" si="48"/>
        <v>2015</v>
      </c>
      <c r="G128" s="1407">
        <f t="shared" si="48"/>
        <v>2016</v>
      </c>
      <c r="H128" s="1407">
        <f t="shared" si="48"/>
        <v>2017</v>
      </c>
      <c r="I128" s="1407">
        <f t="shared" si="48"/>
        <v>2018</v>
      </c>
      <c r="J128" s="1407">
        <f t="shared" si="48"/>
        <v>2019</v>
      </c>
    </row>
    <row r="129" spans="1:13">
      <c r="B129" s="1432" t="s">
        <v>1575</v>
      </c>
      <c r="C129" s="1441"/>
      <c r="D129" s="1441">
        <f>D65</f>
        <v>0</v>
      </c>
      <c r="E129" s="1408">
        <f t="shared" ref="E129:J129" si="49">D129+E65</f>
        <v>0</v>
      </c>
      <c r="F129" s="1408">
        <f t="shared" si="49"/>
        <v>0</v>
      </c>
      <c r="G129" s="1408">
        <f t="shared" si="49"/>
        <v>0</v>
      </c>
      <c r="H129" s="1408">
        <f t="shared" si="49"/>
        <v>814320</v>
      </c>
      <c r="I129" s="1408">
        <f t="shared" si="49"/>
        <v>3325140</v>
      </c>
      <c r="J129" s="1408">
        <f t="shared" si="49"/>
        <v>6786000</v>
      </c>
      <c r="K129" s="1410"/>
      <c r="L129" s="1410"/>
      <c r="M129" s="1410"/>
    </row>
    <row r="130" spans="1:13">
      <c r="B130" s="1431" t="s">
        <v>1576</v>
      </c>
      <c r="C130" s="1440"/>
      <c r="D130" s="1440">
        <f>D60</f>
        <v>0</v>
      </c>
      <c r="E130" s="1440">
        <f t="shared" ref="E130:J130" si="50">D130+E60</f>
        <v>0</v>
      </c>
      <c r="F130" s="1440">
        <f t="shared" si="50"/>
        <v>0</v>
      </c>
      <c r="G130" s="1440">
        <f t="shared" si="50"/>
        <v>0</v>
      </c>
      <c r="H130" s="1440">
        <f t="shared" si="50"/>
        <v>0</v>
      </c>
      <c r="I130" s="1440">
        <f t="shared" si="50"/>
        <v>2035800</v>
      </c>
      <c r="J130" s="1440">
        <f t="shared" si="50"/>
        <v>6786000</v>
      </c>
      <c r="K130" s="1440"/>
      <c r="L130" s="1440"/>
      <c r="M130" s="1440"/>
    </row>
    <row r="131" spans="1:13">
      <c r="B131" s="1431" t="s">
        <v>1577</v>
      </c>
      <c r="C131" s="1440"/>
      <c r="D131" s="1440">
        <f>D53</f>
        <v>0</v>
      </c>
      <c r="E131" s="1440">
        <f t="shared" ref="E131:J131" si="51">D131+E53</f>
        <v>0</v>
      </c>
      <c r="F131" s="1440">
        <f t="shared" si="51"/>
        <v>0</v>
      </c>
      <c r="G131" s="1440">
        <f t="shared" si="51"/>
        <v>0</v>
      </c>
      <c r="H131" s="1440">
        <f t="shared" si="51"/>
        <v>2714400</v>
      </c>
      <c r="I131" s="1440">
        <f t="shared" si="51"/>
        <v>4750200</v>
      </c>
      <c r="J131" s="1440">
        <f t="shared" si="51"/>
        <v>6786000</v>
      </c>
      <c r="K131" s="1440"/>
      <c r="L131" s="1440"/>
      <c r="M131" s="1440"/>
    </row>
    <row r="132" spans="1:13">
      <c r="B132" s="1431" t="s">
        <v>1578</v>
      </c>
      <c r="C132" s="1440"/>
      <c r="D132" s="1436" t="str">
        <f>IF(D129&lt;&gt;0,D129/D131,"")</f>
        <v/>
      </c>
      <c r="E132" s="1436" t="str">
        <f t="shared" ref="E132:J132" si="52">IF(E129&lt;&gt;0,E129/E131,"")</f>
        <v/>
      </c>
      <c r="F132" s="1436" t="str">
        <f t="shared" si="52"/>
        <v/>
      </c>
      <c r="G132" s="1436" t="str">
        <f t="shared" si="52"/>
        <v/>
      </c>
      <c r="H132" s="1436">
        <f t="shared" si="52"/>
        <v>0.3</v>
      </c>
      <c r="I132" s="1436">
        <f t="shared" si="52"/>
        <v>0.7</v>
      </c>
      <c r="J132" s="1436">
        <f t="shared" si="52"/>
        <v>1</v>
      </c>
      <c r="K132" s="1436"/>
      <c r="L132" s="1436"/>
      <c r="M132" s="1436"/>
    </row>
    <row r="133" spans="1:13">
      <c r="B133" s="1431" t="s">
        <v>1579</v>
      </c>
      <c r="C133" s="1440"/>
      <c r="D133" s="1410">
        <f t="shared" ref="D133:J133" si="53">IF(D129&gt;D130,D129-D130,0)</f>
        <v>0</v>
      </c>
      <c r="E133" s="1410">
        <f t="shared" si="53"/>
        <v>0</v>
      </c>
      <c r="F133" s="1410">
        <f t="shared" si="53"/>
        <v>0</v>
      </c>
      <c r="G133" s="1410">
        <f t="shared" si="53"/>
        <v>0</v>
      </c>
      <c r="H133" s="1410">
        <f t="shared" si="53"/>
        <v>814320</v>
      </c>
      <c r="I133" s="1410">
        <f t="shared" si="53"/>
        <v>1289340</v>
      </c>
      <c r="J133" s="1410">
        <f t="shared" si="53"/>
        <v>0</v>
      </c>
      <c r="K133" s="1410"/>
      <c r="L133" s="1410"/>
      <c r="M133" s="1410"/>
    </row>
    <row r="134" spans="1:13" s="1407" customFormat="1">
      <c r="A134" s="1406"/>
      <c r="B134" s="1407" t="s">
        <v>1580</v>
      </c>
      <c r="C134" s="1427"/>
      <c r="D134" s="1451">
        <f t="shared" ref="D134:J134" si="54">IF(D130&gt;D129,D130-D129,0)</f>
        <v>0</v>
      </c>
      <c r="E134" s="1451">
        <f t="shared" si="54"/>
        <v>0</v>
      </c>
      <c r="F134" s="1451">
        <f t="shared" si="54"/>
        <v>0</v>
      </c>
      <c r="G134" s="1451">
        <f t="shared" si="54"/>
        <v>0</v>
      </c>
      <c r="H134" s="1451">
        <f t="shared" si="54"/>
        <v>0</v>
      </c>
      <c r="I134" s="1451">
        <f t="shared" si="54"/>
        <v>0</v>
      </c>
      <c r="J134" s="1451">
        <f t="shared" si="54"/>
        <v>0</v>
      </c>
      <c r="K134" s="1451"/>
      <c r="L134" s="1451"/>
      <c r="M134" s="1451"/>
    </row>
    <row r="135" spans="1:13">
      <c r="B135" s="1407"/>
      <c r="E135" s="1440"/>
      <c r="F135" s="1440"/>
      <c r="G135" s="1440"/>
      <c r="H135" s="1440"/>
      <c r="I135" s="1440"/>
      <c r="J135" s="1440"/>
      <c r="K135" s="1440"/>
      <c r="L135" s="1440"/>
      <c r="M135" s="1440"/>
    </row>
    <row r="136" spans="1:13">
      <c r="B136" s="1407" t="s">
        <v>1492</v>
      </c>
      <c r="E136" s="1440"/>
      <c r="F136" s="1440"/>
      <c r="G136" s="1440"/>
      <c r="H136" s="1440"/>
      <c r="I136" s="1440"/>
      <c r="J136" s="1440"/>
      <c r="K136" s="1440"/>
      <c r="L136" s="1440"/>
      <c r="M136" s="1440"/>
    </row>
    <row r="137" spans="1:13">
      <c r="B137" s="1431" t="s">
        <v>1581</v>
      </c>
      <c r="D137" s="1412">
        <v>0</v>
      </c>
      <c r="E137" s="1410" t="e">
        <f t="shared" ref="E137:J137" si="55">D141</f>
        <v>#REF!</v>
      </c>
      <c r="F137" s="1440" t="e">
        <f t="shared" si="55"/>
        <v>#REF!</v>
      </c>
      <c r="G137" s="1440" t="e">
        <f t="shared" si="55"/>
        <v>#REF!</v>
      </c>
      <c r="H137" s="1440" t="e">
        <f t="shared" si="55"/>
        <v>#REF!</v>
      </c>
      <c r="I137" s="1440" t="e">
        <f t="shared" si="55"/>
        <v>#REF!</v>
      </c>
      <c r="J137" s="1440" t="e">
        <f t="shared" si="55"/>
        <v>#REF!</v>
      </c>
      <c r="K137" s="1440"/>
      <c r="L137" s="1440"/>
      <c r="M137" s="1440"/>
    </row>
    <row r="138" spans="1:13">
      <c r="B138" s="1431" t="s">
        <v>994</v>
      </c>
      <c r="D138" s="1440">
        <f t="shared" ref="D138:J138" si="56">SUM(D103:D105)</f>
        <v>0</v>
      </c>
      <c r="E138" s="1440">
        <f t="shared" si="56"/>
        <v>0</v>
      </c>
      <c r="F138" s="1440">
        <f t="shared" si="56"/>
        <v>0</v>
      </c>
      <c r="G138" s="1440">
        <f t="shared" si="56"/>
        <v>1546478.52</v>
      </c>
      <c r="H138" s="1440">
        <f t="shared" si="56"/>
        <v>1013713.56</v>
      </c>
      <c r="I138" s="1440">
        <f t="shared" si="56"/>
        <v>1013713.56</v>
      </c>
      <c r="J138" s="1440">
        <f t="shared" si="56"/>
        <v>1013713.56</v>
      </c>
      <c r="K138" s="1440"/>
      <c r="L138" s="1440"/>
      <c r="M138" s="1440"/>
    </row>
    <row r="139" spans="1:13">
      <c r="B139" s="1431" t="s">
        <v>1582</v>
      </c>
      <c r="D139" s="1431" t="e">
        <f t="shared" ref="D139:J139" si="57">$C$79*D61</f>
        <v>#REF!</v>
      </c>
      <c r="E139" s="1431" t="e">
        <f t="shared" si="57"/>
        <v>#REF!</v>
      </c>
      <c r="F139" s="1440" t="e">
        <f t="shared" si="57"/>
        <v>#REF!</v>
      </c>
      <c r="G139" s="1440" t="e">
        <f t="shared" si="57"/>
        <v>#REF!</v>
      </c>
      <c r="H139" s="1440" t="e">
        <f t="shared" si="57"/>
        <v>#REF!</v>
      </c>
      <c r="I139" s="1440" t="e">
        <f t="shared" si="57"/>
        <v>#REF!</v>
      </c>
      <c r="J139" s="1440" t="e">
        <f t="shared" si="57"/>
        <v>#REF!</v>
      </c>
      <c r="K139" s="1440"/>
      <c r="L139" s="1440"/>
      <c r="M139" s="1440"/>
    </row>
    <row r="140" spans="1:13">
      <c r="B140" s="1431" t="s">
        <v>1583</v>
      </c>
      <c r="D140" s="1440" t="e">
        <f t="shared" ref="D140:J140" si="58">SUM(D77:D79)</f>
        <v>#REF!</v>
      </c>
      <c r="E140" s="1440" t="e">
        <f t="shared" si="58"/>
        <v>#REF!</v>
      </c>
      <c r="F140" s="1440" t="e">
        <f t="shared" si="58"/>
        <v>#REF!</v>
      </c>
      <c r="G140" s="1440" t="e">
        <f t="shared" si="58"/>
        <v>#REF!</v>
      </c>
      <c r="H140" s="1440" t="e">
        <f t="shared" si="58"/>
        <v>#REF!</v>
      </c>
      <c r="I140" s="1440" t="e">
        <f t="shared" si="58"/>
        <v>#REF!</v>
      </c>
      <c r="J140" s="1440" t="e">
        <f t="shared" si="58"/>
        <v>#REF!</v>
      </c>
      <c r="K140" s="1440"/>
      <c r="L140" s="1440"/>
      <c r="M140" s="1440"/>
    </row>
    <row r="141" spans="1:13">
      <c r="B141" s="1431" t="s">
        <v>874</v>
      </c>
      <c r="D141" s="1440" t="e">
        <f t="shared" ref="D141:J141" si="59">SUM(D137:D139)-D140</f>
        <v>#REF!</v>
      </c>
      <c r="E141" s="1440" t="e">
        <f t="shared" si="59"/>
        <v>#REF!</v>
      </c>
      <c r="F141" s="1440" t="e">
        <f t="shared" si="59"/>
        <v>#REF!</v>
      </c>
      <c r="G141" s="1440" t="e">
        <f t="shared" si="59"/>
        <v>#REF!</v>
      </c>
      <c r="H141" s="1440" t="e">
        <f t="shared" si="59"/>
        <v>#REF!</v>
      </c>
      <c r="I141" s="1440" t="e">
        <f t="shared" si="59"/>
        <v>#REF!</v>
      </c>
      <c r="J141" s="1440" t="e">
        <f t="shared" si="59"/>
        <v>#REF!</v>
      </c>
      <c r="K141" s="1440"/>
      <c r="L141" s="1440"/>
      <c r="M141" s="1440"/>
    </row>
    <row r="142" spans="1:13">
      <c r="A142" s="1430" t="s">
        <v>1584</v>
      </c>
      <c r="B142" s="1432"/>
      <c r="C142" s="1432"/>
      <c r="D142" s="1432"/>
      <c r="E142" s="1432"/>
      <c r="F142" s="1432"/>
      <c r="G142" s="1432"/>
      <c r="H142" s="1432"/>
      <c r="I142" s="1432"/>
      <c r="J142" s="1432"/>
    </row>
  </sheetData>
  <pageMargins left="0.7" right="0.7" top="0.75" bottom="0.75" header="0.3" footer="0.3"/>
  <pageSetup orientation="portrait" r:id="rId1"/>
  <legacyDrawing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2:N331"/>
  <sheetViews>
    <sheetView topLeftCell="A228" zoomScale="85" zoomScaleNormal="85" workbookViewId="0">
      <selection activeCell="C242" sqref="C242"/>
    </sheetView>
  </sheetViews>
  <sheetFormatPr defaultColWidth="9.140625" defaultRowHeight="12"/>
  <cols>
    <col min="2" max="2" width="24" customWidth="1"/>
    <col min="3" max="3" width="8.140625" customWidth="1"/>
    <col min="4" max="4" width="10" customWidth="1"/>
    <col min="5" max="11" width="8.140625" customWidth="1"/>
  </cols>
  <sheetData>
    <row r="2" spans="2:12" ht="12.75">
      <c r="B2" s="547"/>
      <c r="C2" s="548">
        <v>2014</v>
      </c>
      <c r="D2" s="548">
        <v>2015</v>
      </c>
      <c r="E2" s="548">
        <v>2016</v>
      </c>
      <c r="F2" s="548">
        <v>2017</v>
      </c>
      <c r="I2" s="548">
        <v>2014</v>
      </c>
      <c r="J2" s="548">
        <v>2015</v>
      </c>
      <c r="K2" s="548">
        <v>2016</v>
      </c>
    </row>
    <row r="3" spans="2:12" ht="12.75">
      <c r="B3" s="551"/>
      <c r="C3" s="550"/>
      <c r="D3" s="550"/>
      <c r="E3" s="550"/>
      <c r="F3" s="550"/>
      <c r="H3" t="s">
        <v>661</v>
      </c>
      <c r="I3" s="267" t="e">
        <f>('P&amp;L'!#REF!*1000)/1000</f>
        <v>#REF!</v>
      </c>
      <c r="J3" s="267">
        <f>('P&amp;L'!H30*1000)/1000</f>
        <v>0.33699999999999997</v>
      </c>
      <c r="K3" s="267">
        <f>('P&amp;L'!I30*1000)/1000</f>
        <v>0.50305051029700021</v>
      </c>
    </row>
    <row r="4" spans="2:12" ht="12.75">
      <c r="B4" s="551" t="s">
        <v>664</v>
      </c>
      <c r="C4" s="550" t="e">
        <f>(Rev_NPAT!J49)/1000</f>
        <v>#REF!</v>
      </c>
      <c r="D4" s="550" t="e">
        <f>(Rev_NPAT!K49)/1000</f>
        <v>#REF!</v>
      </c>
      <c r="E4" s="550" t="e">
        <f>(Rev_NPAT!L49)/1000</f>
        <v>#REF!</v>
      </c>
      <c r="F4" s="550" t="e">
        <f>(Rev_NPAT!M49)/1000</f>
        <v>#REF!</v>
      </c>
      <c r="I4" s="267"/>
      <c r="J4" s="267"/>
      <c r="K4" s="267"/>
      <c r="L4" s="267"/>
    </row>
    <row r="5" spans="2:12" ht="12.75">
      <c r="B5" s="551" t="s">
        <v>666</v>
      </c>
      <c r="C5" s="550" t="e">
        <f>(Rev_NPAT!J50)/1000</f>
        <v>#REF!</v>
      </c>
      <c r="D5" s="550" t="e">
        <f>(Rev_NPAT!K50)/1000</f>
        <v>#REF!</v>
      </c>
      <c r="E5" s="550" t="e">
        <f>(Rev_NPAT!L50)/1000</f>
        <v>#REF!</v>
      </c>
      <c r="F5" s="550" t="e">
        <f>(Rev_NPAT!M50)/1000</f>
        <v>#REF!</v>
      </c>
      <c r="H5">
        <v>1000</v>
      </c>
    </row>
    <row r="6" spans="2:12" ht="12.75">
      <c r="B6" s="551" t="s">
        <v>667</v>
      </c>
      <c r="C6" s="550" t="e">
        <f>(Rev_NPAT!J51)/1000</f>
        <v>#REF!</v>
      </c>
      <c r="D6" s="550" t="e">
        <f>(Rev_NPAT!K51)/1000</f>
        <v>#REF!</v>
      </c>
      <c r="E6" s="550" t="e">
        <f>(Rev_NPAT!L51)/1000</f>
        <v>#REF!</v>
      </c>
      <c r="F6" s="550" t="e">
        <f>(Rev_NPAT!M51)/1000</f>
        <v>#REF!</v>
      </c>
    </row>
    <row r="7" spans="2:12" ht="12.75">
      <c r="B7" s="551" t="s">
        <v>668</v>
      </c>
      <c r="C7" s="550" t="e">
        <f>(Rev_NPAT!J52)/1000</f>
        <v>#REF!</v>
      </c>
      <c r="D7" s="550" t="e">
        <f>(Rev_NPAT!K52)/1000</f>
        <v>#REF!</v>
      </c>
      <c r="E7" s="550" t="e">
        <f>(Rev_NPAT!L52)/1000</f>
        <v>#REF!</v>
      </c>
      <c r="F7" s="550" t="e">
        <f>(Rev_NPAT!M52)/1000</f>
        <v>#REF!</v>
      </c>
    </row>
    <row r="8" spans="2:12" ht="12.75">
      <c r="B8" s="551" t="s">
        <v>1180</v>
      </c>
      <c r="C8" s="550">
        <f>(Rev_NPAT!J54)/1000</f>
        <v>0</v>
      </c>
      <c r="D8" s="550">
        <f>(Rev_NPAT!K54)/1000</f>
        <v>0</v>
      </c>
      <c r="E8" s="550">
        <f>(Rev_NPAT!L54)/1000</f>
        <v>645.12</v>
      </c>
      <c r="F8" s="550">
        <f>(Rev_NPAT!M54)/1000</f>
        <v>161.28</v>
      </c>
    </row>
    <row r="9" spans="2:12" ht="12.75">
      <c r="B9" s="551" t="s">
        <v>1179</v>
      </c>
      <c r="C9" s="550">
        <f>(Rev_NPAT!J55)/1000</f>
        <v>0</v>
      </c>
      <c r="D9" s="550">
        <f>(Rev_NPAT!K55)/1000</f>
        <v>0</v>
      </c>
      <c r="E9" s="550">
        <f>(Rev_NPAT!L55)/1000</f>
        <v>723.16800000000001</v>
      </c>
      <c r="F9" s="550">
        <f>(Rev_NPAT!M55)/1000</f>
        <v>180.792</v>
      </c>
    </row>
    <row r="10" spans="2:12" ht="12.75">
      <c r="B10" s="552" t="s">
        <v>26</v>
      </c>
      <c r="C10" s="553" t="e">
        <f>SUM(C3:C7)</f>
        <v>#REF!</v>
      </c>
      <c r="D10" s="553" t="e">
        <f>SUM(D3:D7)</f>
        <v>#REF!</v>
      </c>
      <c r="E10" s="553" t="e">
        <f>SUM(E3:E7)</f>
        <v>#REF!</v>
      </c>
    </row>
    <row r="32" spans="3:14">
      <c r="C32">
        <v>2014</v>
      </c>
      <c r="D32">
        <v>2015</v>
      </c>
      <c r="E32">
        <v>2016</v>
      </c>
      <c r="L32">
        <v>2014</v>
      </c>
      <c r="M32">
        <v>2015</v>
      </c>
      <c r="N32">
        <v>2016</v>
      </c>
    </row>
    <row r="33" spans="2:14">
      <c r="B33" t="s">
        <v>1012</v>
      </c>
      <c r="C33" s="267">
        <v>764389.64731179446</v>
      </c>
      <c r="D33" s="267">
        <v>2140921.9910797188</v>
      </c>
      <c r="E33" s="267">
        <v>3444182.7727768989</v>
      </c>
      <c r="K33" s="8" t="s">
        <v>337</v>
      </c>
      <c r="L33" s="413">
        <v>2.8389544244546823</v>
      </c>
      <c r="M33" s="413">
        <v>2.0747409227873277</v>
      </c>
      <c r="N33" s="413">
        <v>2.2236618412293945</v>
      </c>
    </row>
    <row r="34" spans="2:14">
      <c r="K34" s="25" t="s">
        <v>336</v>
      </c>
      <c r="L34" s="413">
        <v>1.6577650506453796</v>
      </c>
      <c r="M34" s="413">
        <v>1.4802358479525344</v>
      </c>
      <c r="N34" s="413">
        <v>1.7241195112818435</v>
      </c>
    </row>
    <row r="35" spans="2:14">
      <c r="K35" s="25" t="s">
        <v>1013</v>
      </c>
      <c r="L35" s="413">
        <v>0.2</v>
      </c>
      <c r="M35" s="413">
        <v>0.4</v>
      </c>
      <c r="N35" s="413">
        <v>0.6</v>
      </c>
    </row>
    <row r="36" spans="2:14">
      <c r="K36" s="25"/>
      <c r="L36" s="413"/>
      <c r="M36" s="413"/>
      <c r="N36" s="413"/>
    </row>
    <row r="56" spans="2:11">
      <c r="C56">
        <v>2014</v>
      </c>
      <c r="D56">
        <v>2015</v>
      </c>
      <c r="E56">
        <v>2016</v>
      </c>
    </row>
    <row r="57" spans="2:11">
      <c r="B57" s="8" t="s">
        <v>206</v>
      </c>
      <c r="C57" s="337">
        <v>0.11028936536687292</v>
      </c>
      <c r="D57" s="337">
        <v>0.14069339999939456</v>
      </c>
      <c r="E57" s="337">
        <v>0.18218618672703563</v>
      </c>
    </row>
    <row r="58" spans="2:11">
      <c r="B58" s="15" t="s">
        <v>1014</v>
      </c>
      <c r="C58" s="337">
        <v>6.3729947172125934E-2</v>
      </c>
      <c r="D58" s="337">
        <v>6.7805658616847814E-2</v>
      </c>
      <c r="E58" s="337">
        <v>6.9739265441220763E-2</v>
      </c>
    </row>
    <row r="63" spans="2:11" ht="12.75">
      <c r="B63" s="552"/>
      <c r="C63" s="548">
        <v>2014</v>
      </c>
      <c r="D63" s="548">
        <v>2015</v>
      </c>
      <c r="E63" s="548">
        <v>2016</v>
      </c>
      <c r="F63" s="548">
        <v>2017</v>
      </c>
      <c r="G63" s="548">
        <v>2018</v>
      </c>
      <c r="H63" s="548">
        <v>2019</v>
      </c>
      <c r="K63" s="548">
        <v>2020</v>
      </c>
    </row>
    <row r="64" spans="2:11" ht="12.75">
      <c r="B64" s="551" t="s">
        <v>654</v>
      </c>
      <c r="C64" s="550">
        <v>101160.99821807617</v>
      </c>
      <c r="D64" s="550">
        <v>111277.0980398838</v>
      </c>
      <c r="E64" s="550">
        <v>122404.80784387217</v>
      </c>
      <c r="F64" s="550">
        <v>134645.28862825941</v>
      </c>
      <c r="G64" s="550">
        <v>148109.81749108536</v>
      </c>
      <c r="H64" s="550">
        <v>162920.79924019394</v>
      </c>
      <c r="K64" s="550">
        <v>179212.87916421334</v>
      </c>
    </row>
    <row r="65" spans="2:11" ht="12.75">
      <c r="B65" s="551" t="s">
        <v>662</v>
      </c>
      <c r="C65" s="550">
        <v>1000</v>
      </c>
      <c r="D65" s="550">
        <v>1200</v>
      </c>
      <c r="E65" s="550">
        <v>1440</v>
      </c>
      <c r="F65" s="550">
        <v>1728</v>
      </c>
      <c r="G65" s="550">
        <v>2073.6</v>
      </c>
      <c r="H65" s="550">
        <v>2488.3200000000002</v>
      </c>
      <c r="K65" s="550">
        <v>2985.9840000000004</v>
      </c>
    </row>
    <row r="66" spans="2:11" ht="12.75">
      <c r="B66" s="551" t="s">
        <v>664</v>
      </c>
      <c r="C66" s="549">
        <v>50239.075292324444</v>
      </c>
      <c r="D66" s="549">
        <v>21862.474402080006</v>
      </c>
      <c r="E66" s="549">
        <v>23783.842721473335</v>
      </c>
      <c r="F66" s="549">
        <v>0</v>
      </c>
      <c r="G66" s="549">
        <v>0</v>
      </c>
      <c r="H66" s="549">
        <v>0</v>
      </c>
      <c r="K66" s="549">
        <v>0</v>
      </c>
    </row>
    <row r="67" spans="2:11" ht="12.75">
      <c r="B67" s="551" t="s">
        <v>665</v>
      </c>
      <c r="C67" s="549">
        <v>12666.513492533253</v>
      </c>
      <c r="D67" s="549">
        <v>70782.085181184011</v>
      </c>
      <c r="E67" s="549">
        <v>106985.92991744004</v>
      </c>
      <c r="F67" s="549">
        <v>106589.36874944002</v>
      </c>
      <c r="G67" s="549">
        <v>106589.36874944002</v>
      </c>
      <c r="H67" s="549">
        <v>108575.28420224001</v>
      </c>
      <c r="K67" s="549">
        <v>85423.618385126421</v>
      </c>
    </row>
    <row r="68" spans="2:11" ht="12.75">
      <c r="B68" s="551" t="s">
        <v>666</v>
      </c>
      <c r="C68" s="549">
        <v>-21790.77145</v>
      </c>
      <c r="D68" s="549">
        <v>126477.17280812666</v>
      </c>
      <c r="E68" s="549">
        <v>58310.6510371279</v>
      </c>
      <c r="F68" s="549">
        <v>70534.337035927907</v>
      </c>
      <c r="G68" s="549">
        <v>-2735.6180742000015</v>
      </c>
      <c r="H68" s="549">
        <v>-1492.155313200001</v>
      </c>
      <c r="K68" s="549">
        <v>-497.38510440000061</v>
      </c>
    </row>
    <row r="69" spans="2:11" ht="12.75">
      <c r="B69" s="551" t="s">
        <v>667</v>
      </c>
      <c r="C69" s="549">
        <v>0</v>
      </c>
      <c r="D69" s="549">
        <v>0</v>
      </c>
      <c r="E69" s="549">
        <v>-51788.070320000006</v>
      </c>
      <c r="F69" s="549">
        <v>38501.524456000028</v>
      </c>
      <c r="G69" s="549">
        <v>45317.301400000033</v>
      </c>
      <c r="H69" s="549">
        <v>-3206.9655000000002</v>
      </c>
      <c r="K69" s="549">
        <v>0</v>
      </c>
    </row>
    <row r="70" spans="2:11" ht="12.75">
      <c r="B70" s="551" t="s">
        <v>668</v>
      </c>
      <c r="C70" s="549">
        <v>0</v>
      </c>
      <c r="D70" s="549">
        <v>29937.198393842144</v>
      </c>
      <c r="E70" s="549">
        <v>252466.60487104833</v>
      </c>
      <c r="F70" s="549">
        <v>15136.406885736214</v>
      </c>
      <c r="G70" s="549">
        <v>31574.135477736221</v>
      </c>
      <c r="H70" s="549">
        <v>-12810.5148825</v>
      </c>
      <c r="K70" s="549">
        <v>-8393.0959574999997</v>
      </c>
    </row>
    <row r="71" spans="2:11" ht="12.75">
      <c r="B71" s="552" t="s">
        <v>661</v>
      </c>
      <c r="C71" s="553">
        <v>143275.81555293384</v>
      </c>
      <c r="D71" s="553">
        <v>361536.02882511663</v>
      </c>
      <c r="E71" s="553">
        <v>513603.76607096172</v>
      </c>
      <c r="F71" s="553">
        <v>367134.9257553636</v>
      </c>
      <c r="G71" s="553">
        <v>330928.60504406167</v>
      </c>
      <c r="H71" s="553">
        <v>256474.76774673397</v>
      </c>
      <c r="K71" s="553">
        <v>258732.0004874398</v>
      </c>
    </row>
    <row r="77" spans="2:11">
      <c r="B77" t="s">
        <v>759</v>
      </c>
      <c r="C77" s="813">
        <v>69714</v>
      </c>
      <c r="D77" s="814">
        <f>C77/$C$79</f>
        <v>9.9188016737639911E-2</v>
      </c>
    </row>
    <row r="78" spans="2:11">
      <c r="B78" t="s">
        <v>756</v>
      </c>
      <c r="C78" s="813">
        <v>633133</v>
      </c>
      <c r="D78" s="814">
        <f>C78/$C$79</f>
        <v>0.90081198326236012</v>
      </c>
    </row>
    <row r="79" spans="2:11">
      <c r="C79" s="813">
        <f>SUM(C77:C78)</f>
        <v>702847</v>
      </c>
      <c r="D79" s="814"/>
    </row>
    <row r="91" spans="2:12">
      <c r="C91" t="s">
        <v>876</v>
      </c>
      <c r="D91" t="s">
        <v>678</v>
      </c>
      <c r="E91" t="s">
        <v>788</v>
      </c>
      <c r="F91" t="s">
        <v>28</v>
      </c>
    </row>
    <row r="92" spans="2:12">
      <c r="B92" t="s">
        <v>1016</v>
      </c>
      <c r="C92" s="830">
        <v>1</v>
      </c>
      <c r="D92" s="830">
        <v>0.7</v>
      </c>
      <c r="E92" s="830">
        <v>0.2</v>
      </c>
      <c r="F92" s="830"/>
      <c r="K92">
        <v>13</v>
      </c>
    </row>
    <row r="93" spans="2:12">
      <c r="B93" t="s">
        <v>1017</v>
      </c>
      <c r="D93" s="830">
        <v>0.3</v>
      </c>
      <c r="E93" s="830">
        <v>0.5</v>
      </c>
      <c r="F93" s="830">
        <v>0.2</v>
      </c>
      <c r="K93">
        <v>4</v>
      </c>
      <c r="L93">
        <f>K93/$K$92</f>
        <v>0.30769230769230771</v>
      </c>
    </row>
    <row r="94" spans="2:12">
      <c r="E94" s="830">
        <v>0.3</v>
      </c>
      <c r="F94" s="830">
        <v>0.8</v>
      </c>
      <c r="K94">
        <v>3</v>
      </c>
      <c r="L94">
        <f>K94/$K$92</f>
        <v>0.23076923076923078</v>
      </c>
    </row>
    <row r="115" spans="2:11">
      <c r="B115" s="8" t="s">
        <v>26</v>
      </c>
      <c r="C115" s="267">
        <v>520.4806386688</v>
      </c>
      <c r="F115" t="s">
        <v>1222</v>
      </c>
      <c r="G115" t="s">
        <v>656</v>
      </c>
      <c r="H115" t="s">
        <v>989</v>
      </c>
      <c r="I115" t="s">
        <v>854</v>
      </c>
      <c r="J115" t="s">
        <v>1133</v>
      </c>
      <c r="K115" t="s">
        <v>661</v>
      </c>
    </row>
    <row r="116" spans="2:11">
      <c r="B116" s="8" t="s">
        <v>465</v>
      </c>
      <c r="C116" s="267">
        <v>-228.86381582390121</v>
      </c>
      <c r="E116" t="s">
        <v>654</v>
      </c>
      <c r="F116" s="813">
        <v>230.5</v>
      </c>
      <c r="G116" s="813">
        <f>F122-G117</f>
        <v>267.82799999999997</v>
      </c>
      <c r="H116" s="813">
        <f>G122-G117-H117</f>
        <v>266.428</v>
      </c>
      <c r="I116" s="813">
        <f>H122-H117-I117</f>
        <v>213.12799999999999</v>
      </c>
      <c r="J116" s="813">
        <f>I122-I117-J117</f>
        <v>167.928</v>
      </c>
      <c r="K116" s="813">
        <v>167.8</v>
      </c>
    </row>
    <row r="117" spans="2:11">
      <c r="B117" s="8" t="s">
        <v>28</v>
      </c>
      <c r="C117" s="267">
        <v>291.61682284489882</v>
      </c>
      <c r="E117" t="s">
        <v>664</v>
      </c>
      <c r="F117" s="813">
        <v>25.547999999999998</v>
      </c>
      <c r="G117" s="813">
        <v>136.6</v>
      </c>
      <c r="H117" s="813">
        <v>1.4</v>
      </c>
      <c r="I117" s="813">
        <v>53.3</v>
      </c>
      <c r="J117" s="813">
        <f>45.2</f>
        <v>45.2</v>
      </c>
      <c r="K117" s="813"/>
    </row>
    <row r="118" spans="2:11">
      <c r="B118" s="15" t="s">
        <v>463</v>
      </c>
      <c r="C118" s="832">
        <v>-62.871427211111659</v>
      </c>
      <c r="E118" t="s">
        <v>1220</v>
      </c>
      <c r="F118" s="905">
        <f>('Rev_NPAT (new)'!J69+'Rev_NPAT (new)'!J88)/10^3</f>
        <v>33.35</v>
      </c>
      <c r="G118" s="813"/>
      <c r="H118" s="813">
        <v>0</v>
      </c>
      <c r="I118" s="813">
        <v>0</v>
      </c>
      <c r="J118" s="813"/>
      <c r="K118" s="813"/>
    </row>
    <row r="119" spans="2:11">
      <c r="B119" s="15" t="s">
        <v>462</v>
      </c>
      <c r="C119" s="567">
        <v>-75.37734838628036</v>
      </c>
      <c r="E119" t="s">
        <v>1221</v>
      </c>
      <c r="F119">
        <v>67.400000000000006</v>
      </c>
      <c r="G119" s="836"/>
      <c r="H119" s="835">
        <v>0</v>
      </c>
      <c r="I119" s="835">
        <f>H119+H118</f>
        <v>0</v>
      </c>
      <c r="J119" s="835"/>
      <c r="K119" s="835">
        <f>I119+I118</f>
        <v>0</v>
      </c>
    </row>
    <row r="120" spans="2:11">
      <c r="B120" s="15" t="s">
        <v>656</v>
      </c>
      <c r="C120" s="267">
        <v>-138.24877559739201</v>
      </c>
      <c r="E120" t="s">
        <v>662</v>
      </c>
      <c r="F120">
        <v>12.5</v>
      </c>
      <c r="H120" s="835">
        <v>0</v>
      </c>
    </row>
    <row r="121" spans="2:11">
      <c r="B121" s="8" t="s">
        <v>287</v>
      </c>
      <c r="C121" s="267">
        <v>153.36804724750681</v>
      </c>
      <c r="E121" t="s">
        <v>988</v>
      </c>
      <c r="F121" s="906">
        <f>16.485+3+15.645</f>
        <v>35.129999999999995</v>
      </c>
      <c r="H121" s="835">
        <v>0</v>
      </c>
    </row>
    <row r="122" spans="2:11" ht="12.75" thickBot="1">
      <c r="B122" s="8" t="s">
        <v>464</v>
      </c>
      <c r="C122" s="267">
        <v>0</v>
      </c>
      <c r="F122" s="835">
        <f>SUM(F116:F121)</f>
        <v>404.428</v>
      </c>
      <c r="G122" s="835">
        <f>SUM(G116:G121)</f>
        <v>404.428</v>
      </c>
      <c r="H122" s="835">
        <f>SUM(H116:H121)</f>
        <v>267.82799999999997</v>
      </c>
      <c r="I122" s="835">
        <f>SUM(I116:I121)</f>
        <v>266.428</v>
      </c>
      <c r="J122" s="835"/>
      <c r="K122" s="835">
        <f>SUM(K116:K121)</f>
        <v>167.8</v>
      </c>
    </row>
    <row r="123" spans="2:11" ht="12.75" thickBot="1">
      <c r="B123" s="833" t="s">
        <v>560</v>
      </c>
      <c r="C123" s="834">
        <v>12.813524648271647</v>
      </c>
    </row>
    <row r="124" spans="2:11">
      <c r="B124" s="5" t="s">
        <v>288</v>
      </c>
      <c r="C124" s="267">
        <v>166.18157189577846</v>
      </c>
    </row>
    <row r="125" spans="2:11">
      <c r="B125" s="8" t="s">
        <v>573</v>
      </c>
      <c r="C125" s="267">
        <v>-3.5139879999999999</v>
      </c>
    </row>
    <row r="126" spans="2:11">
      <c r="B126" s="8" t="s">
        <v>34</v>
      </c>
      <c r="C126" s="267">
        <v>162.66758389577845</v>
      </c>
    </row>
    <row r="127" spans="2:11">
      <c r="B127" s="8" t="s">
        <v>35</v>
      </c>
      <c r="C127" s="267">
        <v>-35.786868457071257</v>
      </c>
    </row>
    <row r="128" spans="2:11">
      <c r="B128" s="8" t="s">
        <v>220</v>
      </c>
      <c r="C128" s="267">
        <v>126.8807154387072</v>
      </c>
    </row>
    <row r="129" spans="2:3">
      <c r="B129" s="8" t="s">
        <v>37</v>
      </c>
      <c r="C129" s="267">
        <v>-6.3440357719353599</v>
      </c>
    </row>
    <row r="130" spans="2:3">
      <c r="B130" s="8" t="s">
        <v>219</v>
      </c>
      <c r="C130" s="267">
        <v>120.53667966677185</v>
      </c>
    </row>
    <row r="144" spans="2:3" ht="12.75" thickBot="1"/>
    <row r="145" spans="2:6" ht="24.75" customHeight="1">
      <c r="B145" s="2290" t="s">
        <v>1019</v>
      </c>
      <c r="C145" s="2292" t="s">
        <v>1020</v>
      </c>
      <c r="D145" s="2292" t="s">
        <v>1021</v>
      </c>
      <c r="E145" s="843"/>
      <c r="F145" s="843" t="s">
        <v>1022</v>
      </c>
    </row>
    <row r="146" spans="2:6" ht="26.25" thickBot="1">
      <c r="B146" s="2291"/>
      <c r="C146" s="2293"/>
      <c r="D146" s="2293"/>
      <c r="E146" s="843"/>
      <c r="F146" s="843" t="s">
        <v>1023</v>
      </c>
    </row>
    <row r="147" spans="2:6" ht="13.5" thickBot="1">
      <c r="B147" s="837" t="s">
        <v>1024</v>
      </c>
      <c r="C147" s="838">
        <v>234</v>
      </c>
      <c r="D147" s="838">
        <v>2.5</v>
      </c>
      <c r="E147" s="847">
        <f>C147/$C$151</f>
        <v>0.17180616740088106</v>
      </c>
      <c r="F147" s="844">
        <v>94</v>
      </c>
    </row>
    <row r="148" spans="2:6" ht="13.5" thickBot="1">
      <c r="B148" s="837" t="s">
        <v>1025</v>
      </c>
      <c r="C148" s="838">
        <v>448</v>
      </c>
      <c r="D148" s="838">
        <v>6</v>
      </c>
      <c r="E148" s="847">
        <f>C148/$C$151</f>
        <v>0.328928046989721</v>
      </c>
      <c r="F148" s="844">
        <v>75</v>
      </c>
    </row>
    <row r="149" spans="2:6" ht="26.25" thickBot="1">
      <c r="B149" s="839" t="s">
        <v>1026</v>
      </c>
      <c r="C149" s="838">
        <v>340</v>
      </c>
      <c r="D149" s="838">
        <v>3</v>
      </c>
      <c r="E149" s="847">
        <f>C149/$C$151</f>
        <v>0.24963289280469897</v>
      </c>
      <c r="F149" s="844">
        <v>113</v>
      </c>
    </row>
    <row r="150" spans="2:6" ht="26.25" thickBot="1">
      <c r="B150" s="839" t="s">
        <v>1027</v>
      </c>
      <c r="C150" s="838">
        <v>340</v>
      </c>
      <c r="D150" s="838">
        <v>1</v>
      </c>
      <c r="E150" s="847">
        <f>C150/$C$151</f>
        <v>0.24963289280469897</v>
      </c>
      <c r="F150" s="844">
        <v>340</v>
      </c>
    </row>
    <row r="151" spans="2:6" ht="13.5" thickBot="1">
      <c r="B151" s="841"/>
      <c r="C151" s="842">
        <f>SUM(C147:C150)</f>
        <v>1362</v>
      </c>
      <c r="D151" s="838"/>
      <c r="E151" s="844"/>
      <c r="F151" s="848">
        <f>F147*E147+F148*E148+F149*E149+F150*E150</f>
        <v>153.90308370044053</v>
      </c>
    </row>
    <row r="152" spans="2:6" ht="13.5" thickBot="1">
      <c r="B152" s="840"/>
      <c r="C152" s="2294" t="s">
        <v>1028</v>
      </c>
      <c r="D152" s="2295"/>
      <c r="E152" s="846"/>
      <c r="F152" s="845">
        <v>94</v>
      </c>
    </row>
    <row r="155" spans="2:6">
      <c r="B155" t="s">
        <v>1031</v>
      </c>
      <c r="C155" s="906">
        <f>(265000+521051)/10000</f>
        <v>78.605099999999993</v>
      </c>
      <c r="D155" s="814">
        <f>C155/$C$158</f>
        <v>0.63990292993029085</v>
      </c>
    </row>
    <row r="156" spans="2:6">
      <c r="B156" t="s">
        <v>709</v>
      </c>
      <c r="C156" s="906">
        <v>31.15</v>
      </c>
      <c r="D156" s="814">
        <f>C156/$C$158</f>
        <v>0.25358375305582664</v>
      </c>
    </row>
    <row r="157" spans="2:6">
      <c r="B157" t="s">
        <v>1030</v>
      </c>
      <c r="C157" s="906">
        <f>(36699+20000+74141)/10000</f>
        <v>13.084</v>
      </c>
      <c r="D157" s="814">
        <f>C157/$C$158</f>
        <v>0.10651331701388238</v>
      </c>
    </row>
    <row r="158" spans="2:6">
      <c r="C158">
        <f>SUM(C155:C157)</f>
        <v>122.8391</v>
      </c>
    </row>
    <row r="160" spans="2:6">
      <c r="C160">
        <v>10000</v>
      </c>
    </row>
    <row r="173" spans="2:5">
      <c r="C173" t="s">
        <v>1036</v>
      </c>
      <c r="D173" t="s">
        <v>1037</v>
      </c>
      <c r="E173" t="s">
        <v>1035</v>
      </c>
    </row>
    <row r="174" spans="2:5">
      <c r="D174" s="835">
        <f>C179</f>
        <v>181094</v>
      </c>
    </row>
    <row r="175" spans="2:5">
      <c r="B175" t="s">
        <v>1032</v>
      </c>
      <c r="C175" s="813">
        <v>145942</v>
      </c>
      <c r="D175" s="812">
        <f>E175-C175</f>
        <v>853.20000000001164</v>
      </c>
      <c r="E175" s="812">
        <v>146795.20000000001</v>
      </c>
    </row>
    <row r="176" spans="2:5">
      <c r="C176" s="813"/>
      <c r="D176" s="812"/>
      <c r="E176" s="812"/>
    </row>
    <row r="177" spans="2:5">
      <c r="B177" t="s">
        <v>1033</v>
      </c>
      <c r="C177" s="813">
        <v>19059</v>
      </c>
      <c r="D177" s="812">
        <f>E177-C177</f>
        <v>939446</v>
      </c>
      <c r="E177" s="812">
        <v>958505</v>
      </c>
    </row>
    <row r="178" spans="2:5">
      <c r="B178" t="s">
        <v>1034</v>
      </c>
      <c r="C178" s="813">
        <v>16093</v>
      </c>
      <c r="D178" s="812">
        <f>E178-C178</f>
        <v>73297</v>
      </c>
      <c r="E178" s="812">
        <v>89390</v>
      </c>
    </row>
    <row r="179" spans="2:5">
      <c r="C179" s="835">
        <f>SUM(C175:C178)</f>
        <v>181094</v>
      </c>
      <c r="E179" s="812">
        <f>SUM(E175:E178)</f>
        <v>1194690.2</v>
      </c>
    </row>
    <row r="191" spans="2:5" ht="12.75" thickBot="1"/>
    <row r="192" spans="2:5">
      <c r="B192" s="856">
        <v>343</v>
      </c>
      <c r="C192" s="856"/>
      <c r="D192" s="856">
        <v>538</v>
      </c>
      <c r="E192" s="860">
        <f>(D192-B192)/B192</f>
        <v>0.56851311953352768</v>
      </c>
    </row>
    <row r="193" spans="2:5">
      <c r="B193" s="857">
        <v>178</v>
      </c>
      <c r="C193" s="857"/>
      <c r="D193" s="857">
        <v>231</v>
      </c>
      <c r="E193" s="860">
        <f t="shared" ref="E193:E209" si="0">(D193-B193)/B193</f>
        <v>0.29775280898876405</v>
      </c>
    </row>
    <row r="194" spans="2:5">
      <c r="B194" s="858">
        <v>161</v>
      </c>
      <c r="C194" s="858"/>
      <c r="D194" s="858">
        <v>287</v>
      </c>
      <c r="E194" s="860">
        <f t="shared" si="0"/>
        <v>0.78260869565217395</v>
      </c>
    </row>
    <row r="195" spans="2:5">
      <c r="B195" s="857">
        <v>4</v>
      </c>
      <c r="C195" s="857"/>
      <c r="D195" s="857">
        <v>20</v>
      </c>
      <c r="E195" s="860">
        <f t="shared" si="0"/>
        <v>4</v>
      </c>
    </row>
    <row r="196" spans="2:5">
      <c r="B196" s="857">
        <v>206</v>
      </c>
      <c r="C196" s="857"/>
      <c r="D196" s="857">
        <v>292</v>
      </c>
      <c r="E196" s="860">
        <f t="shared" si="0"/>
        <v>0.41747572815533979</v>
      </c>
    </row>
    <row r="197" spans="2:5">
      <c r="B197" s="857">
        <v>132</v>
      </c>
      <c r="C197" s="857"/>
      <c r="D197" s="857">
        <v>174</v>
      </c>
      <c r="E197" s="860">
        <f t="shared" si="0"/>
        <v>0.31818181818181818</v>
      </c>
    </row>
    <row r="198" spans="2:5">
      <c r="B198" s="857">
        <v>76</v>
      </c>
      <c r="C198" s="857"/>
      <c r="D198" s="857">
        <v>130</v>
      </c>
      <c r="E198" s="860">
        <f t="shared" si="0"/>
        <v>0.71052631578947367</v>
      </c>
    </row>
    <row r="199" spans="2:5">
      <c r="B199" s="858">
        <v>-1</v>
      </c>
      <c r="C199" s="859"/>
      <c r="D199" s="858">
        <v>2</v>
      </c>
      <c r="E199" s="860">
        <f t="shared" si="0"/>
        <v>-3</v>
      </c>
    </row>
    <row r="200" spans="2:5">
      <c r="B200" s="858">
        <v>-62</v>
      </c>
      <c r="C200" s="859"/>
      <c r="D200" s="858">
        <v>-66</v>
      </c>
      <c r="E200" s="860">
        <f t="shared" si="0"/>
        <v>6.4516129032258063E-2</v>
      </c>
    </row>
    <row r="201" spans="2:5">
      <c r="B201" s="857">
        <v>-81</v>
      </c>
      <c r="C201" s="857"/>
      <c r="D201" s="857">
        <v>-79</v>
      </c>
      <c r="E201" s="860">
        <f t="shared" si="0"/>
        <v>-2.4691358024691357E-2</v>
      </c>
    </row>
    <row r="202" spans="2:5">
      <c r="B202" s="857">
        <v>63</v>
      </c>
      <c r="C202" s="857"/>
      <c r="D202" s="857">
        <v>161</v>
      </c>
      <c r="E202" s="860">
        <f t="shared" si="0"/>
        <v>1.5555555555555556</v>
      </c>
    </row>
    <row r="203" spans="2:5">
      <c r="B203" s="857">
        <v>57</v>
      </c>
      <c r="C203" s="857"/>
      <c r="D203" s="857">
        <v>10</v>
      </c>
      <c r="E203" s="860">
        <f t="shared" si="0"/>
        <v>-0.82456140350877194</v>
      </c>
    </row>
    <row r="204" spans="2:5">
      <c r="B204" s="857">
        <v>120</v>
      </c>
      <c r="C204" s="857"/>
      <c r="D204" s="857">
        <v>171</v>
      </c>
      <c r="E204" s="860">
        <f t="shared" si="0"/>
        <v>0.42499999999999999</v>
      </c>
    </row>
    <row r="205" spans="2:5">
      <c r="B205" s="857">
        <v>0</v>
      </c>
      <c r="C205" s="857"/>
      <c r="D205" s="857">
        <v>-4</v>
      </c>
      <c r="E205" s="860" t="e">
        <f t="shared" si="0"/>
        <v>#DIV/0!</v>
      </c>
    </row>
    <row r="206" spans="2:5">
      <c r="B206" s="857">
        <v>120</v>
      </c>
      <c r="C206" s="857"/>
      <c r="D206" s="857">
        <v>167</v>
      </c>
      <c r="E206" s="860">
        <f t="shared" si="0"/>
        <v>0.39166666666666666</v>
      </c>
    </row>
    <row r="207" spans="2:5">
      <c r="B207" s="857">
        <v>90</v>
      </c>
      <c r="C207" s="857"/>
      <c r="D207" s="857">
        <v>130</v>
      </c>
      <c r="E207" s="860">
        <f t="shared" si="0"/>
        <v>0.44444444444444442</v>
      </c>
    </row>
    <row r="208" spans="2:5">
      <c r="B208" s="857">
        <v>83</v>
      </c>
      <c r="C208" s="857"/>
      <c r="D208" s="857">
        <v>125</v>
      </c>
      <c r="E208" s="860">
        <f t="shared" si="0"/>
        <v>0.50602409638554213</v>
      </c>
    </row>
    <row r="209" spans="2:5">
      <c r="B209" s="858">
        <v>123</v>
      </c>
      <c r="C209" s="859"/>
      <c r="D209" s="858">
        <v>175</v>
      </c>
      <c r="E209" s="860">
        <f t="shared" si="0"/>
        <v>0.42276422764227645</v>
      </c>
    </row>
    <row r="213" spans="2:5">
      <c r="C213" t="s">
        <v>1110</v>
      </c>
    </row>
    <row r="214" spans="2:5">
      <c r="B214" t="s">
        <v>1107</v>
      </c>
      <c r="C214" s="813">
        <v>2484</v>
      </c>
      <c r="D214" s="860">
        <f t="shared" ref="D214:D219" si="1">C214/$C$220</f>
        <v>5.4896240800901674E-3</v>
      </c>
    </row>
    <row r="215" spans="2:5">
      <c r="B215" t="s">
        <v>1108</v>
      </c>
      <c r="C215" s="813">
        <v>7920</v>
      </c>
      <c r="D215" s="860">
        <f t="shared" si="1"/>
        <v>1.75031492408672E-2</v>
      </c>
    </row>
    <row r="216" spans="2:5">
      <c r="B216" t="s">
        <v>664</v>
      </c>
      <c r="C216" s="813">
        <v>254662</v>
      </c>
      <c r="D216" s="860">
        <f t="shared" si="1"/>
        <v>0.56280138787597511</v>
      </c>
    </row>
    <row r="217" spans="2:5">
      <c r="B217" t="s">
        <v>975</v>
      </c>
      <c r="C217" s="813">
        <v>180480</v>
      </c>
      <c r="D217" s="860">
        <f t="shared" si="1"/>
        <v>0.39885964330703438</v>
      </c>
    </row>
    <row r="218" spans="2:5">
      <c r="B218" t="s">
        <v>1024</v>
      </c>
      <c r="C218" s="813">
        <v>3754</v>
      </c>
      <c r="D218" s="860">
        <f t="shared" si="1"/>
        <v>8.2963159406837725E-3</v>
      </c>
    </row>
    <row r="219" spans="2:5">
      <c r="B219" t="s">
        <v>1109</v>
      </c>
      <c r="C219" s="813">
        <v>3190</v>
      </c>
      <c r="D219" s="860">
        <f t="shared" si="1"/>
        <v>7.0498795553492893E-3</v>
      </c>
    </row>
    <row r="220" spans="2:5">
      <c r="C220" s="835">
        <f>SUM(C214:C219)</f>
        <v>452490</v>
      </c>
    </row>
    <row r="224" spans="2:5">
      <c r="C224">
        <v>2014</v>
      </c>
      <c r="D224">
        <v>2015</v>
      </c>
      <c r="E224">
        <v>2016</v>
      </c>
    </row>
    <row r="225" spans="2:5">
      <c r="B225" t="s">
        <v>1111</v>
      </c>
      <c r="C225" s="835">
        <v>7343.1352792018288</v>
      </c>
      <c r="D225" s="835">
        <v>43181.343427251588</v>
      </c>
      <c r="E225" s="835">
        <v>63598.570025619592</v>
      </c>
    </row>
    <row r="226" spans="2:5">
      <c r="B226" t="s">
        <v>661</v>
      </c>
      <c r="C226" s="812">
        <v>125000</v>
      </c>
      <c r="D226" s="812">
        <v>217535.24388080629</v>
      </c>
      <c r="E226" s="812">
        <v>324702.80789696786</v>
      </c>
    </row>
    <row r="232" spans="2:5">
      <c r="B232" s="894"/>
    </row>
    <row r="239" spans="2:5">
      <c r="B239" s="518" t="s">
        <v>1115</v>
      </c>
      <c r="C239" s="813">
        <v>21890</v>
      </c>
    </row>
    <row r="240" spans="2:5">
      <c r="C240" t="s">
        <v>1536</v>
      </c>
      <c r="D240" t="s">
        <v>1535</v>
      </c>
    </row>
    <row r="241" spans="2:4">
      <c r="B241" t="s">
        <v>666</v>
      </c>
      <c r="C241" s="793">
        <f>D241/$C$239*1000</f>
        <v>66.468707172224768</v>
      </c>
      <c r="D241" s="813">
        <v>1455</v>
      </c>
    </row>
    <row r="242" spans="2:4">
      <c r="B242" t="s">
        <v>667</v>
      </c>
      <c r="C242" s="793">
        <f t="shared" ref="C242:C250" si="2">D242/$C$239*1000</f>
        <v>44.90634993147556</v>
      </c>
      <c r="D242" s="813">
        <v>983</v>
      </c>
    </row>
    <row r="243" spans="2:4">
      <c r="B243" t="s">
        <v>668</v>
      </c>
      <c r="C243" s="793">
        <f t="shared" si="2"/>
        <v>73.960712654179986</v>
      </c>
      <c r="D243" s="813">
        <v>1619</v>
      </c>
    </row>
    <row r="244" spans="2:4">
      <c r="B244" t="s">
        <v>1534</v>
      </c>
      <c r="C244" s="793">
        <f t="shared" si="2"/>
        <v>21.333942439470075</v>
      </c>
      <c r="D244" s="813">
        <v>467</v>
      </c>
    </row>
    <row r="245" spans="2:4">
      <c r="B245" t="s">
        <v>1312</v>
      </c>
      <c r="C245" s="793">
        <f t="shared" si="2"/>
        <v>26.267702147099133</v>
      </c>
      <c r="D245" s="813">
        <v>575</v>
      </c>
    </row>
    <row r="246" spans="2:4">
      <c r="B246" t="s">
        <v>1314</v>
      </c>
      <c r="C246" s="793">
        <f t="shared" si="2"/>
        <v>48.972133394243947</v>
      </c>
      <c r="D246" s="813">
        <v>1072</v>
      </c>
    </row>
    <row r="247" spans="2:4">
      <c r="B247" t="s">
        <v>1315</v>
      </c>
      <c r="C247" s="793">
        <f t="shared" si="2"/>
        <v>35.861123800822291</v>
      </c>
      <c r="D247" s="813">
        <v>785</v>
      </c>
    </row>
    <row r="248" spans="2:4">
      <c r="B248" t="s">
        <v>1537</v>
      </c>
      <c r="C248" s="793">
        <f t="shared" si="2"/>
        <v>31.110095934216538</v>
      </c>
      <c r="D248" s="813">
        <v>681</v>
      </c>
    </row>
    <row r="249" spans="2:4">
      <c r="B249" t="s">
        <v>1319</v>
      </c>
      <c r="C249" s="793">
        <f t="shared" si="2"/>
        <v>44.403837368661492</v>
      </c>
      <c r="D249" s="813">
        <v>972</v>
      </c>
    </row>
    <row r="250" spans="2:4">
      <c r="B250" t="s">
        <v>1447</v>
      </c>
      <c r="C250" s="793">
        <f t="shared" si="2"/>
        <v>43.76427592507995</v>
      </c>
      <c r="D250" s="813">
        <v>958</v>
      </c>
    </row>
    <row r="263" spans="1:8">
      <c r="B263" s="905"/>
    </row>
    <row r="264" spans="1:8">
      <c r="C264">
        <v>21</v>
      </c>
    </row>
    <row r="266" spans="1:8">
      <c r="A266" t="s">
        <v>26</v>
      </c>
      <c r="C266">
        <v>2010</v>
      </c>
      <c r="D266">
        <v>2011</v>
      </c>
      <c r="E266">
        <v>2012</v>
      </c>
      <c r="F266">
        <v>2013</v>
      </c>
      <c r="G266">
        <v>2014</v>
      </c>
      <c r="H266">
        <v>2015</v>
      </c>
    </row>
    <row r="267" spans="1:8">
      <c r="B267" t="s">
        <v>654</v>
      </c>
      <c r="C267" s="813">
        <v>4.9380952380952383</v>
      </c>
      <c r="D267" s="813">
        <v>8.6333333333333346</v>
      </c>
      <c r="E267" s="813">
        <v>7.7428571428571429</v>
      </c>
      <c r="F267" s="813">
        <v>8.4833333333333343</v>
      </c>
      <c r="G267" s="835">
        <f>313/21.2</f>
        <v>14.764150943396228</v>
      </c>
      <c r="H267" s="835">
        <f>'Rev_NPAT (new)'!T62/21.2/10^3</f>
        <v>25.714180594596222</v>
      </c>
    </row>
    <row r="268" spans="1:8">
      <c r="B268" t="s">
        <v>1483</v>
      </c>
      <c r="C268" s="813">
        <v>12.857142857142858</v>
      </c>
      <c r="D268" s="813">
        <v>5.1095238095238091</v>
      </c>
      <c r="E268" s="813">
        <v>11.676190476190476</v>
      </c>
      <c r="F268" s="813">
        <v>7.6428571428571432</v>
      </c>
      <c r="G268" s="835">
        <f>164.47/21.2</f>
        <v>7.7580188679245285</v>
      </c>
      <c r="H268" s="835" t="e">
        <f>'Rev_NPAT (new)'!T63/21.2/10^3</f>
        <v>#REF!</v>
      </c>
    </row>
    <row r="269" spans="1:8">
      <c r="B269" t="s">
        <v>662</v>
      </c>
      <c r="C269" s="813">
        <v>0</v>
      </c>
      <c r="D269" s="813">
        <v>0</v>
      </c>
      <c r="E269" s="813">
        <v>0</v>
      </c>
      <c r="F269" s="813">
        <v>0.19047619047619047</v>
      </c>
      <c r="G269" s="835">
        <f>44.6/21.2</f>
        <v>2.1037735849056607</v>
      </c>
      <c r="H269" s="835">
        <f>'Rev_NPAT (new)'!T64/21.2/10^3</f>
        <v>5.2562499999999996</v>
      </c>
    </row>
    <row r="270" spans="1:8">
      <c r="C270" s="909">
        <f>SUM(C267:C269)</f>
        <v>17.795238095238098</v>
      </c>
      <c r="D270" s="909">
        <f>SUM(D267:D269)</f>
        <v>13.742857142857144</v>
      </c>
      <c r="E270" s="909">
        <f>SUM(E267:E269)</f>
        <v>19.419047619047618</v>
      </c>
      <c r="F270" s="909">
        <f>SUM(F267:F269)</f>
        <v>16.316666666666666</v>
      </c>
      <c r="G270" s="909">
        <f>SUM(G267:G269)</f>
        <v>24.625943396226418</v>
      </c>
      <c r="H270" s="835"/>
    </row>
    <row r="271" spans="1:8">
      <c r="C271" s="836"/>
      <c r="D271" s="836"/>
      <c r="E271" s="836"/>
      <c r="F271" s="836"/>
      <c r="G271" s="836"/>
    </row>
    <row r="272" spans="1:8">
      <c r="A272" t="s">
        <v>28</v>
      </c>
      <c r="C272">
        <v>2010</v>
      </c>
      <c r="D272">
        <v>2011</v>
      </c>
      <c r="E272">
        <v>2012</v>
      </c>
      <c r="F272">
        <v>2013</v>
      </c>
      <c r="G272">
        <v>2014</v>
      </c>
      <c r="H272">
        <v>2015</v>
      </c>
    </row>
    <row r="273" spans="1:8">
      <c r="B273" t="s">
        <v>654</v>
      </c>
      <c r="C273" s="522">
        <f>C267-17.2/21</f>
        <v>4.1190476190476195</v>
      </c>
      <c r="D273" s="522">
        <f>D267-21.8/21</f>
        <v>7.5952380952380967</v>
      </c>
      <c r="E273" s="522">
        <f>E267-34.9/21</f>
        <v>6.0809523809523807</v>
      </c>
      <c r="F273" s="522">
        <f>F267-46.4/21</f>
        <v>6.2738095238095246</v>
      </c>
      <c r="G273" s="906">
        <f>230.5/21.2</f>
        <v>10.872641509433963</v>
      </c>
      <c r="H273" s="906">
        <f>'Rev_NPAT (new)'!T85/21.2/10^3</f>
        <v>0</v>
      </c>
    </row>
    <row r="274" spans="1:8">
      <c r="B274" t="s">
        <v>1483</v>
      </c>
      <c r="C274" s="522">
        <f>C268-187.7/21</f>
        <v>3.9190476190476193</v>
      </c>
      <c r="D274" s="522">
        <f>D268-58.5/21</f>
        <v>2.3238095238095235</v>
      </c>
      <c r="E274" s="522">
        <f>E268-175.7/21</f>
        <v>3.3095238095238102</v>
      </c>
      <c r="F274" s="522">
        <f>F268-84.9/21</f>
        <v>3.6000000000000005</v>
      </c>
      <c r="G274" s="906">
        <f>75.4/21.2</f>
        <v>3.5566037735849059</v>
      </c>
      <c r="H274" s="906">
        <f>'Rev_NPAT (new)'!T86/21.2/10^3</f>
        <v>0</v>
      </c>
    </row>
    <row r="275" spans="1:8">
      <c r="B275" t="s">
        <v>662</v>
      </c>
      <c r="C275" s="522">
        <v>0</v>
      </c>
      <c r="D275" s="522">
        <v>0</v>
      </c>
      <c r="E275" s="522">
        <v>0</v>
      </c>
      <c r="F275" s="522">
        <f>F269-5.3/21</f>
        <v>-6.1904761904761907E-2</v>
      </c>
      <c r="G275" s="906">
        <f>12.45/21.2</f>
        <v>0.58726415094339623</v>
      </c>
      <c r="H275" s="906">
        <f>'Rev_NPAT (new)'!T87/21.2/10^3</f>
        <v>0</v>
      </c>
    </row>
    <row r="277" spans="1:8">
      <c r="A277" t="s">
        <v>1119</v>
      </c>
      <c r="C277">
        <v>2010</v>
      </c>
      <c r="D277">
        <v>2011</v>
      </c>
      <c r="E277">
        <v>2012</v>
      </c>
      <c r="F277">
        <v>2013</v>
      </c>
      <c r="G277">
        <v>2014</v>
      </c>
      <c r="H277">
        <v>2015</v>
      </c>
    </row>
    <row r="278" spans="1:8" ht="24">
      <c r="B278" s="1243" t="s">
        <v>1484</v>
      </c>
      <c r="C278" s="906">
        <v>11.6</v>
      </c>
      <c r="D278" s="906">
        <v>19.114285714285714</v>
      </c>
      <c r="E278" s="906">
        <v>26.461904761904766</v>
      </c>
      <c r="F278" s="906">
        <v>30.147619047619049</v>
      </c>
      <c r="G278" s="906">
        <f>1072/21.2</f>
        <v>50.566037735849058</v>
      </c>
      <c r="H278" s="812">
        <f>1679.27/21.2</f>
        <v>79.210849056603777</v>
      </c>
    </row>
    <row r="279" spans="1:8">
      <c r="B279" t="s">
        <v>1120</v>
      </c>
      <c r="C279" s="906">
        <v>18.990476190476191</v>
      </c>
      <c r="D279" s="906">
        <v>20.428571428571427</v>
      </c>
      <c r="E279" s="906">
        <v>11.276190476190477</v>
      </c>
      <c r="F279" s="906">
        <v>28.790476190476191</v>
      </c>
      <c r="G279" s="906">
        <f>1088/21.2</f>
        <v>51.320754716981135</v>
      </c>
      <c r="H279" s="812">
        <f>1934.45/21.2</f>
        <v>91.247641509433961</v>
      </c>
    </row>
    <row r="300" spans="2:7" ht="12.75" thickBot="1"/>
    <row r="301" spans="2:7" ht="12.75" thickBot="1">
      <c r="B301" s="571" t="s">
        <v>674</v>
      </c>
      <c r="C301" s="572" t="s">
        <v>691</v>
      </c>
      <c r="E301" t="s">
        <v>1136</v>
      </c>
      <c r="F301" s="835" t="e">
        <f>'Valuation summary'!T16/10^3</f>
        <v>#REF!</v>
      </c>
      <c r="G301" s="814" t="e">
        <f>F301/$F$305</f>
        <v>#REF!</v>
      </c>
    </row>
    <row r="302" spans="2:7">
      <c r="B302" s="575" t="s">
        <v>664</v>
      </c>
      <c r="C302" s="581">
        <v>78308.777680096042</v>
      </c>
      <c r="E302" t="s">
        <v>660</v>
      </c>
      <c r="F302" s="835" t="e">
        <f>'Valuation summary'!T17/10^3</f>
        <v>#REF!</v>
      </c>
      <c r="G302" s="814" t="e">
        <f>F302/$F$305</f>
        <v>#REF!</v>
      </c>
    </row>
    <row r="303" spans="2:7">
      <c r="B303" s="568" t="s">
        <v>665</v>
      </c>
      <c r="C303" s="583">
        <v>127119.89871110875</v>
      </c>
      <c r="E303" t="s">
        <v>1137</v>
      </c>
      <c r="F303" s="835" t="e">
        <f>'Valuation summary'!T18/10^3</f>
        <v>#REF!</v>
      </c>
      <c r="G303" s="814" t="e">
        <f>F303/$F$305</f>
        <v>#REF!</v>
      </c>
    </row>
    <row r="304" spans="2:7">
      <c r="B304" s="568" t="s">
        <v>666</v>
      </c>
      <c r="C304" s="583">
        <v>303232.36672977445</v>
      </c>
      <c r="E304" t="s">
        <v>1138</v>
      </c>
      <c r="F304" s="835">
        <f>SUM('Valuation summary'!T19:T21)/10^3</f>
        <v>0.41747600000000001</v>
      </c>
      <c r="G304" s="814" t="e">
        <f>F304/$F$305</f>
        <v>#REF!</v>
      </c>
    </row>
    <row r="305" spans="2:6">
      <c r="B305" s="568" t="s">
        <v>709</v>
      </c>
      <c r="C305" s="583">
        <v>63571.428571428572</v>
      </c>
      <c r="F305" s="909" t="e">
        <f>SUM(F301:F304)</f>
        <v>#REF!</v>
      </c>
    </row>
    <row r="306" spans="2:6">
      <c r="B306" s="568" t="s">
        <v>667</v>
      </c>
      <c r="C306" s="583">
        <v>83660.774056900656</v>
      </c>
    </row>
    <row r="307" spans="2:6">
      <c r="B307" s="568" t="s">
        <v>668</v>
      </c>
      <c r="C307" s="583">
        <v>286236.39467498747</v>
      </c>
    </row>
    <row r="308" spans="2:6">
      <c r="B308" s="590" t="s">
        <v>720</v>
      </c>
      <c r="C308" s="595">
        <v>9424</v>
      </c>
    </row>
    <row r="309" spans="2:6">
      <c r="B309" s="598" t="s">
        <v>724</v>
      </c>
      <c r="C309" s="600">
        <v>951553.64042429579</v>
      </c>
    </row>
    <row r="310" spans="2:6">
      <c r="B310" s="598" t="s">
        <v>725</v>
      </c>
      <c r="C310" s="600">
        <v>223526.29086498872</v>
      </c>
    </row>
    <row r="311" spans="2:6">
      <c r="B311" s="598" t="s">
        <v>1106</v>
      </c>
      <c r="C311" s="600">
        <v>37705.209976288817</v>
      </c>
    </row>
    <row r="312" spans="2:6" ht="24">
      <c r="B312" s="575" t="s">
        <v>726</v>
      </c>
      <c r="C312" s="569">
        <v>306750</v>
      </c>
    </row>
    <row r="313" spans="2:6">
      <c r="B313" s="568" t="s">
        <v>727</v>
      </c>
      <c r="C313" s="569">
        <v>-69684</v>
      </c>
    </row>
    <row r="314" spans="2:6">
      <c r="B314" s="568" t="s">
        <v>740</v>
      </c>
      <c r="C314" s="569">
        <v>264500</v>
      </c>
    </row>
    <row r="315" spans="2:6">
      <c r="B315" s="598" t="s">
        <v>728</v>
      </c>
      <c r="C315" s="569">
        <v>1714351.1412655732</v>
      </c>
    </row>
    <row r="316" spans="2:6">
      <c r="B316" s="568" t="s">
        <v>729</v>
      </c>
      <c r="C316" s="569">
        <v>125000000</v>
      </c>
    </row>
    <row r="317" spans="2:6" ht="12.75">
      <c r="B317" s="598" t="s">
        <v>730</v>
      </c>
      <c r="C317" s="601">
        <v>13714.809130124586</v>
      </c>
    </row>
    <row r="318" spans="2:6">
      <c r="B318" s="568" t="s">
        <v>731</v>
      </c>
      <c r="C318" s="569">
        <v>16000</v>
      </c>
    </row>
    <row r="319" spans="2:6">
      <c r="B319" s="568" t="s">
        <v>732</v>
      </c>
      <c r="C319" s="606">
        <v>-0.1428244293672134</v>
      </c>
    </row>
    <row r="324" spans="2:6">
      <c r="C324">
        <v>1000</v>
      </c>
    </row>
    <row r="325" spans="2:6">
      <c r="C325">
        <v>2015</v>
      </c>
      <c r="D325">
        <v>2016</v>
      </c>
      <c r="E325">
        <v>2017</v>
      </c>
      <c r="F325">
        <v>2018</v>
      </c>
    </row>
    <row r="326" spans="2:6" ht="12.75">
      <c r="B326" s="551" t="s">
        <v>654</v>
      </c>
      <c r="C326" s="550">
        <v>363.42708573696001</v>
      </c>
      <c r="D326" s="550">
        <v>417.94114859750397</v>
      </c>
      <c r="E326" s="550">
        <v>480.63232088712954</v>
      </c>
      <c r="F326" s="550">
        <v>528.69555297584247</v>
      </c>
    </row>
    <row r="327" spans="2:6" ht="12.75">
      <c r="B327" s="551" t="s">
        <v>662</v>
      </c>
      <c r="C327" s="550">
        <v>26</v>
      </c>
      <c r="D327" s="550">
        <v>33.799999999999997</v>
      </c>
      <c r="E327" s="550">
        <v>43.94</v>
      </c>
      <c r="F327" s="550">
        <v>57.122</v>
      </c>
    </row>
    <row r="328" spans="2:6" ht="12.75">
      <c r="B328" s="551" t="s">
        <v>664</v>
      </c>
      <c r="C328" s="550">
        <v>64.486352000000011</v>
      </c>
      <c r="D328" s="550">
        <v>64.486352000000011</v>
      </c>
      <c r="E328" s="550">
        <v>64.486352000000011</v>
      </c>
      <c r="F328" s="550">
        <v>31.120743999999949</v>
      </c>
    </row>
    <row r="329" spans="2:6" ht="12.75">
      <c r="B329" s="551" t="s">
        <v>666</v>
      </c>
      <c r="C329" s="550">
        <v>905.557725</v>
      </c>
      <c r="D329" s="550">
        <v>603.70515</v>
      </c>
      <c r="E329" s="550">
        <v>0</v>
      </c>
      <c r="F329" s="550">
        <v>0</v>
      </c>
    </row>
    <row r="330" spans="2:6" ht="12.75">
      <c r="B330" s="551" t="s">
        <v>667</v>
      </c>
      <c r="C330" s="550">
        <v>0</v>
      </c>
      <c r="D330" s="550">
        <v>0</v>
      </c>
      <c r="E330" s="550">
        <v>419.42808000000002</v>
      </c>
      <c r="F330" s="550">
        <v>419.42808000000002</v>
      </c>
    </row>
    <row r="331" spans="2:6" ht="12.75">
      <c r="B331" s="551" t="s">
        <v>668</v>
      </c>
      <c r="C331" s="550">
        <v>299.26511999999997</v>
      </c>
      <c r="D331" s="550">
        <v>607.59888000000001</v>
      </c>
      <c r="E331" s="550">
        <v>361.62629999999996</v>
      </c>
      <c r="F331" s="550">
        <v>361.62629999999996</v>
      </c>
    </row>
  </sheetData>
  <mergeCells count="4">
    <mergeCell ref="B145:B146"/>
    <mergeCell ref="C145:C146"/>
    <mergeCell ref="D145:D146"/>
    <mergeCell ref="C152:D152"/>
  </mergeCells>
  <pageMargins left="0.7" right="0.7" top="0.75" bottom="0.75" header="0.3" footer="0.3"/>
  <pageSetup paperSize="9" orientation="portrait" r:id="rId1"/>
  <drawing r:id="rId2"/>
  <legacyDrawing r:id="rId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B1:O51"/>
  <sheetViews>
    <sheetView workbookViewId="0">
      <selection activeCell="K8" sqref="K8"/>
    </sheetView>
  </sheetViews>
  <sheetFormatPr defaultRowHeight="12"/>
  <cols>
    <col min="3" max="3" width="10.140625" bestFit="1" customWidth="1"/>
    <col min="12" max="12" width="11" bestFit="1" customWidth="1"/>
    <col min="13" max="15" width="10" bestFit="1" customWidth="1"/>
  </cols>
  <sheetData>
    <row r="1" spans="2:15">
      <c r="B1" s="518" t="s">
        <v>1116</v>
      </c>
    </row>
    <row r="3" spans="2:15">
      <c r="B3" s="708" t="s">
        <v>843</v>
      </c>
      <c r="C3" s="708" t="s">
        <v>642</v>
      </c>
      <c r="D3" s="708" t="s">
        <v>774</v>
      </c>
      <c r="E3" s="708">
        <v>2014</v>
      </c>
      <c r="F3" s="708">
        <v>2015</v>
      </c>
      <c r="G3" s="708">
        <v>2016</v>
      </c>
      <c r="H3" s="708">
        <v>2017</v>
      </c>
      <c r="L3" s="708">
        <v>2015</v>
      </c>
      <c r="M3" s="708">
        <v>2016</v>
      </c>
      <c r="N3" s="708">
        <v>2017</v>
      </c>
      <c r="O3" t="s">
        <v>642</v>
      </c>
    </row>
    <row r="4" spans="2:15">
      <c r="B4" s="708" t="s">
        <v>26</v>
      </c>
      <c r="C4" s="709">
        <v>1509262.875</v>
      </c>
      <c r="D4" s="709">
        <v>0</v>
      </c>
      <c r="E4" s="709">
        <v>0</v>
      </c>
      <c r="F4" s="709">
        <v>707000</v>
      </c>
      <c r="G4" s="709">
        <v>401131.4375</v>
      </c>
      <c r="H4" s="709">
        <v>401131.4375</v>
      </c>
      <c r="K4" s="708" t="s">
        <v>26</v>
      </c>
      <c r="L4" s="899">
        <v>707000</v>
      </c>
      <c r="M4" s="899">
        <v>401131.4375</v>
      </c>
      <c r="N4" s="899">
        <v>401131.4375</v>
      </c>
      <c r="O4" s="835">
        <f>SUM(L4:N4)</f>
        <v>1509262.875</v>
      </c>
    </row>
    <row r="5" spans="2:15">
      <c r="B5" s="708" t="s">
        <v>432</v>
      </c>
      <c r="C5" s="709">
        <v>-1127350.9716284</v>
      </c>
      <c r="D5" s="688">
        <v>0</v>
      </c>
      <c r="E5" s="688">
        <v>0</v>
      </c>
      <c r="F5" s="688">
        <v>-528096.96053861966</v>
      </c>
      <c r="G5" s="688">
        <v>-299627.00554489013</v>
      </c>
      <c r="H5" s="688">
        <v>-299627.00554489013</v>
      </c>
      <c r="K5" s="518" t="s">
        <v>661</v>
      </c>
      <c r="L5" s="813">
        <f>F10</f>
        <v>126477.17280812666</v>
      </c>
      <c r="M5" s="813">
        <f>G10</f>
        <v>58310.6510371279</v>
      </c>
      <c r="N5" s="813">
        <f>H10</f>
        <v>70534.337035927907</v>
      </c>
      <c r="O5" s="835">
        <f>SUM(L5:N5)</f>
        <v>255322.16088118247</v>
      </c>
    </row>
    <row r="6" spans="2:15">
      <c r="B6" s="708" t="s">
        <v>844</v>
      </c>
      <c r="C6" s="709">
        <v>-75463.143749999988</v>
      </c>
      <c r="D6" s="688">
        <v>-4168.55</v>
      </c>
      <c r="E6" s="688">
        <v>-21790.77145</v>
      </c>
      <c r="F6" s="688">
        <v>-16752.817912499999</v>
      </c>
      <c r="G6" s="688">
        <v>-23393.574562499998</v>
      </c>
      <c r="H6" s="688">
        <v>-9357.4298249999993</v>
      </c>
    </row>
    <row r="7" spans="2:15">
      <c r="B7" s="708" t="s">
        <v>805</v>
      </c>
      <c r="C7" s="709">
        <v>-13926.782923200008</v>
      </c>
      <c r="D7" s="688"/>
      <c r="E7" s="688">
        <v>0</v>
      </c>
      <c r="F7" s="688">
        <v>0</v>
      </c>
      <c r="G7" s="688">
        <v>-5222.5435962000029</v>
      </c>
      <c r="H7" s="688">
        <v>-3979.0808352000017</v>
      </c>
    </row>
    <row r="8" spans="2:15">
      <c r="B8" s="634" t="s">
        <v>845</v>
      </c>
      <c r="C8" s="709">
        <v>292521.97669840005</v>
      </c>
      <c r="D8" s="688">
        <v>-4168.55</v>
      </c>
      <c r="E8" s="688">
        <v>-21790.77145</v>
      </c>
      <c r="F8" s="688">
        <v>162150.22154888033</v>
      </c>
      <c r="G8" s="688">
        <v>72888.313796409871</v>
      </c>
      <c r="H8" s="688">
        <v>88167.921294909873</v>
      </c>
    </row>
    <row r="9" spans="2:15">
      <c r="B9" s="634" t="s">
        <v>846</v>
      </c>
      <c r="C9" s="636"/>
      <c r="D9" s="636"/>
      <c r="E9" s="636">
        <v>0.22</v>
      </c>
      <c r="F9" s="636">
        <v>0.22</v>
      </c>
      <c r="G9" s="636">
        <v>0.2</v>
      </c>
      <c r="H9" s="636">
        <v>0.2</v>
      </c>
    </row>
    <row r="10" spans="2:15">
      <c r="B10" s="633" t="s">
        <v>661</v>
      </c>
      <c r="C10" s="709">
        <v>224637.6809393825</v>
      </c>
      <c r="D10" s="692">
        <v>-4168.55</v>
      </c>
      <c r="E10" s="692">
        <v>-21790.77145</v>
      </c>
      <c r="F10" s="692">
        <v>126477.17280812666</v>
      </c>
      <c r="G10" s="692">
        <v>58310.6510371279</v>
      </c>
      <c r="H10" s="692">
        <v>70534.337035927907</v>
      </c>
    </row>
    <row r="30" spans="2:5">
      <c r="B30" s="708"/>
      <c r="C30" s="708">
        <v>2017</v>
      </c>
      <c r="D30" s="708">
        <v>2018</v>
      </c>
      <c r="E30" s="708" t="s">
        <v>642</v>
      </c>
    </row>
    <row r="31" spans="2:5">
      <c r="B31" s="708" t="s">
        <v>26</v>
      </c>
      <c r="C31" s="709">
        <v>442729.64</v>
      </c>
      <c r="D31" s="709">
        <v>442729.64</v>
      </c>
      <c r="E31" s="709">
        <v>885459.28</v>
      </c>
    </row>
    <row r="32" spans="2:5">
      <c r="B32" s="633" t="s">
        <v>661</v>
      </c>
      <c r="C32" s="692">
        <v>19589</v>
      </c>
      <c r="D32" s="692">
        <v>57116</v>
      </c>
      <c r="E32" s="709">
        <f>D32+C32</f>
        <v>76705</v>
      </c>
    </row>
    <row r="34" spans="2:5">
      <c r="B34" s="835"/>
      <c r="C34" s="835"/>
      <c r="D34" s="835"/>
      <c r="E34" s="835"/>
    </row>
    <row r="49" spans="2:7">
      <c r="B49" s="708"/>
      <c r="C49" s="708">
        <v>2015</v>
      </c>
      <c r="D49" s="708">
        <v>2016</v>
      </c>
      <c r="E49" s="708">
        <v>2017</v>
      </c>
      <c r="F49" s="708">
        <v>2018</v>
      </c>
      <c r="G49" s="708" t="s">
        <v>642</v>
      </c>
    </row>
    <row r="50" spans="2:7">
      <c r="B50" s="708" t="s">
        <v>26</v>
      </c>
      <c r="C50" s="709">
        <v>136029.6</v>
      </c>
      <c r="D50" s="709">
        <v>770834.4</v>
      </c>
      <c r="E50" s="709">
        <v>361626.29999999993</v>
      </c>
      <c r="F50" s="709">
        <v>361626.29999999993</v>
      </c>
      <c r="G50" s="670">
        <v>1630116.5999999996</v>
      </c>
    </row>
    <row r="51" spans="2:7">
      <c r="B51" s="633" t="s">
        <v>661</v>
      </c>
      <c r="C51" s="692">
        <v>29937.198393842144</v>
      </c>
      <c r="D51" s="692">
        <v>252466.60487104833</v>
      </c>
      <c r="E51" s="692">
        <v>15136.406885736214</v>
      </c>
      <c r="F51" s="692">
        <v>31574.135477736221</v>
      </c>
      <c r="G51" s="670">
        <v>303051.57397086296</v>
      </c>
    </row>
  </sheetData>
  <pageMargins left="0.7" right="0.7" top="0.75" bottom="0.75" header="0.3" footer="0.3"/>
  <pageSetup paperSize="9" orientation="portrait"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B1:L22"/>
  <sheetViews>
    <sheetView workbookViewId="0">
      <selection activeCell="B3" sqref="B3:B19"/>
    </sheetView>
  </sheetViews>
  <sheetFormatPr defaultRowHeight="12"/>
  <cols>
    <col min="2" max="2" width="16.140625" bestFit="1" customWidth="1"/>
    <col min="3" max="3" width="10.5703125" bestFit="1" customWidth="1"/>
    <col min="4" max="4" width="9.140625" bestFit="1" customWidth="1"/>
    <col min="5" max="6" width="9.140625" customWidth="1"/>
    <col min="7" max="7" width="16.140625" bestFit="1" customWidth="1"/>
    <col min="8" max="8" width="8.5703125" bestFit="1" customWidth="1"/>
    <col min="9" max="9" width="11.5703125" customWidth="1"/>
  </cols>
  <sheetData>
    <row r="1" spans="2:12">
      <c r="C1" s="2296" t="s">
        <v>1130</v>
      </c>
      <c r="D1" s="2296"/>
      <c r="E1" s="908"/>
      <c r="F1" s="908"/>
      <c r="G1" s="908"/>
      <c r="H1" s="2296" t="s">
        <v>1131</v>
      </c>
      <c r="I1" s="2296"/>
    </row>
    <row r="2" spans="2:12">
      <c r="C2" s="518" t="s">
        <v>1123</v>
      </c>
      <c r="D2" s="518" t="s">
        <v>1124</v>
      </c>
      <c r="E2" s="518" t="s">
        <v>1135</v>
      </c>
      <c r="F2" s="518"/>
      <c r="G2" s="518"/>
      <c r="H2" s="518" t="s">
        <v>1123</v>
      </c>
      <c r="I2" s="518" t="s">
        <v>1124</v>
      </c>
    </row>
    <row r="3" spans="2:12">
      <c r="B3" t="s">
        <v>26</v>
      </c>
      <c r="C3" s="813">
        <v>18866</v>
      </c>
      <c r="D3" s="813">
        <v>73596</v>
      </c>
      <c r="E3" s="813">
        <f>D3-C3</f>
        <v>54730</v>
      </c>
      <c r="F3" s="813"/>
      <c r="G3" t="s">
        <v>26</v>
      </c>
      <c r="H3" s="813">
        <v>118134</v>
      </c>
      <c r="I3" s="813">
        <v>283986</v>
      </c>
      <c r="J3" s="835">
        <f>I3-H3</f>
        <v>165852</v>
      </c>
      <c r="L3" s="910">
        <f>I3/520000</f>
        <v>0.54612692307692312</v>
      </c>
    </row>
    <row r="4" spans="2:12">
      <c r="B4" t="s">
        <v>1125</v>
      </c>
      <c r="C4" s="813">
        <v>13681</v>
      </c>
      <c r="D4" s="813">
        <v>16131</v>
      </c>
      <c r="E4" s="813">
        <f t="shared" ref="E4:E19" si="0">D4-C4</f>
        <v>2450</v>
      </c>
      <c r="F4" s="813"/>
      <c r="G4" t="s">
        <v>1125</v>
      </c>
      <c r="H4" s="813">
        <v>13681</v>
      </c>
      <c r="I4" s="813">
        <v>16498</v>
      </c>
      <c r="J4" s="835">
        <f t="shared" ref="J4:J19" si="1">I4-H4</f>
        <v>2817</v>
      </c>
    </row>
    <row r="5" spans="2:12">
      <c r="B5" s="518" t="s">
        <v>1126</v>
      </c>
      <c r="C5" s="907">
        <f>C3-C4</f>
        <v>5185</v>
      </c>
      <c r="D5" s="907">
        <f>D3-D4</f>
        <v>57465</v>
      </c>
      <c r="E5" s="907">
        <f t="shared" si="0"/>
        <v>52280</v>
      </c>
      <c r="F5" s="907"/>
      <c r="G5" s="518" t="s">
        <v>1126</v>
      </c>
      <c r="H5" s="907">
        <f>H3-H4</f>
        <v>104453</v>
      </c>
      <c r="I5" s="907">
        <f>I3-I4</f>
        <v>267488</v>
      </c>
      <c r="J5" s="909">
        <f t="shared" si="1"/>
        <v>163035</v>
      </c>
    </row>
    <row r="6" spans="2:12">
      <c r="B6" t="s">
        <v>432</v>
      </c>
      <c r="C6" s="813">
        <v>4930</v>
      </c>
      <c r="D6" s="813">
        <v>20105</v>
      </c>
      <c r="E6" s="813">
        <f t="shared" si="0"/>
        <v>15175</v>
      </c>
      <c r="F6" s="813"/>
      <c r="G6" t="s">
        <v>432</v>
      </c>
      <c r="H6" s="813">
        <v>41996</v>
      </c>
      <c r="I6" s="813">
        <v>97413</v>
      </c>
      <c r="J6" s="835">
        <f t="shared" si="1"/>
        <v>55417</v>
      </c>
    </row>
    <row r="7" spans="2:12">
      <c r="B7" s="518" t="s">
        <v>28</v>
      </c>
      <c r="C7" s="907">
        <f>C5-C6</f>
        <v>255</v>
      </c>
      <c r="D7" s="907">
        <f>D5-D6</f>
        <v>37360</v>
      </c>
      <c r="E7" s="907">
        <f t="shared" si="0"/>
        <v>37105</v>
      </c>
      <c r="F7" s="907"/>
      <c r="G7" s="518" t="s">
        <v>28</v>
      </c>
      <c r="H7" s="907">
        <f>H5-H6</f>
        <v>62457</v>
      </c>
      <c r="I7" s="907">
        <f>I5-I6</f>
        <v>170075</v>
      </c>
      <c r="J7" s="909">
        <f t="shared" si="1"/>
        <v>107618</v>
      </c>
    </row>
    <row r="8" spans="2:12">
      <c r="B8" t="s">
        <v>1127</v>
      </c>
      <c r="C8" s="813">
        <v>2571</v>
      </c>
      <c r="D8" s="813">
        <v>10399</v>
      </c>
      <c r="E8" s="813">
        <f t="shared" si="0"/>
        <v>7828</v>
      </c>
      <c r="F8" s="813"/>
      <c r="G8" t="s">
        <v>1127</v>
      </c>
      <c r="H8" s="813">
        <v>6715</v>
      </c>
      <c r="I8" s="813">
        <v>29723</v>
      </c>
      <c r="J8" s="835">
        <f t="shared" si="1"/>
        <v>23008</v>
      </c>
    </row>
    <row r="9" spans="2:12">
      <c r="B9" t="s">
        <v>1128</v>
      </c>
      <c r="C9" s="813">
        <v>9834</v>
      </c>
      <c r="D9" s="813">
        <v>17674</v>
      </c>
      <c r="E9" s="813">
        <f t="shared" si="0"/>
        <v>7840</v>
      </c>
      <c r="F9" s="813"/>
      <c r="G9" t="s">
        <v>1128</v>
      </c>
      <c r="H9" s="813">
        <v>28551</v>
      </c>
      <c r="I9" s="813">
        <v>51766</v>
      </c>
      <c r="J9" s="835">
        <f t="shared" si="1"/>
        <v>23215</v>
      </c>
    </row>
    <row r="10" spans="2:12">
      <c r="B10" s="518" t="s">
        <v>287</v>
      </c>
      <c r="C10" s="907">
        <f>C7-C8-C9</f>
        <v>-12150</v>
      </c>
      <c r="D10" s="907">
        <f>D7-D8-D9</f>
        <v>9287</v>
      </c>
      <c r="E10" s="907">
        <f t="shared" si="0"/>
        <v>21437</v>
      </c>
      <c r="F10" s="907"/>
      <c r="G10" s="518" t="s">
        <v>287</v>
      </c>
      <c r="H10" s="907">
        <f>H7-H8-H9</f>
        <v>27191</v>
      </c>
      <c r="I10" s="907">
        <f>I7-I8-I9</f>
        <v>88586</v>
      </c>
      <c r="J10" s="909">
        <f t="shared" si="1"/>
        <v>61395</v>
      </c>
    </row>
    <row r="11" spans="2:12">
      <c r="B11" t="s">
        <v>1129</v>
      </c>
      <c r="C11" s="813">
        <v>4412</v>
      </c>
      <c r="D11" s="813">
        <v>5498</v>
      </c>
      <c r="E11" s="813">
        <f t="shared" si="0"/>
        <v>1086</v>
      </c>
      <c r="F11" s="813"/>
      <c r="G11" t="s">
        <v>1129</v>
      </c>
      <c r="H11" s="813">
        <v>13435</v>
      </c>
      <c r="I11" s="813">
        <v>11779</v>
      </c>
      <c r="J11" s="835">
        <f t="shared" si="1"/>
        <v>-1656</v>
      </c>
    </row>
    <row r="12" spans="2:12">
      <c r="B12" t="s">
        <v>1018</v>
      </c>
      <c r="C12" s="813">
        <v>0</v>
      </c>
      <c r="D12" s="813">
        <v>10</v>
      </c>
      <c r="E12" s="813">
        <f t="shared" si="0"/>
        <v>10</v>
      </c>
      <c r="F12" s="813"/>
      <c r="G12" t="s">
        <v>1018</v>
      </c>
      <c r="H12" s="813">
        <v>22</v>
      </c>
      <c r="I12" s="813">
        <v>55</v>
      </c>
      <c r="J12" s="835">
        <f t="shared" si="1"/>
        <v>33</v>
      </c>
    </row>
    <row r="13" spans="2:12">
      <c r="B13" t="s">
        <v>988</v>
      </c>
      <c r="C13" s="813">
        <v>1202</v>
      </c>
      <c r="D13" s="813">
        <v>2083</v>
      </c>
      <c r="E13" s="813">
        <f t="shared" si="0"/>
        <v>881</v>
      </c>
      <c r="F13" s="813"/>
      <c r="G13" t="s">
        <v>988</v>
      </c>
      <c r="H13" s="813">
        <v>1221</v>
      </c>
      <c r="I13" s="813">
        <v>2634</v>
      </c>
      <c r="J13" s="835">
        <f t="shared" si="1"/>
        <v>1413</v>
      </c>
    </row>
    <row r="14" spans="2:12">
      <c r="B14" t="s">
        <v>989</v>
      </c>
      <c r="C14" s="813">
        <v>40</v>
      </c>
      <c r="D14" s="813">
        <v>103</v>
      </c>
      <c r="E14" s="813">
        <f t="shared" si="0"/>
        <v>63</v>
      </c>
      <c r="F14" s="813"/>
      <c r="G14" t="s">
        <v>989</v>
      </c>
      <c r="H14" s="813">
        <v>790</v>
      </c>
      <c r="I14" s="813">
        <v>1103</v>
      </c>
      <c r="J14" s="835">
        <f t="shared" si="1"/>
        <v>313</v>
      </c>
    </row>
    <row r="15" spans="2:12">
      <c r="B15" t="s">
        <v>1132</v>
      </c>
      <c r="C15" s="813">
        <v>0</v>
      </c>
      <c r="D15" s="813">
        <v>-1480</v>
      </c>
      <c r="E15" s="813">
        <f t="shared" si="0"/>
        <v>-1480</v>
      </c>
      <c r="F15" s="813"/>
      <c r="G15" t="s">
        <v>1132</v>
      </c>
      <c r="H15" s="813">
        <v>0</v>
      </c>
      <c r="I15" s="813">
        <v>-308</v>
      </c>
      <c r="J15" s="835">
        <f t="shared" si="1"/>
        <v>-308</v>
      </c>
    </row>
    <row r="16" spans="2:12">
      <c r="B16" s="518" t="s">
        <v>822</v>
      </c>
      <c r="C16" s="907">
        <f>C10+C11-C12+C13-C14</f>
        <v>-6576</v>
      </c>
      <c r="D16" s="907">
        <f>D10+D11-D12+D13-D14+D15</f>
        <v>15275</v>
      </c>
      <c r="E16" s="907">
        <f t="shared" si="0"/>
        <v>21851</v>
      </c>
      <c r="F16" s="907"/>
      <c r="G16" s="518" t="s">
        <v>822</v>
      </c>
      <c r="H16" s="907">
        <f>H10+H11-H12+H13-H14+H15</f>
        <v>41035</v>
      </c>
      <c r="I16" s="907">
        <f>I10+I11-I12+I13-I14+I15</f>
        <v>101533</v>
      </c>
      <c r="J16" s="909">
        <f t="shared" si="1"/>
        <v>60498</v>
      </c>
    </row>
    <row r="17" spans="2:10">
      <c r="B17" s="518" t="s">
        <v>661</v>
      </c>
      <c r="C17" s="907">
        <f>C16</f>
        <v>-6576</v>
      </c>
      <c r="D17" s="907">
        <v>10791</v>
      </c>
      <c r="E17" s="907">
        <f t="shared" si="0"/>
        <v>17367</v>
      </c>
      <c r="F17" s="813"/>
      <c r="G17" s="518" t="s">
        <v>661</v>
      </c>
      <c r="H17" s="907">
        <v>31790</v>
      </c>
      <c r="I17" s="907">
        <v>77734</v>
      </c>
      <c r="J17" s="909">
        <f t="shared" si="1"/>
        <v>45944</v>
      </c>
    </row>
    <row r="18" spans="2:10">
      <c r="B18" t="s">
        <v>1133</v>
      </c>
      <c r="C18" s="813">
        <v>0</v>
      </c>
      <c r="D18" s="798">
        <v>9823</v>
      </c>
      <c r="E18" s="813">
        <f t="shared" si="0"/>
        <v>9823</v>
      </c>
      <c r="G18" t="s">
        <v>1133</v>
      </c>
      <c r="H18" s="813">
        <v>0</v>
      </c>
      <c r="I18" s="907">
        <v>24119</v>
      </c>
      <c r="J18" s="835">
        <f t="shared" si="1"/>
        <v>24119</v>
      </c>
    </row>
    <row r="19" spans="2:10">
      <c r="B19" s="518" t="s">
        <v>1134</v>
      </c>
      <c r="C19" s="909">
        <f>C17-C18</f>
        <v>-6576</v>
      </c>
      <c r="D19" s="909">
        <f>D17-D18</f>
        <v>968</v>
      </c>
      <c r="E19" s="907">
        <f t="shared" si="0"/>
        <v>7544</v>
      </c>
      <c r="G19" s="518" t="s">
        <v>1134</v>
      </c>
      <c r="H19" s="909">
        <f>H17-H18</f>
        <v>31790</v>
      </c>
      <c r="I19" s="909">
        <f>I17-I18</f>
        <v>53615</v>
      </c>
      <c r="J19" s="909">
        <f t="shared" si="1"/>
        <v>21825</v>
      </c>
    </row>
    <row r="20" spans="2:10">
      <c r="I20" s="814">
        <f>I19/125000</f>
        <v>0.42892000000000002</v>
      </c>
    </row>
    <row r="22" spans="2:10">
      <c r="E22" s="910"/>
    </row>
  </sheetData>
  <mergeCells count="2">
    <mergeCell ref="C1:D1"/>
    <mergeCell ref="H1:I1"/>
  </mergeCell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B2:P26"/>
  <sheetViews>
    <sheetView zoomScale="85" zoomScaleNormal="85" workbookViewId="0">
      <selection activeCell="B9" sqref="B9"/>
    </sheetView>
  </sheetViews>
  <sheetFormatPr defaultColWidth="9.140625" defaultRowHeight="14.25"/>
  <cols>
    <col min="1" max="1" width="3" style="914" customWidth="1"/>
    <col min="2" max="2" width="16.7109375" style="914" customWidth="1"/>
    <col min="3" max="3" width="10.7109375" style="914" bestFit="1" customWidth="1"/>
    <col min="4" max="4" width="8.7109375" style="914" customWidth="1"/>
    <col min="5" max="5" width="19.85546875" style="914" bestFit="1" customWidth="1"/>
    <col min="6" max="6" width="15.7109375" style="914" customWidth="1"/>
    <col min="7" max="7" width="11.5703125" style="914" customWidth="1"/>
    <col min="8" max="8" width="10.42578125" style="914" customWidth="1"/>
    <col min="9" max="9" width="16.140625" style="914" bestFit="1" customWidth="1"/>
    <col min="10" max="10" width="16.42578125" style="914" bestFit="1" customWidth="1"/>
    <col min="11" max="11" width="13.140625" style="914" customWidth="1"/>
    <col min="12" max="12" width="10.85546875" style="914" customWidth="1"/>
    <col min="13" max="13" width="8.7109375" style="914" customWidth="1"/>
    <col min="14" max="14" width="12.7109375" style="914" customWidth="1"/>
    <col min="15" max="15" width="15.140625" style="914" customWidth="1"/>
    <col min="16" max="16384" width="9.140625" style="914"/>
  </cols>
  <sheetData>
    <row r="2" spans="2:16" ht="30">
      <c r="B2" s="912" t="s">
        <v>1139</v>
      </c>
      <c r="C2" s="912" t="s">
        <v>636</v>
      </c>
      <c r="D2" s="912" t="s">
        <v>1140</v>
      </c>
      <c r="E2" s="912" t="s">
        <v>1141</v>
      </c>
      <c r="F2" s="912" t="s">
        <v>1142</v>
      </c>
      <c r="G2" s="912" t="s">
        <v>1143</v>
      </c>
      <c r="H2" s="912" t="s">
        <v>686</v>
      </c>
      <c r="I2" s="912" t="s">
        <v>808</v>
      </c>
      <c r="J2" s="913" t="s">
        <v>1144</v>
      </c>
      <c r="K2" s="913" t="s">
        <v>748</v>
      </c>
      <c r="L2" s="912" t="s">
        <v>26</v>
      </c>
      <c r="M2" s="912" t="s">
        <v>1145</v>
      </c>
      <c r="N2" s="912" t="s">
        <v>1146</v>
      </c>
      <c r="O2" s="913" t="s">
        <v>1147</v>
      </c>
      <c r="P2" s="912"/>
    </row>
    <row r="3" spans="2:16">
      <c r="B3" s="914" t="s">
        <v>1148</v>
      </c>
      <c r="C3" s="915">
        <v>1</v>
      </c>
      <c r="E3" s="914" t="s">
        <v>1149</v>
      </c>
      <c r="F3" s="914" t="s">
        <v>1150</v>
      </c>
      <c r="G3" s="914" t="s">
        <v>1151</v>
      </c>
      <c r="H3" s="916">
        <v>95000</v>
      </c>
      <c r="I3" s="916">
        <v>76000</v>
      </c>
      <c r="J3" s="916">
        <v>18</v>
      </c>
      <c r="K3" s="916">
        <v>862000</v>
      </c>
      <c r="L3" s="916">
        <v>1073000</v>
      </c>
      <c r="M3" s="916">
        <v>210000</v>
      </c>
      <c r="N3" s="917">
        <v>2015</v>
      </c>
      <c r="O3" s="917">
        <v>2017</v>
      </c>
    </row>
    <row r="4" spans="2:16">
      <c r="B4" s="914" t="s">
        <v>1152</v>
      </c>
      <c r="C4" s="915">
        <v>1</v>
      </c>
      <c r="E4" s="914" t="s">
        <v>1153</v>
      </c>
      <c r="F4" s="914" t="s">
        <v>1154</v>
      </c>
      <c r="G4" s="914" t="s">
        <v>1155</v>
      </c>
      <c r="H4" s="916">
        <v>76000</v>
      </c>
      <c r="I4" s="916">
        <v>61000</v>
      </c>
      <c r="J4" s="916">
        <v>22</v>
      </c>
      <c r="K4" s="916">
        <v>900000</v>
      </c>
      <c r="L4" s="916">
        <v>1200000</v>
      </c>
      <c r="M4" s="916">
        <v>247000</v>
      </c>
      <c r="N4" s="917" t="s">
        <v>1156</v>
      </c>
      <c r="O4" s="917" t="s">
        <v>1157</v>
      </c>
    </row>
    <row r="5" spans="2:16">
      <c r="B5" s="914" t="s">
        <v>1158</v>
      </c>
      <c r="C5" s="915">
        <v>1</v>
      </c>
      <c r="D5" s="914" t="s">
        <v>1159</v>
      </c>
      <c r="E5" s="914" t="s">
        <v>1160</v>
      </c>
      <c r="F5" s="914" t="s">
        <v>1161</v>
      </c>
      <c r="G5" s="914" t="s">
        <v>1155</v>
      </c>
      <c r="H5" s="916">
        <v>83700</v>
      </c>
      <c r="I5" s="916">
        <v>67000</v>
      </c>
      <c r="J5" s="916">
        <v>17</v>
      </c>
      <c r="K5" s="916">
        <v>700000</v>
      </c>
      <c r="L5" s="916">
        <v>800000</v>
      </c>
      <c r="M5" s="916">
        <v>120000</v>
      </c>
      <c r="N5" s="917" t="s">
        <v>1162</v>
      </c>
      <c r="O5" s="917" t="s">
        <v>1163</v>
      </c>
    </row>
    <row r="6" spans="2:16" s="920" customFormat="1">
      <c r="B6" s="920" t="s">
        <v>1164</v>
      </c>
      <c r="C6" s="921">
        <v>0.7</v>
      </c>
      <c r="D6" s="920" t="s">
        <v>1165</v>
      </c>
      <c r="E6" s="920" t="s">
        <v>1166</v>
      </c>
      <c r="F6" s="920" t="s">
        <v>1167</v>
      </c>
      <c r="G6" s="921">
        <v>0.2</v>
      </c>
      <c r="H6" s="922">
        <v>64000</v>
      </c>
      <c r="I6" s="922">
        <v>54000</v>
      </c>
      <c r="J6" s="922">
        <v>18</v>
      </c>
      <c r="K6" s="922">
        <v>646000</v>
      </c>
      <c r="L6" s="922">
        <v>785000</v>
      </c>
      <c r="M6" s="922">
        <v>139000</v>
      </c>
      <c r="N6" s="923" t="s">
        <v>1168</v>
      </c>
      <c r="O6" s="923">
        <v>2016</v>
      </c>
    </row>
    <row r="7" spans="2:16">
      <c r="B7" s="914" t="s">
        <v>1169</v>
      </c>
      <c r="C7" s="915">
        <v>0.7</v>
      </c>
      <c r="D7" s="914" t="s">
        <v>1159</v>
      </c>
      <c r="E7" s="914" t="s">
        <v>1170</v>
      </c>
      <c r="F7" s="914" t="s">
        <v>1171</v>
      </c>
      <c r="G7" s="915">
        <v>0.25</v>
      </c>
      <c r="H7" s="916">
        <v>39700</v>
      </c>
      <c r="I7" s="916">
        <v>23000</v>
      </c>
      <c r="J7" s="916">
        <v>21</v>
      </c>
      <c r="K7" s="916"/>
      <c r="L7" s="916">
        <v>500000</v>
      </c>
      <c r="M7" s="916">
        <v>40000</v>
      </c>
      <c r="N7" s="917" t="s">
        <v>1172</v>
      </c>
      <c r="O7" s="917">
        <v>2016</v>
      </c>
    </row>
    <row r="10" spans="2:16">
      <c r="I10" s="914">
        <f>I6/H6</f>
        <v>0.84375</v>
      </c>
      <c r="K10" s="914">
        <f>L6/I6</f>
        <v>14.537037037037036</v>
      </c>
      <c r="M10" s="914">
        <f>M6/L6</f>
        <v>0.1770700636942675</v>
      </c>
    </row>
    <row r="11" spans="2:16" ht="28.5">
      <c r="B11" s="918" t="s">
        <v>1173</v>
      </c>
      <c r="C11" s="916">
        <v>3500</v>
      </c>
      <c r="F11" s="914" t="s">
        <v>1174</v>
      </c>
    </row>
    <row r="12" spans="2:16">
      <c r="B12" s="914" t="s">
        <v>1175</v>
      </c>
      <c r="C12" s="916">
        <v>2600</v>
      </c>
    </row>
    <row r="13" spans="2:16">
      <c r="B13" s="914" t="s">
        <v>1176</v>
      </c>
      <c r="C13" s="916">
        <v>200</v>
      </c>
    </row>
    <row r="14" spans="2:16">
      <c r="B14" s="914" t="s">
        <v>1177</v>
      </c>
      <c r="C14" s="916">
        <v>700</v>
      </c>
      <c r="I14" s="1072" t="s">
        <v>1449</v>
      </c>
      <c r="J14" s="1072" t="s">
        <v>748</v>
      </c>
      <c r="K14" s="1072" t="s">
        <v>1448</v>
      </c>
    </row>
    <row r="15" spans="2:16">
      <c r="H15" s="1072" t="s">
        <v>1447</v>
      </c>
      <c r="I15" s="914">
        <v>243</v>
      </c>
      <c r="J15" s="914">
        <v>866</v>
      </c>
      <c r="K15" s="914">
        <v>8526</v>
      </c>
    </row>
    <row r="16" spans="2:16">
      <c r="B16" s="919" t="s">
        <v>1178</v>
      </c>
    </row>
    <row r="17" spans="8:11">
      <c r="H17" s="1072" t="s">
        <v>1317</v>
      </c>
      <c r="I17" s="914">
        <v>135</v>
      </c>
      <c r="J17" s="914">
        <v>610</v>
      </c>
      <c r="K17" s="914">
        <v>7481</v>
      </c>
    </row>
    <row r="19" spans="8:11">
      <c r="H19" s="1072" t="s">
        <v>1314</v>
      </c>
      <c r="I19" s="914">
        <v>70</v>
      </c>
      <c r="J19" s="914">
        <v>960</v>
      </c>
      <c r="K19" s="914">
        <v>12678</v>
      </c>
    </row>
    <row r="20" spans="8:11">
      <c r="H20" s="1072" t="s">
        <v>1312</v>
      </c>
      <c r="I20" s="914">
        <v>41</v>
      </c>
      <c r="J20" s="914">
        <v>450</v>
      </c>
      <c r="K20" s="914">
        <v>8250</v>
      </c>
    </row>
    <row r="21" spans="8:11">
      <c r="H21" s="1072" t="s">
        <v>1179</v>
      </c>
      <c r="I21" s="914">
        <v>120</v>
      </c>
      <c r="J21" s="914">
        <v>700</v>
      </c>
      <c r="K21" s="914">
        <v>9818</v>
      </c>
    </row>
    <row r="22" spans="8:11">
      <c r="H22" s="1072" t="s">
        <v>1315</v>
      </c>
      <c r="I22" s="914">
        <v>130</v>
      </c>
      <c r="J22" s="914">
        <v>662</v>
      </c>
      <c r="K22" s="914">
        <v>15999</v>
      </c>
    </row>
    <row r="23" spans="8:11">
      <c r="I23" s="1073">
        <f>SUM(I15:I22)</f>
        <v>739</v>
      </c>
      <c r="J23" s="1073">
        <f>SUM(J15:J22)</f>
        <v>4248</v>
      </c>
      <c r="K23" s="1073">
        <f>SUM(K15:K22)</f>
        <v>62752</v>
      </c>
    </row>
    <row r="25" spans="8:11">
      <c r="H25" s="1072" t="s">
        <v>1319</v>
      </c>
      <c r="I25" s="914">
        <v>152</v>
      </c>
    </row>
    <row r="26" spans="8:11">
      <c r="H26" s="1072" t="s">
        <v>1251</v>
      </c>
      <c r="J26" s="914">
        <v>225</v>
      </c>
      <c r="K26" s="914">
        <v>1600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07e95ba-41c9-4451-aa54-2ea21192c98e" xsi:nil="true"/>
    <lcf76f155ced4ddcb4097134ff3c332f xmlns="8b8f167d-e939-4120-9f93-c4ee466fdd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30E1A8C1CBBE4EAE021B194DE73CE5" ma:contentTypeVersion="15" ma:contentTypeDescription="Create a new document." ma:contentTypeScope="" ma:versionID="0386123f95356ddb5e7ff78d6069d597">
  <xsd:schema xmlns:xsd="http://www.w3.org/2001/XMLSchema" xmlns:xs="http://www.w3.org/2001/XMLSchema" xmlns:p="http://schemas.microsoft.com/office/2006/metadata/properties" xmlns:ns2="8b8f167d-e939-4120-9f93-c4ee466fddb0" xmlns:ns3="f07e95ba-41c9-4451-aa54-2ea21192c98e" targetNamespace="http://schemas.microsoft.com/office/2006/metadata/properties" ma:root="true" ma:fieldsID="1b27910295e76010e0f6ce8bf9845e57" ns2:_="" ns3:_="">
    <xsd:import namespace="8b8f167d-e939-4120-9f93-c4ee466fddb0"/>
    <xsd:import namespace="f07e95ba-41c9-4451-aa54-2ea21192c98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8f167d-e939-4120-9f93-c4ee466fdd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0afc97-7c6a-4e00-b079-4567eaa0b9c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07e95ba-41c9-4451-aa54-2ea21192c98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6a1b5901-c7c0-4559-bf97-02d94b300599}" ma:internalName="TaxCatchAll" ma:showField="CatchAllData" ma:web="f07e95ba-41c9-4451-aa54-2ea21192c9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91E4F5-2265-416D-8553-1D10F7C1802F}">
  <ds:schemaRefs>
    <ds:schemaRef ds:uri="http://purl.org/dc/terms/"/>
    <ds:schemaRef ds:uri="http://schemas.openxmlformats.org/package/2006/metadata/core-properties"/>
    <ds:schemaRef ds:uri="f07e95ba-41c9-4451-aa54-2ea21192c98e"/>
    <ds:schemaRef ds:uri="http://www.w3.org/XML/1998/namespace"/>
    <ds:schemaRef ds:uri="http://schemas.microsoft.com/office/2006/documentManagement/types"/>
    <ds:schemaRef ds:uri="http://schemas.microsoft.com/office/infopath/2007/PartnerControls"/>
    <ds:schemaRef ds:uri="http://purl.org/dc/dcmitype/"/>
    <ds:schemaRef ds:uri="8b8f167d-e939-4120-9f93-c4ee466fddb0"/>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51FC3EF-8EA8-48D5-A154-189D4FE272F1}">
  <ds:schemaRefs>
    <ds:schemaRef ds:uri="http://schemas.microsoft.com/sharepoint/v3/contenttype/forms"/>
  </ds:schemaRefs>
</ds:datastoreItem>
</file>

<file path=customXml/itemProps3.xml><?xml version="1.0" encoding="utf-8"?>
<ds:datastoreItem xmlns:ds="http://schemas.openxmlformats.org/officeDocument/2006/customXml" ds:itemID="{3EA56208-5AAF-40B0-9C49-128025FA42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8f167d-e939-4120-9f93-c4ee466fddb0"/>
    <ds:schemaRef ds:uri="f07e95ba-41c9-4451-aa54-2ea21192c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86</vt:i4>
      </vt:variant>
      <vt:variant>
        <vt:lpstr>Named Ranges</vt:lpstr>
      </vt:variant>
      <vt:variant>
        <vt:i4>26</vt:i4>
      </vt:variant>
    </vt:vector>
  </HeadingPairs>
  <TitlesOfParts>
    <vt:vector size="112" baseType="lpstr">
      <vt:lpstr>EPS,P.E, P.B</vt:lpstr>
      <vt:lpstr>Voulme</vt:lpstr>
      <vt:lpstr>EPS</vt:lpstr>
      <vt:lpstr>Bloomberg</vt:lpstr>
      <vt:lpstr>FS Year</vt:lpstr>
      <vt:lpstr>VCSC</vt:lpstr>
      <vt:lpstr>FS QTR</vt:lpstr>
      <vt:lpstr>QoQ</vt:lpstr>
      <vt:lpstr>Price</vt:lpstr>
      <vt:lpstr>Sales</vt:lpstr>
      <vt:lpstr>Assumption</vt:lpstr>
      <vt:lpstr>Client</vt:lpstr>
      <vt:lpstr>1H15</vt:lpstr>
      <vt:lpstr>DCF</vt:lpstr>
      <vt:lpstr>Rev_NPAT</vt:lpstr>
      <vt:lpstr>SI forecast</vt:lpstr>
      <vt:lpstr>SI_Control sheet</vt:lpstr>
      <vt:lpstr>Rev_NPAT (new)</vt:lpstr>
      <vt:lpstr>Inventory</vt:lpstr>
      <vt:lpstr>Comps</vt:lpstr>
      <vt:lpstr>Revenue</vt:lpstr>
      <vt:lpstr>Sheet1</vt:lpstr>
      <vt:lpstr>Project Summary</vt:lpstr>
      <vt:lpstr>RNAV_No dilution</vt:lpstr>
      <vt:lpstr>RNAV Summary</vt:lpstr>
      <vt:lpstr>RNAV_11,000</vt:lpstr>
      <vt:lpstr>RNAV_12,000</vt:lpstr>
      <vt:lpstr>P&amp;L</vt:lpstr>
      <vt:lpstr>First_page</vt:lpstr>
      <vt:lpstr>New Valuation</vt:lpstr>
      <vt:lpstr>Charts</vt:lpstr>
      <vt:lpstr>Depreciation</vt:lpstr>
      <vt:lpstr>Amortization</vt:lpstr>
      <vt:lpstr>Debt</vt:lpstr>
      <vt:lpstr>Working Capital</vt:lpstr>
      <vt:lpstr>Quarterly Results</vt:lpstr>
      <vt:lpstr>Brokerage</vt:lpstr>
      <vt:lpstr>Equity May 2020</vt:lpstr>
      <vt:lpstr>Diamond_DXS</vt:lpstr>
      <vt:lpstr>Equity</vt:lpstr>
      <vt:lpstr>DXG X Factor</vt:lpstr>
      <vt:lpstr>Diamond</vt:lpstr>
      <vt:lpstr>Diamond_Quarter</vt:lpstr>
      <vt:lpstr>DXG - Factor</vt:lpstr>
      <vt:lpstr>For Report</vt:lpstr>
      <vt:lpstr>BS</vt:lpstr>
      <vt:lpstr>CF</vt:lpstr>
      <vt:lpstr>IS</vt:lpstr>
      <vt:lpstr>Valuation</vt:lpstr>
      <vt:lpstr>Key Chart</vt:lpstr>
      <vt:lpstr>Key Charts - Project</vt:lpstr>
      <vt:lpstr>Pipeline</vt:lpstr>
      <vt:lpstr>Sheet3</vt:lpstr>
      <vt:lpstr>Projects</vt:lpstr>
      <vt:lpstr>Prive</vt:lpstr>
      <vt:lpstr>Opal Central Park</vt:lpstr>
      <vt:lpstr>Opal Riverside</vt:lpstr>
      <vt:lpstr>Opal Garden</vt:lpstr>
      <vt:lpstr>Gem Premium</vt:lpstr>
      <vt:lpstr>Long Thanh 92ha</vt:lpstr>
      <vt:lpstr>Opal Luxury 8.6ha BD</vt:lpstr>
      <vt:lpstr>Opal Cityview</vt:lpstr>
      <vt:lpstr>St Moritz</vt:lpstr>
      <vt:lpstr>ParkViewThuanAn5ha</vt:lpstr>
      <vt:lpstr>ParkCityThuanAn10ha</vt:lpstr>
      <vt:lpstr>Lux Riverview Q7</vt:lpstr>
      <vt:lpstr>Opal City</vt:lpstr>
      <vt:lpstr>Opal Skyline</vt:lpstr>
      <vt:lpstr>Old</vt:lpstr>
      <vt:lpstr>Viva City</vt:lpstr>
      <vt:lpstr>Tan Thuan</vt:lpstr>
      <vt:lpstr>Viet Hung</vt:lpstr>
      <vt:lpstr>Brokerage value</vt:lpstr>
      <vt:lpstr>Viva City - TH</vt:lpstr>
      <vt:lpstr>Phu Quoc project</vt:lpstr>
      <vt:lpstr>2014 forecast</vt:lpstr>
      <vt:lpstr>Update160714</vt:lpstr>
      <vt:lpstr>Valuation summary</vt:lpstr>
      <vt:lpstr>CT15</vt:lpstr>
      <vt:lpstr>CT15 - TH</vt:lpstr>
      <vt:lpstr>Sheet2</vt:lpstr>
      <vt:lpstr>Venice City - FCFE</vt:lpstr>
      <vt:lpstr>Chart</vt:lpstr>
      <vt:lpstr>Chart 2</vt:lpstr>
      <vt:lpstr>Q3</vt:lpstr>
      <vt:lpstr>New projects</vt:lpstr>
      <vt:lpstr>First_page!_Toc422493978</vt:lpstr>
      <vt:lpstr>CAGR_table</vt:lpstr>
      <vt:lpstr>countryrisk</vt:lpstr>
      <vt:lpstr>end_year</vt:lpstr>
      <vt:lpstr>EV</vt:lpstr>
      <vt:lpstr>holdingrisk</vt:lpstr>
      <vt:lpstr>index</vt:lpstr>
      <vt:lpstr>liquidityrisk</vt:lpstr>
      <vt:lpstr>marginal_tax</vt:lpstr>
      <vt:lpstr>price</vt:lpstr>
      <vt:lpstr>Amortization!Print_Area</vt:lpstr>
      <vt:lpstr>BS!Print_Area</vt:lpstr>
      <vt:lpstr>CF!Print_Area</vt:lpstr>
      <vt:lpstr>Equity!Print_Area</vt:lpstr>
      <vt:lpstr>'Equity May 2020'!Print_Area</vt:lpstr>
      <vt:lpstr>IS!Print_Area</vt:lpstr>
      <vt:lpstr>Valuation!Print_Area</vt:lpstr>
      <vt:lpstr>Rd</vt:lpstr>
      <vt:lpstr>Re</vt:lpstr>
      <vt:lpstr>Sensitivity</vt:lpstr>
      <vt:lpstr>shares</vt:lpstr>
      <vt:lpstr>terminal_g</vt:lpstr>
      <vt:lpstr>ticker</vt:lpstr>
      <vt:lpstr>unit</vt:lpstr>
      <vt:lpstr>WACC</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 Hoang</dc:creator>
  <cp:lastModifiedBy>Minh Trinh Hoang (AMIR)</cp:lastModifiedBy>
  <cp:lastPrinted>2024-08-09T08:37:14Z</cp:lastPrinted>
  <dcterms:created xsi:type="dcterms:W3CDTF">2014-07-18T10:07:06Z</dcterms:created>
  <dcterms:modified xsi:type="dcterms:W3CDTF">2025-08-05T04:44:42Z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0x0101000830E1A8C1CBBE4EAE021B194DE73CE5</vt:lpwstr>
  </property>
  <property fmtid="{D5CDD505-2E9C-101B-9397-08002B2CF9AE}" pid="3" name="MediaServiceImageTags">
    <vt:lpwstr/>
  </property>
</Properties>
</file>